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7.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charts/chart11.xml" ContentType="application/vnd.openxmlformats-officedocument.drawingml.chart+xml"/>
  <Override PartName="/xl/drawings/drawing11.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6.xml" ContentType="application/vnd.openxmlformats-officedocument.spreadsheetml.comments+xml"/>
  <Override PartName="/xl/charts/chart12.xml" ContentType="application/vnd.openxmlformats-officedocument.drawingml.chart+xml"/>
  <Override PartName="/xl/drawings/drawing1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7.xml" ContentType="application/vnd.openxmlformats-officedocument.spreadsheetml.comments+xml"/>
  <Override PartName="/xl/charts/chart13.xml" ContentType="application/vnd.openxmlformats-officedocument.drawingml.chart+xml"/>
  <Override PartName="/xl/drawings/drawing1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8.xml" ContentType="application/vnd.openxmlformats-officedocument.spreadsheetml.comments+xml"/>
  <Override PartName="/xl/charts/chart14.xml" ContentType="application/vnd.openxmlformats-officedocument.drawingml.chart+xml"/>
  <Override PartName="/xl/drawings/drawing1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9.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10.xml" ContentType="application/vnd.openxmlformats-officedocument.spreadsheetml.comments+xml"/>
  <Override PartName="/xl/charts/chart17.xml" ContentType="application/vnd.openxmlformats-officedocument.drawingml.chart+xml"/>
  <Override PartName="/xl/drawings/drawing16.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1.xml" ContentType="application/vnd.openxmlformats-officedocument.spreadsheetml.comments+xml"/>
  <Override PartName="/xl/charts/chart18.xml" ContentType="application/vnd.openxmlformats-officedocument.drawingml.chart+xml"/>
  <Override PartName="/xl/drawings/drawing17.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12.xml" ContentType="application/vnd.openxmlformats-officedocument.spreadsheetml.comments+xml"/>
  <Override PartName="/xl/charts/chart19.xml" ContentType="application/vnd.openxmlformats-officedocument.drawingml.chart+xml"/>
  <Override PartName="/xl/drawings/drawing18.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13.xml" ContentType="application/vnd.openxmlformats-officedocument.spreadsheetml.comments+xml"/>
  <Override PartName="/xl/charts/chart20.xml" ContentType="application/vnd.openxmlformats-officedocument.drawingml.chart+xml"/>
  <Override PartName="/xl/drawings/drawing19.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14.xml" ContentType="application/vnd.openxmlformats-officedocument.spreadsheetml.comments+xml"/>
  <Override PartName="/xl/charts/chart2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https://universitytasmania-my.sharepoint.com/personal/karen_christie_utas_edu_au/Documents/Documents/My files/Towards carbon neutrality dairy industry/carbon calculator training VIC DPI Nov 2021/"/>
    </mc:Choice>
  </mc:AlternateContent>
  <xr:revisionPtr revIDLastSave="3" documentId="8_{7EC4C45A-E895-4744-930D-D59336A95F34}" xr6:coauthVersionLast="47" xr6:coauthVersionMax="47" xr10:uidLastSave="{A27F5C63-8E37-4523-AA34-91766630D9B3}"/>
  <bookViews>
    <workbookView xWindow="-120" yWindow="-120" windowWidth="29040" windowHeight="17640" xr2:uid="{00000000-000D-0000-FFFF-FFFF00000000}"/>
  </bookViews>
  <sheets>
    <sheet name="Introduction" sheetId="25" r:id="rId1"/>
    <sheet name="Baseline farm" sheetId="19" r:id="rId2"/>
    <sheet name="Data for graphs" sheetId="24" state="hidden" r:id="rId3"/>
    <sheet name="Example baseline farm" sheetId="28" r:id="rId4"/>
    <sheet name="Abatement Schematic" sheetId="3" r:id="rId5"/>
    <sheet name="Herd and Breeding" sheetId="1" state="hidden" r:id="rId6"/>
    <sheet name="Feedbase" sheetId="4" state="hidden" r:id="rId7"/>
    <sheet name="Animal diet manipulation" sheetId="5" state="hidden" r:id="rId8"/>
    <sheet name="Waste management" sheetId="16" state="hidden" r:id="rId9"/>
    <sheet name="Strategy farm" sheetId="23" r:id="rId10"/>
    <sheet name="Old NGGI methodology" sheetId="34" r:id="rId11"/>
    <sheet name="Reduce CH4 breeding_management" sheetId="2" r:id="rId12"/>
    <sheet name="Replacing Sup with dietary fats" sheetId="12" r:id="rId13"/>
    <sheet name="Supplementing with dietary fats" sheetId="7" r:id="rId14"/>
    <sheet name="Improved diet DDM by Supplement" sheetId="15" r:id="rId15"/>
    <sheet name="Improved diet DMD by management" sheetId="8" r:id="rId16"/>
    <sheet name=" N inhibitor applied to feed" sheetId="11" r:id="rId17"/>
    <sheet name="N fertiliser inhibitor coated" sheetId="30" r:id="rId18"/>
    <sheet name="Extended lactation" sheetId="20" r:id="rId19"/>
    <sheet name="Extended longevity" sheetId="22" r:id="rId20"/>
    <sheet name="Waste flaring" sheetId="27" state="hidden" r:id="rId21"/>
    <sheet name="Feed quality table" sheetId="31" r:id="rId22"/>
    <sheet name="Fertiliser rates" sheetId="32"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Electricity" localSheetId="3">'Example baseline farm'!$B$563:$B$570</definedName>
    <definedName name="Electricity" localSheetId="10">'Old NGGI methodology'!$B$560:$B$567</definedName>
    <definedName name="Electricity" localSheetId="9">'Strategy farm'!$B$620:$B$627</definedName>
    <definedName name="Electricity">'Baseline farm'!$B$559:$B$566</definedName>
    <definedName name="Fertiliser" localSheetId="3">'Example baseline farm'!$S$169:$S$170</definedName>
    <definedName name="Fertiliser" localSheetId="10">'Old NGGI methodology'!$S$175:$S$176</definedName>
    <definedName name="Fertiliser" localSheetId="9">'Strategy farm'!$S$224:$S$225</definedName>
    <definedName name="Fertiliser">'Baseline farm'!$S$168:$S$169</definedName>
    <definedName name="Heifer_Feedpad_Waste" localSheetId="3">'Example baseline farm'!$AL$179:$AL$182</definedName>
    <definedName name="Heifer_Feedpad_Waste" localSheetId="10">'Old NGGI methodology'!$AL$185:$AL$188</definedName>
    <definedName name="Heifer_Feedpad_Waste">'Baseline farm'!$AL$178:$AL$181</definedName>
    <definedName name="Heifers_Feedpad_Waste" localSheetId="9">'Strategy farm'!$AL$233:$AL$236</definedName>
    <definedName name="Milk.production" localSheetId="3">'Example baseline farm'!$S$180:$S$181</definedName>
    <definedName name="Milk.production" localSheetId="10">'Old NGGI methodology'!$S$186:$S$187</definedName>
    <definedName name="Milk.production">'Baseline farm'!$S$179:$S$180</definedName>
    <definedName name="Milker_Feedpad_Waste" localSheetId="3">'Example baseline farm'!$AG$179:$AG$182</definedName>
    <definedName name="Milker_Feedpad_Waste" localSheetId="10">'Old NGGI methodology'!$AG$185:$AG$188</definedName>
    <definedName name="Milker_Feedpad_Waste">'Baseline farm'!$AG$178:$AG$181</definedName>
    <definedName name="Milkers_Feedpad_Waste" localSheetId="9">'Strategy farm'!$AG$234:$AG$237</definedName>
    <definedName name="New.South.Wales" localSheetId="3">'Example baseline farm'!$E$170:$E$172</definedName>
    <definedName name="New.South.Wales" localSheetId="10">'Old NGGI methodology'!$E$176:$E$178</definedName>
    <definedName name="New.South.Wales" localSheetId="9">'Strategy farm'!$E$224:$E$226</definedName>
    <definedName name="New.South.Wales">'Baseline farm'!$E$169:$E$171</definedName>
    <definedName name="Northern.Territory" localSheetId="3">'Example baseline farm'!$J$169</definedName>
    <definedName name="Northern.Territory" localSheetId="10">'Old NGGI methodology'!$J$175</definedName>
    <definedName name="Northern.Territory" localSheetId="9">'Strategy farm'!$J$223</definedName>
    <definedName name="Northern.Territory">'Baseline farm'!$J$168</definedName>
    <definedName name="Pal_Workbook_GUID" hidden="1">"WE5GRGLHHGZG77SJ2CRGGBUE"</definedName>
    <definedName name="Pre_treament" localSheetId="3">'Example baseline farm'!$Z$174:$Z$175</definedName>
    <definedName name="Pre_treament" localSheetId="10">'Old NGGI methodology'!$Z$180:$Z$181</definedName>
    <definedName name="Pre_treament">'Baseline farm'!$Z$173:$Z$174</definedName>
    <definedName name="Pre_treat" localSheetId="9">'Strategy farm'!$Z$229:$Z$230</definedName>
    <definedName name="Queensland" localSheetId="3">'Example baseline farm'!$G$169</definedName>
    <definedName name="Queensland" localSheetId="10">'Old NGGI methodology'!$G$175</definedName>
    <definedName name="Queensland" localSheetId="9">'Strategy farm'!$G$223</definedName>
    <definedName name="Queensland">'Baseline farm'!$G$168</definedName>
    <definedName name="Rainfall" localSheetId="3">'Example baseline farm'!$B$519:$B$521</definedName>
    <definedName name="Rainfall" localSheetId="10">'Old NGGI methodology'!$B$516:$B$518</definedName>
    <definedName name="Rainfall" localSheetId="9">'Strategy farm'!$B$576:$B$578</definedName>
    <definedName name="Rainfall">'Baseline farm'!$B$515:$B$517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th.Australia" localSheetId="3">'Example baseline farm'!$H$169</definedName>
    <definedName name="South.Australia" localSheetId="10">'Old NGGI methodology'!$H$175</definedName>
    <definedName name="South.Australia" localSheetId="9">'Strategy farm'!$H$223</definedName>
    <definedName name="South.Australia">'Baseline farm'!$H$168</definedName>
    <definedName name="State" localSheetId="3">'Example baseline farm'!$C$170:$C$176</definedName>
    <definedName name="State" localSheetId="10">'Old NGGI methodology'!$C$176:$C$182</definedName>
    <definedName name="State" localSheetId="9">'Strategy farm'!$C$224:$C$230</definedName>
    <definedName name="State">'Baseline farm'!$C$169:$C$175</definedName>
    <definedName name="Tasmania" localSheetId="3">'Example baseline farm'!$F$169</definedName>
    <definedName name="Tasmania" localSheetId="10">'Old NGGI methodology'!$F$175</definedName>
    <definedName name="Tasmania" localSheetId="9">'Strategy farm'!$F$223</definedName>
    <definedName name="Tasmania">'Baseline farm'!$F$168</definedName>
    <definedName name="Tree_Sequestration" localSheetId="3">'Example baseline farm'!$S$175:$S$177</definedName>
    <definedName name="Tree_Sequestration" localSheetId="10">'Old NGGI methodology'!$S$181:$S$183</definedName>
    <definedName name="Tree_Sequestration" localSheetId="9">'Strategy farm'!$S$230:$S$232</definedName>
    <definedName name="Tree_Sequestration">'Baseline farm'!$S$174:$S$176</definedName>
    <definedName name="Trees" localSheetId="3">'Example baseline farm'!$B$501:$B$515</definedName>
    <definedName name="Trees" localSheetId="10">'Old NGGI methodology'!$B$498:$B$512</definedName>
    <definedName name="Trees" localSheetId="9">'Strategy farm'!$B$558:$B$572</definedName>
    <definedName name="Trees">'Baseline farm'!$B$497:$B$511</definedName>
    <definedName name="Victoria" localSheetId="3">'Example baseline farm'!$D$170:$D$172</definedName>
    <definedName name="Victoria" localSheetId="10">'Old NGGI methodology'!$D$176:$D$178</definedName>
    <definedName name="Victoria" localSheetId="9">'Strategy farm'!$D$224:$D$226</definedName>
    <definedName name="Victoria">'Baseline farm'!$D$169:$D$171</definedName>
    <definedName name="Waste.Management" localSheetId="3">'Example baseline farm'!$AC$169:$AC$170</definedName>
    <definedName name="Waste.Management" localSheetId="10">'Old NGGI methodology'!$AC$175:$AC$176</definedName>
    <definedName name="Waste.Management" localSheetId="9">'Strategy farm'!$AD$224:$AD$225</definedName>
    <definedName name="Waste.Management">'Baseline farm'!$AC$168:$AC$169</definedName>
    <definedName name="Western.Australia" localSheetId="3">'Example baseline farm'!$I$169</definedName>
    <definedName name="Western.Australia" localSheetId="10">'Old NGGI methodology'!$I$175</definedName>
    <definedName name="Western.Australia" localSheetId="9">'Strategy farm'!$I$223</definedName>
    <definedName name="Western.Australia">'Baseline farm'!$I$168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68" i="19" l="1"/>
  <c r="AR168" i="19" s="1"/>
  <c r="AG195" i="19" s="1"/>
  <c r="AH169" i="19"/>
  <c r="AM169" i="19"/>
  <c r="AU168" i="19" s="1"/>
  <c r="AG198" i="19" s="1"/>
  <c r="S170" i="19"/>
  <c r="T170" i="19" s="1"/>
  <c r="AC170" i="19"/>
  <c r="AH170" i="19"/>
  <c r="AM170" i="19"/>
  <c r="AH171" i="19"/>
  <c r="P172" i="19"/>
  <c r="P173" i="19"/>
  <c r="AH173" i="19"/>
  <c r="AH174" i="19"/>
  <c r="Z175" i="19"/>
  <c r="S177" i="19"/>
  <c r="AX177" i="19"/>
  <c r="AY177" i="19"/>
  <c r="AZ177" i="19"/>
  <c r="BA177" i="19"/>
  <c r="BB177" i="19"/>
  <c r="BC177" i="19"/>
  <c r="C178" i="19"/>
  <c r="E254" i="19" s="1"/>
  <c r="E255" i="19" s="1"/>
  <c r="E178" i="19"/>
  <c r="S181" i="19"/>
  <c r="P170" i="19" s="1"/>
  <c r="AG182" i="19"/>
  <c r="AR175" i="19" s="1"/>
  <c r="AL182" i="19"/>
  <c r="AU170" i="19" s="1"/>
  <c r="AU178" i="19" s="1"/>
  <c r="AI198" i="19" s="1"/>
  <c r="D186" i="19"/>
  <c r="E186" i="19"/>
  <c r="F186" i="19"/>
  <c r="G186" i="19"/>
  <c r="H186" i="19"/>
  <c r="K186" i="19"/>
  <c r="F189" i="19"/>
  <c r="F236" i="19" s="1"/>
  <c r="E193" i="19"/>
  <c r="E189" i="19" s="1"/>
  <c r="F193" i="19"/>
  <c r="G193" i="19"/>
  <c r="G189" i="19" s="1"/>
  <c r="H193" i="19"/>
  <c r="H189" i="19" s="1"/>
  <c r="AF194" i="19"/>
  <c r="AG194" i="19"/>
  <c r="AH194" i="19"/>
  <c r="AI194" i="19"/>
  <c r="AI196" i="19" s="1"/>
  <c r="AJ194" i="19"/>
  <c r="AL194" i="19"/>
  <c r="AN194" i="19"/>
  <c r="AG199" i="19"/>
  <c r="I202" i="19"/>
  <c r="J202" i="19"/>
  <c r="D208" i="19"/>
  <c r="E208" i="19"/>
  <c r="F208" i="19"/>
  <c r="G208" i="19"/>
  <c r="H208" i="19"/>
  <c r="I208" i="19"/>
  <c r="J208" i="19"/>
  <c r="K208" i="19"/>
  <c r="D233" i="19"/>
  <c r="E233" i="19"/>
  <c r="F233" i="19"/>
  <c r="G233" i="19"/>
  <c r="H233" i="19"/>
  <c r="C254" i="19"/>
  <c r="D254" i="19"/>
  <c r="D255" i="19" s="1"/>
  <c r="G254" i="19"/>
  <c r="G255" i="19" s="1"/>
  <c r="H254" i="19"/>
  <c r="H255" i="19" s="1"/>
  <c r="I264" i="19"/>
  <c r="I272" i="19" s="1"/>
  <c r="J264" i="19"/>
  <c r="J272" i="19" s="1"/>
  <c r="I268" i="19"/>
  <c r="J268" i="19"/>
  <c r="D350" i="19"/>
  <c r="E350" i="19"/>
  <c r="F350" i="19"/>
  <c r="G350" i="19"/>
  <c r="H350" i="19"/>
  <c r="D487" i="19"/>
  <c r="E487" i="19" s="1"/>
  <c r="F487" i="19" s="1"/>
  <c r="G487" i="19" s="1"/>
  <c r="H487" i="19" s="1"/>
  <c r="I487" i="19" s="1"/>
  <c r="J487" i="19" s="1"/>
  <c r="K487" i="19" s="1"/>
  <c r="L487" i="19" s="1"/>
  <c r="M487" i="19" s="1"/>
  <c r="N487" i="19" s="1"/>
  <c r="O487" i="19" s="1"/>
  <c r="P487" i="19" s="1"/>
  <c r="Q487" i="19" s="1"/>
  <c r="R487" i="19" s="1"/>
  <c r="S487" i="19" s="1"/>
  <c r="T487" i="19" s="1"/>
  <c r="U487" i="19" s="1"/>
  <c r="V487" i="19" s="1"/>
  <c r="W487" i="19" s="1"/>
  <c r="X487" i="19" s="1"/>
  <c r="Y487" i="19" s="1"/>
  <c r="Z487" i="19" s="1"/>
  <c r="AA487" i="19" s="1"/>
  <c r="AB487" i="19" s="1"/>
  <c r="AC487" i="19" s="1"/>
  <c r="AD487" i="19" s="1"/>
  <c r="AE487" i="19" s="1"/>
  <c r="AF487" i="19" s="1"/>
  <c r="AG487" i="19" s="1"/>
  <c r="H498" i="19"/>
  <c r="I498" i="19"/>
  <c r="H499" i="19"/>
  <c r="I499" i="19"/>
  <c r="C500" i="19"/>
  <c r="D500" i="19"/>
  <c r="E500" i="19"/>
  <c r="F500" i="19"/>
  <c r="G500" i="19"/>
  <c r="H500" i="19"/>
  <c r="H501" i="19"/>
  <c r="I501" i="19"/>
  <c r="H502" i="19"/>
  <c r="I502" i="19"/>
  <c r="I500" i="19" s="1"/>
  <c r="H503" i="19"/>
  <c r="I503" i="19"/>
  <c r="H504" i="19"/>
  <c r="I504" i="19"/>
  <c r="H505" i="19"/>
  <c r="I505" i="19"/>
  <c r="C506" i="19"/>
  <c r="D506" i="19"/>
  <c r="E506" i="19"/>
  <c r="F506" i="19"/>
  <c r="G506" i="19"/>
  <c r="H507" i="19"/>
  <c r="I507" i="19"/>
  <c r="H508" i="19"/>
  <c r="I508" i="19"/>
  <c r="H509" i="19"/>
  <c r="I509" i="19"/>
  <c r="H510" i="19"/>
  <c r="I510" i="19"/>
  <c r="H511" i="19"/>
  <c r="I511" i="19"/>
  <c r="B512" i="19"/>
  <c r="C512" i="19"/>
  <c r="D512" i="19"/>
  <c r="E512" i="19"/>
  <c r="F512" i="19"/>
  <c r="G512" i="19"/>
  <c r="H512" i="19"/>
  <c r="E515" i="19" s="1"/>
  <c r="I512" i="19"/>
  <c r="H514" i="19"/>
  <c r="G518" i="19" s="1"/>
  <c r="F515" i="19"/>
  <c r="H516" i="19"/>
  <c r="B518" i="19"/>
  <c r="C515" i="19" s="1"/>
  <c r="C524" i="19"/>
  <c r="C545" i="19" s="1"/>
  <c r="C528" i="19"/>
  <c r="G545" i="19"/>
  <c r="C547" i="19"/>
  <c r="E559" i="19"/>
  <c r="E560" i="19"/>
  <c r="E567" i="19" s="1"/>
  <c r="C529" i="19" s="1"/>
  <c r="E561" i="19"/>
  <c r="E562" i="19"/>
  <c r="E563" i="19"/>
  <c r="E564" i="19"/>
  <c r="E565" i="19"/>
  <c r="E566" i="19"/>
  <c r="B567" i="19"/>
  <c r="C567" i="19"/>
  <c r="D567" i="19"/>
  <c r="C573" i="19"/>
  <c r="E573" i="19" s="1"/>
  <c r="C574" i="19"/>
  <c r="E574" i="19"/>
  <c r="C575" i="19"/>
  <c r="E575" i="19"/>
  <c r="C576" i="19"/>
  <c r="E576" i="19"/>
  <c r="C577" i="19"/>
  <c r="E577" i="19" s="1"/>
  <c r="C578" i="19"/>
  <c r="E578" i="19"/>
  <c r="C64" i="23"/>
  <c r="S233" i="23" s="1"/>
  <c r="H575" i="23" s="1"/>
  <c r="H18" i="23"/>
  <c r="E579" i="19" l="1"/>
  <c r="H545" i="19"/>
  <c r="F545" i="19"/>
  <c r="E545" i="19"/>
  <c r="C538" i="19"/>
  <c r="F214" i="19"/>
  <c r="F254" i="19"/>
  <c r="F255" i="19" s="1"/>
  <c r="AJ196" i="19"/>
  <c r="I506" i="19"/>
  <c r="AN199" i="19"/>
  <c r="AH196" i="19"/>
  <c r="AJ199" i="19"/>
  <c r="AN196" i="19"/>
  <c r="AU173" i="19"/>
  <c r="AI199" i="19"/>
  <c r="AL196" i="19"/>
  <c r="AU169" i="19"/>
  <c r="AU176" i="19" s="1"/>
  <c r="H506" i="19"/>
  <c r="AL199" i="19"/>
  <c r="AG196" i="19"/>
  <c r="C516" i="19"/>
  <c r="AH199" i="19"/>
  <c r="F256" i="19"/>
  <c r="F241" i="19"/>
  <c r="F264" i="19" s="1"/>
  <c r="H214" i="19"/>
  <c r="H256" i="19"/>
  <c r="H257" i="19" s="1"/>
  <c r="H236" i="19"/>
  <c r="H197" i="19"/>
  <c r="H202" i="19" s="1"/>
  <c r="BC182" i="19"/>
  <c r="G214" i="19"/>
  <c r="G256" i="19"/>
  <c r="G257" i="19" s="1"/>
  <c r="G236" i="19"/>
  <c r="G197" i="19"/>
  <c r="G202" i="19" s="1"/>
  <c r="C582" i="19"/>
  <c r="C583" i="19"/>
  <c r="E583" i="19" s="1"/>
  <c r="D321" i="19"/>
  <c r="D322" i="19"/>
  <c r="C584" i="19"/>
  <c r="E584" i="19" s="1"/>
  <c r="C585" i="19"/>
  <c r="E585" i="19" s="1"/>
  <c r="C553" i="19"/>
  <c r="AJ198" i="19"/>
  <c r="BA182" i="19"/>
  <c r="E236" i="19"/>
  <c r="E197" i="19"/>
  <c r="E202" i="19" s="1"/>
  <c r="E214" i="19"/>
  <c r="E256" i="19"/>
  <c r="E257" i="19" s="1"/>
  <c r="AZ182" i="19"/>
  <c r="AR170" i="19"/>
  <c r="AR183" i="19" s="1"/>
  <c r="AR173" i="19"/>
  <c r="AR169" i="19"/>
  <c r="D545" i="19"/>
  <c r="C546" i="19" s="1"/>
  <c r="C517" i="19"/>
  <c r="AR179" i="19"/>
  <c r="AU171" i="19"/>
  <c r="AU175" i="19" s="1"/>
  <c r="F197" i="19"/>
  <c r="F202" i="19" s="1"/>
  <c r="AR176" i="19"/>
  <c r="AU174" i="19"/>
  <c r="AR171" i="19"/>
  <c r="AR178" i="19"/>
  <c r="AR174" i="19"/>
  <c r="BC179" i="19"/>
  <c r="AU172" i="19"/>
  <c r="AU177" i="19" s="1"/>
  <c r="P171" i="19"/>
  <c r="P174" i="19" s="1"/>
  <c r="AR177" i="19"/>
  <c r="I266" i="28"/>
  <c r="C555" i="19" l="1"/>
  <c r="F257" i="19"/>
  <c r="E241" i="19"/>
  <c r="E264" i="19" s="1"/>
  <c r="AR180" i="19"/>
  <c r="P175" i="19"/>
  <c r="E582" i="19"/>
  <c r="H241" i="19"/>
  <c r="H264" i="19" s="1"/>
  <c r="H260" i="19"/>
  <c r="H268" i="19" s="1"/>
  <c r="D423" i="19"/>
  <c r="D441" i="19" s="1"/>
  <c r="G328" i="19"/>
  <c r="D459" i="19"/>
  <c r="D475" i="19" s="1"/>
  <c r="AR181" i="19"/>
  <c r="G241" i="19"/>
  <c r="G264" i="19" s="1"/>
  <c r="BB182" i="19"/>
  <c r="AL198" i="19"/>
  <c r="AI195" i="19"/>
  <c r="AZ179" i="19"/>
  <c r="D422" i="19"/>
  <c r="D440" i="19" s="1"/>
  <c r="D458" i="19"/>
  <c r="D474" i="19" s="1"/>
  <c r="C581" i="19"/>
  <c r="E581" i="19" s="1"/>
  <c r="G327" i="19"/>
  <c r="AH198" i="19"/>
  <c r="AY182" i="19"/>
  <c r="F260" i="19"/>
  <c r="F268" i="19" s="1"/>
  <c r="I203" i="28"/>
  <c r="C339" i="19" l="1"/>
  <c r="C340" i="19" s="1"/>
  <c r="C341" i="19" s="1"/>
  <c r="G260" i="19"/>
  <c r="G268" i="19" s="1"/>
  <c r="G272" i="19" s="1"/>
  <c r="E586" i="19"/>
  <c r="AJ195" i="19"/>
  <c r="BA179" i="19"/>
  <c r="BC183" i="19"/>
  <c r="AN198" i="19" s="1"/>
  <c r="F272" i="19"/>
  <c r="AL195" i="19"/>
  <c r="BB179" i="19"/>
  <c r="P176" i="19"/>
  <c r="P177" i="19" s="1"/>
  <c r="P178" i="19"/>
  <c r="H272" i="19"/>
  <c r="E260" i="19"/>
  <c r="E268" i="19" s="1"/>
  <c r="D11" i="23"/>
  <c r="E272" i="19" l="1"/>
  <c r="D10" i="24"/>
  <c r="G60" i="34" l="1"/>
  <c r="G58" i="34"/>
  <c r="G56" i="34"/>
  <c r="H74" i="34" l="1"/>
  <c r="G74" i="34"/>
  <c r="H73" i="34"/>
  <c r="G73" i="34"/>
  <c r="F70" i="34"/>
  <c r="AC177" i="34" s="1"/>
  <c r="F96" i="34"/>
  <c r="AL189" i="34" s="1"/>
  <c r="AU179" i="34" s="1"/>
  <c r="H94" i="34"/>
  <c r="AM177" i="34" s="1"/>
  <c r="G94" i="34"/>
  <c r="AM176" i="34" s="1"/>
  <c r="F91" i="34"/>
  <c r="AG189" i="34" s="1"/>
  <c r="AR185" i="34" s="1"/>
  <c r="H89" i="34"/>
  <c r="AH182" i="34" s="1"/>
  <c r="G89" i="34"/>
  <c r="AH181" i="34" s="1"/>
  <c r="G87" i="34"/>
  <c r="Z182" i="34" s="1"/>
  <c r="AU178" i="34" s="1"/>
  <c r="G84" i="34"/>
  <c r="AH179" i="34" s="1"/>
  <c r="G83" i="34"/>
  <c r="AH178" i="34" s="1"/>
  <c r="H81" i="34"/>
  <c r="AH177" i="34" s="1"/>
  <c r="G81" i="34"/>
  <c r="AH176" i="34" s="1"/>
  <c r="H67" i="34"/>
  <c r="B519" i="34" s="1"/>
  <c r="C67" i="34"/>
  <c r="B513" i="34" s="1"/>
  <c r="H65" i="34"/>
  <c r="D65" i="34"/>
  <c r="H517" i="34" s="1"/>
  <c r="C63" i="34"/>
  <c r="S184" i="34" s="1"/>
  <c r="H515" i="34" s="1"/>
  <c r="C60" i="34"/>
  <c r="C578" i="34" s="1"/>
  <c r="E578" i="34" s="1"/>
  <c r="J112" i="34" s="1"/>
  <c r="C58" i="34"/>
  <c r="C576" i="34" s="1"/>
  <c r="E576" i="34" s="1"/>
  <c r="C56" i="34"/>
  <c r="C574" i="34" s="1"/>
  <c r="E574" i="34" s="1"/>
  <c r="G53" i="34"/>
  <c r="B568" i="34" s="1"/>
  <c r="C54" i="34"/>
  <c r="C525" i="34" s="1"/>
  <c r="C546" i="34" s="1"/>
  <c r="C53" i="34"/>
  <c r="C529" i="34" s="1"/>
  <c r="H50" i="34"/>
  <c r="H49" i="34"/>
  <c r="G50" i="34"/>
  <c r="G49" i="34"/>
  <c r="F50" i="34"/>
  <c r="F49" i="34"/>
  <c r="E50" i="34"/>
  <c r="E49" i="34"/>
  <c r="C50" i="34"/>
  <c r="C49" i="34"/>
  <c r="G46" i="34"/>
  <c r="G45" i="34"/>
  <c r="C46" i="34"/>
  <c r="C45" i="34"/>
  <c r="E42" i="34"/>
  <c r="S177" i="34" s="1"/>
  <c r="T177" i="34" s="1"/>
  <c r="D39" i="34"/>
  <c r="F200" i="34" s="1"/>
  <c r="D38" i="34"/>
  <c r="H200" i="34" s="1"/>
  <c r="H35" i="34"/>
  <c r="H34" i="34"/>
  <c r="H33" i="34"/>
  <c r="H32" i="34"/>
  <c r="H31" i="34"/>
  <c r="H30" i="34"/>
  <c r="F35" i="34"/>
  <c r="F34" i="34"/>
  <c r="F33" i="34"/>
  <c r="F32" i="34"/>
  <c r="F31" i="34"/>
  <c r="F30" i="34"/>
  <c r="D35" i="34"/>
  <c r="D34" i="34"/>
  <c r="D33" i="34"/>
  <c r="D32" i="34"/>
  <c r="D31" i="34"/>
  <c r="D30" i="34"/>
  <c r="D28" i="34"/>
  <c r="D26" i="34"/>
  <c r="P179" i="34" s="1"/>
  <c r="H26" i="34"/>
  <c r="P180" i="34" s="1"/>
  <c r="H24" i="34"/>
  <c r="D24" i="34"/>
  <c r="S188" i="34" s="1"/>
  <c r="I24" i="34" s="1"/>
  <c r="H21" i="34"/>
  <c r="F21" i="34"/>
  <c r="E21" i="34"/>
  <c r="H19" i="34"/>
  <c r="G19" i="34"/>
  <c r="F19" i="34"/>
  <c r="E19" i="34"/>
  <c r="D19" i="34"/>
  <c r="E17" i="34"/>
  <c r="H17" i="34"/>
  <c r="G17" i="34"/>
  <c r="F17" i="34"/>
  <c r="D17" i="34"/>
  <c r="D14" i="34"/>
  <c r="C185" i="34" s="1"/>
  <c r="AJ201" i="34" s="1"/>
  <c r="H14" i="34"/>
  <c r="E185" i="34" s="1"/>
  <c r="H12" i="34"/>
  <c r="D12" i="34"/>
  <c r="H10" i="34"/>
  <c r="D10" i="34"/>
  <c r="C579" i="34"/>
  <c r="E579" i="34" s="1"/>
  <c r="C577" i="34"/>
  <c r="E577" i="34" s="1"/>
  <c r="C575" i="34"/>
  <c r="E575" i="34" s="1"/>
  <c r="E567" i="34"/>
  <c r="E566" i="34"/>
  <c r="E565" i="34"/>
  <c r="E564" i="34"/>
  <c r="E563" i="34"/>
  <c r="E562" i="34"/>
  <c r="E561" i="34"/>
  <c r="E560" i="34"/>
  <c r="I512" i="34"/>
  <c r="H512" i="34"/>
  <c r="I511" i="34"/>
  <c r="H511" i="34"/>
  <c r="I510" i="34"/>
  <c r="H510" i="34"/>
  <c r="I509" i="34"/>
  <c r="H509" i="34"/>
  <c r="I508" i="34"/>
  <c r="H508" i="34"/>
  <c r="G507" i="34"/>
  <c r="F507" i="34"/>
  <c r="E507" i="34"/>
  <c r="D507" i="34"/>
  <c r="C507" i="34"/>
  <c r="I506" i="34"/>
  <c r="H506" i="34"/>
  <c r="I505" i="34"/>
  <c r="H505" i="34"/>
  <c r="I504" i="34"/>
  <c r="H504" i="34"/>
  <c r="I503" i="34"/>
  <c r="H503" i="34"/>
  <c r="I502" i="34"/>
  <c r="H502" i="34"/>
  <c r="G501" i="34"/>
  <c r="F501" i="34"/>
  <c r="E501" i="34"/>
  <c r="D501" i="34"/>
  <c r="C501" i="34"/>
  <c r="I500" i="34"/>
  <c r="H500" i="34"/>
  <c r="I499" i="34"/>
  <c r="H499" i="34"/>
  <c r="D488" i="34"/>
  <c r="E488" i="34" s="1"/>
  <c r="F488" i="34" s="1"/>
  <c r="G488" i="34" s="1"/>
  <c r="H488" i="34" s="1"/>
  <c r="I488" i="34" s="1"/>
  <c r="J488" i="34" s="1"/>
  <c r="K488" i="34" s="1"/>
  <c r="L488" i="34" s="1"/>
  <c r="M488" i="34" s="1"/>
  <c r="N488" i="34" s="1"/>
  <c r="O488" i="34" s="1"/>
  <c r="P488" i="34" s="1"/>
  <c r="Q488" i="34" s="1"/>
  <c r="R488" i="34" s="1"/>
  <c r="S488" i="34" s="1"/>
  <c r="T488" i="34" s="1"/>
  <c r="U488" i="34" s="1"/>
  <c r="V488" i="34" s="1"/>
  <c r="W488" i="34" s="1"/>
  <c r="X488" i="34" s="1"/>
  <c r="Y488" i="34" s="1"/>
  <c r="Z488" i="34" s="1"/>
  <c r="AA488" i="34" s="1"/>
  <c r="AB488" i="34" s="1"/>
  <c r="AC488" i="34" s="1"/>
  <c r="AD488" i="34" s="1"/>
  <c r="AE488" i="34" s="1"/>
  <c r="AF488" i="34" s="1"/>
  <c r="AG488" i="34" s="1"/>
  <c r="H349" i="34"/>
  <c r="G349" i="34"/>
  <c r="F349" i="34"/>
  <c r="E349" i="34"/>
  <c r="D349" i="34"/>
  <c r="I249" i="34"/>
  <c r="H249" i="34"/>
  <c r="G249" i="34"/>
  <c r="F249" i="34"/>
  <c r="E249" i="34"/>
  <c r="D249" i="34"/>
  <c r="I224" i="34"/>
  <c r="H224" i="34"/>
  <c r="G224" i="34"/>
  <c r="F224" i="34"/>
  <c r="E224" i="34"/>
  <c r="D224" i="34"/>
  <c r="I193" i="34"/>
  <c r="H193" i="34"/>
  <c r="G193" i="34"/>
  <c r="F193" i="34"/>
  <c r="E193" i="34"/>
  <c r="D193" i="34"/>
  <c r="H100" i="34"/>
  <c r="G100" i="34"/>
  <c r="F100" i="34"/>
  <c r="E100" i="34"/>
  <c r="D100" i="34"/>
  <c r="F513" i="34" l="1"/>
  <c r="H501" i="34"/>
  <c r="I501" i="34"/>
  <c r="C568" i="34"/>
  <c r="D568" i="34"/>
  <c r="BC184" i="34"/>
  <c r="AX184" i="34"/>
  <c r="AN204" i="34"/>
  <c r="AU183" i="34"/>
  <c r="AH205" i="34" s="1"/>
  <c r="AH206" i="34" s="1"/>
  <c r="D74" i="34" s="1"/>
  <c r="AU180" i="34"/>
  <c r="C270" i="34"/>
  <c r="BB184" i="34"/>
  <c r="AG201" i="34"/>
  <c r="AI201" i="34"/>
  <c r="AY184" i="34"/>
  <c r="AY189" i="34" s="1"/>
  <c r="BA184" i="34"/>
  <c r="AG205" i="34"/>
  <c r="AG206" i="34" s="1"/>
  <c r="C74" i="34" s="1"/>
  <c r="AR188" i="34"/>
  <c r="AH202" i="34" s="1"/>
  <c r="AR176" i="34"/>
  <c r="AK202" i="34" s="1"/>
  <c r="AR177" i="34"/>
  <c r="AH180" i="34"/>
  <c r="AR179" i="34" s="1"/>
  <c r="AU181" i="34"/>
  <c r="AH201" i="34"/>
  <c r="AU177" i="34"/>
  <c r="AM178" i="34"/>
  <c r="G513" i="34"/>
  <c r="AZ184" i="34"/>
  <c r="H513" i="34"/>
  <c r="E516" i="34" s="1"/>
  <c r="H507" i="34"/>
  <c r="AK201" i="34"/>
  <c r="I507" i="34"/>
  <c r="E568" i="34"/>
  <c r="C530" i="34" s="1"/>
  <c r="C554" i="34" s="1"/>
  <c r="J110" i="34" s="1"/>
  <c r="C513" i="34"/>
  <c r="I513" i="34"/>
  <c r="F516" i="34" s="1"/>
  <c r="C516" i="34" s="1"/>
  <c r="G519" i="34" s="1"/>
  <c r="J115" i="34" s="1"/>
  <c r="D513" i="34"/>
  <c r="AR182" i="34"/>
  <c r="AR183" i="34"/>
  <c r="AR181" i="34"/>
  <c r="AR184" i="34"/>
  <c r="E200" i="34"/>
  <c r="E196" i="34" s="1"/>
  <c r="E206" i="34" s="1"/>
  <c r="G200" i="34"/>
  <c r="G196" i="34" s="1"/>
  <c r="G252" i="34" s="1"/>
  <c r="AR178" i="34"/>
  <c r="E513" i="34"/>
  <c r="E580" i="34"/>
  <c r="J113" i="34" s="1"/>
  <c r="F196" i="34"/>
  <c r="F203" i="34" s="1"/>
  <c r="H196" i="34"/>
  <c r="H252" i="34" s="1"/>
  <c r="H257" i="34" s="1"/>
  <c r="H280" i="34" s="1"/>
  <c r="D36" i="34"/>
  <c r="P188" i="34" s="1"/>
  <c r="H36" i="34" s="1"/>
  <c r="G270" i="34"/>
  <c r="G271" i="34" s="1"/>
  <c r="AF201" i="34"/>
  <c r="AN201" i="34"/>
  <c r="C585" i="34"/>
  <c r="C583" i="34"/>
  <c r="E583" i="34" s="1"/>
  <c r="D321" i="34"/>
  <c r="C586" i="34"/>
  <c r="E586" i="34" s="1"/>
  <c r="C584" i="34"/>
  <c r="E584" i="34" s="1"/>
  <c r="D322" i="34"/>
  <c r="AR186" i="34"/>
  <c r="H45" i="34"/>
  <c r="AU176" i="34"/>
  <c r="H546" i="34"/>
  <c r="D546" i="34"/>
  <c r="C548" i="34"/>
  <c r="F546" i="34"/>
  <c r="C539" i="34"/>
  <c r="G546" i="34"/>
  <c r="P178" i="34"/>
  <c r="P177" i="34"/>
  <c r="C518" i="34"/>
  <c r="C517" i="34"/>
  <c r="E546" i="34"/>
  <c r="F270" i="34"/>
  <c r="F271" i="34" s="1"/>
  <c r="H270" i="34"/>
  <c r="H271" i="34" s="1"/>
  <c r="D270" i="34"/>
  <c r="D271" i="34" s="1"/>
  <c r="E270" i="34"/>
  <c r="E271" i="34" s="1"/>
  <c r="AU182" i="34" l="1"/>
  <c r="BA189" i="34" s="1"/>
  <c r="BB189" i="34"/>
  <c r="G230" i="34"/>
  <c r="AR180" i="34"/>
  <c r="AR187" i="34" s="1"/>
  <c r="AJ205" i="34"/>
  <c r="AJ206" i="34" s="1"/>
  <c r="E74" i="34" s="1"/>
  <c r="AH203" i="34"/>
  <c r="D73" i="34" s="1"/>
  <c r="AK205" i="34"/>
  <c r="AK206" i="34" s="1"/>
  <c r="I74" i="34" s="1"/>
  <c r="H395" i="34" s="1"/>
  <c r="BC189" i="34"/>
  <c r="AK203" i="34"/>
  <c r="I73" i="34" s="1"/>
  <c r="AZ189" i="34"/>
  <c r="AZ186" i="34"/>
  <c r="AR189" i="34"/>
  <c r="AG202" i="34" s="1"/>
  <c r="AG203" i="34" s="1"/>
  <c r="C73" i="34" s="1"/>
  <c r="G203" i="34"/>
  <c r="H203" i="34"/>
  <c r="AR190" i="34"/>
  <c r="G206" i="34"/>
  <c r="G209" i="34" s="1"/>
  <c r="H230" i="34"/>
  <c r="P187" i="34"/>
  <c r="F36" i="34" s="1"/>
  <c r="BC186" i="34"/>
  <c r="F252" i="34"/>
  <c r="F257" i="34" s="1"/>
  <c r="F280" i="34" s="1"/>
  <c r="F230" i="34"/>
  <c r="F206" i="34"/>
  <c r="F273" i="34" s="1"/>
  <c r="E203" i="34"/>
  <c r="E230" i="34"/>
  <c r="H206" i="34"/>
  <c r="H209" i="34" s="1"/>
  <c r="E252" i="34"/>
  <c r="E257" i="34" s="1"/>
  <c r="E280" i="34" s="1"/>
  <c r="P181" i="34"/>
  <c r="P182" i="34"/>
  <c r="P183" i="34" s="1"/>
  <c r="E209" i="34"/>
  <c r="E273" i="34"/>
  <c r="H46" i="34"/>
  <c r="I50" i="34"/>
  <c r="I49" i="34"/>
  <c r="E585" i="34"/>
  <c r="G257" i="34"/>
  <c r="G280" i="34" s="1"/>
  <c r="D456" i="34"/>
  <c r="D472" i="34" s="1"/>
  <c r="G328" i="34"/>
  <c r="D420" i="34"/>
  <c r="D438" i="34" s="1"/>
  <c r="C547" i="34"/>
  <c r="D419" i="34"/>
  <c r="D437" i="34" s="1"/>
  <c r="C582" i="34"/>
  <c r="E582" i="34" s="1"/>
  <c r="G327" i="34"/>
  <c r="D455" i="34"/>
  <c r="D471" i="34" s="1"/>
  <c r="G213" i="34" l="1"/>
  <c r="G218" i="34" s="1"/>
  <c r="G102" i="34" s="1"/>
  <c r="AI205" i="34"/>
  <c r="AI206" i="34" s="1"/>
  <c r="F74" i="34" s="1"/>
  <c r="G273" i="34"/>
  <c r="G276" i="34" s="1"/>
  <c r="G284" i="34" s="1"/>
  <c r="G399" i="34" s="1"/>
  <c r="BC190" i="34"/>
  <c r="AN205" i="34" s="1"/>
  <c r="AN206" i="34" s="1"/>
  <c r="F238" i="34" s="1"/>
  <c r="F243" i="34" s="1"/>
  <c r="F103" i="34" s="1"/>
  <c r="AI202" i="34"/>
  <c r="AI203" i="34" s="1"/>
  <c r="F73" i="34" s="1"/>
  <c r="BA186" i="34"/>
  <c r="AJ202" i="34"/>
  <c r="AJ203" i="34" s="1"/>
  <c r="E73" i="34" s="1"/>
  <c r="BB186" i="34"/>
  <c r="AY186" i="34"/>
  <c r="H213" i="34"/>
  <c r="H218" i="34" s="1"/>
  <c r="H102" i="34" s="1"/>
  <c r="E213" i="34"/>
  <c r="E218" i="34" s="1"/>
  <c r="E102" i="34" s="1"/>
  <c r="F209" i="34"/>
  <c r="F213" i="34" s="1"/>
  <c r="F218" i="34" s="1"/>
  <c r="F102" i="34" s="1"/>
  <c r="H273" i="34"/>
  <c r="H276" i="34" s="1"/>
  <c r="H284" i="34" s="1"/>
  <c r="H399" i="34" s="1"/>
  <c r="H405" i="34" s="1"/>
  <c r="H104" i="34" s="1"/>
  <c r="C339" i="34"/>
  <c r="C340" i="34" s="1"/>
  <c r="C341" i="34" s="1"/>
  <c r="I108" i="34" s="1"/>
  <c r="J108" i="34" s="1"/>
  <c r="E587" i="34"/>
  <c r="J114" i="34" s="1"/>
  <c r="F276" i="34"/>
  <c r="F284" i="34" s="1"/>
  <c r="F399" i="34" s="1"/>
  <c r="E276" i="34"/>
  <c r="E284" i="34" s="1"/>
  <c r="E399" i="34" s="1"/>
  <c r="I109" i="34"/>
  <c r="J109" i="34" s="1"/>
  <c r="G395" i="34"/>
  <c r="E395" i="34"/>
  <c r="F395" i="34"/>
  <c r="C556" i="34"/>
  <c r="J111" i="34"/>
  <c r="P185" i="34"/>
  <c r="H28" i="34" s="1"/>
  <c r="P184" i="34"/>
  <c r="E238" i="34" l="1"/>
  <c r="E243" i="34" s="1"/>
  <c r="E103" i="34" s="1"/>
  <c r="H238" i="34"/>
  <c r="H243" i="34" s="1"/>
  <c r="H103" i="34" s="1"/>
  <c r="BC187" i="34"/>
  <c r="AN202" i="34" s="1"/>
  <c r="AN203" i="34" s="1"/>
  <c r="I91" i="34" s="1"/>
  <c r="I96" i="34"/>
  <c r="G238" i="34"/>
  <c r="G243" i="34" s="1"/>
  <c r="G103" i="34" s="1"/>
  <c r="H288" i="34"/>
  <c r="T428" i="34" s="1"/>
  <c r="T438" i="34" s="1"/>
  <c r="G288" i="34"/>
  <c r="S426" i="34" s="1"/>
  <c r="S436" i="34" s="1"/>
  <c r="G405" i="34"/>
  <c r="G104" i="34" s="1"/>
  <c r="F405" i="34"/>
  <c r="F104" i="34" s="1"/>
  <c r="F288" i="34"/>
  <c r="N424" i="34" s="1"/>
  <c r="N434" i="34" s="1"/>
  <c r="I116" i="34"/>
  <c r="E288" i="34"/>
  <c r="D200" i="34"/>
  <c r="D196" i="34" s="1"/>
  <c r="P189" i="34"/>
  <c r="B33" i="34" s="1"/>
  <c r="E405" i="34"/>
  <c r="E104" i="34" s="1"/>
  <c r="R428" i="34" l="1"/>
  <c r="R438" i="34" s="1"/>
  <c r="O428" i="34"/>
  <c r="O438" i="34" s="1"/>
  <c r="G295" i="34"/>
  <c r="Q428" i="34"/>
  <c r="Q438" i="34" s="1"/>
  <c r="H303" i="34"/>
  <c r="O424" i="34"/>
  <c r="O434" i="34" s="1"/>
  <c r="H305" i="34"/>
  <c r="R426" i="34"/>
  <c r="R436" i="34" s="1"/>
  <c r="G301" i="34"/>
  <c r="T426" i="34"/>
  <c r="T436" i="34" s="1"/>
  <c r="G350" i="34"/>
  <c r="H299" i="34"/>
  <c r="G303" i="34"/>
  <c r="F301" i="34"/>
  <c r="F305" i="34"/>
  <c r="S428" i="34"/>
  <c r="S438" i="34" s="1"/>
  <c r="H350" i="34"/>
  <c r="H297" i="34"/>
  <c r="N428" i="34"/>
  <c r="N438" i="34" s="1"/>
  <c r="H295" i="34"/>
  <c r="H301" i="34"/>
  <c r="P428" i="34"/>
  <c r="P438" i="34" s="1"/>
  <c r="G297" i="34"/>
  <c r="G305" i="34"/>
  <c r="G299" i="34"/>
  <c r="O426" i="34"/>
  <c r="O436" i="34" s="1"/>
  <c r="F350" i="34"/>
  <c r="N426" i="34"/>
  <c r="N436" i="34" s="1"/>
  <c r="P426" i="34"/>
  <c r="P436" i="34" s="1"/>
  <c r="Q426" i="34"/>
  <c r="Q436" i="34" s="1"/>
  <c r="F299" i="34"/>
  <c r="F297" i="34"/>
  <c r="F295" i="34"/>
  <c r="F303" i="34"/>
  <c r="P424" i="34"/>
  <c r="P434" i="34" s="1"/>
  <c r="S424" i="34"/>
  <c r="S434" i="34" s="1"/>
  <c r="Q424" i="34"/>
  <c r="Q434" i="34" s="1"/>
  <c r="T424" i="34"/>
  <c r="T434" i="34" s="1"/>
  <c r="R424" i="34"/>
  <c r="R434" i="34" s="1"/>
  <c r="D230" i="34"/>
  <c r="D252" i="34"/>
  <c r="D206" i="34"/>
  <c r="D203" i="34"/>
  <c r="Q422" i="34"/>
  <c r="Q432" i="34" s="1"/>
  <c r="E299" i="34"/>
  <c r="S422" i="34"/>
  <c r="S432" i="34" s="1"/>
  <c r="O422" i="34"/>
  <c r="O432" i="34" s="1"/>
  <c r="E303" i="34"/>
  <c r="E295" i="34"/>
  <c r="P422" i="34"/>
  <c r="P432" i="34" s="1"/>
  <c r="E297" i="34"/>
  <c r="N422" i="34"/>
  <c r="N432" i="34" s="1"/>
  <c r="E350" i="34"/>
  <c r="R422" i="34"/>
  <c r="R432" i="34" s="1"/>
  <c r="E301" i="34"/>
  <c r="T422" i="34"/>
  <c r="T432" i="34" s="1"/>
  <c r="E305" i="34"/>
  <c r="G427" i="34" l="1"/>
  <c r="G442" i="34" s="1"/>
  <c r="H354" i="34"/>
  <c r="G307" i="34"/>
  <c r="G105" i="34" s="1"/>
  <c r="H427" i="34"/>
  <c r="H442" i="34" s="1"/>
  <c r="G354" i="34"/>
  <c r="G309" i="34"/>
  <c r="G352" i="34" s="1"/>
  <c r="F354" i="34"/>
  <c r="H309" i="34"/>
  <c r="H352" i="34" s="1"/>
  <c r="H307" i="34"/>
  <c r="H105" i="34" s="1"/>
  <c r="F309" i="34"/>
  <c r="F352" i="34" s="1"/>
  <c r="F427" i="34"/>
  <c r="F442" i="34" s="1"/>
  <c r="F307" i="34"/>
  <c r="F105" i="34" s="1"/>
  <c r="D209" i="34"/>
  <c r="D213" i="34" s="1"/>
  <c r="D218" i="34" s="1"/>
  <c r="D273" i="34"/>
  <c r="E307" i="34"/>
  <c r="E105" i="34" s="1"/>
  <c r="E309" i="34"/>
  <c r="E352" i="34" s="1"/>
  <c r="D257" i="34"/>
  <c r="D280" i="34" s="1"/>
  <c r="E354" i="34"/>
  <c r="E427" i="34"/>
  <c r="E442" i="34" s="1"/>
  <c r="D238" i="34"/>
  <c r="D243" i="34" s="1"/>
  <c r="I70" i="34"/>
  <c r="H356" i="34" l="1"/>
  <c r="H465" i="34" s="1"/>
  <c r="H476" i="34" s="1"/>
  <c r="H107" i="34" s="1"/>
  <c r="G356" i="34"/>
  <c r="G360" i="34" s="1"/>
  <c r="G408" i="34" s="1"/>
  <c r="F356" i="34"/>
  <c r="F360" i="34" s="1"/>
  <c r="F408" i="34" s="1"/>
  <c r="D276" i="34"/>
  <c r="D284" i="34" s="1"/>
  <c r="D399" i="34" s="1"/>
  <c r="E356" i="34"/>
  <c r="E360" i="34" s="1"/>
  <c r="C245" i="34"/>
  <c r="C246" i="34" s="1"/>
  <c r="C247" i="34" s="1"/>
  <c r="D103" i="34"/>
  <c r="J103" i="34" s="1"/>
  <c r="C220" i="34"/>
  <c r="C221" i="34" s="1"/>
  <c r="C222" i="34" s="1"/>
  <c r="D102" i="34"/>
  <c r="D395" i="34"/>
  <c r="G465" i="34" l="1"/>
  <c r="G476" i="34" s="1"/>
  <c r="G107" i="34" s="1"/>
  <c r="D405" i="34"/>
  <c r="D104" i="34" s="1"/>
  <c r="J104" i="34" s="1"/>
  <c r="D288" i="34"/>
  <c r="P420" i="34" s="1"/>
  <c r="P430" i="34" s="1"/>
  <c r="H360" i="34"/>
  <c r="H106" i="34" s="1"/>
  <c r="H116" i="34" s="1"/>
  <c r="G106" i="34"/>
  <c r="F106" i="34"/>
  <c r="F465" i="34"/>
  <c r="F476" i="34" s="1"/>
  <c r="F107" i="34" s="1"/>
  <c r="E465" i="34"/>
  <c r="E476" i="34" s="1"/>
  <c r="E107" i="34" s="1"/>
  <c r="J102" i="34"/>
  <c r="E408" i="34"/>
  <c r="E106" i="34"/>
  <c r="D303" i="34" l="1"/>
  <c r="N420" i="34"/>
  <c r="N430" i="34" s="1"/>
  <c r="S420" i="34"/>
  <c r="S430" i="34" s="1"/>
  <c r="T420" i="34"/>
  <c r="T430" i="34" s="1"/>
  <c r="D305" i="34"/>
  <c r="D301" i="34"/>
  <c r="O420" i="34"/>
  <c r="O430" i="34" s="1"/>
  <c r="D299" i="34"/>
  <c r="D297" i="34"/>
  <c r="D295" i="34"/>
  <c r="R420" i="34"/>
  <c r="R430" i="34" s="1"/>
  <c r="G116" i="34"/>
  <c r="D350" i="34"/>
  <c r="H408" i="34"/>
  <c r="Q420" i="34"/>
  <c r="Q430" i="34" s="1"/>
  <c r="F116" i="34"/>
  <c r="E116" i="34"/>
  <c r="D354" i="34" l="1"/>
  <c r="D427" i="34"/>
  <c r="D442" i="34" s="1"/>
  <c r="D444" i="34" s="1"/>
  <c r="C446" i="34" s="1"/>
  <c r="C447" i="34" s="1"/>
  <c r="D309" i="34"/>
  <c r="D352" i="34" s="1"/>
  <c r="D307" i="34"/>
  <c r="D105" i="34" s="1"/>
  <c r="D356" i="34" l="1"/>
  <c r="D360" i="34" s="1"/>
  <c r="D106" i="34" s="1"/>
  <c r="J106" i="34" s="1"/>
  <c r="C311" i="34"/>
  <c r="C312" i="34" s="1"/>
  <c r="C313" i="34" s="1"/>
  <c r="J105" i="34"/>
  <c r="D408" i="34" l="1"/>
  <c r="C410" i="34" s="1"/>
  <c r="C411" i="34" s="1"/>
  <c r="C412" i="34" s="1"/>
  <c r="D465" i="34"/>
  <c r="D476" i="34" s="1"/>
  <c r="D478" i="34" s="1"/>
  <c r="C479" i="34" s="1"/>
  <c r="C480" i="34" s="1"/>
  <c r="C483" i="34" s="1"/>
  <c r="C484" i="34" s="1"/>
  <c r="D107" i="34" l="1"/>
  <c r="J107" i="34" s="1"/>
  <c r="J116" i="34" l="1"/>
  <c r="K110" i="34" s="1"/>
  <c r="I117" i="34"/>
  <c r="E117" i="34"/>
  <c r="F117" i="34"/>
  <c r="H117" i="34"/>
  <c r="G117" i="34"/>
  <c r="D116" i="34"/>
  <c r="D117" i="34" s="1"/>
  <c r="K105" i="34" l="1"/>
  <c r="K109" i="34"/>
  <c r="M7" i="24" s="1"/>
  <c r="K114" i="34"/>
  <c r="K112" i="34"/>
  <c r="K113" i="34"/>
  <c r="K103" i="34"/>
  <c r="M3" i="24" s="1"/>
  <c r="K104" i="34"/>
  <c r="K111" i="34"/>
  <c r="M8" i="24" s="1"/>
  <c r="K108" i="34"/>
  <c r="M5" i="24" s="1"/>
  <c r="K107" i="34"/>
  <c r="M6" i="24" s="1"/>
  <c r="K106" i="34"/>
  <c r="K102" i="34"/>
  <c r="V176" i="34" s="1"/>
  <c r="P191" i="34"/>
  <c r="P192" i="34" s="1"/>
  <c r="J118" i="34" s="1"/>
  <c r="V181" i="34" l="1"/>
  <c r="M9" i="24"/>
  <c r="V183" i="34"/>
  <c r="V179" i="34"/>
  <c r="V180" i="34"/>
  <c r="P193" i="34"/>
  <c r="J119" i="34" s="1"/>
  <c r="V178" i="34"/>
  <c r="V177" i="34"/>
  <c r="V182" i="34"/>
  <c r="M4" i="24"/>
  <c r="M2" i="24"/>
  <c r="C435" i="12"/>
  <c r="C441" i="12" s="1"/>
  <c r="M10" i="24" l="1"/>
  <c r="AI195" i="28" l="1"/>
  <c r="F71" i="23" l="1"/>
  <c r="G87" i="23"/>
  <c r="F91" i="23"/>
  <c r="F96" i="23"/>
  <c r="G83" i="23" l="1"/>
  <c r="AH226" i="23" s="1"/>
  <c r="G84" i="23"/>
  <c r="AH227" i="23" s="1"/>
  <c r="G81" i="23"/>
  <c r="G85" i="23" l="1"/>
  <c r="AH228" i="23" s="1"/>
  <c r="J270" i="28" l="1"/>
  <c r="I270" i="28"/>
  <c r="J266" i="28"/>
  <c r="I274" i="28" l="1"/>
  <c r="J274" i="28" l="1"/>
  <c r="AP198" i="28"/>
  <c r="AH172" i="28"/>
  <c r="AH171" i="28"/>
  <c r="G84" i="28"/>
  <c r="AH173" i="28" s="1"/>
  <c r="J203" i="28"/>
  <c r="AH170" i="28" l="1"/>
  <c r="G84" i="19"/>
  <c r="AH172" i="19" s="1"/>
  <c r="AR172" i="19" s="1"/>
  <c r="AR182" i="19" s="1"/>
  <c r="AH195" i="19" l="1"/>
  <c r="AY179" i="19"/>
  <c r="BC180" i="19" s="1"/>
  <c r="AN195" i="19" s="1"/>
  <c r="G85" i="34"/>
  <c r="H28" i="19" l="1"/>
  <c r="D18" i="23"/>
  <c r="H25" i="23"/>
  <c r="H520" i="28" l="1"/>
  <c r="S178" i="28"/>
  <c r="C37" i="22" l="1"/>
  <c r="D31" i="23" l="1"/>
  <c r="H36" i="23"/>
  <c r="H35" i="23"/>
  <c r="H34" i="23"/>
  <c r="H33" i="23"/>
  <c r="H32" i="23"/>
  <c r="H31" i="23"/>
  <c r="F36" i="23"/>
  <c r="F35" i="23"/>
  <c r="F34" i="23"/>
  <c r="F33" i="23"/>
  <c r="F32" i="23"/>
  <c r="F31" i="23"/>
  <c r="D36" i="23"/>
  <c r="D35" i="23"/>
  <c r="D34" i="23"/>
  <c r="D33" i="23"/>
  <c r="D32" i="23"/>
  <c r="H49" i="32"/>
  <c r="H27" i="23" l="1"/>
  <c r="P229" i="23" s="1"/>
  <c r="D27" i="23"/>
  <c r="P228" i="23" s="1"/>
  <c r="P174" i="28"/>
  <c r="P173" i="28"/>
  <c r="C54" i="23" l="1"/>
  <c r="F18" i="23" l="1"/>
  <c r="I325" i="23" s="1"/>
  <c r="H66" i="23"/>
  <c r="C68" i="23"/>
  <c r="B573" i="23" s="1"/>
  <c r="H68" i="23"/>
  <c r="I321" i="23" l="1"/>
  <c r="I259" i="23"/>
  <c r="D20" i="23"/>
  <c r="I329" i="23" l="1"/>
  <c r="E18" i="23"/>
  <c r="G18" i="23"/>
  <c r="H20" i="23"/>
  <c r="G20" i="23"/>
  <c r="F20" i="23"/>
  <c r="E20" i="23"/>
  <c r="J325" i="23" l="1"/>
  <c r="J321" i="23"/>
  <c r="J259" i="23"/>
  <c r="D49" i="32"/>
  <c r="G49" i="32"/>
  <c r="F49" i="32"/>
  <c r="E49" i="32"/>
  <c r="J329" i="23" l="1"/>
  <c r="O73" i="31"/>
  <c r="P73" i="31" s="1"/>
  <c r="O64" i="31"/>
  <c r="Q64" i="31" s="1"/>
  <c r="O55" i="31"/>
  <c r="P55" i="31" s="1"/>
  <c r="O46" i="31"/>
  <c r="P46" i="31" s="1"/>
  <c r="O36" i="31"/>
  <c r="P36" i="31" s="1"/>
  <c r="D15" i="23"/>
  <c r="AD226" i="23"/>
  <c r="E43" i="23"/>
  <c r="P64" i="31" l="1"/>
  <c r="Q36" i="31"/>
  <c r="Q55" i="31"/>
  <c r="Q73" i="31"/>
  <c r="Q46" i="31"/>
  <c r="P10" i="32"/>
  <c r="O10" i="32"/>
  <c r="N10" i="32"/>
  <c r="M10" i="32"/>
  <c r="Q10" i="32"/>
  <c r="H81" i="23"/>
  <c r="AH225" i="23" s="1"/>
  <c r="D25" i="23" l="1"/>
  <c r="C22" i="20" l="1"/>
  <c r="N13" i="31" l="1"/>
  <c r="C61" i="23"/>
  <c r="Z176" i="28"/>
  <c r="Z231" i="23" l="1"/>
  <c r="D66" i="23" l="1"/>
  <c r="C38" i="30" l="1"/>
  <c r="C131" i="30" s="1"/>
  <c r="C36" i="30"/>
  <c r="C34" i="30"/>
  <c r="C32" i="30"/>
  <c r="C30" i="30"/>
  <c r="C28" i="30"/>
  <c r="C26" i="30"/>
  <c r="C24" i="30"/>
  <c r="C22" i="30"/>
  <c r="C20" i="30"/>
  <c r="C18" i="30"/>
  <c r="C16" i="30"/>
  <c r="C13" i="30"/>
  <c r="C10" i="30"/>
  <c r="C582" i="28"/>
  <c r="E582" i="28" s="1"/>
  <c r="C581" i="28"/>
  <c r="E581" i="28" s="1"/>
  <c r="J110" i="28" s="1"/>
  <c r="C580" i="28"/>
  <c r="E580" i="28" s="1"/>
  <c r="C579" i="28"/>
  <c r="E579" i="28" s="1"/>
  <c r="C578" i="28"/>
  <c r="E578" i="28" s="1"/>
  <c r="C577" i="28"/>
  <c r="E577" i="28" s="1"/>
  <c r="D571" i="28"/>
  <c r="C571" i="28"/>
  <c r="B571" i="28"/>
  <c r="E570" i="28"/>
  <c r="E569" i="28"/>
  <c r="E568" i="28"/>
  <c r="E567" i="28"/>
  <c r="E566" i="28"/>
  <c r="E565" i="28"/>
  <c r="E564" i="28"/>
  <c r="E571" i="28" s="1"/>
  <c r="C533" i="28" s="1"/>
  <c r="E563" i="28"/>
  <c r="C532" i="28"/>
  <c r="C528" i="28"/>
  <c r="C549" i="28" s="1"/>
  <c r="B522" i="28"/>
  <c r="B516" i="28"/>
  <c r="I515" i="28"/>
  <c r="H515" i="28"/>
  <c r="I514" i="28"/>
  <c r="H514" i="28"/>
  <c r="I513" i="28"/>
  <c r="H513" i="28"/>
  <c r="I512" i="28"/>
  <c r="H512" i="28"/>
  <c r="I511" i="28"/>
  <c r="H511" i="28"/>
  <c r="G510" i="28"/>
  <c r="G516" i="28" s="1"/>
  <c r="F510" i="28"/>
  <c r="F516" i="28" s="1"/>
  <c r="E510" i="28"/>
  <c r="E516" i="28" s="1"/>
  <c r="D510" i="28"/>
  <c r="D516" i="28" s="1"/>
  <c r="C510" i="28"/>
  <c r="C516" i="28" s="1"/>
  <c r="I509" i="28"/>
  <c r="H509" i="28"/>
  <c r="I508" i="28"/>
  <c r="H508" i="28"/>
  <c r="I507" i="28"/>
  <c r="H507" i="28"/>
  <c r="I506" i="28"/>
  <c r="H506" i="28"/>
  <c r="I505" i="28"/>
  <c r="H505" i="28"/>
  <c r="G504" i="28"/>
  <c r="F504" i="28"/>
  <c r="E504" i="28"/>
  <c r="D504" i="28"/>
  <c r="C504" i="28"/>
  <c r="I503" i="28"/>
  <c r="H503" i="28"/>
  <c r="I502" i="28"/>
  <c r="H502" i="28"/>
  <c r="D491" i="28"/>
  <c r="E491" i="28" s="1"/>
  <c r="F491" i="28" s="1"/>
  <c r="G491" i="28" s="1"/>
  <c r="H491" i="28" s="1"/>
  <c r="I491" i="28" s="1"/>
  <c r="J491" i="28" s="1"/>
  <c r="K491" i="28" s="1"/>
  <c r="L491" i="28" s="1"/>
  <c r="M491" i="28" s="1"/>
  <c r="N491" i="28" s="1"/>
  <c r="O491" i="28" s="1"/>
  <c r="P491" i="28" s="1"/>
  <c r="Q491" i="28" s="1"/>
  <c r="R491" i="28" s="1"/>
  <c r="S491" i="28" s="1"/>
  <c r="T491" i="28" s="1"/>
  <c r="U491" i="28" s="1"/>
  <c r="V491" i="28" s="1"/>
  <c r="W491" i="28" s="1"/>
  <c r="X491" i="28" s="1"/>
  <c r="Y491" i="28" s="1"/>
  <c r="Z491" i="28" s="1"/>
  <c r="AA491" i="28" s="1"/>
  <c r="AB491" i="28" s="1"/>
  <c r="AC491" i="28" s="1"/>
  <c r="AD491" i="28" s="1"/>
  <c r="AE491" i="28" s="1"/>
  <c r="AF491" i="28" s="1"/>
  <c r="AG491" i="28" s="1"/>
  <c r="H352" i="28"/>
  <c r="G352" i="28"/>
  <c r="F352" i="28"/>
  <c r="E352" i="28"/>
  <c r="D352" i="28"/>
  <c r="C255" i="28"/>
  <c r="K234" i="28"/>
  <c r="H234" i="28"/>
  <c r="G234" i="28"/>
  <c r="F234" i="28"/>
  <c r="E234" i="28"/>
  <c r="D234" i="28"/>
  <c r="K209" i="28"/>
  <c r="H209" i="28"/>
  <c r="G209" i="28"/>
  <c r="F209" i="28"/>
  <c r="E209" i="28"/>
  <c r="D209" i="28"/>
  <c r="H194" i="28"/>
  <c r="G194" i="28"/>
  <c r="G190" i="28" s="1"/>
  <c r="F194" i="28"/>
  <c r="F190" i="28" s="1"/>
  <c r="F197" i="28" s="1"/>
  <c r="E194" i="28"/>
  <c r="E190" i="28" s="1"/>
  <c r="H190" i="28"/>
  <c r="K187" i="28"/>
  <c r="H187" i="28"/>
  <c r="G187" i="28"/>
  <c r="F187" i="28"/>
  <c r="E187" i="28"/>
  <c r="D187" i="28"/>
  <c r="AL183" i="28"/>
  <c r="AG183" i="28"/>
  <c r="S182" i="28"/>
  <c r="I23" i="28" s="1"/>
  <c r="E179" i="28"/>
  <c r="C179" i="28"/>
  <c r="AH195" i="28" s="1"/>
  <c r="BC178" i="28"/>
  <c r="BB178" i="28"/>
  <c r="BA178" i="28"/>
  <c r="AZ178" i="28"/>
  <c r="AY178" i="28"/>
  <c r="AX178" i="28"/>
  <c r="H518" i="28"/>
  <c r="G522" i="28" s="1"/>
  <c r="AH175" i="28"/>
  <c r="AH174" i="28"/>
  <c r="AM171" i="28"/>
  <c r="AC171" i="28"/>
  <c r="S171" i="28"/>
  <c r="T171" i="28" s="1"/>
  <c r="H44" i="28" s="1"/>
  <c r="AM170" i="28"/>
  <c r="AH169" i="28"/>
  <c r="H99" i="28"/>
  <c r="G99" i="28"/>
  <c r="F99" i="28"/>
  <c r="E99" i="28"/>
  <c r="D99" i="28"/>
  <c r="D35" i="28"/>
  <c r="P181" i="28" s="1"/>
  <c r="F35" i="28" s="1"/>
  <c r="D36" i="19"/>
  <c r="D98" i="19"/>
  <c r="E98" i="19"/>
  <c r="F98" i="19"/>
  <c r="G98" i="19"/>
  <c r="H98" i="19"/>
  <c r="P180" i="19" l="1"/>
  <c r="P182" i="19" s="1"/>
  <c r="P181" i="19"/>
  <c r="AR169" i="28"/>
  <c r="C113" i="30"/>
  <c r="E215" i="28"/>
  <c r="E197" i="28"/>
  <c r="E203" i="28" s="1"/>
  <c r="G215" i="28"/>
  <c r="G197" i="28"/>
  <c r="G203" i="28" s="1"/>
  <c r="G101" i="28" s="1"/>
  <c r="H215" i="28"/>
  <c r="H197" i="28"/>
  <c r="H203" i="28" s="1"/>
  <c r="H101" i="28" s="1"/>
  <c r="F257" i="28"/>
  <c r="F215" i="28"/>
  <c r="C109" i="30"/>
  <c r="C110" i="30" s="1"/>
  <c r="C111" i="30" s="1"/>
  <c r="C43" i="30" s="1"/>
  <c r="G549" i="28"/>
  <c r="G257" i="28"/>
  <c r="H257" i="28"/>
  <c r="E257" i="28"/>
  <c r="AR171" i="28"/>
  <c r="AR174" i="28"/>
  <c r="AU174" i="28"/>
  <c r="AU179" i="28" s="1"/>
  <c r="AU173" i="28"/>
  <c r="AU176" i="28"/>
  <c r="AU172" i="28"/>
  <c r="AU180" i="28" s="1"/>
  <c r="AU175" i="28"/>
  <c r="AU171" i="28"/>
  <c r="AU178" i="28" s="1"/>
  <c r="AU170" i="28"/>
  <c r="AI199" i="28" s="1"/>
  <c r="AR179" i="28"/>
  <c r="AR178" i="28"/>
  <c r="AR177" i="28"/>
  <c r="AR176" i="28"/>
  <c r="AR180" i="28"/>
  <c r="AR175" i="28"/>
  <c r="AR170" i="28"/>
  <c r="AR173" i="28"/>
  <c r="AI196" i="28"/>
  <c r="AR172" i="28"/>
  <c r="F203" i="28"/>
  <c r="F101" i="28" s="1"/>
  <c r="AN195" i="28"/>
  <c r="AJ195" i="28"/>
  <c r="AL195" i="28"/>
  <c r="AK195" i="28"/>
  <c r="AP195" i="28"/>
  <c r="E255" i="28"/>
  <c r="E256" i="28" s="1"/>
  <c r="G255" i="28"/>
  <c r="G256" i="28" s="1"/>
  <c r="C557" i="28"/>
  <c r="J108" i="28" s="1"/>
  <c r="P182" i="28"/>
  <c r="H35" i="28" s="1"/>
  <c r="I504" i="28"/>
  <c r="P172" i="28"/>
  <c r="H504" i="28"/>
  <c r="P171" i="28"/>
  <c r="H510" i="28"/>
  <c r="H516" i="28" s="1"/>
  <c r="E519" i="28" s="1"/>
  <c r="C586" i="28"/>
  <c r="E586" i="28" s="1"/>
  <c r="C589" i="28"/>
  <c r="E589" i="28" s="1"/>
  <c r="C588" i="28"/>
  <c r="C587" i="28"/>
  <c r="E587" i="28" s="1"/>
  <c r="D324" i="28"/>
  <c r="G330" i="28" s="1"/>
  <c r="D323" i="28"/>
  <c r="E583" i="28"/>
  <c r="J111" i="28" s="1"/>
  <c r="I510" i="28"/>
  <c r="I516" i="28" s="1"/>
  <c r="F519" i="28" s="1"/>
  <c r="C519" i="28" s="1"/>
  <c r="C521" i="28"/>
  <c r="C520" i="28"/>
  <c r="F237" i="28"/>
  <c r="G237" i="28"/>
  <c r="E237" i="28"/>
  <c r="H237" i="28"/>
  <c r="F255" i="28"/>
  <c r="F256" i="28" s="1"/>
  <c r="H255" i="28"/>
  <c r="H256" i="28" s="1"/>
  <c r="D255" i="28"/>
  <c r="D256" i="28" s="1"/>
  <c r="H549" i="28"/>
  <c r="D549" i="28"/>
  <c r="C551" i="28"/>
  <c r="F549" i="28"/>
  <c r="C542" i="28"/>
  <c r="E549" i="28"/>
  <c r="D424" i="28" l="1"/>
  <c r="D442" i="28" s="1"/>
  <c r="G329" i="28"/>
  <c r="D460" i="28"/>
  <c r="D476" i="28" s="1"/>
  <c r="AR184" i="28"/>
  <c r="AZ180" i="28" s="1"/>
  <c r="F259" i="28"/>
  <c r="E259" i="28"/>
  <c r="G259" i="28"/>
  <c r="E101" i="28"/>
  <c r="H259" i="28"/>
  <c r="D461" i="28"/>
  <c r="D477" i="28" s="1"/>
  <c r="D425" i="28"/>
  <c r="D443" i="28" s="1"/>
  <c r="AR182" i="28"/>
  <c r="BA180" i="28" s="1"/>
  <c r="BC180" i="28"/>
  <c r="AU177" i="28"/>
  <c r="AN199" i="28" s="1"/>
  <c r="BA183" i="28"/>
  <c r="AL199" i="28"/>
  <c r="AK199" i="28"/>
  <c r="AZ183" i="28"/>
  <c r="BC183" i="28"/>
  <c r="AJ199" i="28"/>
  <c r="AY183" i="28"/>
  <c r="AI200" i="28"/>
  <c r="G73" i="28" s="1"/>
  <c r="I404" i="28" s="1"/>
  <c r="AR181" i="28"/>
  <c r="BB180" i="28" s="1"/>
  <c r="AR183" i="28"/>
  <c r="AY180" i="28" s="1"/>
  <c r="P176" i="28"/>
  <c r="P175" i="28"/>
  <c r="E588" i="28"/>
  <c r="J113" i="28"/>
  <c r="H242" i="28"/>
  <c r="H266" i="28" s="1"/>
  <c r="F242" i="28"/>
  <c r="F266" i="28" s="1"/>
  <c r="H45" i="28"/>
  <c r="I49" i="28"/>
  <c r="I48" i="28"/>
  <c r="C585" i="28"/>
  <c r="E585" i="28" s="1"/>
  <c r="C550" i="28"/>
  <c r="J109" i="28" s="1"/>
  <c r="G242" i="28"/>
  <c r="G266" i="28" s="1"/>
  <c r="E242" i="28"/>
  <c r="E266" i="28" s="1"/>
  <c r="G163" i="23"/>
  <c r="G161" i="23"/>
  <c r="G159" i="23"/>
  <c r="G157" i="23"/>
  <c r="F216" i="23" s="1"/>
  <c r="F400" i="28" l="1"/>
  <c r="P179" i="28"/>
  <c r="H27" i="28" s="1"/>
  <c r="P177" i="28"/>
  <c r="I107" i="28"/>
  <c r="J107" i="28" s="1"/>
  <c r="G400" i="28"/>
  <c r="E400" i="28"/>
  <c r="H400" i="28"/>
  <c r="E590" i="28"/>
  <c r="J112" i="28" s="1"/>
  <c r="I400" i="28"/>
  <c r="I410" i="28" s="1"/>
  <c r="J400" i="28"/>
  <c r="J404" i="28"/>
  <c r="I286" i="28"/>
  <c r="I301" i="28" s="1"/>
  <c r="J286" i="28"/>
  <c r="J301" i="28" s="1"/>
  <c r="AI197" i="28"/>
  <c r="G72" i="28" s="1"/>
  <c r="AL196" i="28"/>
  <c r="BB183" i="28"/>
  <c r="BC184" i="28" s="1"/>
  <c r="AL200" i="28"/>
  <c r="E73" i="28" s="1"/>
  <c r="AK200" i="28"/>
  <c r="D73" i="28" s="1"/>
  <c r="AJ200" i="28"/>
  <c r="C73" i="28" s="1"/>
  <c r="I278" i="28" s="1"/>
  <c r="AN200" i="28"/>
  <c r="F73" i="28" s="1"/>
  <c r="AJ196" i="28"/>
  <c r="AJ197" i="28" s="1"/>
  <c r="C72" i="28" s="1"/>
  <c r="AK196" i="28"/>
  <c r="AN196" i="28"/>
  <c r="G262" i="28"/>
  <c r="G270" i="28" s="1"/>
  <c r="G404" i="28" s="1"/>
  <c r="F262" i="28"/>
  <c r="H262" i="28"/>
  <c r="C341" i="28"/>
  <c r="E262" i="28"/>
  <c r="E270" i="28" s="1"/>
  <c r="E404" i="28" s="1"/>
  <c r="C559" i="28"/>
  <c r="Q4" i="24"/>
  <c r="P4" i="24"/>
  <c r="C30" i="20"/>
  <c r="I353" i="28" l="1"/>
  <c r="J353" i="28"/>
  <c r="J278" i="28"/>
  <c r="J293" i="28" s="1"/>
  <c r="D194" i="28"/>
  <c r="D190" i="28" s="1"/>
  <c r="I357" i="28"/>
  <c r="J357" i="28"/>
  <c r="J355" i="28"/>
  <c r="I355" i="28"/>
  <c r="J410" i="28"/>
  <c r="C342" i="28"/>
  <c r="C343" i="28" s="1"/>
  <c r="I106" i="28" s="1"/>
  <c r="I114" i="28" s="1"/>
  <c r="I284" i="28"/>
  <c r="J284" i="28"/>
  <c r="I280" i="28"/>
  <c r="I295" i="28" s="1"/>
  <c r="J280" i="28"/>
  <c r="J295" i="28" s="1"/>
  <c r="I293" i="28"/>
  <c r="I282" i="28"/>
  <c r="I297" i="28" s="1"/>
  <c r="J282" i="28"/>
  <c r="J297" i="28" s="1"/>
  <c r="P178" i="28"/>
  <c r="E410" i="28"/>
  <c r="E103" i="28" s="1"/>
  <c r="E274" i="28"/>
  <c r="E353" i="28" s="1"/>
  <c r="G410" i="28"/>
  <c r="G103" i="28" s="1"/>
  <c r="G274" i="28"/>
  <c r="G353" i="28" s="1"/>
  <c r="H270" i="28"/>
  <c r="P183" i="28"/>
  <c r="B32" i="28" s="1"/>
  <c r="F270" i="28"/>
  <c r="AL197" i="28"/>
  <c r="E72" i="28" s="1"/>
  <c r="AK197" i="28"/>
  <c r="D72" i="28" s="1"/>
  <c r="AN197" i="28"/>
  <c r="F72" i="28" s="1"/>
  <c r="AP199" i="28"/>
  <c r="AP200" i="28" s="1"/>
  <c r="I95" i="28" s="1"/>
  <c r="J223" i="28" s="1"/>
  <c r="J228" i="28" s="1"/>
  <c r="BC181" i="28"/>
  <c r="G167" i="23"/>
  <c r="C51" i="23"/>
  <c r="C50" i="23"/>
  <c r="C47" i="23"/>
  <c r="C46" i="23"/>
  <c r="G47" i="23"/>
  <c r="G46" i="23"/>
  <c r="D215" i="28" l="1"/>
  <c r="D197" i="28"/>
  <c r="D203" i="28" s="1"/>
  <c r="J106" i="28"/>
  <c r="G355" i="28"/>
  <c r="E355" i="28"/>
  <c r="E357" i="28"/>
  <c r="E223" i="28"/>
  <c r="E228" i="28" s="1"/>
  <c r="E102" i="28" s="1"/>
  <c r="F223" i="28"/>
  <c r="F228" i="28" s="1"/>
  <c r="G357" i="28"/>
  <c r="I223" i="28"/>
  <c r="I228" i="28" s="1"/>
  <c r="G223" i="28"/>
  <c r="G228" i="28" s="1"/>
  <c r="G102" i="28" s="1"/>
  <c r="H223" i="28"/>
  <c r="H228" i="28" s="1"/>
  <c r="H102" i="28" s="1"/>
  <c r="J310" i="28"/>
  <c r="J299" i="28"/>
  <c r="J304" i="28" s="1"/>
  <c r="J290" i="28"/>
  <c r="I299" i="28"/>
  <c r="I304" i="28" s="1"/>
  <c r="I310" i="28"/>
  <c r="F274" i="28"/>
  <c r="F286" i="28" s="1"/>
  <c r="F301" i="28" s="1"/>
  <c r="F404" i="28"/>
  <c r="F410" i="28" s="1"/>
  <c r="F103" i="28" s="1"/>
  <c r="I288" i="28"/>
  <c r="H274" i="28"/>
  <c r="H404" i="28"/>
  <c r="H410" i="28" s="1"/>
  <c r="H103" i="28" s="1"/>
  <c r="J288" i="28"/>
  <c r="I290" i="28"/>
  <c r="G282" i="28"/>
  <c r="G297" i="28" s="1"/>
  <c r="G286" i="28"/>
  <c r="G301" i="28" s="1"/>
  <c r="G284" i="28"/>
  <c r="G278" i="28"/>
  <c r="G280" i="28"/>
  <c r="G295" i="28" s="1"/>
  <c r="E280" i="28"/>
  <c r="E295" i="28" s="1"/>
  <c r="E282" i="28"/>
  <c r="E297" i="28" s="1"/>
  <c r="E278" i="28"/>
  <c r="E293" i="28" s="1"/>
  <c r="E286" i="28"/>
  <c r="E301" i="28" s="1"/>
  <c r="E284" i="28"/>
  <c r="D257" i="28"/>
  <c r="D259" i="28" s="1"/>
  <c r="AP196" i="28"/>
  <c r="AP197" i="28" s="1"/>
  <c r="I90" i="28" s="1"/>
  <c r="D237" i="28"/>
  <c r="G54" i="23"/>
  <c r="D223" i="28" l="1"/>
  <c r="D228" i="28" s="1"/>
  <c r="C205" i="28"/>
  <c r="C206" i="28" s="1"/>
  <c r="C207" i="28" s="1"/>
  <c r="H353" i="28"/>
  <c r="H355" i="28"/>
  <c r="H357" i="28"/>
  <c r="F353" i="28"/>
  <c r="F355" i="28"/>
  <c r="F357" i="28"/>
  <c r="I313" i="28"/>
  <c r="I359" i="28"/>
  <c r="I361" i="28" s="1"/>
  <c r="J313" i="28"/>
  <c r="J359" i="28"/>
  <c r="J361" i="28" s="1"/>
  <c r="J432" i="28" s="1"/>
  <c r="H282" i="28"/>
  <c r="H297" i="28" s="1"/>
  <c r="H284" i="28"/>
  <c r="H299" i="28" s="1"/>
  <c r="H286" i="28"/>
  <c r="H301" i="28" s="1"/>
  <c r="H278" i="28"/>
  <c r="H293" i="28" s="1"/>
  <c r="F280" i="28"/>
  <c r="F295" i="28" s="1"/>
  <c r="F282" i="28"/>
  <c r="F297" i="28" s="1"/>
  <c r="F284" i="28"/>
  <c r="F310" i="28" s="1"/>
  <c r="F359" i="28" s="1"/>
  <c r="F278" i="28"/>
  <c r="F293" i="28" s="1"/>
  <c r="H280" i="28"/>
  <c r="H295" i="28" s="1"/>
  <c r="D101" i="28"/>
  <c r="J101" i="28" s="1"/>
  <c r="G299" i="28"/>
  <c r="G310" i="28"/>
  <c r="G359" i="28" s="1"/>
  <c r="G361" i="28" s="1"/>
  <c r="E299" i="28"/>
  <c r="E304" i="28" s="1"/>
  <c r="E310" i="28"/>
  <c r="E359" i="28" s="1"/>
  <c r="E361" i="28" s="1"/>
  <c r="E290" i="28"/>
  <c r="E288" i="28"/>
  <c r="G293" i="28"/>
  <c r="G288" i="28"/>
  <c r="G290" i="28"/>
  <c r="D242" i="28"/>
  <c r="D266" i="28" s="1"/>
  <c r="D400" i="28" s="1"/>
  <c r="I69" i="28"/>
  <c r="F102" i="28"/>
  <c r="H16" i="24"/>
  <c r="F299" i="28" l="1"/>
  <c r="F304" i="28" s="1"/>
  <c r="H310" i="28"/>
  <c r="H359" i="28" s="1"/>
  <c r="H361" i="28" s="1"/>
  <c r="F361" i="28"/>
  <c r="I432" i="28"/>
  <c r="I447" i="28" s="1"/>
  <c r="H288" i="28"/>
  <c r="G313" i="28"/>
  <c r="F313" i="28"/>
  <c r="E313" i="28"/>
  <c r="C230" i="28"/>
  <c r="C231" i="28" s="1"/>
  <c r="C232" i="28" s="1"/>
  <c r="D102" i="28"/>
  <c r="J102" i="28" s="1"/>
  <c r="F290" i="28"/>
  <c r="H290" i="28"/>
  <c r="F288" i="28"/>
  <c r="I470" i="28"/>
  <c r="I481" i="28" s="1"/>
  <c r="I365" i="28"/>
  <c r="I413" i="28" s="1"/>
  <c r="D262" i="28"/>
  <c r="D270" i="28" s="1"/>
  <c r="G304" i="28"/>
  <c r="H304" i="28"/>
  <c r="J365" i="28"/>
  <c r="J413" i="28" s="1"/>
  <c r="J470" i="28"/>
  <c r="J481" i="28" s="1"/>
  <c r="J447" i="28"/>
  <c r="D404" i="28" l="1"/>
  <c r="D410" i="28" s="1"/>
  <c r="D274" i="28"/>
  <c r="D278" i="28" s="1"/>
  <c r="H313" i="28"/>
  <c r="D103" i="28"/>
  <c r="J103" i="28" s="1"/>
  <c r="D353" i="28"/>
  <c r="G470" i="28"/>
  <c r="G481" i="28" s="1"/>
  <c r="E365" i="28"/>
  <c r="E413" i="28" s="1"/>
  <c r="S238" i="23"/>
  <c r="I25" i="23" s="1"/>
  <c r="I24" i="19"/>
  <c r="D355" i="28" l="1"/>
  <c r="D357" i="28"/>
  <c r="H432" i="28"/>
  <c r="H447" i="28" s="1"/>
  <c r="G432" i="28"/>
  <c r="G447" i="28" s="1"/>
  <c r="G105" i="28" s="1"/>
  <c r="F432" i="28"/>
  <c r="F447" i="28" s="1"/>
  <c r="E470" i="28"/>
  <c r="E481" i="28" s="1"/>
  <c r="E432" i="28"/>
  <c r="E447" i="28" s="1"/>
  <c r="D284" i="28"/>
  <c r="D310" i="28" s="1"/>
  <c r="D359" i="28" s="1"/>
  <c r="D293" i="28"/>
  <c r="D282" i="28"/>
  <c r="D297" i="28" s="1"/>
  <c r="D286" i="28"/>
  <c r="D301" i="28" s="1"/>
  <c r="D280" i="28"/>
  <c r="D295" i="28" s="1"/>
  <c r="F470" i="28"/>
  <c r="F481" i="28" s="1"/>
  <c r="F365" i="28"/>
  <c r="F104" i="28" s="1"/>
  <c r="H470" i="28"/>
  <c r="H481" i="28" s="1"/>
  <c r="G365" i="28"/>
  <c r="G104" i="28" s="1"/>
  <c r="H365" i="28"/>
  <c r="H104" i="28" s="1"/>
  <c r="E104" i="28"/>
  <c r="P226" i="23"/>
  <c r="P227" i="23"/>
  <c r="H105" i="28" l="1"/>
  <c r="F105" i="28"/>
  <c r="D313" i="28"/>
  <c r="D315" i="28" s="1"/>
  <c r="D361" i="28"/>
  <c r="E105" i="28"/>
  <c r="E114" i="28" s="1"/>
  <c r="G114" i="28"/>
  <c r="D288" i="28"/>
  <c r="D299" i="28"/>
  <c r="D304" i="28" s="1"/>
  <c r="D290" i="28"/>
  <c r="G413" i="28"/>
  <c r="F413" i="28"/>
  <c r="H413" i="28"/>
  <c r="C181" i="27"/>
  <c r="C120" i="27"/>
  <c r="C105" i="27"/>
  <c r="C77" i="27"/>
  <c r="D77" i="27" s="1"/>
  <c r="C36" i="27"/>
  <c r="C186" i="27" s="1"/>
  <c r="C34" i="27"/>
  <c r="C32" i="27"/>
  <c r="C39" i="27" s="1"/>
  <c r="C47" i="27" s="1"/>
  <c r="C76" i="27" s="1"/>
  <c r="D76" i="27" s="1"/>
  <c r="C30" i="27"/>
  <c r="C28" i="27"/>
  <c r="C112" i="27" s="1"/>
  <c r="C109" i="27" s="1"/>
  <c r="C26" i="27"/>
  <c r="C24" i="27"/>
  <c r="C22" i="27"/>
  <c r="C17" i="27"/>
  <c r="C15" i="27"/>
  <c r="C14" i="27"/>
  <c r="C182" i="27" s="1"/>
  <c r="D365" i="28" l="1"/>
  <c r="D470" i="28"/>
  <c r="D481" i="28" s="1"/>
  <c r="F114" i="28"/>
  <c r="H114" i="28"/>
  <c r="D306" i="28"/>
  <c r="D432" i="28"/>
  <c r="D447" i="28" s="1"/>
  <c r="D449" i="28" s="1"/>
  <c r="C117" i="27"/>
  <c r="D104" i="28" l="1"/>
  <c r="C32" i="20"/>
  <c r="C451" i="28" l="1"/>
  <c r="C452" i="28" s="1"/>
  <c r="D413" i="28"/>
  <c r="C415" i="28" s="1"/>
  <c r="C416" i="28" s="1"/>
  <c r="C417" i="28" s="1"/>
  <c r="D29" i="23"/>
  <c r="D483" i="28" l="1"/>
  <c r="C484" i="28" s="1"/>
  <c r="C485" i="28" s="1"/>
  <c r="D105" i="28"/>
  <c r="J105" i="28" s="1"/>
  <c r="J104" i="28"/>
  <c r="G61" i="23"/>
  <c r="G89" i="23"/>
  <c r="C55" i="23"/>
  <c r="E50" i="23"/>
  <c r="D40" i="23"/>
  <c r="D39" i="23"/>
  <c r="E22" i="23"/>
  <c r="F22" i="23"/>
  <c r="H22" i="23"/>
  <c r="I115" i="28" l="1"/>
  <c r="E115" i="28"/>
  <c r="G115" i="28"/>
  <c r="F115" i="28"/>
  <c r="H115" i="28"/>
  <c r="J114" i="28"/>
  <c r="D114" i="28"/>
  <c r="D115" i="28" s="1"/>
  <c r="C9" i="22"/>
  <c r="C13" i="20"/>
  <c r="C10" i="11"/>
  <c r="C10" i="8"/>
  <c r="C11" i="15"/>
  <c r="K112" i="28" l="1"/>
  <c r="P185" i="28"/>
  <c r="K105" i="28"/>
  <c r="V173" i="28" s="1"/>
  <c r="K102" i="28"/>
  <c r="V171" i="28" s="1"/>
  <c r="K104" i="28"/>
  <c r="K110" i="28"/>
  <c r="K107" i="28"/>
  <c r="K109" i="28"/>
  <c r="K103" i="28"/>
  <c r="V172" i="28" s="1"/>
  <c r="K111" i="28"/>
  <c r="K108" i="28"/>
  <c r="K106" i="28"/>
  <c r="C5" i="24" s="1"/>
  <c r="K101" i="28"/>
  <c r="V170" i="28" s="1"/>
  <c r="H45" i="19"/>
  <c r="I50" i="19" s="1"/>
  <c r="G57" i="23"/>
  <c r="P187" i="28" l="1"/>
  <c r="J117" i="28" s="1"/>
  <c r="P186" i="28"/>
  <c r="J116" i="28" s="1"/>
  <c r="C8" i="24"/>
  <c r="C7" i="24"/>
  <c r="V175" i="28"/>
  <c r="C2" i="24"/>
  <c r="V174" i="28"/>
  <c r="V177" i="28"/>
  <c r="V176" i="28"/>
  <c r="C3" i="24"/>
  <c r="C4" i="24"/>
  <c r="C6" i="24"/>
  <c r="C9" i="24"/>
  <c r="C14" i="30"/>
  <c r="H46" i="19"/>
  <c r="I49" i="19"/>
  <c r="H46" i="23"/>
  <c r="H47" i="23" s="1"/>
  <c r="H94" i="23"/>
  <c r="G94" i="23"/>
  <c r="AL237" i="23"/>
  <c r="AU229" i="23" s="1"/>
  <c r="H89" i="23"/>
  <c r="C10" i="24" l="1"/>
  <c r="I106" i="19"/>
  <c r="C101" i="30"/>
  <c r="C49" i="30"/>
  <c r="C91" i="30" s="1"/>
  <c r="I51" i="23"/>
  <c r="I50" i="23"/>
  <c r="AG238" i="23"/>
  <c r="C103" i="30" l="1"/>
  <c r="C102" i="30"/>
  <c r="AR232" i="23"/>
  <c r="AR231" i="23"/>
  <c r="AR234" i="23"/>
  <c r="AR233" i="23"/>
  <c r="AR4" i="24"/>
  <c r="D91" i="30"/>
  <c r="AS4" i="24" s="1"/>
  <c r="B579" i="23"/>
  <c r="C578" i="23" s="1"/>
  <c r="C104" i="30" l="1"/>
  <c r="C107" i="30" s="1"/>
  <c r="C46" i="30" s="1"/>
  <c r="C47" i="30" s="1"/>
  <c r="C48" i="30" s="1"/>
  <c r="S226" i="23"/>
  <c r="T226" i="23" s="1"/>
  <c r="C117" i="30" l="1"/>
  <c r="D383" i="23"/>
  <c r="D382" i="23"/>
  <c r="C105" i="30"/>
  <c r="C122" i="30"/>
  <c r="C50" i="30"/>
  <c r="C90" i="30"/>
  <c r="AR3" i="24" s="1"/>
  <c r="B628" i="23"/>
  <c r="C628" i="23"/>
  <c r="D628" i="23"/>
  <c r="G59" i="23"/>
  <c r="C59" i="23"/>
  <c r="C57" i="23"/>
  <c r="H50" i="23"/>
  <c r="H51" i="23"/>
  <c r="G51" i="23"/>
  <c r="G50" i="23"/>
  <c r="F51" i="23"/>
  <c r="F50" i="23"/>
  <c r="E51" i="23"/>
  <c r="C643" i="23" s="1"/>
  <c r="H15" i="23"/>
  <c r="H13" i="23"/>
  <c r="G388" i="23" l="1"/>
  <c r="D519" i="23"/>
  <c r="D535" i="23" s="1"/>
  <c r="D483" i="23"/>
  <c r="D501" i="23" s="1"/>
  <c r="G389" i="23"/>
  <c r="D520" i="23"/>
  <c r="D536" i="23" s="1"/>
  <c r="D484" i="23"/>
  <c r="D502" i="23" s="1"/>
  <c r="C644" i="23"/>
  <c r="C646" i="23"/>
  <c r="C645" i="23"/>
  <c r="E645" i="23" s="1"/>
  <c r="D13" i="23"/>
  <c r="H11" i="23"/>
  <c r="I107" i="23" l="1"/>
  <c r="D264" i="12"/>
  <c r="C639" i="23"/>
  <c r="E639" i="23" s="1"/>
  <c r="C638" i="23"/>
  <c r="E638" i="23" s="1"/>
  <c r="J110" i="23" s="1"/>
  <c r="C637" i="23"/>
  <c r="E637" i="23" s="1"/>
  <c r="C636" i="23"/>
  <c r="E636" i="23" s="1"/>
  <c r="C635" i="23"/>
  <c r="E635" i="23" s="1"/>
  <c r="C634" i="23"/>
  <c r="E634" i="23" s="1"/>
  <c r="E627" i="23"/>
  <c r="E626" i="23"/>
  <c r="E625" i="23"/>
  <c r="E624" i="23"/>
  <c r="E623" i="23"/>
  <c r="E622" i="23"/>
  <c r="E621" i="23"/>
  <c r="E620" i="23"/>
  <c r="C589" i="23"/>
  <c r="C585" i="23"/>
  <c r="C608" i="23" s="1"/>
  <c r="H577" i="23"/>
  <c r="I572" i="23"/>
  <c r="H572" i="23"/>
  <c r="I571" i="23"/>
  <c r="H571" i="23"/>
  <c r="I570" i="23"/>
  <c r="H570" i="23"/>
  <c r="I569" i="23"/>
  <c r="H569" i="23"/>
  <c r="I568" i="23"/>
  <c r="H568" i="23"/>
  <c r="G567" i="23"/>
  <c r="G573" i="23" s="1"/>
  <c r="F567" i="23"/>
  <c r="F573" i="23" s="1"/>
  <c r="E567" i="23"/>
  <c r="E573" i="23" s="1"/>
  <c r="D567" i="23"/>
  <c r="D573" i="23" s="1"/>
  <c r="C567" i="23"/>
  <c r="C573" i="23" s="1"/>
  <c r="I566" i="23"/>
  <c r="H566" i="23"/>
  <c r="I565" i="23"/>
  <c r="H565" i="23"/>
  <c r="I564" i="23"/>
  <c r="H564" i="23"/>
  <c r="I563" i="23"/>
  <c r="H563" i="23"/>
  <c r="I562" i="23"/>
  <c r="H562" i="23"/>
  <c r="G561" i="23"/>
  <c r="F561" i="23"/>
  <c r="E561" i="23"/>
  <c r="D561" i="23"/>
  <c r="C561" i="23"/>
  <c r="I560" i="23"/>
  <c r="H560" i="23"/>
  <c r="I559" i="23"/>
  <c r="H559" i="23"/>
  <c r="D548" i="23"/>
  <c r="E548" i="23" s="1"/>
  <c r="F548" i="23" s="1"/>
  <c r="G548" i="23" s="1"/>
  <c r="H548" i="23" s="1"/>
  <c r="I548" i="23" s="1"/>
  <c r="J548" i="23" s="1"/>
  <c r="K548" i="23" s="1"/>
  <c r="L548" i="23" s="1"/>
  <c r="M548" i="23" s="1"/>
  <c r="N548" i="23" s="1"/>
  <c r="O548" i="23" s="1"/>
  <c r="P548" i="23" s="1"/>
  <c r="Q548" i="23" s="1"/>
  <c r="R548" i="23" s="1"/>
  <c r="S548" i="23" s="1"/>
  <c r="T548" i="23" s="1"/>
  <c r="U548" i="23" s="1"/>
  <c r="V548" i="23" s="1"/>
  <c r="W548" i="23" s="1"/>
  <c r="X548" i="23" s="1"/>
  <c r="Y548" i="23" s="1"/>
  <c r="Z548" i="23" s="1"/>
  <c r="AA548" i="23" s="1"/>
  <c r="AB548" i="23" s="1"/>
  <c r="AC548" i="23" s="1"/>
  <c r="AD548" i="23" s="1"/>
  <c r="AE548" i="23" s="1"/>
  <c r="AF548" i="23" s="1"/>
  <c r="AG548" i="23" s="1"/>
  <c r="H411" i="23"/>
  <c r="G411" i="23"/>
  <c r="F411" i="23"/>
  <c r="E411" i="23"/>
  <c r="D411" i="23"/>
  <c r="C311" i="23"/>
  <c r="H290" i="23"/>
  <c r="G290" i="23"/>
  <c r="F290" i="23"/>
  <c r="E290" i="23"/>
  <c r="D290" i="23"/>
  <c r="K265" i="23"/>
  <c r="H265" i="23"/>
  <c r="G265" i="23"/>
  <c r="F265" i="23"/>
  <c r="E265" i="23"/>
  <c r="D265" i="23"/>
  <c r="H248" i="23"/>
  <c r="H244" i="23" s="1"/>
  <c r="H254" i="23" s="1"/>
  <c r="G248" i="23"/>
  <c r="F248" i="23"/>
  <c r="E248" i="23"/>
  <c r="K241" i="23"/>
  <c r="H241" i="23"/>
  <c r="G241" i="23"/>
  <c r="F241" i="23"/>
  <c r="E241" i="23"/>
  <c r="D241" i="23"/>
  <c r="E233" i="23"/>
  <c r="C233" i="23"/>
  <c r="AF250" i="23" s="1"/>
  <c r="BC233" i="23"/>
  <c r="BB233" i="23"/>
  <c r="BA233" i="23"/>
  <c r="AZ233" i="23"/>
  <c r="AY233" i="23"/>
  <c r="AX233" i="23"/>
  <c r="AH230" i="23"/>
  <c r="AH229" i="23"/>
  <c r="P230" i="23"/>
  <c r="E644" i="23"/>
  <c r="AM225" i="23"/>
  <c r="AM224" i="23"/>
  <c r="AH224" i="23"/>
  <c r="AR226" i="23" s="1"/>
  <c r="AR239" i="23" s="1"/>
  <c r="AI251" i="23" s="1"/>
  <c r="H99" i="23"/>
  <c r="G99" i="23"/>
  <c r="F99" i="23"/>
  <c r="E99" i="23"/>
  <c r="D99" i="23"/>
  <c r="D37" i="23"/>
  <c r="P236" i="23" s="1"/>
  <c r="F37" i="23" s="1"/>
  <c r="AU230" i="23" l="1"/>
  <c r="AU225" i="23"/>
  <c r="AU232" i="23" s="1"/>
  <c r="AJ254" i="23" s="1"/>
  <c r="AJ255" i="23" s="1"/>
  <c r="E75" i="23" s="1"/>
  <c r="AU227" i="23"/>
  <c r="AU226" i="23"/>
  <c r="AU234" i="23" s="1"/>
  <c r="AI254" i="23" s="1"/>
  <c r="AI255" i="23" s="1"/>
  <c r="D75" i="23" s="1"/>
  <c r="AL250" i="23"/>
  <c r="AI250" i="23"/>
  <c r="AI252" i="23" s="1"/>
  <c r="D74" i="23" s="1"/>
  <c r="AN250" i="23"/>
  <c r="AH250" i="23"/>
  <c r="AG250" i="23"/>
  <c r="AJ250" i="23"/>
  <c r="H259" i="23"/>
  <c r="H101" i="23" s="1"/>
  <c r="H271" i="23"/>
  <c r="AZ235" i="23"/>
  <c r="AU228" i="23"/>
  <c r="AU233" i="23" s="1"/>
  <c r="AH254" i="23" s="1"/>
  <c r="AH255" i="23" s="1"/>
  <c r="C75" i="23" s="1"/>
  <c r="AR230" i="23"/>
  <c r="AR225" i="23"/>
  <c r="AR227" i="23"/>
  <c r="F244" i="23"/>
  <c r="G244" i="23"/>
  <c r="E244" i="23"/>
  <c r="E254" i="23" s="1"/>
  <c r="P231" i="23"/>
  <c r="H567" i="23"/>
  <c r="H573" i="23" s="1"/>
  <c r="E576" i="23" s="1"/>
  <c r="I567" i="23"/>
  <c r="I573" i="23" s="1"/>
  <c r="F576" i="23" s="1"/>
  <c r="C576" i="23" s="1"/>
  <c r="I561" i="23"/>
  <c r="H561" i="23"/>
  <c r="E628" i="23"/>
  <c r="C590" i="23" s="1"/>
  <c r="C614" i="23" s="1"/>
  <c r="J108" i="23" s="1"/>
  <c r="AR229" i="23"/>
  <c r="AR228" i="23"/>
  <c r="AR238" i="23" s="1"/>
  <c r="AH251" i="23" s="1"/>
  <c r="AR235" i="23"/>
  <c r="AU224" i="23"/>
  <c r="AG254" i="23" s="1"/>
  <c r="AG255" i="23" s="1"/>
  <c r="G75" i="23" s="1"/>
  <c r="C606" i="23"/>
  <c r="G606" i="23"/>
  <c r="P237" i="23"/>
  <c r="H37" i="23" s="1"/>
  <c r="D311" i="23"/>
  <c r="D312" i="23" s="1"/>
  <c r="H311" i="23"/>
  <c r="H312" i="23" s="1"/>
  <c r="H293" i="23"/>
  <c r="H251" i="23"/>
  <c r="AR224" i="23"/>
  <c r="AG251" i="23" s="1"/>
  <c r="E311" i="23"/>
  <c r="E312" i="23" s="1"/>
  <c r="F311" i="23"/>
  <c r="F312" i="23" s="1"/>
  <c r="C599" i="23"/>
  <c r="E643" i="23"/>
  <c r="G311" i="23"/>
  <c r="G312" i="23" s="1"/>
  <c r="H606" i="23"/>
  <c r="D606" i="23"/>
  <c r="E606" i="23"/>
  <c r="F606" i="23"/>
  <c r="E640" i="23"/>
  <c r="J111" i="23" s="1"/>
  <c r="E646" i="23"/>
  <c r="P234" i="23" l="1"/>
  <c r="H29" i="23" s="1"/>
  <c r="P232" i="23"/>
  <c r="G293" i="23"/>
  <c r="G298" i="23" s="1"/>
  <c r="G321" i="23" s="1"/>
  <c r="G459" i="23" s="1"/>
  <c r="G254" i="23"/>
  <c r="F271" i="23"/>
  <c r="F254" i="23"/>
  <c r="F259" i="23" s="1"/>
  <c r="F101" i="23" s="1"/>
  <c r="AU231" i="23"/>
  <c r="AL254" i="23" s="1"/>
  <c r="AL255" i="23" s="1"/>
  <c r="F75" i="23" s="1"/>
  <c r="I342" i="23" s="1"/>
  <c r="BA238" i="23"/>
  <c r="H314" i="23"/>
  <c r="I340" i="23"/>
  <c r="I356" i="23" s="1"/>
  <c r="J416" i="23"/>
  <c r="I416" i="23"/>
  <c r="J414" i="23"/>
  <c r="I414" i="23"/>
  <c r="J412" i="23"/>
  <c r="I412" i="23"/>
  <c r="AG252" i="23"/>
  <c r="G74" i="23" s="1"/>
  <c r="AH252" i="23"/>
  <c r="C74" i="23" s="1"/>
  <c r="J340" i="23"/>
  <c r="J356" i="23" s="1"/>
  <c r="I463" i="23"/>
  <c r="I459" i="23"/>
  <c r="J459" i="23"/>
  <c r="J463" i="23"/>
  <c r="I344" i="23"/>
  <c r="I360" i="23" s="1"/>
  <c r="J344" i="23"/>
  <c r="J360" i="23" s="1"/>
  <c r="I338" i="23"/>
  <c r="I354" i="23" s="1"/>
  <c r="J338" i="23"/>
  <c r="J354" i="23" s="1"/>
  <c r="AZ238" i="23"/>
  <c r="J336" i="23"/>
  <c r="I336" i="23"/>
  <c r="I352" i="23" s="1"/>
  <c r="E271" i="23"/>
  <c r="G271" i="23"/>
  <c r="F251" i="23"/>
  <c r="F314" i="23" s="1"/>
  <c r="BC238" i="23"/>
  <c r="F293" i="23"/>
  <c r="F298" i="23" s="1"/>
  <c r="F321" i="23" s="1"/>
  <c r="F459" i="23" s="1"/>
  <c r="BC235" i="23"/>
  <c r="AY238" i="23"/>
  <c r="AY235" i="23"/>
  <c r="AR237" i="23"/>
  <c r="AJ251" i="23" s="1"/>
  <c r="AJ252" i="23" s="1"/>
  <c r="E74" i="23" s="1"/>
  <c r="AR236" i="23"/>
  <c r="AL251" i="23" s="1"/>
  <c r="AL252" i="23" s="1"/>
  <c r="E251" i="23"/>
  <c r="E314" i="23" s="1"/>
  <c r="E293" i="23"/>
  <c r="E298" i="23" s="1"/>
  <c r="E321" i="23" s="1"/>
  <c r="E459" i="23" s="1"/>
  <c r="G251" i="23"/>
  <c r="G314" i="23" s="1"/>
  <c r="C577" i="23"/>
  <c r="C607" i="23"/>
  <c r="C642" i="23"/>
  <c r="E642" i="23" s="1"/>
  <c r="H298" i="23"/>
  <c r="H321" i="23" s="1"/>
  <c r="H459" i="23" s="1"/>
  <c r="I9" i="24" l="1"/>
  <c r="I11" i="24"/>
  <c r="BB238" i="23"/>
  <c r="BC239" i="23" s="1"/>
  <c r="AN254" i="23" s="1"/>
  <c r="AN255" i="23" s="1"/>
  <c r="I96" i="23" s="1"/>
  <c r="G279" i="23" s="1"/>
  <c r="J342" i="23"/>
  <c r="J358" i="23" s="1"/>
  <c r="I12" i="24"/>
  <c r="I469" i="23"/>
  <c r="J469" i="23"/>
  <c r="I346" i="23"/>
  <c r="I369" i="23"/>
  <c r="I358" i="23"/>
  <c r="I363" i="23" s="1"/>
  <c r="I348" i="23"/>
  <c r="J352" i="23"/>
  <c r="D248" i="23"/>
  <c r="D244" i="23" s="1"/>
  <c r="G259" i="23"/>
  <c r="G101" i="23" s="1"/>
  <c r="G317" i="23"/>
  <c r="G325" i="23" s="1"/>
  <c r="F74" i="23"/>
  <c r="E259" i="23"/>
  <c r="E101" i="23" s="1"/>
  <c r="BB235" i="23"/>
  <c r="BA235" i="23"/>
  <c r="P233" i="23"/>
  <c r="E647" i="23"/>
  <c r="J112" i="23" s="1"/>
  <c r="I13" i="24" s="1"/>
  <c r="G579" i="23"/>
  <c r="J113" i="23" s="1"/>
  <c r="H317" i="23"/>
  <c r="E317" i="23"/>
  <c r="F317" i="23"/>
  <c r="C400" i="23"/>
  <c r="C616" i="23"/>
  <c r="J109" i="23"/>
  <c r="I10" i="24" s="1"/>
  <c r="P238" i="23"/>
  <c r="B34" i="23" s="1"/>
  <c r="J107" i="23"/>
  <c r="I8" i="24" s="1"/>
  <c r="I14" i="24" l="1"/>
  <c r="D271" i="23"/>
  <c r="I71" i="23" s="1"/>
  <c r="D254" i="23"/>
  <c r="D259" i="23" s="1"/>
  <c r="J348" i="23"/>
  <c r="J369" i="23"/>
  <c r="J372" i="23" s="1"/>
  <c r="J346" i="23"/>
  <c r="I372" i="23"/>
  <c r="I418" i="23"/>
  <c r="I420" i="23" s="1"/>
  <c r="I424" i="23" s="1"/>
  <c r="I472" i="23" s="1"/>
  <c r="G329" i="23"/>
  <c r="G463" i="23"/>
  <c r="G469" i="23" s="1"/>
  <c r="G103" i="23" s="1"/>
  <c r="C401" i="23"/>
  <c r="C402" i="23" s="1"/>
  <c r="I106" i="23" s="1"/>
  <c r="J363" i="23"/>
  <c r="F325" i="23"/>
  <c r="H325" i="23"/>
  <c r="E325" i="23"/>
  <c r="J279" i="23"/>
  <c r="J284" i="23" s="1"/>
  <c r="I279" i="23"/>
  <c r="I284" i="23" s="1"/>
  <c r="F279" i="23"/>
  <c r="F284" i="23" s="1"/>
  <c r="H279" i="23"/>
  <c r="H284" i="23" s="1"/>
  <c r="E279" i="23"/>
  <c r="E284" i="23" s="1"/>
  <c r="E102" i="23" s="1"/>
  <c r="D251" i="23"/>
  <c r="D314" i="23" s="1"/>
  <c r="BC236" i="23"/>
  <c r="AN251" i="23" s="1"/>
  <c r="AN252" i="23" s="1"/>
  <c r="I91" i="23" s="1"/>
  <c r="D293" i="23"/>
  <c r="D279" i="23" l="1"/>
  <c r="D284" i="23" s="1"/>
  <c r="D102" i="23" s="1"/>
  <c r="J418" i="23"/>
  <c r="J420" i="23" s="1"/>
  <c r="J491" i="23" s="1"/>
  <c r="J506" i="23" s="1"/>
  <c r="G414" i="23"/>
  <c r="G416" i="23"/>
  <c r="G412" i="23"/>
  <c r="G340" i="23"/>
  <c r="G356" i="23" s="1"/>
  <c r="G338" i="23"/>
  <c r="G354" i="23" s="1"/>
  <c r="G336" i="23"/>
  <c r="G352" i="23" s="1"/>
  <c r="G344" i="23"/>
  <c r="G360" i="23" s="1"/>
  <c r="G342" i="23"/>
  <c r="I491" i="23"/>
  <c r="I506" i="23" s="1"/>
  <c r="F102" i="23"/>
  <c r="I529" i="23"/>
  <c r="I540" i="23" s="1"/>
  <c r="H102" i="23"/>
  <c r="H329" i="23"/>
  <c r="H340" i="23" s="1"/>
  <c r="H356" i="23" s="1"/>
  <c r="H463" i="23"/>
  <c r="H469" i="23" s="1"/>
  <c r="H103" i="23" s="1"/>
  <c r="F329" i="23"/>
  <c r="F463" i="23"/>
  <c r="F469" i="23" s="1"/>
  <c r="F103" i="23" s="1"/>
  <c r="E329" i="23"/>
  <c r="E463" i="23"/>
  <c r="E469" i="23" s="1"/>
  <c r="E103" i="23" s="1"/>
  <c r="I114" i="23"/>
  <c r="J106" i="23"/>
  <c r="I7" i="24" s="1"/>
  <c r="C261" i="23"/>
  <c r="C262" i="23" s="1"/>
  <c r="D101" i="23"/>
  <c r="D298" i="23"/>
  <c r="D321" i="23" s="1"/>
  <c r="D459" i="23" s="1"/>
  <c r="J529" i="23" l="1"/>
  <c r="J540" i="23" s="1"/>
  <c r="J424" i="23"/>
  <c r="J472" i="23" s="1"/>
  <c r="E336" i="23"/>
  <c r="E352" i="23" s="1"/>
  <c r="E414" i="23"/>
  <c r="E412" i="23"/>
  <c r="E416" i="23"/>
  <c r="H412" i="23"/>
  <c r="H416" i="23"/>
  <c r="H414" i="23"/>
  <c r="F414" i="23"/>
  <c r="F416" i="23"/>
  <c r="F412" i="23"/>
  <c r="G348" i="23"/>
  <c r="F336" i="23"/>
  <c r="F352" i="23" s="1"/>
  <c r="F342" i="23"/>
  <c r="F358" i="23" s="1"/>
  <c r="G369" i="23"/>
  <c r="G358" i="23"/>
  <c r="G363" i="23" s="1"/>
  <c r="G346" i="23"/>
  <c r="F338" i="23"/>
  <c r="F354" i="23" s="1"/>
  <c r="F344" i="23"/>
  <c r="F360" i="23" s="1"/>
  <c r="E344" i="23"/>
  <c r="E360" i="23" s="1"/>
  <c r="E342" i="23"/>
  <c r="E369" i="23" s="1"/>
  <c r="E418" i="23" s="1"/>
  <c r="H342" i="23"/>
  <c r="H358" i="23" s="1"/>
  <c r="E338" i="23"/>
  <c r="E354" i="23" s="1"/>
  <c r="H338" i="23"/>
  <c r="H354" i="23" s="1"/>
  <c r="E340" i="23"/>
  <c r="E356" i="23" s="1"/>
  <c r="F340" i="23"/>
  <c r="F356" i="23" s="1"/>
  <c r="H336" i="23"/>
  <c r="H352" i="23" s="1"/>
  <c r="H344" i="23"/>
  <c r="H360" i="23" s="1"/>
  <c r="G284" i="23"/>
  <c r="G102" i="23" s="1"/>
  <c r="D317" i="23"/>
  <c r="D325" i="23" s="1"/>
  <c r="D329" i="23" s="1"/>
  <c r="C263" i="23"/>
  <c r="E420" i="23" l="1"/>
  <c r="D414" i="23"/>
  <c r="D416" i="23"/>
  <c r="D412" i="23"/>
  <c r="G372" i="23"/>
  <c r="G418" i="23"/>
  <c r="G420" i="23" s="1"/>
  <c r="G529" i="23" s="1"/>
  <c r="G540" i="23" s="1"/>
  <c r="F369" i="23"/>
  <c r="E372" i="23"/>
  <c r="F363" i="23"/>
  <c r="H363" i="23"/>
  <c r="E346" i="23"/>
  <c r="F346" i="23"/>
  <c r="F348" i="23"/>
  <c r="E348" i="23"/>
  <c r="H369" i="23"/>
  <c r="H346" i="23"/>
  <c r="E358" i="23"/>
  <c r="E363" i="23" s="1"/>
  <c r="H348" i="23"/>
  <c r="J102" i="23"/>
  <c r="I3" i="24" s="1"/>
  <c r="C286" i="23"/>
  <c r="C287" i="23" s="1"/>
  <c r="C288" i="23" s="1"/>
  <c r="J101" i="23"/>
  <c r="I2" i="24" l="1"/>
  <c r="F372" i="23"/>
  <c r="F418" i="23"/>
  <c r="F420" i="23" s="1"/>
  <c r="F491" i="23" s="1"/>
  <c r="F506" i="23" s="1"/>
  <c r="H372" i="23"/>
  <c r="H418" i="23"/>
  <c r="H420" i="23" s="1"/>
  <c r="G424" i="23"/>
  <c r="G491" i="23"/>
  <c r="G506" i="23" s="1"/>
  <c r="G105" i="23" s="1"/>
  <c r="D463" i="23"/>
  <c r="D469" i="23" s="1"/>
  <c r="E74" i="19" l="1"/>
  <c r="G104" i="23"/>
  <c r="G114" i="23" s="1"/>
  <c r="G472" i="23"/>
  <c r="D344" i="23"/>
  <c r="D360" i="23" s="1"/>
  <c r="H491" i="23"/>
  <c r="H506" i="23" s="1"/>
  <c r="E529" i="23"/>
  <c r="E540" i="23" s="1"/>
  <c r="E424" i="23"/>
  <c r="E491" i="23"/>
  <c r="E506" i="23" s="1"/>
  <c r="F424" i="23"/>
  <c r="F104" i="23" s="1"/>
  <c r="F529" i="23"/>
  <c r="F540" i="23" s="1"/>
  <c r="F105" i="23" s="1"/>
  <c r="D103" i="23"/>
  <c r="J103" i="23" s="1"/>
  <c r="D342" i="23"/>
  <c r="D369" i="23" s="1"/>
  <c r="D418" i="23" s="1"/>
  <c r="D420" i="23" s="1"/>
  <c r="D338" i="23"/>
  <c r="D354" i="23" s="1"/>
  <c r="D336" i="23"/>
  <c r="D352" i="23" s="1"/>
  <c r="D340" i="23"/>
  <c r="D356" i="23" s="1"/>
  <c r="H529" i="23"/>
  <c r="H540" i="23" s="1"/>
  <c r="D74" i="19"/>
  <c r="C74" i="19"/>
  <c r="G74" i="19"/>
  <c r="D73" i="19"/>
  <c r="G73" i="19"/>
  <c r="J402" i="19" l="1"/>
  <c r="I402" i="19"/>
  <c r="I398" i="19"/>
  <c r="J283" i="19"/>
  <c r="J299" i="19" s="1"/>
  <c r="I283" i="19"/>
  <c r="I299" i="19" s="1"/>
  <c r="J398" i="19"/>
  <c r="F398" i="19"/>
  <c r="G402" i="19"/>
  <c r="F402" i="19"/>
  <c r="H398" i="19"/>
  <c r="G398" i="19"/>
  <c r="E398" i="19"/>
  <c r="H402" i="19"/>
  <c r="F283" i="19"/>
  <c r="F299" i="19" s="1"/>
  <c r="E402" i="19"/>
  <c r="G283" i="19"/>
  <c r="G299" i="19" s="1"/>
  <c r="H283" i="19"/>
  <c r="H299" i="19" s="1"/>
  <c r="E283" i="19"/>
  <c r="E299" i="19" s="1"/>
  <c r="I351" i="19"/>
  <c r="J351" i="19"/>
  <c r="J275" i="19"/>
  <c r="I275" i="19"/>
  <c r="G275" i="19"/>
  <c r="H275" i="19"/>
  <c r="G351" i="19"/>
  <c r="H351" i="19"/>
  <c r="F351" i="19"/>
  <c r="F275" i="19"/>
  <c r="E275" i="19"/>
  <c r="E351" i="19"/>
  <c r="J277" i="19"/>
  <c r="J293" i="19" s="1"/>
  <c r="I277" i="19"/>
  <c r="I293" i="19" s="1"/>
  <c r="I353" i="19"/>
  <c r="J353" i="19"/>
  <c r="G353" i="19"/>
  <c r="H277" i="19"/>
  <c r="H293" i="19" s="1"/>
  <c r="G277" i="19"/>
  <c r="G293" i="19" s="1"/>
  <c r="H353" i="19"/>
  <c r="F353" i="19"/>
  <c r="F277" i="19"/>
  <c r="F293" i="19" s="1"/>
  <c r="E353" i="19"/>
  <c r="E277" i="19"/>
  <c r="E293" i="19" s="1"/>
  <c r="J355" i="19"/>
  <c r="J279" i="19"/>
  <c r="J295" i="19" s="1"/>
  <c r="I279" i="19"/>
  <c r="I295" i="19" s="1"/>
  <c r="I355" i="19"/>
  <c r="H279" i="19"/>
  <c r="H295" i="19" s="1"/>
  <c r="F279" i="19"/>
  <c r="F295" i="19" s="1"/>
  <c r="F355" i="19"/>
  <c r="G355" i="19"/>
  <c r="H355" i="19"/>
  <c r="G279" i="19"/>
  <c r="G295" i="19" s="1"/>
  <c r="E279" i="19"/>
  <c r="E295" i="19" s="1"/>
  <c r="E355" i="19"/>
  <c r="I4" i="24"/>
  <c r="I95" i="19"/>
  <c r="E73" i="19"/>
  <c r="D372" i="23"/>
  <c r="F74" i="19"/>
  <c r="E105" i="23"/>
  <c r="H424" i="23"/>
  <c r="H104" i="23" s="1"/>
  <c r="H105" i="23"/>
  <c r="F114" i="23"/>
  <c r="D358" i="23"/>
  <c r="D363" i="23" s="1"/>
  <c r="F472" i="23"/>
  <c r="E472" i="23"/>
  <c r="E104" i="23"/>
  <c r="D346" i="23"/>
  <c r="D348" i="23"/>
  <c r="F73" i="19"/>
  <c r="C73" i="19"/>
  <c r="I291" i="19" l="1"/>
  <c r="J408" i="19"/>
  <c r="E291" i="19"/>
  <c r="J291" i="19"/>
  <c r="J285" i="19"/>
  <c r="G291" i="19"/>
  <c r="F291" i="19"/>
  <c r="E408" i="19"/>
  <c r="J222" i="19"/>
  <c r="J227" i="19" s="1"/>
  <c r="I222" i="19"/>
  <c r="I227" i="19" s="1"/>
  <c r="F222" i="19"/>
  <c r="F227" i="19" s="1"/>
  <c r="E222" i="19"/>
  <c r="E227" i="19" s="1"/>
  <c r="G222" i="19"/>
  <c r="G227" i="19" s="1"/>
  <c r="H222" i="19"/>
  <c r="H227" i="19" s="1"/>
  <c r="H291" i="19"/>
  <c r="F408" i="19"/>
  <c r="J281" i="19"/>
  <c r="I281" i="19"/>
  <c r="F281" i="19"/>
  <c r="H281" i="19"/>
  <c r="H285" i="19" s="1"/>
  <c r="G281" i="19"/>
  <c r="G285" i="19" s="1"/>
  <c r="E281" i="19"/>
  <c r="E287" i="19" s="1"/>
  <c r="G408" i="19"/>
  <c r="I408" i="19"/>
  <c r="H408" i="19"/>
  <c r="H472" i="23"/>
  <c r="D374" i="23"/>
  <c r="H114" i="23"/>
  <c r="D365" i="23"/>
  <c r="E114" i="23"/>
  <c r="J109" i="19"/>
  <c r="F297" i="19" l="1"/>
  <c r="F308" i="19"/>
  <c r="H287" i="19"/>
  <c r="I308" i="19"/>
  <c r="I297" i="19"/>
  <c r="I302" i="19"/>
  <c r="F302" i="19"/>
  <c r="E297" i="19"/>
  <c r="E302" i="19" s="1"/>
  <c r="E308" i="19"/>
  <c r="J308" i="19"/>
  <c r="J297" i="19"/>
  <c r="J302" i="19" s="1"/>
  <c r="J287" i="19"/>
  <c r="I285" i="19"/>
  <c r="G308" i="19"/>
  <c r="G297" i="19"/>
  <c r="G302" i="19" s="1"/>
  <c r="G287" i="19"/>
  <c r="F285" i="19"/>
  <c r="I287" i="19"/>
  <c r="H308" i="19"/>
  <c r="H297" i="19"/>
  <c r="H302" i="19" s="1"/>
  <c r="F287" i="19"/>
  <c r="E285" i="19"/>
  <c r="I90" i="19"/>
  <c r="D529" i="23"/>
  <c r="D540" i="23" s="1"/>
  <c r="D542" i="23" s="1"/>
  <c r="C543" i="23" s="1"/>
  <c r="C544" i="23" s="1"/>
  <c r="J110" i="19"/>
  <c r="I311" i="19" l="1"/>
  <c r="I357" i="19"/>
  <c r="I359" i="19" s="1"/>
  <c r="E311" i="19"/>
  <c r="E357" i="19"/>
  <c r="E359" i="19" s="1"/>
  <c r="F311" i="19"/>
  <c r="F357" i="19"/>
  <c r="F359" i="19" s="1"/>
  <c r="H311" i="19"/>
  <c r="H357" i="19"/>
  <c r="H359" i="19" s="1"/>
  <c r="J311" i="19"/>
  <c r="J357" i="19"/>
  <c r="J359" i="19" s="1"/>
  <c r="G311" i="19"/>
  <c r="G357" i="19"/>
  <c r="G359" i="19" s="1"/>
  <c r="D491" i="23"/>
  <c r="D424" i="23"/>
  <c r="D472" i="23" s="1"/>
  <c r="C474" i="23" s="1"/>
  <c r="C475" i="23" s="1"/>
  <c r="C476" i="23" s="1"/>
  <c r="H36" i="19"/>
  <c r="H468" i="19" l="1"/>
  <c r="H479" i="19" s="1"/>
  <c r="H363" i="19"/>
  <c r="H411" i="19" s="1"/>
  <c r="H430" i="19"/>
  <c r="H445" i="19" s="1"/>
  <c r="F468" i="19"/>
  <c r="F479" i="19" s="1"/>
  <c r="F363" i="19"/>
  <c r="F411" i="19" s="1"/>
  <c r="F430" i="19"/>
  <c r="F445" i="19" s="1"/>
  <c r="E468" i="19"/>
  <c r="E479" i="19" s="1"/>
  <c r="E363" i="19"/>
  <c r="E411" i="19" s="1"/>
  <c r="E430" i="19"/>
  <c r="E445" i="19" s="1"/>
  <c r="I363" i="19"/>
  <c r="I411" i="19" s="1"/>
  <c r="I468" i="19"/>
  <c r="I479" i="19" s="1"/>
  <c r="I430" i="19"/>
  <c r="I445" i="19" s="1"/>
  <c r="G468" i="19"/>
  <c r="G479" i="19" s="1"/>
  <c r="G363" i="19"/>
  <c r="G411" i="19" s="1"/>
  <c r="G430" i="19"/>
  <c r="G445" i="19" s="1"/>
  <c r="J363" i="19"/>
  <c r="J411" i="19" s="1"/>
  <c r="J468" i="19"/>
  <c r="J479" i="19" s="1"/>
  <c r="J430" i="19"/>
  <c r="J445" i="19" s="1"/>
  <c r="D506" i="23"/>
  <c r="D105" i="23" s="1"/>
  <c r="J105" i="23" s="1"/>
  <c r="I6" i="24" s="1"/>
  <c r="D104" i="23"/>
  <c r="J104" i="23" s="1"/>
  <c r="C16" i="11"/>
  <c r="C17" i="7"/>
  <c r="C16" i="8"/>
  <c r="C19" i="12"/>
  <c r="C17" i="15"/>
  <c r="F36" i="19"/>
  <c r="D193" i="19" s="1"/>
  <c r="D189" i="19" s="1"/>
  <c r="D236" i="19" l="1"/>
  <c r="D197" i="19"/>
  <c r="D202" i="19" s="1"/>
  <c r="C204" i="19" s="1"/>
  <c r="C205" i="19" s="1"/>
  <c r="C206" i="19" s="1"/>
  <c r="D214" i="19"/>
  <c r="D222" i="19" s="1"/>
  <c r="D227" i="19" s="1"/>
  <c r="C229" i="19" s="1"/>
  <c r="C230" i="19" s="1"/>
  <c r="C231" i="19" s="1"/>
  <c r="D256" i="19"/>
  <c r="D257" i="19" s="1"/>
  <c r="I5" i="24"/>
  <c r="I115" i="23"/>
  <c r="G115" i="23"/>
  <c r="F115" i="23"/>
  <c r="E115" i="23"/>
  <c r="H115" i="23"/>
  <c r="D508" i="23"/>
  <c r="C510" i="23" s="1"/>
  <c r="C511" i="23" s="1"/>
  <c r="D114" i="23"/>
  <c r="D115" i="23" s="1"/>
  <c r="J114" i="23"/>
  <c r="C18" i="12"/>
  <c r="C16" i="15"/>
  <c r="C15" i="11"/>
  <c r="C16" i="7"/>
  <c r="C15" i="8"/>
  <c r="C17" i="2"/>
  <c r="C18" i="27"/>
  <c r="D241" i="19" l="1"/>
  <c r="D264" i="19" s="1"/>
  <c r="C118" i="11"/>
  <c r="K108" i="23"/>
  <c r="P240" i="23"/>
  <c r="P241" i="23" s="1"/>
  <c r="J119" i="23" s="1"/>
  <c r="K109" i="23"/>
  <c r="K105" i="23"/>
  <c r="V229" i="23" s="1"/>
  <c r="K104" i="23"/>
  <c r="K102" i="23"/>
  <c r="V226" i="23" s="1"/>
  <c r="K112" i="23"/>
  <c r="K111" i="23"/>
  <c r="K107" i="23"/>
  <c r="V230" i="23" s="1"/>
  <c r="K103" i="23"/>
  <c r="K106" i="23"/>
  <c r="V228" i="23" s="1"/>
  <c r="K110" i="23"/>
  <c r="K101" i="23"/>
  <c r="V225" i="23" s="1"/>
  <c r="C84" i="22"/>
  <c r="D260" i="19" l="1"/>
  <c r="D268" i="19" s="1"/>
  <c r="D402" i="19" s="1"/>
  <c r="D398" i="19"/>
  <c r="V227" i="23"/>
  <c r="P242" i="23"/>
  <c r="J120" i="23" s="1"/>
  <c r="V231" i="23"/>
  <c r="V232" i="23"/>
  <c r="D518" i="8"/>
  <c r="D511" i="8"/>
  <c r="D406" i="15"/>
  <c r="D399" i="15"/>
  <c r="D428" i="12"/>
  <c r="D421" i="12"/>
  <c r="D428" i="7"/>
  <c r="D421" i="7"/>
  <c r="D272" i="19" l="1"/>
  <c r="D355" i="19" s="1"/>
  <c r="D408" i="19"/>
  <c r="D283" i="19"/>
  <c r="D299" i="19" s="1"/>
  <c r="D353" i="19"/>
  <c r="D281" i="19"/>
  <c r="D435" i="12"/>
  <c r="D279" i="19" l="1"/>
  <c r="D295" i="19" s="1"/>
  <c r="D275" i="19"/>
  <c r="D351" i="19"/>
  <c r="D277" i="19"/>
  <c r="D293" i="19" s="1"/>
  <c r="D308" i="19"/>
  <c r="D297" i="19"/>
  <c r="D291" i="19"/>
  <c r="D302" i="19" s="1"/>
  <c r="D304" i="19" s="1"/>
  <c r="D287" i="19"/>
  <c r="D285" i="19"/>
  <c r="C13" i="22"/>
  <c r="C17" i="20"/>
  <c r="C14" i="11"/>
  <c r="C14" i="8"/>
  <c r="C15" i="15"/>
  <c r="C15" i="7"/>
  <c r="C17" i="12"/>
  <c r="C16" i="2"/>
  <c r="D311" i="19" l="1"/>
  <c r="D313" i="19" s="1"/>
  <c r="D357" i="19"/>
  <c r="D359" i="19" s="1"/>
  <c r="C41" i="30"/>
  <c r="C51" i="30" s="1"/>
  <c r="C92" i="30" s="1"/>
  <c r="C21" i="12"/>
  <c r="C114" i="12" s="1"/>
  <c r="C112" i="12" s="1"/>
  <c r="C31" i="12"/>
  <c r="C25" i="12"/>
  <c r="C147" i="12"/>
  <c r="C27" i="12"/>
  <c r="C29" i="12"/>
  <c r="C14" i="12"/>
  <c r="C11" i="11"/>
  <c r="C123" i="11" s="1"/>
  <c r="C35" i="12"/>
  <c r="C37" i="12"/>
  <c r="C39" i="12"/>
  <c r="C13" i="2"/>
  <c r="C43" i="12"/>
  <c r="D441" i="12" s="1"/>
  <c r="C13" i="12"/>
  <c r="C41" i="12"/>
  <c r="C33" i="12"/>
  <c r="C18" i="8"/>
  <c r="C248" i="8" s="1"/>
  <c r="C247" i="8"/>
  <c r="C49" i="12"/>
  <c r="C199" i="12" s="1"/>
  <c r="C18" i="11"/>
  <c r="C20" i="11"/>
  <c r="C22" i="11"/>
  <c r="C28" i="11"/>
  <c r="C166" i="11" s="1"/>
  <c r="C26" i="11"/>
  <c r="C35" i="22"/>
  <c r="C24" i="8"/>
  <c r="C44" i="8" s="1"/>
  <c r="C525" i="8"/>
  <c r="C413" i="15"/>
  <c r="C435" i="7"/>
  <c r="C185" i="22"/>
  <c r="D104" i="22"/>
  <c r="D125" i="22" s="1"/>
  <c r="D159" i="22" s="1"/>
  <c r="C104" i="22"/>
  <c r="C125" i="22" s="1"/>
  <c r="C19" i="22"/>
  <c r="C21" i="22"/>
  <c r="C23" i="22"/>
  <c r="C86" i="22" s="1"/>
  <c r="C17" i="22"/>
  <c r="C15" i="22"/>
  <c r="C27" i="22" s="1"/>
  <c r="C11" i="22"/>
  <c r="C10" i="22"/>
  <c r="C26" i="22" s="1"/>
  <c r="C154" i="20"/>
  <c r="C156" i="20" s="1"/>
  <c r="D94" i="20"/>
  <c r="C26" i="20"/>
  <c r="D98" i="20"/>
  <c r="C24" i="20"/>
  <c r="D96" i="20" s="1"/>
  <c r="C89" i="20"/>
  <c r="D89" i="20" s="1"/>
  <c r="C28" i="20"/>
  <c r="D93" i="20" s="1"/>
  <c r="Q92" i="20"/>
  <c r="Q93" i="20"/>
  <c r="Q94" i="20"/>
  <c r="Q95" i="20"/>
  <c r="C98" i="20"/>
  <c r="K92" i="20"/>
  <c r="K93" i="20" s="1"/>
  <c r="K94" i="20" s="1"/>
  <c r="K95" i="20" s="1"/>
  <c r="K96" i="20" s="1"/>
  <c r="K97" i="20" s="1"/>
  <c r="K98" i="20" s="1"/>
  <c r="K99" i="20" s="1"/>
  <c r="K100" i="20" s="1"/>
  <c r="K101" i="20" s="1"/>
  <c r="K102" i="20" s="1"/>
  <c r="K103" i="20" s="1"/>
  <c r="K104" i="20" s="1"/>
  <c r="K105" i="20" s="1"/>
  <c r="C96" i="20"/>
  <c r="C94" i="20"/>
  <c r="C36" i="20"/>
  <c r="D146" i="20" s="1"/>
  <c r="C34" i="20"/>
  <c r="C92" i="20"/>
  <c r="C14" i="20"/>
  <c r="C91" i="20" s="1"/>
  <c r="D91" i="20" s="1"/>
  <c r="C120" i="20"/>
  <c r="D120" i="20" s="1"/>
  <c r="C24" i="11"/>
  <c r="I334" i="8"/>
  <c r="E186" i="8"/>
  <c r="F244" i="8" s="1"/>
  <c r="E190" i="8"/>
  <c r="F190" i="8"/>
  <c r="F189" i="8"/>
  <c r="E189" i="8"/>
  <c r="C22" i="8"/>
  <c r="C169" i="8" s="1"/>
  <c r="C30" i="8"/>
  <c r="C171" i="8" s="1"/>
  <c r="C28" i="8"/>
  <c r="C26" i="8"/>
  <c r="C20" i="8"/>
  <c r="C11" i="8"/>
  <c r="I222" i="15"/>
  <c r="C27" i="15"/>
  <c r="C176" i="15" s="1"/>
  <c r="C35" i="15"/>
  <c r="C178" i="15" s="1"/>
  <c r="C33" i="15"/>
  <c r="C31" i="15"/>
  <c r="C29" i="15"/>
  <c r="C25" i="15"/>
  <c r="C145" i="15" s="1"/>
  <c r="C23" i="15"/>
  <c r="C21" i="15"/>
  <c r="C19" i="15"/>
  <c r="C146" i="15"/>
  <c r="C12" i="15"/>
  <c r="C29" i="7"/>
  <c r="C197" i="7" s="1"/>
  <c r="C33" i="7"/>
  <c r="C166" i="7" s="1"/>
  <c r="C23" i="7"/>
  <c r="C27" i="7"/>
  <c r="C21" i="7"/>
  <c r="C163" i="7" s="1"/>
  <c r="C39" i="7"/>
  <c r="C199" i="7" s="1"/>
  <c r="C37" i="7"/>
  <c r="C35" i="7"/>
  <c r="C31" i="7"/>
  <c r="C25" i="7"/>
  <c r="C19" i="7"/>
  <c r="C178" i="7" s="1"/>
  <c r="C141" i="7"/>
  <c r="C12" i="7"/>
  <c r="C11" i="7"/>
  <c r="I243" i="12"/>
  <c r="C47" i="12"/>
  <c r="C45" i="12"/>
  <c r="C23" i="12"/>
  <c r="C25" i="2"/>
  <c r="C29" i="2"/>
  <c r="C156" i="2" s="1"/>
  <c r="C27" i="2"/>
  <c r="C23" i="2"/>
  <c r="C21" i="2"/>
  <c r="C19" i="2"/>
  <c r="C12" i="2"/>
  <c r="D468" i="19" l="1"/>
  <c r="D479" i="19" s="1"/>
  <c r="D481" i="19" s="1"/>
  <c r="C482" i="19" s="1"/>
  <c r="C483" i="19" s="1"/>
  <c r="D363" i="19"/>
  <c r="D411" i="19" s="1"/>
  <c r="C413" i="19" s="1"/>
  <c r="C414" i="19" s="1"/>
  <c r="C415" i="19" s="1"/>
  <c r="D430" i="19"/>
  <c r="D445" i="19" s="1"/>
  <c r="D447" i="19" s="1"/>
  <c r="C449" i="19" s="1"/>
  <c r="C450" i="19" s="1"/>
  <c r="C39" i="11"/>
  <c r="C73" i="11"/>
  <c r="D73" i="11" s="1"/>
  <c r="C41" i="11"/>
  <c r="C74" i="11" s="1"/>
  <c r="D74" i="11" s="1"/>
  <c r="C164" i="11"/>
  <c r="C159" i="22"/>
  <c r="C48" i="20"/>
  <c r="C78" i="20" s="1"/>
  <c r="F100" i="19"/>
  <c r="C52" i="30"/>
  <c r="C93" i="30" s="1"/>
  <c r="AR6" i="24" s="1"/>
  <c r="D92" i="30"/>
  <c r="AS5" i="24" s="1"/>
  <c r="AR5" i="24"/>
  <c r="F194" i="8"/>
  <c r="F206" i="8"/>
  <c r="E215" i="8"/>
  <c r="E197" i="8"/>
  <c r="E217" i="8"/>
  <c r="E199" i="8"/>
  <c r="F210" i="8"/>
  <c r="F231" i="8"/>
  <c r="F208" i="8"/>
  <c r="E201" i="8"/>
  <c r="E213" i="8"/>
  <c r="E236" i="8"/>
  <c r="C164" i="7"/>
  <c r="C165" i="7" s="1"/>
  <c r="D92" i="20"/>
  <c r="D97" i="20" s="1"/>
  <c r="D107" i="20" s="1"/>
  <c r="E154" i="20"/>
  <c r="E155" i="20" s="1"/>
  <c r="C165" i="12"/>
  <c r="C166" i="12" s="1"/>
  <c r="D92" i="22"/>
  <c r="D93" i="22"/>
  <c r="E195" i="8"/>
  <c r="E204" i="8"/>
  <c r="E211" i="8"/>
  <c r="F222" i="8"/>
  <c r="C51" i="7"/>
  <c r="C40" i="2"/>
  <c r="C67" i="2" s="1"/>
  <c r="C20" i="27"/>
  <c r="C97" i="20"/>
  <c r="C107" i="20" s="1"/>
  <c r="D91" i="22"/>
  <c r="C113" i="22"/>
  <c r="C134" i="22" s="1"/>
  <c r="C167" i="22" s="1"/>
  <c r="D113" i="22"/>
  <c r="D134" i="22" s="1"/>
  <c r="D167" i="22" s="1"/>
  <c r="C197" i="12"/>
  <c r="C164" i="12"/>
  <c r="C61" i="12"/>
  <c r="Q96" i="20"/>
  <c r="C108" i="20" s="1"/>
  <c r="D435" i="7"/>
  <c r="C48" i="7" s="1"/>
  <c r="C58" i="12"/>
  <c r="D525" i="8"/>
  <c r="C41" i="8" s="1"/>
  <c r="D413" i="15"/>
  <c r="C44" i="15" s="1"/>
  <c r="F226" i="8"/>
  <c r="E220" i="8"/>
  <c r="F224" i="8"/>
  <c r="F228" i="8"/>
  <c r="E233" i="8"/>
  <c r="F241" i="8"/>
  <c r="F196" i="8"/>
  <c r="F201" i="8"/>
  <c r="F205" i="8"/>
  <c r="E208" i="8"/>
  <c r="F212" i="8"/>
  <c r="F217" i="8"/>
  <c r="F221" i="8"/>
  <c r="E224" i="8"/>
  <c r="E229" i="8"/>
  <c r="E234" i="8"/>
  <c r="E244" i="8"/>
  <c r="G244" i="8" s="1"/>
  <c r="H244" i="8" s="1"/>
  <c r="E194" i="8"/>
  <c r="F199" i="8"/>
  <c r="F203" i="8"/>
  <c r="E206" i="8"/>
  <c r="E210" i="8"/>
  <c r="F215" i="8"/>
  <c r="F219" i="8"/>
  <c r="E222" i="8"/>
  <c r="E226" i="8"/>
  <c r="F233" i="8"/>
  <c r="F237" i="8"/>
  <c r="F239" i="8"/>
  <c r="E227" i="8"/>
  <c r="E231" i="8"/>
  <c r="F235" i="8"/>
  <c r="E240" i="8"/>
  <c r="E238" i="8"/>
  <c r="E242" i="8"/>
  <c r="E196" i="8"/>
  <c r="F198" i="8"/>
  <c r="F200" i="8"/>
  <c r="F202" i="8"/>
  <c r="E203" i="8"/>
  <c r="E205" i="8"/>
  <c r="G205" i="8" s="1"/>
  <c r="H205" i="8" s="1"/>
  <c r="F207" i="8"/>
  <c r="F209" i="8"/>
  <c r="E212" i="8"/>
  <c r="F214" i="8"/>
  <c r="F216" i="8"/>
  <c r="F218" i="8"/>
  <c r="E219" i="8"/>
  <c r="E221" i="8"/>
  <c r="G221" i="8" s="1"/>
  <c r="H221" i="8" s="1"/>
  <c r="F223" i="8"/>
  <c r="F225" i="8"/>
  <c r="E228" i="8"/>
  <c r="F230" i="8"/>
  <c r="F232" i="8"/>
  <c r="E235" i="8"/>
  <c r="E237" i="8"/>
  <c r="E239" i="8"/>
  <c r="G239" i="8" s="1"/>
  <c r="H239" i="8" s="1"/>
  <c r="D247" i="8" s="1"/>
  <c r="E241" i="8"/>
  <c r="E243" i="8"/>
  <c r="F243" i="8"/>
  <c r="F195" i="8"/>
  <c r="F197" i="8"/>
  <c r="E198" i="8"/>
  <c r="E200" i="8"/>
  <c r="E202" i="8"/>
  <c r="F204" i="8"/>
  <c r="E207" i="8"/>
  <c r="E209" i="8"/>
  <c r="F211" i="8"/>
  <c r="F213" i="8"/>
  <c r="E214" i="8"/>
  <c r="E216" i="8"/>
  <c r="E218" i="8"/>
  <c r="F220" i="8"/>
  <c r="E223" i="8"/>
  <c r="E225" i="8"/>
  <c r="F227" i="8"/>
  <c r="F229" i="8"/>
  <c r="E230" i="8"/>
  <c r="E232" i="8"/>
  <c r="F234" i="8"/>
  <c r="F236" i="8"/>
  <c r="F238" i="8"/>
  <c r="F240" i="8"/>
  <c r="F242" i="8"/>
  <c r="C115" i="8"/>
  <c r="C116" i="8" s="1"/>
  <c r="G189" i="8"/>
  <c r="G190" i="8"/>
  <c r="C47" i="15"/>
  <c r="C137" i="15"/>
  <c r="C106" i="15"/>
  <c r="C208" i="7"/>
  <c r="C118" i="12"/>
  <c r="C101" i="8"/>
  <c r="D265" i="7"/>
  <c r="D266" i="7" s="1"/>
  <c r="D243" i="15"/>
  <c r="D244" i="15" s="1"/>
  <c r="D355" i="8"/>
  <c r="D356" i="8" s="1"/>
  <c r="D265" i="12"/>
  <c r="C95" i="20"/>
  <c r="C157" i="20"/>
  <c r="C93" i="20"/>
  <c r="C100" i="20" s="1"/>
  <c r="C121" i="20" s="1"/>
  <c r="C311" i="8"/>
  <c r="C146" i="8"/>
  <c r="C99" i="7"/>
  <c r="C155" i="20"/>
  <c r="F154" i="20" s="1"/>
  <c r="D13" i="11"/>
  <c r="C101" i="2"/>
  <c r="C132" i="2"/>
  <c r="C161" i="7"/>
  <c r="C186" i="15"/>
  <c r="C198" i="15"/>
  <c r="C130" i="7"/>
  <c r="C220" i="7"/>
  <c r="G91" i="20"/>
  <c r="D90" i="20"/>
  <c r="G90" i="20" s="1"/>
  <c r="D101" i="20" s="1"/>
  <c r="F91" i="20"/>
  <c r="C90" i="20"/>
  <c r="C299" i="8"/>
  <c r="C84" i="20"/>
  <c r="C219" i="12"/>
  <c r="C139" i="12"/>
  <c r="C62" i="22"/>
  <c r="C207" i="12"/>
  <c r="C162" i="12"/>
  <c r="C99" i="20" l="1"/>
  <c r="C127" i="20" s="1"/>
  <c r="G217" i="8"/>
  <c r="H217" i="8" s="1"/>
  <c r="G231" i="8"/>
  <c r="H231" i="8" s="1"/>
  <c r="G211" i="8"/>
  <c r="H211" i="8" s="1"/>
  <c r="H101" i="19"/>
  <c r="D62" i="22"/>
  <c r="BA4" i="24" s="1"/>
  <c r="AZ4" i="24"/>
  <c r="G234" i="8"/>
  <c r="H234" i="8" s="1"/>
  <c r="G206" i="8"/>
  <c r="H206" i="8" s="1"/>
  <c r="F101" i="19"/>
  <c r="H100" i="19"/>
  <c r="D95" i="22"/>
  <c r="D94" i="22"/>
  <c r="G213" i="8"/>
  <c r="H213" i="8" s="1"/>
  <c r="G226" i="8"/>
  <c r="H226" i="8" s="1"/>
  <c r="G210" i="8"/>
  <c r="H210" i="8" s="1"/>
  <c r="G194" i="8"/>
  <c r="H194" i="8" s="1"/>
  <c r="G208" i="8"/>
  <c r="H208" i="8" s="1"/>
  <c r="G199" i="8"/>
  <c r="H199" i="8" s="1"/>
  <c r="G212" i="8"/>
  <c r="H212" i="8" s="1"/>
  <c r="H11" i="24"/>
  <c r="H12" i="24"/>
  <c r="C185" i="7"/>
  <c r="C116" i="30"/>
  <c r="C185" i="12"/>
  <c r="C154" i="8"/>
  <c r="C145" i="2"/>
  <c r="C72" i="22"/>
  <c r="C75" i="22" s="1"/>
  <c r="C164" i="15"/>
  <c r="F218" i="23"/>
  <c r="C104" i="20"/>
  <c r="G236" i="8"/>
  <c r="H236" i="8" s="1"/>
  <c r="G197" i="8"/>
  <c r="H197" i="8" s="1"/>
  <c r="G227" i="8"/>
  <c r="H227" i="8" s="1"/>
  <c r="G195" i="8"/>
  <c r="H195" i="8" s="1"/>
  <c r="G204" i="8"/>
  <c r="H204" i="8" s="1"/>
  <c r="G215" i="8"/>
  <c r="H215" i="8" s="1"/>
  <c r="G218" i="8"/>
  <c r="H218" i="8" s="1"/>
  <c r="G202" i="8"/>
  <c r="H202" i="8" s="1"/>
  <c r="G224" i="8"/>
  <c r="H224" i="8" s="1"/>
  <c r="G233" i="8"/>
  <c r="H233" i="8" s="1"/>
  <c r="G222" i="8"/>
  <c r="H222" i="8" s="1"/>
  <c r="G201" i="8"/>
  <c r="H201" i="8" s="1"/>
  <c r="D102" i="20"/>
  <c r="D100" i="20"/>
  <c r="D128" i="20" s="1"/>
  <c r="D95" i="20"/>
  <c r="D99" i="20" s="1"/>
  <c r="AV4" i="24"/>
  <c r="D78" i="20"/>
  <c r="AW4" i="24" s="1"/>
  <c r="AO4" i="24"/>
  <c r="AN4" i="24"/>
  <c r="D67" i="2"/>
  <c r="U4" i="24" s="1"/>
  <c r="T4" i="24"/>
  <c r="J107" i="19"/>
  <c r="H9" i="24" s="1"/>
  <c r="C160" i="20"/>
  <c r="D108" i="20"/>
  <c r="C80" i="8"/>
  <c r="G220" i="8"/>
  <c r="H220" i="8" s="1"/>
  <c r="G237" i="8"/>
  <c r="H237" i="8" s="1"/>
  <c r="G228" i="8"/>
  <c r="H228" i="8" s="1"/>
  <c r="G219" i="8"/>
  <c r="H219" i="8" s="1"/>
  <c r="G203" i="8"/>
  <c r="H203" i="8" s="1"/>
  <c r="G241" i="8"/>
  <c r="H241" i="8" s="1"/>
  <c r="G229" i="8"/>
  <c r="H229" i="8" s="1"/>
  <c r="G196" i="8"/>
  <c r="H196" i="8" s="1"/>
  <c r="G240" i="8"/>
  <c r="H240" i="8" s="1"/>
  <c r="G235" i="8"/>
  <c r="H235" i="8" s="1"/>
  <c r="H189" i="8"/>
  <c r="G238" i="8"/>
  <c r="H238" i="8" s="1"/>
  <c r="D248" i="8" s="1"/>
  <c r="G242" i="8"/>
  <c r="H242" i="8" s="1"/>
  <c r="G225" i="8"/>
  <c r="H225" i="8" s="1"/>
  <c r="G209" i="8"/>
  <c r="H209" i="8" s="1"/>
  <c r="G232" i="8"/>
  <c r="H232" i="8" s="1"/>
  <c r="G216" i="8"/>
  <c r="H216" i="8" s="1"/>
  <c r="G200" i="8"/>
  <c r="H200" i="8" s="1"/>
  <c r="G230" i="8"/>
  <c r="H230" i="8" s="1"/>
  <c r="G223" i="8"/>
  <c r="H223" i="8" s="1"/>
  <c r="G214" i="8"/>
  <c r="H214" i="8" s="1"/>
  <c r="G207" i="8"/>
  <c r="H207" i="8" s="1"/>
  <c r="G198" i="8"/>
  <c r="H198" i="8" s="1"/>
  <c r="G243" i="8"/>
  <c r="H243" i="8" s="1"/>
  <c r="D123" i="22"/>
  <c r="G101" i="19"/>
  <c r="G154" i="20"/>
  <c r="C158" i="20"/>
  <c r="C159" i="20" s="1"/>
  <c r="C86" i="7"/>
  <c r="C128" i="20"/>
  <c r="C105" i="20"/>
  <c r="C106" i="20" s="1"/>
  <c r="G100" i="19"/>
  <c r="F90" i="20"/>
  <c r="C101" i="20" s="1"/>
  <c r="C102" i="20" s="1"/>
  <c r="C103" i="20"/>
  <c r="E156" i="20"/>
  <c r="C81" i="15"/>
  <c r="D103" i="20"/>
  <c r="F102" i="19" l="1"/>
  <c r="D145" i="22" s="1"/>
  <c r="E101" i="19"/>
  <c r="C121" i="30"/>
  <c r="C129" i="30" s="1"/>
  <c r="J108" i="19"/>
  <c r="H10" i="24" s="1"/>
  <c r="D127" i="20"/>
  <c r="D129" i="20" s="1"/>
  <c r="D130" i="20" s="1"/>
  <c r="D141" i="20" s="1"/>
  <c r="E102" i="19"/>
  <c r="B33" i="19"/>
  <c r="D96" i="22"/>
  <c r="C63" i="22" s="1"/>
  <c r="D63" i="22" s="1"/>
  <c r="C12" i="30"/>
  <c r="C96" i="30" s="1"/>
  <c r="C97" i="30" s="1"/>
  <c r="C53" i="30" s="1"/>
  <c r="D249" i="8"/>
  <c r="C123" i="8" s="1"/>
  <c r="D337" i="8" s="1"/>
  <c r="D342" i="8" s="1"/>
  <c r="G171" i="23"/>
  <c r="P5" i="24"/>
  <c r="Q5" i="24"/>
  <c r="D104" i="20"/>
  <c r="C15" i="2"/>
  <c r="C82" i="2" s="1"/>
  <c r="C113" i="2" s="1"/>
  <c r="C14" i="7"/>
  <c r="C91" i="7" s="1"/>
  <c r="C118" i="30"/>
  <c r="C16" i="12"/>
  <c r="C12" i="22"/>
  <c r="C81" i="22" s="1"/>
  <c r="C13" i="11"/>
  <c r="C16" i="27"/>
  <c r="C82" i="27" s="1"/>
  <c r="C13" i="8"/>
  <c r="C14" i="15"/>
  <c r="C86" i="15" s="1"/>
  <c r="D105" i="20"/>
  <c r="D106" i="20" s="1"/>
  <c r="D121" i="20"/>
  <c r="AO5" i="24"/>
  <c r="AN5" i="24"/>
  <c r="D80" i="8"/>
  <c r="AK4" i="24" s="1"/>
  <c r="AJ4" i="24"/>
  <c r="D81" i="15"/>
  <c r="AG4" i="24" s="1"/>
  <c r="AF4" i="24"/>
  <c r="D86" i="7"/>
  <c r="AC4" i="24" s="1"/>
  <c r="AB4" i="24"/>
  <c r="C123" i="22"/>
  <c r="C132" i="22" s="1"/>
  <c r="C135" i="22" s="1"/>
  <c r="C129" i="20"/>
  <c r="C130" i="20" s="1"/>
  <c r="H154" i="20"/>
  <c r="F155" i="20"/>
  <c r="E157" i="20"/>
  <c r="C102" i="22"/>
  <c r="E100" i="19"/>
  <c r="D132" i="22"/>
  <c r="D135" i="22" s="1"/>
  <c r="D126" i="22"/>
  <c r="D102" i="22"/>
  <c r="C91" i="11" l="1"/>
  <c r="C87" i="11" s="1"/>
  <c r="C153" i="11"/>
  <c r="C161" i="11" s="1"/>
  <c r="C78" i="11"/>
  <c r="C150" i="11"/>
  <c r="G102" i="19"/>
  <c r="C145" i="22"/>
  <c r="C146" i="22" s="1"/>
  <c r="C136" i="22"/>
  <c r="C183" i="22" s="1"/>
  <c r="C109" i="7"/>
  <c r="C71" i="2"/>
  <c r="C73" i="2" s="1"/>
  <c r="C108" i="12"/>
  <c r="C183" i="27"/>
  <c r="C85" i="8"/>
  <c r="C101" i="12"/>
  <c r="C68" i="22"/>
  <c r="C169" i="27"/>
  <c r="C172" i="27" s="1"/>
  <c r="D146" i="22"/>
  <c r="J112" i="19"/>
  <c r="H14" i="24" s="1"/>
  <c r="C39" i="20"/>
  <c r="BA5" i="24"/>
  <c r="AZ5" i="24"/>
  <c r="C126" i="22"/>
  <c r="C127" i="22" s="1"/>
  <c r="C175" i="22"/>
  <c r="C32" i="8"/>
  <c r="D131" i="20"/>
  <c r="C158" i="12"/>
  <c r="C110" i="8"/>
  <c r="C147" i="15"/>
  <c r="C142" i="7"/>
  <c r="C148" i="12"/>
  <c r="C178" i="12"/>
  <c r="C179" i="12" s="1"/>
  <c r="C135" i="12" s="1"/>
  <c r="C149" i="12"/>
  <c r="C150" i="12" s="1"/>
  <c r="C162" i="7"/>
  <c r="C156" i="12"/>
  <c r="C157" i="12" s="1"/>
  <c r="C145" i="7"/>
  <c r="C106" i="12"/>
  <c r="C127" i="12" s="1"/>
  <c r="C150" i="15"/>
  <c r="C160" i="7"/>
  <c r="C167" i="7" s="1"/>
  <c r="C168" i="7" s="1"/>
  <c r="C169" i="7" s="1"/>
  <c r="G155" i="20"/>
  <c r="H155" i="20" s="1"/>
  <c r="F156" i="20"/>
  <c r="D111" i="22"/>
  <c r="D114" i="22" s="1"/>
  <c r="D105" i="22"/>
  <c r="E158" i="20"/>
  <c r="C111" i="22"/>
  <c r="C114" i="22" s="1"/>
  <c r="C105" i="22"/>
  <c r="C98" i="11" l="1"/>
  <c r="C106" i="11"/>
  <c r="C95" i="11"/>
  <c r="C112" i="11"/>
  <c r="C106" i="22"/>
  <c r="C115" i="22"/>
  <c r="C182" i="22" s="1"/>
  <c r="C131" i="8"/>
  <c r="C142" i="8"/>
  <c r="C147" i="8" s="1"/>
  <c r="C148" i="8" s="1"/>
  <c r="C307" i="8"/>
  <c r="C309" i="8" s="1"/>
  <c r="C151" i="12"/>
  <c r="C152" i="12" s="1"/>
  <c r="C153" i="12" s="1"/>
  <c r="C154" i="12" s="1"/>
  <c r="C155" i="12" s="1"/>
  <c r="D267" i="12" s="1"/>
  <c r="C215" i="12"/>
  <c r="C217" i="12" s="1"/>
  <c r="I70" i="19"/>
  <c r="C19" i="27"/>
  <c r="C87" i="27" s="1"/>
  <c r="C153" i="27" s="1"/>
  <c r="C111" i="8"/>
  <c r="C35" i="8" s="1"/>
  <c r="C78" i="2"/>
  <c r="C123" i="30"/>
  <c r="C176" i="22"/>
  <c r="C190" i="22" s="1"/>
  <c r="C30" i="22" s="1"/>
  <c r="C40" i="20"/>
  <c r="C50" i="20" s="1"/>
  <c r="D246" i="12"/>
  <c r="C170" i="7"/>
  <c r="C171" i="7" s="1"/>
  <c r="C144" i="7"/>
  <c r="D247" i="7" s="1"/>
  <c r="C179" i="7"/>
  <c r="C143" i="7"/>
  <c r="C133" i="12"/>
  <c r="C180" i="12"/>
  <c r="C52" i="12"/>
  <c r="C110" i="12"/>
  <c r="C161" i="12" s="1"/>
  <c r="C149" i="15"/>
  <c r="C148" i="15"/>
  <c r="F157" i="20"/>
  <c r="G156" i="20"/>
  <c r="H156" i="20" s="1"/>
  <c r="E159" i="20"/>
  <c r="C139" i="22"/>
  <c r="C115" i="11" l="1"/>
  <c r="C102" i="11"/>
  <c r="C121" i="11"/>
  <c r="C173" i="7"/>
  <c r="C188" i="7" s="1"/>
  <c r="D251" i="12"/>
  <c r="D274" i="12" s="1"/>
  <c r="D355" i="12" s="1"/>
  <c r="C129" i="12"/>
  <c r="C131" i="12" s="1"/>
  <c r="C137" i="12" s="1"/>
  <c r="C140" i="12" s="1"/>
  <c r="C86" i="2"/>
  <c r="C117" i="2" s="1"/>
  <c r="C97" i="2"/>
  <c r="D101" i="19"/>
  <c r="J101" i="19" s="1"/>
  <c r="C91" i="27"/>
  <c r="C95" i="27" s="1"/>
  <c r="C98" i="27" s="1"/>
  <c r="C109" i="2"/>
  <c r="C128" i="2" s="1"/>
  <c r="C133" i="2" s="1"/>
  <c r="C205" i="12"/>
  <c r="C208" i="12" s="1"/>
  <c r="C184" i="15"/>
  <c r="C187" i="15" s="1"/>
  <c r="C125" i="30"/>
  <c r="C128" i="30" s="1"/>
  <c r="C130" i="30" s="1"/>
  <c r="C132" i="30" s="1"/>
  <c r="C55" i="30" s="1"/>
  <c r="C206" i="7"/>
  <c r="C209" i="7" s="1"/>
  <c r="C297" i="8"/>
  <c r="C300" i="8" s="1"/>
  <c r="C301" i="8" s="1"/>
  <c r="C89" i="2"/>
  <c r="C120" i="2" s="1"/>
  <c r="C156" i="27"/>
  <c r="C157" i="27" s="1"/>
  <c r="C161" i="27"/>
  <c r="C164" i="27" s="1"/>
  <c r="C165" i="27" s="1"/>
  <c r="C173" i="27" s="1"/>
  <c r="C174" i="27" s="1"/>
  <c r="C95" i="12"/>
  <c r="C79" i="20"/>
  <c r="C172" i="7"/>
  <c r="C220" i="12"/>
  <c r="C151" i="15"/>
  <c r="C152" i="15" s="1"/>
  <c r="C153" i="15" s="1"/>
  <c r="C42" i="7"/>
  <c r="C43" i="7" s="1"/>
  <c r="C180" i="7"/>
  <c r="C146" i="7"/>
  <c r="C147" i="7" s="1"/>
  <c r="C116" i="12"/>
  <c r="C119" i="12" s="1"/>
  <c r="C120" i="12" s="1"/>
  <c r="C99" i="8"/>
  <c r="C102" i="8" s="1"/>
  <c r="C103" i="8" s="1"/>
  <c r="C104" i="15"/>
  <c r="C107" i="15" s="1"/>
  <c r="C108" i="15" s="1"/>
  <c r="C97" i="7"/>
  <c r="F158" i="20"/>
  <c r="G157" i="20"/>
  <c r="H157" i="20" s="1"/>
  <c r="C118" i="22"/>
  <c r="E160" i="20"/>
  <c r="C189" i="22"/>
  <c r="C127" i="11" l="1"/>
  <c r="C131" i="11" s="1"/>
  <c r="C132" i="11" s="1"/>
  <c r="D100" i="19"/>
  <c r="J100" i="19" s="1"/>
  <c r="H102" i="19"/>
  <c r="C209" i="12"/>
  <c r="C419" i="12" s="1"/>
  <c r="C188" i="15"/>
  <c r="C397" i="15" s="1"/>
  <c r="D397" i="15" s="1"/>
  <c r="C210" i="7"/>
  <c r="C419" i="7" s="1"/>
  <c r="D419" i="7" s="1"/>
  <c r="D270" i="12"/>
  <c r="D278" i="12" s="1"/>
  <c r="D359" i="12" s="1"/>
  <c r="C141" i="12"/>
  <c r="C425" i="12" s="1"/>
  <c r="D425" i="12" s="1"/>
  <c r="C221" i="12"/>
  <c r="C426" i="12" s="1"/>
  <c r="D90" i="30"/>
  <c r="AS3" i="24" s="1"/>
  <c r="C56" i="30"/>
  <c r="D93" i="30" s="1"/>
  <c r="AS6" i="24" s="1"/>
  <c r="C54" i="30"/>
  <c r="C93" i="2"/>
  <c r="C124" i="2" s="1"/>
  <c r="H3" i="24"/>
  <c r="C166" i="27"/>
  <c r="C42" i="27" s="1"/>
  <c r="C170" i="27"/>
  <c r="C171" i="27" s="1"/>
  <c r="C175" i="27" s="1"/>
  <c r="D79" i="20"/>
  <c r="AW5" i="24" s="1"/>
  <c r="AV5" i="24"/>
  <c r="C53" i="7"/>
  <c r="C87" i="7" s="1"/>
  <c r="D95" i="12"/>
  <c r="Y4" i="24" s="1"/>
  <c r="X4" i="24"/>
  <c r="C509" i="8"/>
  <c r="D509" i="8" s="1"/>
  <c r="C508" i="8"/>
  <c r="D508" i="8" s="1"/>
  <c r="C396" i="15"/>
  <c r="D396" i="15" s="1"/>
  <c r="C174" i="7"/>
  <c r="C175" i="7" s="1"/>
  <c r="C194" i="7"/>
  <c r="C100" i="7"/>
  <c r="C418" i="12"/>
  <c r="D418" i="12" s="1"/>
  <c r="C167" i="12"/>
  <c r="C168" i="12" s="1"/>
  <c r="C169" i="12" s="1"/>
  <c r="C163" i="12"/>
  <c r="C148" i="7"/>
  <c r="C149" i="7" s="1"/>
  <c r="C150" i="7" s="1"/>
  <c r="C152" i="7" s="1"/>
  <c r="D252" i="7"/>
  <c r="D275" i="7" s="1"/>
  <c r="D355" i="7" s="1"/>
  <c r="C38" i="15"/>
  <c r="C154" i="15"/>
  <c r="C156" i="15" s="1"/>
  <c r="F159" i="20"/>
  <c r="G158" i="20"/>
  <c r="H158" i="20" s="1"/>
  <c r="C29" i="22"/>
  <c r="E161" i="20"/>
  <c r="C138" i="11" l="1"/>
  <c r="C139" i="11" s="1"/>
  <c r="C140" i="11" s="1"/>
  <c r="C141" i="11" s="1"/>
  <c r="C133" i="11"/>
  <c r="C433" i="12"/>
  <c r="D419" i="12"/>
  <c r="C101" i="7"/>
  <c r="C418" i="7" s="1"/>
  <c r="D418" i="7" s="1"/>
  <c r="D282" i="12"/>
  <c r="D297" i="12" s="1"/>
  <c r="D313" i="12" s="1"/>
  <c r="D365" i="12"/>
  <c r="C401" i="12" s="1"/>
  <c r="C223" i="12"/>
  <c r="D426" i="12"/>
  <c r="E103" i="19"/>
  <c r="E104" i="19"/>
  <c r="C153" i="22" s="1"/>
  <c r="C154" i="22" s="1"/>
  <c r="C102" i="2"/>
  <c r="C39" i="15"/>
  <c r="C49" i="15" s="1"/>
  <c r="C82" i="15" s="1"/>
  <c r="C167" i="15"/>
  <c r="C173" i="15" s="1"/>
  <c r="C177" i="27"/>
  <c r="C178" i="27" s="1"/>
  <c r="C52" i="27"/>
  <c r="C184" i="27"/>
  <c r="C185" i="27" s="1"/>
  <c r="C187" i="27" s="1"/>
  <c r="C53" i="27" s="1"/>
  <c r="C45" i="27"/>
  <c r="C46" i="27"/>
  <c r="D87" i="7"/>
  <c r="AC5" i="24" s="1"/>
  <c r="AB5" i="24"/>
  <c r="C155" i="15"/>
  <c r="C120" i="15" s="1"/>
  <c r="C151" i="7"/>
  <c r="C153" i="7"/>
  <c r="C154" i="7" s="1"/>
  <c r="C432" i="12"/>
  <c r="C144" i="12"/>
  <c r="C138" i="2"/>
  <c r="C170" i="12"/>
  <c r="C171" i="12" s="1"/>
  <c r="F160" i="20"/>
  <c r="G159" i="20"/>
  <c r="H159" i="20" s="1"/>
  <c r="E162" i="20"/>
  <c r="C145" i="11" l="1"/>
  <c r="C151" i="11" s="1"/>
  <c r="C152" i="11" s="1"/>
  <c r="C146" i="11"/>
  <c r="C154" i="11" s="1"/>
  <c r="C155" i="11" s="1"/>
  <c r="C134" i="11"/>
  <c r="C135" i="11" s="1"/>
  <c r="C143" i="11" s="1"/>
  <c r="C173" i="12"/>
  <c r="C188" i="12" s="1"/>
  <c r="C194" i="12" s="1"/>
  <c r="D102" i="19"/>
  <c r="C149" i="22"/>
  <c r="C150" i="22" s="1"/>
  <c r="C157" i="22" s="1"/>
  <c r="C438" i="12"/>
  <c r="D432" i="12"/>
  <c r="D433" i="12"/>
  <c r="C439" i="12"/>
  <c r="D439" i="12" s="1"/>
  <c r="C116" i="15"/>
  <c r="C111" i="7"/>
  <c r="C113" i="7" s="1"/>
  <c r="D343" i="12"/>
  <c r="D293" i="12"/>
  <c r="D309" i="12" s="1"/>
  <c r="D341" i="12"/>
  <c r="D339" i="12"/>
  <c r="D291" i="12"/>
  <c r="D307" i="12" s="1"/>
  <c r="D289" i="12"/>
  <c r="D305" i="12" s="1"/>
  <c r="D295" i="12"/>
  <c r="D322" i="12" s="1"/>
  <c r="C103" i="2"/>
  <c r="C144" i="2" s="1"/>
  <c r="C146" i="2" s="1"/>
  <c r="C134" i="2"/>
  <c r="G103" i="19"/>
  <c r="H103" i="19"/>
  <c r="C157" i="15"/>
  <c r="C158" i="15" s="1"/>
  <c r="H2" i="24"/>
  <c r="D75" i="27"/>
  <c r="C54" i="27"/>
  <c r="D78" i="27" s="1"/>
  <c r="C50" i="27"/>
  <c r="C78" i="27" s="1"/>
  <c r="C81" i="27" s="1"/>
  <c r="C51" i="27" s="1"/>
  <c r="C75" i="27"/>
  <c r="C48" i="27"/>
  <c r="C53" i="12"/>
  <c r="C172" i="12"/>
  <c r="C140" i="2"/>
  <c r="G160" i="20"/>
  <c r="H160" i="20" s="1"/>
  <c r="F161" i="20"/>
  <c r="E163" i="20"/>
  <c r="F103" i="19" l="1"/>
  <c r="D149" i="22" s="1"/>
  <c r="D150" i="22" s="1"/>
  <c r="H104" i="19"/>
  <c r="H113" i="19" s="1"/>
  <c r="F104" i="19"/>
  <c r="C156" i="11"/>
  <c r="C160" i="11" s="1"/>
  <c r="C162" i="11" s="1"/>
  <c r="C163" i="11" s="1"/>
  <c r="C165" i="11" s="1"/>
  <c r="C167" i="11" s="1"/>
  <c r="C147" i="11"/>
  <c r="C148" i="11" s="1"/>
  <c r="C141" i="2"/>
  <c r="C148" i="2" s="1"/>
  <c r="C154" i="2" s="1"/>
  <c r="C32" i="2"/>
  <c r="C227" i="12"/>
  <c r="J102" i="19"/>
  <c r="C319" i="8"/>
  <c r="C228" i="7"/>
  <c r="C206" i="15"/>
  <c r="C165" i="22"/>
  <c r="C168" i="22" s="1"/>
  <c r="C160" i="22"/>
  <c r="D438" i="12"/>
  <c r="C55" i="12" s="1"/>
  <c r="C56" i="12"/>
  <c r="C194" i="15"/>
  <c r="C196" i="15" s="1"/>
  <c r="D225" i="15"/>
  <c r="D230" i="15" s="1"/>
  <c r="C135" i="15"/>
  <c r="C216" i="7"/>
  <c r="C218" i="7" s="1"/>
  <c r="C221" i="7" s="1"/>
  <c r="C222" i="7" s="1"/>
  <c r="C128" i="7"/>
  <c r="D311" i="12"/>
  <c r="D316" i="12" s="1"/>
  <c r="D318" i="12" s="1"/>
  <c r="D299" i="12"/>
  <c r="D301" i="12"/>
  <c r="D325" i="12"/>
  <c r="D327" i="12" s="1"/>
  <c r="D345" i="12"/>
  <c r="D347" i="12" s="1"/>
  <c r="D374" i="12" s="1"/>
  <c r="D380" i="12" s="1"/>
  <c r="D381" i="12" s="1"/>
  <c r="C34" i="2"/>
  <c r="C39" i="2" s="1"/>
  <c r="C42" i="2"/>
  <c r="C68" i="2" s="1"/>
  <c r="G104" i="19"/>
  <c r="G113" i="19" s="1"/>
  <c r="E113" i="19"/>
  <c r="D82" i="15"/>
  <c r="AG5" i="24" s="1"/>
  <c r="AF5" i="24"/>
  <c r="C63" i="12"/>
  <c r="C35" i="11"/>
  <c r="C37" i="11" s="1"/>
  <c r="C147" i="2"/>
  <c r="C117" i="7"/>
  <c r="C120" i="7"/>
  <c r="C174" i="12"/>
  <c r="C175" i="12" s="1"/>
  <c r="C124" i="15"/>
  <c r="C127" i="15"/>
  <c r="F162" i="20"/>
  <c r="G161" i="20"/>
  <c r="H161" i="20" s="1"/>
  <c r="E164" i="20"/>
  <c r="C178" i="22" l="1"/>
  <c r="C192" i="22" s="1"/>
  <c r="C32" i="22" s="1"/>
  <c r="H4" i="24"/>
  <c r="C38" i="11"/>
  <c r="C42" i="11" s="1"/>
  <c r="C75" i="11" s="1"/>
  <c r="C79" i="11" s="1"/>
  <c r="C72" i="11"/>
  <c r="AN3" i="24" s="1"/>
  <c r="E121" i="34"/>
  <c r="G121" i="34"/>
  <c r="H121" i="34"/>
  <c r="D153" i="22"/>
  <c r="D154" i="22" s="1"/>
  <c r="D157" i="22" s="1"/>
  <c r="C131" i="15"/>
  <c r="D246" i="15"/>
  <c r="C124" i="7"/>
  <c r="D268" i="7"/>
  <c r="D271" i="7" s="1"/>
  <c r="D279" i="7" s="1"/>
  <c r="D359" i="7" s="1"/>
  <c r="D365" i="7" s="1"/>
  <c r="C401" i="7" s="1"/>
  <c r="D351" i="12"/>
  <c r="D368" i="12" s="1"/>
  <c r="D388" i="12"/>
  <c r="D394" i="12" s="1"/>
  <c r="C396" i="12" s="1"/>
  <c r="F113" i="19"/>
  <c r="C177" i="22"/>
  <c r="C44" i="11"/>
  <c r="C45" i="11"/>
  <c r="D68" i="2"/>
  <c r="U5" i="24" s="1"/>
  <c r="T5" i="24"/>
  <c r="C96" i="12"/>
  <c r="C149" i="2"/>
  <c r="C43" i="2"/>
  <c r="C69" i="2" s="1"/>
  <c r="C66" i="2"/>
  <c r="T3" i="24" s="1"/>
  <c r="C38" i="2"/>
  <c r="C199" i="15"/>
  <c r="C200" i="15" s="1"/>
  <c r="C131" i="7"/>
  <c r="C132" i="7" s="1"/>
  <c r="C426" i="7"/>
  <c r="C224" i="7"/>
  <c r="C41" i="2"/>
  <c r="D253" i="15"/>
  <c r="D333" i="15" s="1"/>
  <c r="G162" i="20"/>
  <c r="H162" i="20" s="1"/>
  <c r="F163" i="20"/>
  <c r="E165" i="20"/>
  <c r="C179" i="22" l="1"/>
  <c r="C71" i="22" s="1"/>
  <c r="C73" i="22" s="1"/>
  <c r="C43" i="11"/>
  <c r="D72" i="11"/>
  <c r="AO3" i="24" s="1"/>
  <c r="C40" i="11"/>
  <c r="F121" i="34"/>
  <c r="D104" i="19"/>
  <c r="C234" i="7" s="1"/>
  <c r="C404" i="12"/>
  <c r="D103" i="19"/>
  <c r="J103" i="19" s="1"/>
  <c r="D283" i="7"/>
  <c r="D339" i="7" s="1"/>
  <c r="C407" i="12"/>
  <c r="C150" i="2"/>
  <c r="C153" i="2" s="1"/>
  <c r="C155" i="2" s="1"/>
  <c r="C157" i="2" s="1"/>
  <c r="D165" i="22"/>
  <c r="D168" i="22" s="1"/>
  <c r="D160" i="22"/>
  <c r="C161" i="22" s="1"/>
  <c r="D96" i="12"/>
  <c r="Y5" i="24" s="1"/>
  <c r="X5" i="24"/>
  <c r="C72" i="2"/>
  <c r="C44" i="2" s="1"/>
  <c r="T6" i="24"/>
  <c r="C46" i="11"/>
  <c r="D75" i="11" s="1"/>
  <c r="C433" i="7"/>
  <c r="D426" i="7"/>
  <c r="C202" i="15"/>
  <c r="C404" i="15"/>
  <c r="C138" i="15"/>
  <c r="C135" i="7"/>
  <c r="C136" i="7" s="1"/>
  <c r="D249" i="15"/>
  <c r="D257" i="15" s="1"/>
  <c r="G163" i="20"/>
  <c r="H163" i="20" s="1"/>
  <c r="F164" i="20"/>
  <c r="E166" i="20"/>
  <c r="C169" i="22" l="1"/>
  <c r="C184" i="22" s="1"/>
  <c r="C186" i="22" s="1"/>
  <c r="C74" i="22" s="1"/>
  <c r="C76" i="22" s="1"/>
  <c r="C77" i="22" s="1"/>
  <c r="C80" i="22" s="1"/>
  <c r="C82" i="22" s="1"/>
  <c r="C83" i="22" s="1"/>
  <c r="C85" i="22" s="1"/>
  <c r="C87" i="22" s="1"/>
  <c r="C41" i="22" s="1"/>
  <c r="C410" i="12"/>
  <c r="C412" i="12" s="1"/>
  <c r="C325" i="8"/>
  <c r="C233" i="12"/>
  <c r="C212" i="15"/>
  <c r="C322" i="8"/>
  <c r="C209" i="15"/>
  <c r="C231" i="7"/>
  <c r="C237" i="7" s="1"/>
  <c r="C239" i="7" s="1"/>
  <c r="C230" i="12"/>
  <c r="D337" i="15"/>
  <c r="D343" i="15" s="1"/>
  <c r="C379" i="15" s="1"/>
  <c r="D261" i="15"/>
  <c r="C139" i="15"/>
  <c r="C403" i="15" s="1"/>
  <c r="D341" i="7"/>
  <c r="D343" i="7"/>
  <c r="D298" i="7"/>
  <c r="D314" i="7" s="1"/>
  <c r="D290" i="7"/>
  <c r="D296" i="7"/>
  <c r="D294" i="7"/>
  <c r="D310" i="7" s="1"/>
  <c r="D292" i="7"/>
  <c r="D308" i="7" s="1"/>
  <c r="J104" i="19"/>
  <c r="C45" i="2"/>
  <c r="C411" i="15"/>
  <c r="D404" i="15"/>
  <c r="D433" i="7"/>
  <c r="C46" i="7" s="1"/>
  <c r="C46" i="2"/>
  <c r="D66" i="2" s="1"/>
  <c r="U3" i="24" s="1"/>
  <c r="C425" i="7"/>
  <c r="C137" i="7"/>
  <c r="G164" i="20"/>
  <c r="H164" i="20" s="1"/>
  <c r="F165" i="20"/>
  <c r="E167" i="20"/>
  <c r="C236" i="12" l="1"/>
  <c r="C238" i="12" s="1"/>
  <c r="D61" i="22"/>
  <c r="BA3" i="24" s="1"/>
  <c r="C42" i="22"/>
  <c r="D64" i="22" s="1"/>
  <c r="BA6" i="24" s="1"/>
  <c r="C172" i="22"/>
  <c r="C40" i="22"/>
  <c r="C191" i="22"/>
  <c r="C31" i="22" s="1"/>
  <c r="C33" i="22" s="1"/>
  <c r="C34" i="22" s="1"/>
  <c r="C328" i="8"/>
  <c r="C215" i="15"/>
  <c r="C217" i="15" s="1"/>
  <c r="D317" i="15"/>
  <c r="D276" i="15"/>
  <c r="D319" i="15"/>
  <c r="D274" i="15"/>
  <c r="D272" i="15"/>
  <c r="D270" i="15"/>
  <c r="D286" i="15" s="1"/>
  <c r="D321" i="15"/>
  <c r="D268" i="15"/>
  <c r="D403" i="15"/>
  <c r="C410" i="15"/>
  <c r="D410" i="15" s="1"/>
  <c r="C41" i="15" s="1"/>
  <c r="D323" i="7"/>
  <c r="D312" i="7"/>
  <c r="D306" i="7"/>
  <c r="D300" i="7"/>
  <c r="D302" i="7"/>
  <c r="H5" i="24"/>
  <c r="AN6" i="24"/>
  <c r="D411" i="15"/>
  <c r="C42" i="15" s="1"/>
  <c r="C432" i="7"/>
  <c r="D425" i="7"/>
  <c r="C47" i="2"/>
  <c r="D69" i="2" s="1"/>
  <c r="U6" i="24" s="1"/>
  <c r="C427" i="12"/>
  <c r="F166" i="20"/>
  <c r="G165" i="20"/>
  <c r="H165" i="20" s="1"/>
  <c r="E168" i="20"/>
  <c r="C193" i="22" l="1"/>
  <c r="D278" i="15"/>
  <c r="D284" i="15"/>
  <c r="D280" i="15"/>
  <c r="D301" i="15"/>
  <c r="D323" i="15" s="1"/>
  <c r="D290" i="15"/>
  <c r="D317" i="7"/>
  <c r="D319" i="7" s="1"/>
  <c r="D326" i="7"/>
  <c r="D328" i="7" s="1"/>
  <c r="D345" i="7"/>
  <c r="D347" i="7" s="1"/>
  <c r="D351" i="7" s="1"/>
  <c r="C404" i="7" s="1"/>
  <c r="D113" i="19"/>
  <c r="C38" i="22"/>
  <c r="C64" i="22" s="1"/>
  <c r="C36" i="22"/>
  <c r="C61" i="22"/>
  <c r="AZ3" i="24" s="1"/>
  <c r="D432" i="7"/>
  <c r="C45" i="7" s="1"/>
  <c r="C429" i="12"/>
  <c r="D429" i="12" s="1"/>
  <c r="D427" i="12"/>
  <c r="F167" i="20"/>
  <c r="G166" i="20"/>
  <c r="H166" i="20" s="1"/>
  <c r="E169" i="20"/>
  <c r="D121" i="34" l="1"/>
  <c r="D304" i="15"/>
  <c r="D325" i="15"/>
  <c r="D374" i="7"/>
  <c r="D380" i="7" s="1"/>
  <c r="D388" i="7"/>
  <c r="D394" i="7" s="1"/>
  <c r="C396" i="7" s="1"/>
  <c r="C420" i="7"/>
  <c r="C422" i="7" s="1"/>
  <c r="D422" i="7" s="1"/>
  <c r="C420" i="12"/>
  <c r="C434" i="12" s="1"/>
  <c r="C436" i="12" s="1"/>
  <c r="C398" i="15"/>
  <c r="D398" i="15" s="1"/>
  <c r="H6" i="24"/>
  <c r="C330" i="8"/>
  <c r="C510" i="8" s="1"/>
  <c r="C512" i="8" s="1"/>
  <c r="C153" i="8" s="1"/>
  <c r="C67" i="22"/>
  <c r="C39" i="22" s="1"/>
  <c r="AZ6" i="24"/>
  <c r="G167" i="20"/>
  <c r="H167" i="20" s="1"/>
  <c r="F168" i="20"/>
  <c r="E170" i="20"/>
  <c r="D366" i="15" l="1"/>
  <c r="D372" i="15" s="1"/>
  <c r="C374" i="15" s="1"/>
  <c r="D329" i="15"/>
  <c r="D352" i="15"/>
  <c r="D358" i="15" s="1"/>
  <c r="D359" i="15" s="1"/>
  <c r="D381" i="7"/>
  <c r="C407" i="7"/>
  <c r="D368" i="7"/>
  <c r="C414" i="12"/>
  <c r="C184" i="7"/>
  <c r="C186" i="7" s="1"/>
  <c r="D420" i="7"/>
  <c r="C400" i="15"/>
  <c r="D400" i="15" s="1"/>
  <c r="D510" i="8"/>
  <c r="C155" i="8"/>
  <c r="D512" i="8"/>
  <c r="C422" i="12"/>
  <c r="D420" i="12"/>
  <c r="F169" i="20"/>
  <c r="G168" i="20"/>
  <c r="H168" i="20" s="1"/>
  <c r="E171" i="20"/>
  <c r="C440" i="12" l="1"/>
  <c r="D440" i="12" s="1"/>
  <c r="C187" i="12"/>
  <c r="C189" i="12" s="1"/>
  <c r="D346" i="15"/>
  <c r="C382" i="15"/>
  <c r="C410" i="7"/>
  <c r="C412" i="7" s="1"/>
  <c r="C414" i="7" s="1"/>
  <c r="C163" i="15"/>
  <c r="C165" i="15" s="1"/>
  <c r="D422" i="12"/>
  <c r="C184" i="12"/>
  <c r="C186" i="12" s="1"/>
  <c r="D434" i="12"/>
  <c r="G169" i="20"/>
  <c r="H169" i="20" s="1"/>
  <c r="F170" i="20"/>
  <c r="E172" i="20"/>
  <c r="D443" i="12" l="1"/>
  <c r="C59" i="12" s="1"/>
  <c r="C443" i="12"/>
  <c r="C190" i="12"/>
  <c r="C193" i="12" s="1"/>
  <c r="C195" i="12" s="1"/>
  <c r="C196" i="12" s="1"/>
  <c r="C198" i="12" s="1"/>
  <c r="C200" i="12" s="1"/>
  <c r="D436" i="12"/>
  <c r="C427" i="7"/>
  <c r="C434" i="7" s="1"/>
  <c r="D434" i="7" s="1"/>
  <c r="C47" i="7" s="1"/>
  <c r="C49" i="7" s="1"/>
  <c r="C50" i="7" s="1"/>
  <c r="C52" i="7" s="1"/>
  <c r="G170" i="20"/>
  <c r="H170" i="20" s="1"/>
  <c r="F171" i="20"/>
  <c r="E173" i="20"/>
  <c r="C85" i="7" l="1"/>
  <c r="AB3" i="24" s="1"/>
  <c r="C436" i="7"/>
  <c r="D436" i="7" s="1"/>
  <c r="D427" i="7"/>
  <c r="C54" i="7"/>
  <c r="C88" i="7" s="1"/>
  <c r="C60" i="12"/>
  <c r="C62" i="12" s="1"/>
  <c r="C429" i="7"/>
  <c r="C187" i="7" s="1"/>
  <c r="C189" i="7" s="1"/>
  <c r="C190" i="7" s="1"/>
  <c r="C193" i="7" s="1"/>
  <c r="C195" i="7" s="1"/>
  <c r="C196" i="7" s="1"/>
  <c r="C198" i="7" s="1"/>
  <c r="C200" i="7" s="1"/>
  <c r="C57" i="7" s="1"/>
  <c r="C66" i="12"/>
  <c r="C57" i="12"/>
  <c r="G171" i="20"/>
  <c r="H171" i="20" s="1"/>
  <c r="F172" i="20"/>
  <c r="E174" i="20"/>
  <c r="C94" i="12" l="1"/>
  <c r="X3" i="24" s="1"/>
  <c r="C67" i="12"/>
  <c r="C56" i="7"/>
  <c r="D429" i="7"/>
  <c r="C64" i="12"/>
  <c r="C97" i="12" s="1"/>
  <c r="X6" i="24" s="1"/>
  <c r="C92" i="7"/>
  <c r="C55" i="7" s="1"/>
  <c r="AB6" i="24"/>
  <c r="C58" i="7"/>
  <c r="D88" i="7" s="1"/>
  <c r="AC6" i="24" s="1"/>
  <c r="D85" i="7"/>
  <c r="AC3" i="24" s="1"/>
  <c r="F173" i="20"/>
  <c r="G172" i="20"/>
  <c r="H172" i="20" s="1"/>
  <c r="E175" i="20"/>
  <c r="C68" i="12" l="1"/>
  <c r="D97" i="12" s="1"/>
  <c r="Y6" i="24" s="1"/>
  <c r="D94" i="12"/>
  <c r="Y3" i="24" s="1"/>
  <c r="C100" i="12"/>
  <c r="C65" i="12" s="1"/>
  <c r="F174" i="20"/>
  <c r="G173" i="20"/>
  <c r="H173" i="20" s="1"/>
  <c r="E176" i="20"/>
  <c r="F175" i="20" l="1"/>
  <c r="G174" i="20"/>
  <c r="H174" i="20" s="1"/>
  <c r="E177" i="20"/>
  <c r="F176" i="20" l="1"/>
  <c r="G175" i="20"/>
  <c r="H175" i="20" s="1"/>
  <c r="E178" i="20"/>
  <c r="G176" i="20" l="1"/>
  <c r="H176" i="20" s="1"/>
  <c r="F177" i="20"/>
  <c r="E179" i="20"/>
  <c r="G177" i="20" l="1"/>
  <c r="H177" i="20" s="1"/>
  <c r="F178" i="20"/>
  <c r="E180" i="20"/>
  <c r="F179" i="20" l="1"/>
  <c r="G178" i="20"/>
  <c r="H178" i="20" s="1"/>
  <c r="E181" i="20"/>
  <c r="F180" i="20" l="1"/>
  <c r="G179" i="20"/>
  <c r="H179" i="20" s="1"/>
  <c r="E182" i="20"/>
  <c r="G180" i="20" l="1"/>
  <c r="H180" i="20" s="1"/>
  <c r="F181" i="20"/>
  <c r="E183" i="20"/>
  <c r="G181" i="20" l="1"/>
  <c r="H181" i="20" s="1"/>
  <c r="F182" i="20"/>
  <c r="E184" i="20"/>
  <c r="F183" i="20" l="1"/>
  <c r="G182" i="20"/>
  <c r="H182" i="20" s="1"/>
  <c r="E185" i="20"/>
  <c r="F184" i="20" l="1"/>
  <c r="G183" i="20"/>
  <c r="H183" i="20" s="1"/>
  <c r="E186" i="20"/>
  <c r="G184" i="20" l="1"/>
  <c r="H184" i="20" s="1"/>
  <c r="F185" i="20"/>
  <c r="E187" i="20"/>
  <c r="G185" i="20" l="1"/>
  <c r="H185" i="20" s="1"/>
  <c r="F186" i="20"/>
  <c r="E188" i="20"/>
  <c r="F187" i="20" l="1"/>
  <c r="G186" i="20"/>
  <c r="H186" i="20" s="1"/>
  <c r="E189" i="20"/>
  <c r="F188" i="20" l="1"/>
  <c r="G187" i="20"/>
  <c r="H187" i="20" s="1"/>
  <c r="E190" i="20"/>
  <c r="G188" i="20" l="1"/>
  <c r="H188" i="20" s="1"/>
  <c r="F189" i="20"/>
  <c r="E191" i="20"/>
  <c r="F190" i="20" l="1"/>
  <c r="G189" i="20"/>
  <c r="H189" i="20" s="1"/>
  <c r="E192" i="20"/>
  <c r="G190" i="20" l="1"/>
  <c r="H190" i="20" s="1"/>
  <c r="F191" i="20"/>
  <c r="E193" i="20"/>
  <c r="F192" i="20" l="1"/>
  <c r="G191" i="20"/>
  <c r="H191" i="20" s="1"/>
  <c r="E194" i="20"/>
  <c r="G192" i="20" l="1"/>
  <c r="H192" i="20" s="1"/>
  <c r="F193" i="20"/>
  <c r="E195" i="20"/>
  <c r="F194" i="20" l="1"/>
  <c r="G193" i="20"/>
  <c r="H193" i="20" s="1"/>
  <c r="E196" i="20"/>
  <c r="G194" i="20" l="1"/>
  <c r="H194" i="20" s="1"/>
  <c r="F195" i="20"/>
  <c r="E197" i="20"/>
  <c r="F196" i="20" l="1"/>
  <c r="G195" i="20"/>
  <c r="H195" i="20" s="1"/>
  <c r="E198" i="20"/>
  <c r="G196" i="20" l="1"/>
  <c r="H196" i="20" s="1"/>
  <c r="F197" i="20"/>
  <c r="E199" i="20"/>
  <c r="F198" i="20" l="1"/>
  <c r="G197" i="20"/>
  <c r="H197" i="20" s="1"/>
  <c r="E200" i="20"/>
  <c r="F199" i="20" l="1"/>
  <c r="G198" i="20"/>
  <c r="H198" i="20" s="1"/>
  <c r="E201" i="20"/>
  <c r="F200" i="20" l="1"/>
  <c r="G199" i="20"/>
  <c r="H199" i="20" s="1"/>
  <c r="E202" i="20"/>
  <c r="G200" i="20" l="1"/>
  <c r="H200" i="20" s="1"/>
  <c r="F201" i="20"/>
  <c r="E203" i="20"/>
  <c r="F202" i="20" l="1"/>
  <c r="G201" i="20"/>
  <c r="H201" i="20" s="1"/>
  <c r="E204" i="20"/>
  <c r="F203" i="20" l="1"/>
  <c r="G202" i="20"/>
  <c r="H202" i="20" s="1"/>
  <c r="E205" i="20"/>
  <c r="F204" i="20" l="1"/>
  <c r="G203" i="20"/>
  <c r="H203" i="20" s="1"/>
  <c r="E206" i="20"/>
  <c r="F205" i="20" l="1"/>
  <c r="G204" i="20"/>
  <c r="H204" i="20" s="1"/>
  <c r="E207" i="20"/>
  <c r="F206" i="20" l="1"/>
  <c r="G205" i="20"/>
  <c r="H205" i="20" s="1"/>
  <c r="E208" i="20"/>
  <c r="F207" i="20" l="1"/>
  <c r="G206" i="20"/>
  <c r="H206" i="20" s="1"/>
  <c r="E209" i="20"/>
  <c r="F208" i="20" l="1"/>
  <c r="G207" i="20"/>
  <c r="H207" i="20" s="1"/>
  <c r="E210" i="20"/>
  <c r="F209" i="20" l="1"/>
  <c r="G208" i="20"/>
  <c r="H208" i="20" s="1"/>
  <c r="E211" i="20"/>
  <c r="F210" i="20" l="1"/>
  <c r="G209" i="20"/>
  <c r="H209" i="20" s="1"/>
  <c r="E212" i="20"/>
  <c r="F211" i="20" l="1"/>
  <c r="G210" i="20"/>
  <c r="H210" i="20" s="1"/>
  <c r="E213" i="20"/>
  <c r="F212" i="20" l="1"/>
  <c r="G211" i="20"/>
  <c r="H211" i="20" s="1"/>
  <c r="E214" i="20"/>
  <c r="F213" i="20" l="1"/>
  <c r="G212" i="20"/>
  <c r="H212" i="20" s="1"/>
  <c r="E215" i="20"/>
  <c r="F214" i="20" l="1"/>
  <c r="G213" i="20"/>
  <c r="H213" i="20" s="1"/>
  <c r="E216" i="20"/>
  <c r="F215" i="20" l="1"/>
  <c r="G214" i="20"/>
  <c r="H214" i="20" s="1"/>
  <c r="E217" i="20"/>
  <c r="F216" i="20" l="1"/>
  <c r="G215" i="20"/>
  <c r="H215" i="20" s="1"/>
  <c r="E218" i="20"/>
  <c r="F217" i="20" l="1"/>
  <c r="G216" i="20"/>
  <c r="H216" i="20" s="1"/>
  <c r="E219" i="20"/>
  <c r="G217" i="20" l="1"/>
  <c r="H217" i="20" s="1"/>
  <c r="F218" i="20"/>
  <c r="E220" i="20"/>
  <c r="F219" i="20" l="1"/>
  <c r="G218" i="20"/>
  <c r="H218" i="20" s="1"/>
  <c r="E221" i="20"/>
  <c r="G219" i="20" l="1"/>
  <c r="H219" i="20" s="1"/>
  <c r="F220" i="20"/>
  <c r="E222" i="20"/>
  <c r="F221" i="20" l="1"/>
  <c r="G220" i="20"/>
  <c r="H220" i="20" s="1"/>
  <c r="E223" i="20"/>
  <c r="F222" i="20" l="1"/>
  <c r="G221" i="20"/>
  <c r="H221" i="20" s="1"/>
  <c r="E224" i="20"/>
  <c r="F223" i="20" l="1"/>
  <c r="G222" i="20"/>
  <c r="H222" i="20" s="1"/>
  <c r="E225" i="20"/>
  <c r="G223" i="20" l="1"/>
  <c r="H223" i="20" s="1"/>
  <c r="F224" i="20"/>
  <c r="E226" i="20"/>
  <c r="F225" i="20" l="1"/>
  <c r="G224" i="20"/>
  <c r="H224" i="20" s="1"/>
  <c r="E227" i="20"/>
  <c r="F226" i="20" l="1"/>
  <c r="G225" i="20"/>
  <c r="H225" i="20" s="1"/>
  <c r="E228" i="20"/>
  <c r="F227" i="20" l="1"/>
  <c r="G226" i="20"/>
  <c r="H226" i="20" s="1"/>
  <c r="E229" i="20"/>
  <c r="F228" i="20" l="1"/>
  <c r="G227" i="20"/>
  <c r="H227" i="20" s="1"/>
  <c r="E230" i="20"/>
  <c r="F229" i="20" l="1"/>
  <c r="G228" i="20"/>
  <c r="H228" i="20" s="1"/>
  <c r="E231" i="20"/>
  <c r="F230" i="20" l="1"/>
  <c r="G229" i="20"/>
  <c r="H229" i="20" s="1"/>
  <c r="E232" i="20"/>
  <c r="F231" i="20" l="1"/>
  <c r="G230" i="20"/>
  <c r="H230" i="20" s="1"/>
  <c r="E233" i="20"/>
  <c r="F232" i="20" l="1"/>
  <c r="G231" i="20"/>
  <c r="H231" i="20" s="1"/>
  <c r="E234" i="20"/>
  <c r="G232" i="20" l="1"/>
  <c r="H232" i="20" s="1"/>
  <c r="F233" i="20"/>
  <c r="E235" i="20"/>
  <c r="F234" i="20" l="1"/>
  <c r="G233" i="20"/>
  <c r="H233" i="20" s="1"/>
  <c r="E236" i="20"/>
  <c r="G234" i="20" l="1"/>
  <c r="H234" i="20" s="1"/>
  <c r="F235" i="20"/>
  <c r="E237" i="20"/>
  <c r="G235" i="20" l="1"/>
  <c r="H235" i="20" s="1"/>
  <c r="F236" i="20"/>
  <c r="E238" i="20"/>
  <c r="F237" i="20" l="1"/>
  <c r="G236" i="20"/>
  <c r="H236" i="20" s="1"/>
  <c r="E239" i="20"/>
  <c r="F238" i="20" l="1"/>
  <c r="G237" i="20"/>
  <c r="H237" i="20" s="1"/>
  <c r="E240" i="20"/>
  <c r="G238" i="20" l="1"/>
  <c r="H238" i="20" s="1"/>
  <c r="F239" i="20"/>
  <c r="E241" i="20"/>
  <c r="F240" i="20" l="1"/>
  <c r="G239" i="20"/>
  <c r="H239" i="20" s="1"/>
  <c r="E242" i="20"/>
  <c r="G240" i="20" l="1"/>
  <c r="H240" i="20" s="1"/>
  <c r="F241" i="20"/>
  <c r="E243" i="20"/>
  <c r="F242" i="20" l="1"/>
  <c r="G241" i="20"/>
  <c r="H241" i="20" s="1"/>
  <c r="E244" i="20"/>
  <c r="F243" i="20" l="1"/>
  <c r="G242" i="20"/>
  <c r="H242" i="20" s="1"/>
  <c r="E245" i="20"/>
  <c r="G243" i="20" l="1"/>
  <c r="H243" i="20" s="1"/>
  <c r="F244" i="20"/>
  <c r="E246" i="20"/>
  <c r="F245" i="20" l="1"/>
  <c r="G244" i="20"/>
  <c r="H244" i="20" s="1"/>
  <c r="E247" i="20"/>
  <c r="G245" i="20" l="1"/>
  <c r="H245" i="20" s="1"/>
  <c r="F246" i="20"/>
  <c r="E248" i="20"/>
  <c r="F247" i="20" l="1"/>
  <c r="G246" i="20"/>
  <c r="H246" i="20" s="1"/>
  <c r="E249" i="20"/>
  <c r="F248" i="20" l="1"/>
  <c r="G247" i="20"/>
  <c r="H247" i="20" s="1"/>
  <c r="E250" i="20"/>
  <c r="F249" i="20" l="1"/>
  <c r="G248" i="20"/>
  <c r="H248" i="20" s="1"/>
  <c r="E251" i="20"/>
  <c r="F250" i="20" l="1"/>
  <c r="G249" i="20"/>
  <c r="H249" i="20" s="1"/>
  <c r="E252" i="20"/>
  <c r="F251" i="20" l="1"/>
  <c r="G250" i="20"/>
  <c r="H250" i="20" s="1"/>
  <c r="E253" i="20"/>
  <c r="F252" i="20" l="1"/>
  <c r="G251" i="20"/>
  <c r="H251" i="20" s="1"/>
  <c r="E254" i="20"/>
  <c r="F253" i="20" l="1"/>
  <c r="G252" i="20"/>
  <c r="H252" i="20" s="1"/>
  <c r="E255" i="20"/>
  <c r="G253" i="20" l="1"/>
  <c r="H253" i="20" s="1"/>
  <c r="F254" i="20"/>
  <c r="E256" i="20"/>
  <c r="F255" i="20" l="1"/>
  <c r="G254" i="20"/>
  <c r="H254" i="20" s="1"/>
  <c r="E257" i="20"/>
  <c r="F256" i="20" l="1"/>
  <c r="G255" i="20"/>
  <c r="H255" i="20" s="1"/>
  <c r="E258" i="20"/>
  <c r="F257" i="20" l="1"/>
  <c r="G256" i="20"/>
  <c r="H256" i="20" s="1"/>
  <c r="E259" i="20"/>
  <c r="F258" i="20" l="1"/>
  <c r="G257" i="20"/>
  <c r="H257" i="20" s="1"/>
  <c r="E260" i="20"/>
  <c r="F259" i="20" l="1"/>
  <c r="G258" i="20"/>
  <c r="H258" i="20" s="1"/>
  <c r="E261" i="20"/>
  <c r="G259" i="20" l="1"/>
  <c r="H259" i="20" s="1"/>
  <c r="F260" i="20"/>
  <c r="E262" i="20"/>
  <c r="F261" i="20" l="1"/>
  <c r="G260" i="20"/>
  <c r="H260" i="20" s="1"/>
  <c r="E263" i="20"/>
  <c r="G261" i="20" l="1"/>
  <c r="H261" i="20" s="1"/>
  <c r="F262" i="20"/>
  <c r="E264" i="20"/>
  <c r="F263" i="20" l="1"/>
  <c r="G262" i="20"/>
  <c r="H262" i="20" s="1"/>
  <c r="E265" i="20"/>
  <c r="F264" i="20" l="1"/>
  <c r="G263" i="20"/>
  <c r="H263" i="20" s="1"/>
  <c r="E266" i="20"/>
  <c r="F265" i="20" l="1"/>
  <c r="G264" i="20"/>
  <c r="H264" i="20" s="1"/>
  <c r="E267" i="20"/>
  <c r="F266" i="20" l="1"/>
  <c r="G265" i="20"/>
  <c r="H265" i="20" s="1"/>
  <c r="E268" i="20"/>
  <c r="F267" i="20" l="1"/>
  <c r="G266" i="20"/>
  <c r="H266" i="20" s="1"/>
  <c r="E269" i="20"/>
  <c r="G267" i="20" l="1"/>
  <c r="H267" i="20" s="1"/>
  <c r="F268" i="20"/>
  <c r="E270" i="20"/>
  <c r="F269" i="20" l="1"/>
  <c r="G268" i="20"/>
  <c r="H268" i="20" s="1"/>
  <c r="E271" i="20"/>
  <c r="G269" i="20" l="1"/>
  <c r="H269" i="20" s="1"/>
  <c r="F270" i="20"/>
  <c r="E272" i="20"/>
  <c r="F271" i="20" l="1"/>
  <c r="G270" i="20"/>
  <c r="H270" i="20" s="1"/>
  <c r="E273" i="20"/>
  <c r="F272" i="20" l="1"/>
  <c r="G271" i="20"/>
  <c r="H271" i="20" s="1"/>
  <c r="E274" i="20"/>
  <c r="F273" i="20" l="1"/>
  <c r="G272" i="20"/>
  <c r="H272" i="20" s="1"/>
  <c r="E275" i="20"/>
  <c r="F274" i="20" l="1"/>
  <c r="G273" i="20"/>
  <c r="H273" i="20" s="1"/>
  <c r="E276" i="20"/>
  <c r="F275" i="20" l="1"/>
  <c r="G274" i="20"/>
  <c r="H274" i="20" s="1"/>
  <c r="E277" i="20"/>
  <c r="F276" i="20" l="1"/>
  <c r="G275" i="20"/>
  <c r="H275" i="20" s="1"/>
  <c r="E278" i="20"/>
  <c r="F277" i="20" l="1"/>
  <c r="G276" i="20"/>
  <c r="H276" i="20" s="1"/>
  <c r="E279" i="20"/>
  <c r="G277" i="20" l="1"/>
  <c r="H277" i="20" s="1"/>
  <c r="F278" i="20"/>
  <c r="E280" i="20"/>
  <c r="G278" i="20" l="1"/>
  <c r="H278" i="20" s="1"/>
  <c r="F279" i="20"/>
  <c r="E281" i="20"/>
  <c r="G279" i="20" l="1"/>
  <c r="H279" i="20" s="1"/>
  <c r="F280" i="20"/>
  <c r="E282" i="20"/>
  <c r="G280" i="20" l="1"/>
  <c r="H280" i="20" s="1"/>
  <c r="F281" i="20"/>
  <c r="E283" i="20"/>
  <c r="G281" i="20" l="1"/>
  <c r="H281" i="20" s="1"/>
  <c r="F282" i="20"/>
  <c r="E284" i="20"/>
  <c r="F283" i="20" l="1"/>
  <c r="G282" i="20"/>
  <c r="H282" i="20" s="1"/>
  <c r="E285" i="20"/>
  <c r="G283" i="20" l="1"/>
  <c r="H283" i="20" s="1"/>
  <c r="F284" i="20"/>
  <c r="E286" i="20"/>
  <c r="F285" i="20" l="1"/>
  <c r="G284" i="20"/>
  <c r="H284" i="20" s="1"/>
  <c r="E287" i="20"/>
  <c r="G285" i="20" l="1"/>
  <c r="H285" i="20" s="1"/>
  <c r="F286" i="20"/>
  <c r="E288" i="20"/>
  <c r="F287" i="20" l="1"/>
  <c r="G286" i="20"/>
  <c r="H286" i="20" s="1"/>
  <c r="E289" i="20"/>
  <c r="F288" i="20" l="1"/>
  <c r="G287" i="20"/>
  <c r="H287" i="20" s="1"/>
  <c r="E290" i="20"/>
  <c r="F289" i="20" l="1"/>
  <c r="G288" i="20"/>
  <c r="H288" i="20" s="1"/>
  <c r="E291" i="20"/>
  <c r="G289" i="20" l="1"/>
  <c r="H289" i="20" s="1"/>
  <c r="F290" i="20"/>
  <c r="E292" i="20"/>
  <c r="F291" i="20" l="1"/>
  <c r="G290" i="20"/>
  <c r="H290" i="20" s="1"/>
  <c r="E293" i="20"/>
  <c r="F292" i="20" l="1"/>
  <c r="G291" i="20"/>
  <c r="H291" i="20" s="1"/>
  <c r="E294" i="20"/>
  <c r="F293" i="20" l="1"/>
  <c r="G292" i="20"/>
  <c r="H292" i="20" s="1"/>
  <c r="E295" i="20"/>
  <c r="F294" i="20" l="1"/>
  <c r="G293" i="20"/>
  <c r="H293" i="20" s="1"/>
  <c r="E296" i="20"/>
  <c r="F295" i="20" l="1"/>
  <c r="G294" i="20"/>
  <c r="H294" i="20" s="1"/>
  <c r="E297" i="20"/>
  <c r="G295" i="20" l="1"/>
  <c r="H295" i="20" s="1"/>
  <c r="F296" i="20"/>
  <c r="E298" i="20"/>
  <c r="F297" i="20" l="1"/>
  <c r="G296" i="20"/>
  <c r="H296" i="20" s="1"/>
  <c r="E299" i="20"/>
  <c r="F298" i="20" l="1"/>
  <c r="G297" i="20"/>
  <c r="H297" i="20" s="1"/>
  <c r="E300" i="20"/>
  <c r="F299" i="20" l="1"/>
  <c r="G298" i="20"/>
  <c r="H298" i="20" s="1"/>
  <c r="E301" i="20"/>
  <c r="F300" i="20" l="1"/>
  <c r="G299" i="20"/>
  <c r="H299" i="20" s="1"/>
  <c r="E302" i="20"/>
  <c r="F301" i="20" l="1"/>
  <c r="G300" i="20"/>
  <c r="H300" i="20" s="1"/>
  <c r="E303" i="20"/>
  <c r="F302" i="20" l="1"/>
  <c r="G301" i="20"/>
  <c r="H301" i="20" s="1"/>
  <c r="E304" i="20"/>
  <c r="F303" i="20" l="1"/>
  <c r="G302" i="20"/>
  <c r="H302" i="20" s="1"/>
  <c r="E305" i="20"/>
  <c r="F304" i="20" l="1"/>
  <c r="G303" i="20"/>
  <c r="H303" i="20" s="1"/>
  <c r="E306" i="20"/>
  <c r="F305" i="20" l="1"/>
  <c r="G304" i="20"/>
  <c r="H304" i="20" s="1"/>
  <c r="E307" i="20"/>
  <c r="F306" i="20" l="1"/>
  <c r="G305" i="20"/>
  <c r="H305" i="20" s="1"/>
  <c r="E308" i="20"/>
  <c r="F307" i="20" l="1"/>
  <c r="G306" i="20"/>
  <c r="H306" i="20" s="1"/>
  <c r="E309" i="20"/>
  <c r="F308" i="20" l="1"/>
  <c r="G307" i="20"/>
  <c r="H307" i="20" s="1"/>
  <c r="E310" i="20"/>
  <c r="F309" i="20" l="1"/>
  <c r="G308" i="20"/>
  <c r="H308" i="20" s="1"/>
  <c r="E311" i="20"/>
  <c r="F310" i="20" l="1"/>
  <c r="G309" i="20"/>
  <c r="H309" i="20" s="1"/>
  <c r="E312" i="20"/>
  <c r="F311" i="20" l="1"/>
  <c r="G310" i="20"/>
  <c r="H310" i="20" s="1"/>
  <c r="E313" i="20"/>
  <c r="F312" i="20" l="1"/>
  <c r="G311" i="20"/>
  <c r="H311" i="20" s="1"/>
  <c r="E314" i="20"/>
  <c r="F313" i="20" l="1"/>
  <c r="G312" i="20"/>
  <c r="H312" i="20" s="1"/>
  <c r="E315" i="20"/>
  <c r="F314" i="20" l="1"/>
  <c r="G313" i="20"/>
  <c r="H313" i="20" s="1"/>
  <c r="E316" i="20"/>
  <c r="F315" i="20" l="1"/>
  <c r="G314" i="20"/>
  <c r="H314" i="20" s="1"/>
  <c r="E317" i="20"/>
  <c r="F316" i="20" l="1"/>
  <c r="G315" i="20"/>
  <c r="H315" i="20" s="1"/>
  <c r="E318" i="20"/>
  <c r="F317" i="20" l="1"/>
  <c r="G316" i="20"/>
  <c r="H316" i="20" s="1"/>
  <c r="E319" i="20"/>
  <c r="F318" i="20" l="1"/>
  <c r="G317" i="20"/>
  <c r="H317" i="20" s="1"/>
  <c r="E320" i="20"/>
  <c r="F319" i="20" l="1"/>
  <c r="G318" i="20"/>
  <c r="H318" i="20" s="1"/>
  <c r="E321" i="20"/>
  <c r="F320" i="20" l="1"/>
  <c r="G319" i="20"/>
  <c r="H319" i="20" s="1"/>
  <c r="E322" i="20"/>
  <c r="F321" i="20" l="1"/>
  <c r="G320" i="20"/>
  <c r="H320" i="20" s="1"/>
  <c r="E323" i="20"/>
  <c r="G321" i="20" l="1"/>
  <c r="H321" i="20" s="1"/>
  <c r="F322" i="20"/>
  <c r="E324" i="20"/>
  <c r="F323" i="20" l="1"/>
  <c r="G322" i="20"/>
  <c r="H322" i="20" s="1"/>
  <c r="E325" i="20"/>
  <c r="F324" i="20" l="1"/>
  <c r="G323" i="20"/>
  <c r="H323" i="20" s="1"/>
  <c r="E326" i="20"/>
  <c r="F325" i="20" l="1"/>
  <c r="G324" i="20"/>
  <c r="H324" i="20" s="1"/>
  <c r="E327" i="20"/>
  <c r="F326" i="20" l="1"/>
  <c r="G325" i="20"/>
  <c r="H325" i="20" s="1"/>
  <c r="E328" i="20"/>
  <c r="F327" i="20" l="1"/>
  <c r="G326" i="20"/>
  <c r="H326" i="20" s="1"/>
  <c r="E329" i="20"/>
  <c r="F328" i="20" l="1"/>
  <c r="G327" i="20"/>
  <c r="H327" i="20" s="1"/>
  <c r="E330" i="20"/>
  <c r="F329" i="20" l="1"/>
  <c r="G328" i="20"/>
  <c r="H328" i="20" s="1"/>
  <c r="E331" i="20"/>
  <c r="G329" i="20" l="1"/>
  <c r="H329" i="20" s="1"/>
  <c r="F330" i="20"/>
  <c r="E332" i="20"/>
  <c r="F331" i="20" l="1"/>
  <c r="G330" i="20"/>
  <c r="H330" i="20" s="1"/>
  <c r="E333" i="20"/>
  <c r="G331" i="20" l="1"/>
  <c r="H331" i="20" s="1"/>
  <c r="F332" i="20"/>
  <c r="E334" i="20"/>
  <c r="F333" i="20" l="1"/>
  <c r="G332" i="20"/>
  <c r="H332" i="20" s="1"/>
  <c r="E335" i="20"/>
  <c r="F334" i="20" l="1"/>
  <c r="G333" i="20"/>
  <c r="H333" i="20" s="1"/>
  <c r="E336" i="20"/>
  <c r="F335" i="20" l="1"/>
  <c r="G334" i="20"/>
  <c r="H334" i="20" s="1"/>
  <c r="E337" i="20"/>
  <c r="F336" i="20" l="1"/>
  <c r="G335" i="20"/>
  <c r="H335" i="20" s="1"/>
  <c r="E338" i="20"/>
  <c r="F337" i="20" l="1"/>
  <c r="G336" i="20"/>
  <c r="H336" i="20" s="1"/>
  <c r="E339" i="20"/>
  <c r="F338" i="20" l="1"/>
  <c r="G337" i="20"/>
  <c r="H337" i="20" s="1"/>
  <c r="E340" i="20"/>
  <c r="G338" i="20" l="1"/>
  <c r="H338" i="20" s="1"/>
  <c r="F339" i="20"/>
  <c r="E341" i="20"/>
  <c r="F340" i="20" l="1"/>
  <c r="G339" i="20"/>
  <c r="H339" i="20" s="1"/>
  <c r="E342" i="20"/>
  <c r="F341" i="20" l="1"/>
  <c r="G340" i="20"/>
  <c r="H340" i="20" s="1"/>
  <c r="E343" i="20"/>
  <c r="G341" i="20" l="1"/>
  <c r="H341" i="20" s="1"/>
  <c r="F342" i="20"/>
  <c r="E344" i="20"/>
  <c r="F343" i="20" l="1"/>
  <c r="G342" i="20"/>
  <c r="H342" i="20" s="1"/>
  <c r="E345" i="20"/>
  <c r="F344" i="20" l="1"/>
  <c r="G343" i="20"/>
  <c r="H343" i="20" s="1"/>
  <c r="E346" i="20"/>
  <c r="F345" i="20" l="1"/>
  <c r="G344" i="20"/>
  <c r="H344" i="20" s="1"/>
  <c r="E347" i="20"/>
  <c r="F346" i="20" l="1"/>
  <c r="G345" i="20"/>
  <c r="H345" i="20" s="1"/>
  <c r="E348" i="20"/>
  <c r="F347" i="20" l="1"/>
  <c r="G346" i="20"/>
  <c r="H346" i="20" s="1"/>
  <c r="E349" i="20"/>
  <c r="F348" i="20" l="1"/>
  <c r="G347" i="20"/>
  <c r="H347" i="20" s="1"/>
  <c r="E350" i="20"/>
  <c r="F349" i="20" l="1"/>
  <c r="G348" i="20"/>
  <c r="H348" i="20" s="1"/>
  <c r="E351" i="20"/>
  <c r="F350" i="20" l="1"/>
  <c r="G349" i="20"/>
  <c r="H349" i="20" s="1"/>
  <c r="E352" i="20"/>
  <c r="F351" i="20" l="1"/>
  <c r="G350" i="20"/>
  <c r="H350" i="20" s="1"/>
  <c r="E353" i="20"/>
  <c r="F352" i="20" l="1"/>
  <c r="G351" i="20"/>
  <c r="H351" i="20" s="1"/>
  <c r="E354" i="20"/>
  <c r="F353" i="20" l="1"/>
  <c r="G352" i="20"/>
  <c r="H352" i="20" s="1"/>
  <c r="E355" i="20"/>
  <c r="F354" i="20" l="1"/>
  <c r="G353" i="20"/>
  <c r="H353" i="20" s="1"/>
  <c r="E356" i="20"/>
  <c r="F355" i="20" l="1"/>
  <c r="G354" i="20"/>
  <c r="H354" i="20" s="1"/>
  <c r="E357" i="20"/>
  <c r="F356" i="20" l="1"/>
  <c r="G355" i="20"/>
  <c r="H355" i="20" s="1"/>
  <c r="E358" i="20"/>
  <c r="F357" i="20" l="1"/>
  <c r="G356" i="20"/>
  <c r="H356" i="20" s="1"/>
  <c r="E359" i="20"/>
  <c r="F358" i="20" l="1"/>
  <c r="G357" i="20"/>
  <c r="H357" i="20" s="1"/>
  <c r="E360" i="20"/>
  <c r="F359" i="20" l="1"/>
  <c r="G358" i="20"/>
  <c r="H358" i="20" s="1"/>
  <c r="E361" i="20"/>
  <c r="F360" i="20" l="1"/>
  <c r="G359" i="20"/>
  <c r="H359" i="20" s="1"/>
  <c r="E362" i="20"/>
  <c r="F361" i="20" l="1"/>
  <c r="G360" i="20"/>
  <c r="H360" i="20" s="1"/>
  <c r="E363" i="20"/>
  <c r="F362" i="20" l="1"/>
  <c r="G361" i="20"/>
  <c r="H361" i="20" s="1"/>
  <c r="E364" i="20"/>
  <c r="G362" i="20" l="1"/>
  <c r="H362" i="20" s="1"/>
  <c r="F363" i="20"/>
  <c r="E365" i="20"/>
  <c r="G363" i="20" l="1"/>
  <c r="H363" i="20" s="1"/>
  <c r="F364" i="20"/>
  <c r="E366" i="20"/>
  <c r="F365" i="20" l="1"/>
  <c r="G364" i="20"/>
  <c r="H364" i="20" s="1"/>
  <c r="E367" i="20"/>
  <c r="F366" i="20" l="1"/>
  <c r="G365" i="20"/>
  <c r="H365" i="20" s="1"/>
  <c r="E368" i="20"/>
  <c r="F367" i="20" l="1"/>
  <c r="G366" i="20"/>
  <c r="H366" i="20" s="1"/>
  <c r="E369" i="20"/>
  <c r="G367" i="20" l="1"/>
  <c r="H367" i="20" s="1"/>
  <c r="F368" i="20"/>
  <c r="E370" i="20"/>
  <c r="F369" i="20" l="1"/>
  <c r="G368" i="20"/>
  <c r="H368" i="20" s="1"/>
  <c r="E371" i="20"/>
  <c r="G369" i="20" l="1"/>
  <c r="H369" i="20" s="1"/>
  <c r="F370" i="20"/>
  <c r="E372" i="20"/>
  <c r="F371" i="20" l="1"/>
  <c r="G370" i="20"/>
  <c r="H370" i="20" s="1"/>
  <c r="E373" i="20"/>
  <c r="F372" i="20" l="1"/>
  <c r="G371" i="20"/>
  <c r="H371" i="20" s="1"/>
  <c r="E374" i="20"/>
  <c r="G372" i="20" l="1"/>
  <c r="H372" i="20" s="1"/>
  <c r="F373" i="20"/>
  <c r="E375" i="20"/>
  <c r="F374" i="20" l="1"/>
  <c r="G373" i="20"/>
  <c r="H373" i="20" s="1"/>
  <c r="E376" i="20"/>
  <c r="F375" i="20" l="1"/>
  <c r="G374" i="20"/>
  <c r="H374" i="20" s="1"/>
  <c r="E377" i="20"/>
  <c r="F376" i="20" l="1"/>
  <c r="G375" i="20"/>
  <c r="H375" i="20" s="1"/>
  <c r="E378" i="20"/>
  <c r="G376" i="20" l="1"/>
  <c r="H376" i="20" s="1"/>
  <c r="F377" i="20"/>
  <c r="E379" i="20"/>
  <c r="F378" i="20" l="1"/>
  <c r="G377" i="20"/>
  <c r="H377" i="20" s="1"/>
  <c r="E380" i="20"/>
  <c r="F379" i="20" l="1"/>
  <c r="G378" i="20"/>
  <c r="H378" i="20" s="1"/>
  <c r="E381" i="20"/>
  <c r="F380" i="20" l="1"/>
  <c r="G379" i="20"/>
  <c r="H379" i="20" s="1"/>
  <c r="E382" i="20"/>
  <c r="G380" i="20" l="1"/>
  <c r="H380" i="20" s="1"/>
  <c r="F381" i="20"/>
  <c r="E383" i="20"/>
  <c r="F382" i="20" l="1"/>
  <c r="G381" i="20"/>
  <c r="H381" i="20" s="1"/>
  <c r="E384" i="20"/>
  <c r="F383" i="20" l="1"/>
  <c r="G382" i="20"/>
  <c r="H382" i="20" s="1"/>
  <c r="E385" i="20"/>
  <c r="F384" i="20" l="1"/>
  <c r="G383" i="20"/>
  <c r="H383" i="20" s="1"/>
  <c r="E386" i="20"/>
  <c r="G384" i="20" l="1"/>
  <c r="H384" i="20" s="1"/>
  <c r="F385" i="20"/>
  <c r="E387" i="20"/>
  <c r="F386" i="20" l="1"/>
  <c r="G385" i="20"/>
  <c r="H385" i="20" s="1"/>
  <c r="E388" i="20"/>
  <c r="F387" i="20" l="1"/>
  <c r="G386" i="20"/>
  <c r="H386" i="20" s="1"/>
  <c r="E389" i="20"/>
  <c r="F388" i="20" l="1"/>
  <c r="G387" i="20"/>
  <c r="H387" i="20" s="1"/>
  <c r="E390" i="20"/>
  <c r="G388" i="20" l="1"/>
  <c r="H388" i="20" s="1"/>
  <c r="F389" i="20"/>
  <c r="E391" i="20"/>
  <c r="F390" i="20" l="1"/>
  <c r="G389" i="20"/>
  <c r="H389" i="20" s="1"/>
  <c r="E392" i="20"/>
  <c r="F391" i="20" l="1"/>
  <c r="G390" i="20"/>
  <c r="H390" i="20" s="1"/>
  <c r="E393" i="20"/>
  <c r="F392" i="20" l="1"/>
  <c r="G391" i="20"/>
  <c r="H391" i="20" s="1"/>
  <c r="E394" i="20"/>
  <c r="G392" i="20" l="1"/>
  <c r="H392" i="20" s="1"/>
  <c r="F393" i="20"/>
  <c r="E395" i="20"/>
  <c r="F394" i="20" l="1"/>
  <c r="G393" i="20"/>
  <c r="H393" i="20" s="1"/>
  <c r="E396" i="20"/>
  <c r="F395" i="20" l="1"/>
  <c r="G394" i="20"/>
  <c r="H394" i="20" s="1"/>
  <c r="E397" i="20"/>
  <c r="F396" i="20" l="1"/>
  <c r="G395" i="20"/>
  <c r="H395" i="20" s="1"/>
  <c r="E398" i="20"/>
  <c r="G396" i="20" l="1"/>
  <c r="H396" i="20" s="1"/>
  <c r="F397" i="20"/>
  <c r="E399" i="20"/>
  <c r="F398" i="20" l="1"/>
  <c r="G397" i="20"/>
  <c r="H397" i="20" s="1"/>
  <c r="E400" i="20"/>
  <c r="F399" i="20" l="1"/>
  <c r="G398" i="20"/>
  <c r="H398" i="20" s="1"/>
  <c r="E401" i="20"/>
  <c r="F400" i="20" l="1"/>
  <c r="G399" i="20"/>
  <c r="H399" i="20" s="1"/>
  <c r="E402" i="20"/>
  <c r="G400" i="20" l="1"/>
  <c r="H400" i="20" s="1"/>
  <c r="F401" i="20"/>
  <c r="E403" i="20"/>
  <c r="F402" i="20" l="1"/>
  <c r="G401" i="20"/>
  <c r="H401" i="20" s="1"/>
  <c r="E404" i="20"/>
  <c r="F403" i="20" l="1"/>
  <c r="G402" i="20"/>
  <c r="H402" i="20" s="1"/>
  <c r="E405" i="20"/>
  <c r="F404" i="20" l="1"/>
  <c r="G403" i="20"/>
  <c r="H403" i="20" s="1"/>
  <c r="E406" i="20"/>
  <c r="F405" i="20" l="1"/>
  <c r="G404" i="20"/>
  <c r="H404" i="20" s="1"/>
  <c r="E407" i="20"/>
  <c r="F406" i="20" l="1"/>
  <c r="G405" i="20"/>
  <c r="H405" i="20" s="1"/>
  <c r="E408" i="20"/>
  <c r="F407" i="20" l="1"/>
  <c r="G406" i="20"/>
  <c r="H406" i="20" s="1"/>
  <c r="E409" i="20"/>
  <c r="G407" i="20" l="1"/>
  <c r="H407" i="20" s="1"/>
  <c r="F408" i="20"/>
  <c r="E410" i="20"/>
  <c r="F409" i="20" l="1"/>
  <c r="G408" i="20"/>
  <c r="H408" i="20" s="1"/>
  <c r="E411" i="20"/>
  <c r="F410" i="20" l="1"/>
  <c r="G409" i="20"/>
  <c r="H409" i="20" s="1"/>
  <c r="E412" i="20"/>
  <c r="F411" i="20" l="1"/>
  <c r="G410" i="20"/>
  <c r="H410" i="20" s="1"/>
  <c r="E413" i="20"/>
  <c r="G411" i="20" l="1"/>
  <c r="H411" i="20" s="1"/>
  <c r="F412" i="20"/>
  <c r="E414" i="20"/>
  <c r="F413" i="20" l="1"/>
  <c r="G412" i="20"/>
  <c r="H412" i="20" s="1"/>
  <c r="E415" i="20"/>
  <c r="F414" i="20" l="1"/>
  <c r="G413" i="20"/>
  <c r="H413" i="20" s="1"/>
  <c r="E416" i="20"/>
  <c r="G414" i="20" l="1"/>
  <c r="H414" i="20" s="1"/>
  <c r="F415" i="20"/>
  <c r="E417" i="20"/>
  <c r="F416" i="20" l="1"/>
  <c r="G415" i="20"/>
  <c r="H415" i="20" s="1"/>
  <c r="E418" i="20"/>
  <c r="F417" i="20" l="1"/>
  <c r="G416" i="20"/>
  <c r="H416" i="20" s="1"/>
  <c r="E419" i="20"/>
  <c r="F418" i="20" l="1"/>
  <c r="G417" i="20"/>
  <c r="H417" i="20" s="1"/>
  <c r="E420" i="20"/>
  <c r="F419" i="20" l="1"/>
  <c r="G418" i="20"/>
  <c r="H418" i="20" s="1"/>
  <c r="E421" i="20"/>
  <c r="G419" i="20" l="1"/>
  <c r="H419" i="20" s="1"/>
  <c r="F420" i="20"/>
  <c r="E422" i="20"/>
  <c r="F421" i="20" l="1"/>
  <c r="G420" i="20"/>
  <c r="H420" i="20" s="1"/>
  <c r="E423" i="20"/>
  <c r="F422" i="20" l="1"/>
  <c r="G421" i="20"/>
  <c r="H421" i="20" s="1"/>
  <c r="E424" i="20"/>
  <c r="F423" i="20" l="1"/>
  <c r="G422" i="20"/>
  <c r="H422" i="20" s="1"/>
  <c r="E425" i="20"/>
  <c r="F424" i="20" l="1"/>
  <c r="G423" i="20"/>
  <c r="H423" i="20" s="1"/>
  <c r="E426" i="20"/>
  <c r="F425" i="20" l="1"/>
  <c r="G424" i="20"/>
  <c r="H424" i="20" s="1"/>
  <c r="E427" i="20"/>
  <c r="F426" i="20" l="1"/>
  <c r="G425" i="20"/>
  <c r="H425" i="20" s="1"/>
  <c r="E428" i="20"/>
  <c r="F427" i="20" l="1"/>
  <c r="G426" i="20"/>
  <c r="H426" i="20" s="1"/>
  <c r="E429" i="20"/>
  <c r="F428" i="20" l="1"/>
  <c r="G427" i="20"/>
  <c r="H427" i="20" s="1"/>
  <c r="E430" i="20"/>
  <c r="F429" i="20" l="1"/>
  <c r="G428" i="20"/>
  <c r="H428" i="20" s="1"/>
  <c r="E431" i="20"/>
  <c r="G429" i="20" l="1"/>
  <c r="H429" i="20" s="1"/>
  <c r="F430" i="20"/>
  <c r="E432" i="20"/>
  <c r="F431" i="20" l="1"/>
  <c r="G430" i="20"/>
  <c r="H430" i="20" s="1"/>
  <c r="E433" i="20"/>
  <c r="G431" i="20" l="1"/>
  <c r="H431" i="20" s="1"/>
  <c r="F432" i="20"/>
  <c r="E434" i="20"/>
  <c r="F433" i="20" l="1"/>
  <c r="G432" i="20"/>
  <c r="H432" i="20" s="1"/>
  <c r="E435" i="20"/>
  <c r="G433" i="20" l="1"/>
  <c r="H433" i="20" s="1"/>
  <c r="F434" i="20"/>
  <c r="E436" i="20"/>
  <c r="F435" i="20" l="1"/>
  <c r="G434" i="20"/>
  <c r="H434" i="20" s="1"/>
  <c r="E437" i="20"/>
  <c r="G435" i="20" l="1"/>
  <c r="H435" i="20" s="1"/>
  <c r="F436" i="20"/>
  <c r="E438" i="20"/>
  <c r="F437" i="20" l="1"/>
  <c r="G436" i="20"/>
  <c r="H436" i="20" s="1"/>
  <c r="E439" i="20"/>
  <c r="F438" i="20" l="1"/>
  <c r="G437" i="20"/>
  <c r="H437" i="20" s="1"/>
  <c r="E440" i="20"/>
  <c r="F439" i="20" l="1"/>
  <c r="G438" i="20"/>
  <c r="H438" i="20" s="1"/>
  <c r="E441" i="20"/>
  <c r="F440" i="20" l="1"/>
  <c r="G439" i="20"/>
  <c r="H439" i="20" s="1"/>
  <c r="E442" i="20"/>
  <c r="F441" i="20" l="1"/>
  <c r="G440" i="20"/>
  <c r="H440" i="20" s="1"/>
  <c r="E443" i="20"/>
  <c r="F442" i="20" l="1"/>
  <c r="G441" i="20"/>
  <c r="H441" i="20" s="1"/>
  <c r="E444" i="20"/>
  <c r="F443" i="20" l="1"/>
  <c r="G442" i="20"/>
  <c r="H442" i="20" s="1"/>
  <c r="E445" i="20"/>
  <c r="F444" i="20" l="1"/>
  <c r="G443" i="20"/>
  <c r="H443" i="20" s="1"/>
  <c r="E446" i="20"/>
  <c r="F445" i="20" l="1"/>
  <c r="G444" i="20"/>
  <c r="H444" i="20" s="1"/>
  <c r="E447" i="20"/>
  <c r="F446" i="20" l="1"/>
  <c r="G445" i="20"/>
  <c r="H445" i="20" s="1"/>
  <c r="E448" i="20"/>
  <c r="F447" i="20" l="1"/>
  <c r="G446" i="20"/>
  <c r="H446" i="20" s="1"/>
  <c r="E449" i="20"/>
  <c r="F448" i="20" l="1"/>
  <c r="G447" i="20"/>
  <c r="H447" i="20" s="1"/>
  <c r="E450" i="20"/>
  <c r="F449" i="20" l="1"/>
  <c r="G448" i="20"/>
  <c r="H448" i="20" s="1"/>
  <c r="E451" i="20"/>
  <c r="F450" i="20" l="1"/>
  <c r="G449" i="20"/>
  <c r="H449" i="20" s="1"/>
  <c r="E452" i="20"/>
  <c r="F451" i="20" l="1"/>
  <c r="G450" i="20"/>
  <c r="H450" i="20" s="1"/>
  <c r="E453" i="20"/>
  <c r="F452" i="20" l="1"/>
  <c r="G451" i="20"/>
  <c r="H451" i="20" s="1"/>
  <c r="E454" i="20"/>
  <c r="F453" i="20" l="1"/>
  <c r="G452" i="20"/>
  <c r="H452" i="20" s="1"/>
  <c r="E455" i="20"/>
  <c r="F454" i="20" l="1"/>
  <c r="G453" i="20"/>
  <c r="H453" i="20" s="1"/>
  <c r="E456" i="20"/>
  <c r="F455" i="20" l="1"/>
  <c r="G454" i="20"/>
  <c r="H454" i="20" s="1"/>
  <c r="E457" i="20"/>
  <c r="F456" i="20" l="1"/>
  <c r="G455" i="20"/>
  <c r="H455" i="20" s="1"/>
  <c r="E458" i="20"/>
  <c r="F457" i="20" l="1"/>
  <c r="G456" i="20"/>
  <c r="H456" i="20" s="1"/>
  <c r="E459" i="20"/>
  <c r="F458" i="20" l="1"/>
  <c r="G457" i="20"/>
  <c r="H457" i="20" s="1"/>
  <c r="E460" i="20"/>
  <c r="F459" i="20" l="1"/>
  <c r="G458" i="20"/>
  <c r="H458" i="20" s="1"/>
  <c r="E461" i="20"/>
  <c r="F460" i="20" l="1"/>
  <c r="G459" i="20"/>
  <c r="H459" i="20" s="1"/>
  <c r="E462" i="20"/>
  <c r="F461" i="20" l="1"/>
  <c r="G460" i="20"/>
  <c r="H460" i="20" s="1"/>
  <c r="E463" i="20"/>
  <c r="F462" i="20" l="1"/>
  <c r="G461" i="20"/>
  <c r="H461" i="20" s="1"/>
  <c r="E464" i="20"/>
  <c r="F463" i="20" l="1"/>
  <c r="G462" i="20"/>
  <c r="H462" i="20" s="1"/>
  <c r="E465" i="20"/>
  <c r="F464" i="20" l="1"/>
  <c r="G463" i="20"/>
  <c r="H463" i="20" s="1"/>
  <c r="E466" i="20"/>
  <c r="F465" i="20" l="1"/>
  <c r="G464" i="20"/>
  <c r="H464" i="20" s="1"/>
  <c r="E467" i="20"/>
  <c r="F466" i="20" l="1"/>
  <c r="G465" i="20"/>
  <c r="H465" i="20" s="1"/>
  <c r="E468" i="20"/>
  <c r="F467" i="20" l="1"/>
  <c r="G466" i="20"/>
  <c r="H466" i="20" s="1"/>
  <c r="E469" i="20"/>
  <c r="F468" i="20" l="1"/>
  <c r="G467" i="20"/>
  <c r="H467" i="20" s="1"/>
  <c r="E470" i="20"/>
  <c r="F469" i="20" l="1"/>
  <c r="G468" i="20"/>
  <c r="H468" i="20" s="1"/>
  <c r="E471" i="20"/>
  <c r="F470" i="20" l="1"/>
  <c r="G469" i="20"/>
  <c r="H469" i="20" s="1"/>
  <c r="E472" i="20"/>
  <c r="F471" i="20" l="1"/>
  <c r="G470" i="20"/>
  <c r="H470" i="20" s="1"/>
  <c r="E473" i="20"/>
  <c r="G471" i="20" l="1"/>
  <c r="H471" i="20" s="1"/>
  <c r="F472" i="20"/>
  <c r="E474" i="20"/>
  <c r="F473" i="20" l="1"/>
  <c r="G472" i="20"/>
  <c r="H472" i="20" s="1"/>
  <c r="E475" i="20"/>
  <c r="G473" i="20" l="1"/>
  <c r="H473" i="20" s="1"/>
  <c r="F474" i="20"/>
  <c r="E476" i="20"/>
  <c r="F475" i="20" l="1"/>
  <c r="G474" i="20"/>
  <c r="H474" i="20" s="1"/>
  <c r="E477" i="20"/>
  <c r="F476" i="20" l="1"/>
  <c r="G475" i="20"/>
  <c r="H475" i="20" s="1"/>
  <c r="E478" i="20"/>
  <c r="F477" i="20" l="1"/>
  <c r="G476" i="20"/>
  <c r="H476" i="20" s="1"/>
  <c r="E479" i="20"/>
  <c r="F478" i="20" l="1"/>
  <c r="G477" i="20"/>
  <c r="H477" i="20" s="1"/>
  <c r="E480" i="20"/>
  <c r="F479" i="20" l="1"/>
  <c r="G478" i="20"/>
  <c r="H478" i="20" s="1"/>
  <c r="E481" i="20"/>
  <c r="F480" i="20" l="1"/>
  <c r="G479" i="20"/>
  <c r="H479" i="20" s="1"/>
  <c r="E482" i="20"/>
  <c r="F481" i="20" l="1"/>
  <c r="G480" i="20"/>
  <c r="H480" i="20" s="1"/>
  <c r="E483" i="20"/>
  <c r="F482" i="20" l="1"/>
  <c r="G481" i="20"/>
  <c r="H481" i="20" s="1"/>
  <c r="E484" i="20"/>
  <c r="F483" i="20" l="1"/>
  <c r="G482" i="20"/>
  <c r="H482" i="20" s="1"/>
  <c r="E485" i="20"/>
  <c r="F484" i="20" l="1"/>
  <c r="G483" i="20"/>
  <c r="H483" i="20" s="1"/>
  <c r="E486" i="20"/>
  <c r="F485" i="20" l="1"/>
  <c r="G484" i="20"/>
  <c r="H484" i="20" s="1"/>
  <c r="E487" i="20"/>
  <c r="F486" i="20" l="1"/>
  <c r="G485" i="20"/>
  <c r="H485" i="20" s="1"/>
  <c r="E488" i="20"/>
  <c r="G486" i="20" l="1"/>
  <c r="H486" i="20" s="1"/>
  <c r="F487" i="20"/>
  <c r="E489" i="20"/>
  <c r="F488" i="20" l="1"/>
  <c r="G487" i="20"/>
  <c r="H487" i="20" s="1"/>
  <c r="E490" i="20"/>
  <c r="F489" i="20" l="1"/>
  <c r="G488" i="20"/>
  <c r="H488" i="20" s="1"/>
  <c r="E491" i="20"/>
  <c r="F490" i="20" l="1"/>
  <c r="G489" i="20"/>
  <c r="H489" i="20" s="1"/>
  <c r="E492" i="20"/>
  <c r="G490" i="20" l="1"/>
  <c r="H490" i="20" s="1"/>
  <c r="F491" i="20"/>
  <c r="E493" i="20"/>
  <c r="F492" i="20" l="1"/>
  <c r="G491" i="20"/>
  <c r="H491" i="20" s="1"/>
  <c r="E494" i="20"/>
  <c r="G492" i="20" l="1"/>
  <c r="H492" i="20" s="1"/>
  <c r="F493" i="20"/>
  <c r="E495" i="20"/>
  <c r="G493" i="20" l="1"/>
  <c r="H493" i="20" s="1"/>
  <c r="F494" i="20"/>
  <c r="E496" i="20"/>
  <c r="F495" i="20" l="1"/>
  <c r="G494" i="20"/>
  <c r="H494" i="20" s="1"/>
  <c r="E497" i="20"/>
  <c r="F496" i="20" l="1"/>
  <c r="G495" i="20"/>
  <c r="H495" i="20" s="1"/>
  <c r="E498" i="20"/>
  <c r="F497" i="20" l="1"/>
  <c r="G496" i="20"/>
  <c r="H496" i="20" s="1"/>
  <c r="E499" i="20"/>
  <c r="F498" i="20" l="1"/>
  <c r="G497" i="20"/>
  <c r="H497" i="20" s="1"/>
  <c r="E500" i="20"/>
  <c r="F499" i="20" l="1"/>
  <c r="G498" i="20"/>
  <c r="H498" i="20" s="1"/>
  <c r="E501" i="20"/>
  <c r="F500" i="20" l="1"/>
  <c r="G499" i="20"/>
  <c r="H499" i="20" s="1"/>
  <c r="E502" i="20"/>
  <c r="F501" i="20" l="1"/>
  <c r="G500" i="20"/>
  <c r="H500" i="20" s="1"/>
  <c r="E503" i="20"/>
  <c r="F502" i="20" l="1"/>
  <c r="G501" i="20"/>
  <c r="H501" i="20" s="1"/>
  <c r="E504" i="20"/>
  <c r="G502" i="20" l="1"/>
  <c r="H502" i="20" s="1"/>
  <c r="F503" i="20"/>
  <c r="E505" i="20"/>
  <c r="F504" i="20" l="1"/>
  <c r="G503" i="20"/>
  <c r="H503" i="20" s="1"/>
  <c r="E506" i="20"/>
  <c r="F505" i="20" l="1"/>
  <c r="G504" i="20"/>
  <c r="H504" i="20" s="1"/>
  <c r="E507" i="20"/>
  <c r="F506" i="20" l="1"/>
  <c r="G505" i="20"/>
  <c r="H505" i="20" s="1"/>
  <c r="E508" i="20"/>
  <c r="F507" i="20" l="1"/>
  <c r="G506" i="20"/>
  <c r="H506" i="20" s="1"/>
  <c r="E509" i="20"/>
  <c r="F508" i="20" l="1"/>
  <c r="G507" i="20"/>
  <c r="H507" i="20" s="1"/>
  <c r="E510" i="20"/>
  <c r="F509" i="20" l="1"/>
  <c r="G508" i="20"/>
  <c r="H508" i="20" s="1"/>
  <c r="E511" i="20"/>
  <c r="F510" i="20" l="1"/>
  <c r="G509" i="20"/>
  <c r="H509" i="20" s="1"/>
  <c r="E512" i="20"/>
  <c r="F511" i="20" l="1"/>
  <c r="G510" i="20"/>
  <c r="H510" i="20" s="1"/>
  <c r="E513" i="20"/>
  <c r="F512" i="20" l="1"/>
  <c r="G511" i="20"/>
  <c r="H511" i="20" s="1"/>
  <c r="E514" i="20"/>
  <c r="F513" i="20" l="1"/>
  <c r="G512" i="20"/>
  <c r="H512" i="20" s="1"/>
  <c r="E515" i="20"/>
  <c r="F514" i="20" l="1"/>
  <c r="G513" i="20"/>
  <c r="H513" i="20" s="1"/>
  <c r="E516" i="20"/>
  <c r="F515" i="20" l="1"/>
  <c r="G514" i="20"/>
  <c r="H514" i="20" s="1"/>
  <c r="E517" i="20"/>
  <c r="F516" i="20" l="1"/>
  <c r="G515" i="20"/>
  <c r="H515" i="20" s="1"/>
  <c r="E518" i="20"/>
  <c r="F517" i="20" l="1"/>
  <c r="G516" i="20"/>
  <c r="H516" i="20" s="1"/>
  <c r="E519" i="20"/>
  <c r="G517" i="20" l="1"/>
  <c r="H517" i="20" s="1"/>
  <c r="F518" i="20"/>
  <c r="E520" i="20"/>
  <c r="F519" i="20" l="1"/>
  <c r="G518" i="20"/>
  <c r="H518" i="20" s="1"/>
  <c r="E521" i="20"/>
  <c r="F520" i="20" l="1"/>
  <c r="G519" i="20"/>
  <c r="H519" i="20" s="1"/>
  <c r="E522" i="20"/>
  <c r="G520" i="20" l="1"/>
  <c r="H520" i="20" s="1"/>
  <c r="F521" i="20"/>
  <c r="E523" i="20"/>
  <c r="F522" i="20" l="1"/>
  <c r="G521" i="20"/>
  <c r="H521" i="20" s="1"/>
  <c r="E524" i="20"/>
  <c r="F523" i="20" l="1"/>
  <c r="G522" i="20"/>
  <c r="H522" i="20" s="1"/>
  <c r="E525" i="20"/>
  <c r="G523" i="20" l="1"/>
  <c r="H523" i="20" s="1"/>
  <c r="F524" i="20"/>
  <c r="E526" i="20"/>
  <c r="F525" i="20" l="1"/>
  <c r="G524" i="20"/>
  <c r="H524" i="20" s="1"/>
  <c r="E527" i="20"/>
  <c r="G525" i="20" l="1"/>
  <c r="H525" i="20" s="1"/>
  <c r="F526" i="20"/>
  <c r="E528" i="20"/>
  <c r="F527" i="20" l="1"/>
  <c r="G526" i="20"/>
  <c r="H526" i="20" s="1"/>
  <c r="E529" i="20"/>
  <c r="F528" i="20" l="1"/>
  <c r="G527" i="20"/>
  <c r="H527" i="20" s="1"/>
  <c r="E530" i="20"/>
  <c r="F529" i="20" l="1"/>
  <c r="G528" i="20"/>
  <c r="H528" i="20" s="1"/>
  <c r="E531" i="20"/>
  <c r="F530" i="20" l="1"/>
  <c r="G529" i="20"/>
  <c r="H529" i="20" s="1"/>
  <c r="E532" i="20"/>
  <c r="G530" i="20" l="1"/>
  <c r="H530" i="20" s="1"/>
  <c r="F531" i="20"/>
  <c r="E533" i="20"/>
  <c r="G531" i="20" l="1"/>
  <c r="H531" i="20" s="1"/>
  <c r="F532" i="20"/>
  <c r="E534" i="20"/>
  <c r="F533" i="20" l="1"/>
  <c r="G532" i="20"/>
  <c r="H532" i="20" s="1"/>
  <c r="E535" i="20"/>
  <c r="F534" i="20" l="1"/>
  <c r="G533" i="20"/>
  <c r="H533" i="20" s="1"/>
  <c r="E536" i="20"/>
  <c r="F535" i="20" l="1"/>
  <c r="G534" i="20"/>
  <c r="H534" i="20" s="1"/>
  <c r="E537" i="20"/>
  <c r="F536" i="20" l="1"/>
  <c r="G535" i="20"/>
  <c r="H535" i="20" s="1"/>
  <c r="E538" i="20"/>
  <c r="F537" i="20" l="1"/>
  <c r="G536" i="20"/>
  <c r="H536" i="20" s="1"/>
  <c r="E539" i="20"/>
  <c r="F538" i="20" l="1"/>
  <c r="G537" i="20"/>
  <c r="H537" i="20" s="1"/>
  <c r="E540" i="20"/>
  <c r="F539" i="20" l="1"/>
  <c r="G538" i="20"/>
  <c r="H538" i="20" s="1"/>
  <c r="E541" i="20"/>
  <c r="F540" i="20" l="1"/>
  <c r="G539" i="20"/>
  <c r="H539" i="20" s="1"/>
  <c r="E542" i="20"/>
  <c r="G540" i="20" l="1"/>
  <c r="H540" i="20" s="1"/>
  <c r="F541" i="20"/>
  <c r="E543" i="20"/>
  <c r="F542" i="20" l="1"/>
  <c r="G541" i="20"/>
  <c r="H541" i="20" s="1"/>
  <c r="E544" i="20"/>
  <c r="F543" i="20" l="1"/>
  <c r="G542" i="20"/>
  <c r="H542" i="20" s="1"/>
  <c r="E545" i="20"/>
  <c r="F544" i="20" l="1"/>
  <c r="G543" i="20"/>
  <c r="H543" i="20" s="1"/>
  <c r="E546" i="20"/>
  <c r="G544" i="20" l="1"/>
  <c r="H544" i="20" s="1"/>
  <c r="F545" i="20"/>
  <c r="E547" i="20"/>
  <c r="F546" i="20" l="1"/>
  <c r="G545" i="20"/>
  <c r="H545" i="20" s="1"/>
  <c r="E548" i="20"/>
  <c r="F547" i="20" l="1"/>
  <c r="G546" i="20"/>
  <c r="H546" i="20" s="1"/>
  <c r="E549" i="20"/>
  <c r="G547" i="20" l="1"/>
  <c r="H547" i="20" s="1"/>
  <c r="F548" i="20"/>
  <c r="E550" i="20"/>
  <c r="F549" i="20" l="1"/>
  <c r="G548" i="20"/>
  <c r="H548" i="20" s="1"/>
  <c r="E551" i="20"/>
  <c r="F550" i="20" l="1"/>
  <c r="G549" i="20"/>
  <c r="H549" i="20" s="1"/>
  <c r="E552" i="20"/>
  <c r="F551" i="20" l="1"/>
  <c r="G550" i="20"/>
  <c r="H550" i="20" s="1"/>
  <c r="E553" i="20"/>
  <c r="F552" i="20" l="1"/>
  <c r="G551" i="20"/>
  <c r="H551" i="20" s="1"/>
  <c r="E554" i="20"/>
  <c r="F553" i="20" l="1"/>
  <c r="G552" i="20"/>
  <c r="H552" i="20" s="1"/>
  <c r="E555" i="20"/>
  <c r="F554" i="20" l="1"/>
  <c r="G553" i="20"/>
  <c r="H553" i="20" s="1"/>
  <c r="E556" i="20"/>
  <c r="F555" i="20" l="1"/>
  <c r="G554" i="20"/>
  <c r="H554" i="20" s="1"/>
  <c r="E557" i="20"/>
  <c r="F556" i="20" l="1"/>
  <c r="G555" i="20"/>
  <c r="H555" i="20" s="1"/>
  <c r="E558" i="20"/>
  <c r="G556" i="20" l="1"/>
  <c r="H556" i="20" s="1"/>
  <c r="F557" i="20"/>
  <c r="E559" i="20"/>
  <c r="G557" i="20" l="1"/>
  <c r="H557" i="20" s="1"/>
  <c r="F558" i="20"/>
  <c r="E560" i="20"/>
  <c r="F559" i="20" l="1"/>
  <c r="G558" i="20"/>
  <c r="H558" i="20" s="1"/>
  <c r="E561" i="20"/>
  <c r="G559" i="20" l="1"/>
  <c r="H559" i="20" s="1"/>
  <c r="F560" i="20"/>
  <c r="E562" i="20"/>
  <c r="F561" i="20" l="1"/>
  <c r="G560" i="20"/>
  <c r="H560" i="20" s="1"/>
  <c r="E563" i="20"/>
  <c r="F562" i="20" l="1"/>
  <c r="G561" i="20"/>
  <c r="H561" i="20" s="1"/>
  <c r="E564" i="20"/>
  <c r="F563" i="20" l="1"/>
  <c r="G562" i="20"/>
  <c r="H562" i="20" s="1"/>
  <c r="E565" i="20"/>
  <c r="F564" i="20" l="1"/>
  <c r="G563" i="20"/>
  <c r="H563" i="20" s="1"/>
  <c r="E566" i="20"/>
  <c r="F565" i="20" l="1"/>
  <c r="G564" i="20"/>
  <c r="H564" i="20" s="1"/>
  <c r="E567" i="20"/>
  <c r="F566" i="20" l="1"/>
  <c r="G565" i="20"/>
  <c r="H565" i="20" s="1"/>
  <c r="E568" i="20"/>
  <c r="F567" i="20" l="1"/>
  <c r="G566" i="20"/>
  <c r="H566" i="20" s="1"/>
  <c r="E569" i="20"/>
  <c r="G567" i="20" l="1"/>
  <c r="H567" i="20" s="1"/>
  <c r="F568" i="20"/>
  <c r="E570" i="20"/>
  <c r="F569" i="20" l="1"/>
  <c r="G568" i="20"/>
  <c r="H568" i="20" s="1"/>
  <c r="E571" i="20"/>
  <c r="F570" i="20" l="1"/>
  <c r="G569" i="20"/>
  <c r="H569" i="20" s="1"/>
  <c r="E572" i="20"/>
  <c r="F571" i="20" l="1"/>
  <c r="G570" i="20"/>
  <c r="H570" i="20" s="1"/>
  <c r="E573" i="20"/>
  <c r="F572" i="20" l="1"/>
  <c r="G571" i="20"/>
  <c r="H571" i="20" s="1"/>
  <c r="E574" i="20"/>
  <c r="G572" i="20" l="1"/>
  <c r="H572" i="20" s="1"/>
  <c r="F573" i="20"/>
  <c r="E575" i="20"/>
  <c r="G573" i="20" l="1"/>
  <c r="H573" i="20" s="1"/>
  <c r="F574" i="20"/>
  <c r="E576" i="20"/>
  <c r="F575" i="20" l="1"/>
  <c r="G574" i="20"/>
  <c r="H574" i="20" s="1"/>
  <c r="E577" i="20"/>
  <c r="F576" i="20" l="1"/>
  <c r="G575" i="20"/>
  <c r="H575" i="20" s="1"/>
  <c r="E578" i="20"/>
  <c r="G576" i="20" l="1"/>
  <c r="H576" i="20" s="1"/>
  <c r="F577" i="20"/>
  <c r="E579" i="20"/>
  <c r="F578" i="20" l="1"/>
  <c r="G577" i="20"/>
  <c r="H577" i="20" s="1"/>
  <c r="E580" i="20"/>
  <c r="F579" i="20" l="1"/>
  <c r="G578" i="20"/>
  <c r="H578" i="20" s="1"/>
  <c r="E581" i="20"/>
  <c r="F580" i="20" l="1"/>
  <c r="G579" i="20"/>
  <c r="H579" i="20" s="1"/>
  <c r="E582" i="20"/>
  <c r="F581" i="20" l="1"/>
  <c r="G580" i="20"/>
  <c r="H580" i="20" s="1"/>
  <c r="E583" i="20"/>
  <c r="F582" i="20" l="1"/>
  <c r="G581" i="20"/>
  <c r="H581" i="20" s="1"/>
  <c r="E584" i="20"/>
  <c r="F583" i="20" l="1"/>
  <c r="G582" i="20"/>
  <c r="H582" i="20" s="1"/>
  <c r="E585" i="20"/>
  <c r="F584" i="20" l="1"/>
  <c r="G583" i="20"/>
  <c r="H583" i="20" s="1"/>
  <c r="E586" i="20"/>
  <c r="F585" i="20" l="1"/>
  <c r="G584" i="20"/>
  <c r="H584" i="20" s="1"/>
  <c r="E587" i="20"/>
  <c r="G585" i="20" l="1"/>
  <c r="H585" i="20" s="1"/>
  <c r="F586" i="20"/>
  <c r="E588" i="20"/>
  <c r="F587" i="20" l="1"/>
  <c r="G586" i="20"/>
  <c r="H586" i="20" s="1"/>
  <c r="E589" i="20"/>
  <c r="G587" i="20" l="1"/>
  <c r="H587" i="20" s="1"/>
  <c r="F588" i="20"/>
  <c r="E590" i="20"/>
  <c r="F589" i="20" l="1"/>
  <c r="G588" i="20"/>
  <c r="H588" i="20" s="1"/>
  <c r="E591" i="20"/>
  <c r="F590" i="20" l="1"/>
  <c r="G589" i="20"/>
  <c r="H589" i="20" s="1"/>
  <c r="E592" i="20"/>
  <c r="F591" i="20" l="1"/>
  <c r="G590" i="20"/>
  <c r="H590" i="20" s="1"/>
  <c r="E593" i="20"/>
  <c r="F592" i="20" l="1"/>
  <c r="G591" i="20"/>
  <c r="H591" i="20" s="1"/>
  <c r="E594" i="20"/>
  <c r="F593" i="20" l="1"/>
  <c r="G592" i="20"/>
  <c r="H592" i="20" s="1"/>
  <c r="E595" i="20"/>
  <c r="F594" i="20" l="1"/>
  <c r="G593" i="20"/>
  <c r="H593" i="20" s="1"/>
  <c r="E596" i="20"/>
  <c r="F595" i="20" l="1"/>
  <c r="G594" i="20"/>
  <c r="H594" i="20" s="1"/>
  <c r="E597" i="20"/>
  <c r="F596" i="20" l="1"/>
  <c r="G595" i="20"/>
  <c r="H595" i="20" s="1"/>
  <c r="E598" i="20"/>
  <c r="F597" i="20" l="1"/>
  <c r="G596" i="20"/>
  <c r="H596" i="20" s="1"/>
  <c r="E599" i="20"/>
  <c r="F598" i="20" l="1"/>
  <c r="G597" i="20"/>
  <c r="H597" i="20" s="1"/>
  <c r="E600" i="20"/>
  <c r="G598" i="20" l="1"/>
  <c r="H598" i="20" s="1"/>
  <c r="F599" i="20"/>
  <c r="E601" i="20"/>
  <c r="F600" i="20" l="1"/>
  <c r="G599" i="20"/>
  <c r="H599" i="20" s="1"/>
  <c r="E602" i="20"/>
  <c r="F601" i="20" l="1"/>
  <c r="G600" i="20"/>
  <c r="H600" i="20" s="1"/>
  <c r="E603" i="20"/>
  <c r="F602" i="20" l="1"/>
  <c r="G601" i="20"/>
  <c r="H601" i="20" s="1"/>
  <c r="E604" i="20"/>
  <c r="F603" i="20" l="1"/>
  <c r="G602" i="20"/>
  <c r="H602" i="20" s="1"/>
  <c r="E605" i="20"/>
  <c r="F604" i="20" l="1"/>
  <c r="G603" i="20"/>
  <c r="H603" i="20" s="1"/>
  <c r="E606" i="20"/>
  <c r="F605" i="20" l="1"/>
  <c r="G604" i="20"/>
  <c r="H604" i="20" s="1"/>
  <c r="E607" i="20"/>
  <c r="F606" i="20" l="1"/>
  <c r="G605" i="20"/>
  <c r="H605" i="20" s="1"/>
  <c r="E608" i="20"/>
  <c r="F607" i="20" l="1"/>
  <c r="G606" i="20"/>
  <c r="H606" i="20" s="1"/>
  <c r="E609" i="20"/>
  <c r="F608" i="20" l="1"/>
  <c r="G607" i="20"/>
  <c r="H607" i="20" s="1"/>
  <c r="E610" i="20"/>
  <c r="F609" i="20" l="1"/>
  <c r="G608" i="20"/>
  <c r="H608" i="20" s="1"/>
  <c r="E611" i="20"/>
  <c r="F610" i="20" l="1"/>
  <c r="G609" i="20"/>
  <c r="H609" i="20" s="1"/>
  <c r="E612" i="20"/>
  <c r="F611" i="20" l="1"/>
  <c r="G610" i="20"/>
  <c r="H610" i="20" s="1"/>
  <c r="E613" i="20"/>
  <c r="F612" i="20" l="1"/>
  <c r="G611" i="20"/>
  <c r="H611" i="20" s="1"/>
  <c r="E614" i="20"/>
  <c r="F613" i="20" l="1"/>
  <c r="G612" i="20"/>
  <c r="H612" i="20" s="1"/>
  <c r="E615" i="20"/>
  <c r="G613" i="20" l="1"/>
  <c r="H613" i="20" s="1"/>
  <c r="F614" i="20"/>
  <c r="E616" i="20"/>
  <c r="F615" i="20" l="1"/>
  <c r="G614" i="20"/>
  <c r="H614" i="20" s="1"/>
  <c r="E617" i="20"/>
  <c r="F616" i="20" l="1"/>
  <c r="G615" i="20"/>
  <c r="H615" i="20" s="1"/>
  <c r="E618" i="20"/>
  <c r="F617" i="20" l="1"/>
  <c r="G616" i="20"/>
  <c r="H616" i="20" s="1"/>
  <c r="E619" i="20"/>
  <c r="G617" i="20" l="1"/>
  <c r="H617" i="20" s="1"/>
  <c r="F618" i="20"/>
  <c r="E620" i="20"/>
  <c r="F619" i="20" l="1"/>
  <c r="G618" i="20"/>
  <c r="H618" i="20" s="1"/>
  <c r="E621" i="20"/>
  <c r="G619" i="20" l="1"/>
  <c r="H619" i="20" s="1"/>
  <c r="F620" i="20"/>
  <c r="E622" i="20"/>
  <c r="F621" i="20" l="1"/>
  <c r="G620" i="20"/>
  <c r="H620" i="20" s="1"/>
  <c r="E623" i="20"/>
  <c r="G621" i="20" l="1"/>
  <c r="H621" i="20" s="1"/>
  <c r="F622" i="20"/>
  <c r="E624" i="20"/>
  <c r="F623" i="20" l="1"/>
  <c r="G622" i="20"/>
  <c r="H622" i="20" s="1"/>
  <c r="E625" i="20"/>
  <c r="F624" i="20" l="1"/>
  <c r="G623" i="20"/>
  <c r="H623" i="20" s="1"/>
  <c r="E626" i="20"/>
  <c r="F625" i="20" l="1"/>
  <c r="G624" i="20"/>
  <c r="H624" i="20" s="1"/>
  <c r="E627" i="20"/>
  <c r="G625" i="20" l="1"/>
  <c r="H625" i="20" s="1"/>
  <c r="F626" i="20"/>
  <c r="E628" i="20"/>
  <c r="F627" i="20" l="1"/>
  <c r="G626" i="20"/>
  <c r="H626" i="20" s="1"/>
  <c r="E629" i="20"/>
  <c r="F628" i="20" l="1"/>
  <c r="G627" i="20"/>
  <c r="H627" i="20" s="1"/>
  <c r="E630" i="20"/>
  <c r="F629" i="20" l="1"/>
  <c r="G628" i="20"/>
  <c r="H628" i="20" s="1"/>
  <c r="E631" i="20"/>
  <c r="F630" i="20" l="1"/>
  <c r="G629" i="20"/>
  <c r="H629" i="20" s="1"/>
  <c r="E632" i="20"/>
  <c r="F631" i="20" l="1"/>
  <c r="G630" i="20"/>
  <c r="H630" i="20" s="1"/>
  <c r="E633" i="20"/>
  <c r="F632" i="20" l="1"/>
  <c r="G631" i="20"/>
  <c r="H631" i="20" s="1"/>
  <c r="E634" i="20"/>
  <c r="F633" i="20" l="1"/>
  <c r="G632" i="20"/>
  <c r="H632" i="20" s="1"/>
  <c r="E635" i="20"/>
  <c r="F634" i="20" l="1"/>
  <c r="G633" i="20"/>
  <c r="H633" i="20" s="1"/>
  <c r="E636" i="20"/>
  <c r="F635" i="20" l="1"/>
  <c r="G634" i="20"/>
  <c r="H634" i="20" s="1"/>
  <c r="E637" i="20"/>
  <c r="G635" i="20" l="1"/>
  <c r="H635" i="20" s="1"/>
  <c r="F636" i="20"/>
  <c r="E638" i="20"/>
  <c r="F637" i="20" l="1"/>
  <c r="G636" i="20"/>
  <c r="H636" i="20" s="1"/>
  <c r="E639" i="20"/>
  <c r="G637" i="20" l="1"/>
  <c r="H637" i="20" s="1"/>
  <c r="F638" i="20"/>
  <c r="E640" i="20"/>
  <c r="F639" i="20" l="1"/>
  <c r="G638" i="20"/>
  <c r="H638" i="20" s="1"/>
  <c r="E641" i="20"/>
  <c r="F640" i="20" l="1"/>
  <c r="G639" i="20"/>
  <c r="H639" i="20" s="1"/>
  <c r="E642" i="20"/>
  <c r="F641" i="20" l="1"/>
  <c r="G640" i="20"/>
  <c r="H640" i="20" s="1"/>
  <c r="E643" i="20"/>
  <c r="G641" i="20" l="1"/>
  <c r="H641" i="20" s="1"/>
  <c r="F642" i="20"/>
  <c r="E644" i="20"/>
  <c r="F643" i="20" l="1"/>
  <c r="G642" i="20"/>
  <c r="H642" i="20" s="1"/>
  <c r="E645" i="20"/>
  <c r="F644" i="20" l="1"/>
  <c r="G643" i="20"/>
  <c r="H643" i="20" s="1"/>
  <c r="E646" i="20"/>
  <c r="G644" i="20" l="1"/>
  <c r="H644" i="20" s="1"/>
  <c r="F645" i="20"/>
  <c r="E647" i="20"/>
  <c r="F646" i="20" l="1"/>
  <c r="G645" i="20"/>
  <c r="H645" i="20" s="1"/>
  <c r="E648" i="20"/>
  <c r="G646" i="20" l="1"/>
  <c r="H646" i="20" s="1"/>
  <c r="F647" i="20"/>
  <c r="E649" i="20"/>
  <c r="F648" i="20" l="1"/>
  <c r="G647" i="20"/>
  <c r="H647" i="20" s="1"/>
  <c r="E650" i="20"/>
  <c r="F649" i="20" l="1"/>
  <c r="G648" i="20"/>
  <c r="H648" i="20" s="1"/>
  <c r="E651" i="20"/>
  <c r="F650" i="20" l="1"/>
  <c r="G649" i="20"/>
  <c r="H649" i="20" s="1"/>
  <c r="E652" i="20"/>
  <c r="F651" i="20" l="1"/>
  <c r="G650" i="20"/>
  <c r="H650" i="20" s="1"/>
  <c r="E653" i="20"/>
  <c r="F652" i="20" l="1"/>
  <c r="G651" i="20"/>
  <c r="H651" i="20" s="1"/>
  <c r="E654" i="20"/>
  <c r="F653" i="20" l="1"/>
  <c r="G652" i="20"/>
  <c r="H652" i="20" s="1"/>
  <c r="E655" i="20"/>
  <c r="F654" i="20" l="1"/>
  <c r="G653" i="20"/>
  <c r="H653" i="20" s="1"/>
  <c r="E656" i="20"/>
  <c r="F655" i="20" l="1"/>
  <c r="G654" i="20"/>
  <c r="H654" i="20" s="1"/>
  <c r="E657" i="20"/>
  <c r="F656" i="20" l="1"/>
  <c r="G655" i="20"/>
  <c r="H655" i="20" s="1"/>
  <c r="E658" i="20"/>
  <c r="F657" i="20" l="1"/>
  <c r="G656" i="20"/>
  <c r="H656" i="20" s="1"/>
  <c r="E659" i="20"/>
  <c r="G657" i="20" l="1"/>
  <c r="H657" i="20" s="1"/>
  <c r="F658" i="20"/>
  <c r="E660" i="20"/>
  <c r="F659" i="20" l="1"/>
  <c r="G658" i="20"/>
  <c r="H658" i="20" s="1"/>
  <c r="E661" i="20"/>
  <c r="G659" i="20" l="1"/>
  <c r="H659" i="20" s="1"/>
  <c r="F660" i="20"/>
  <c r="E662" i="20"/>
  <c r="G660" i="20" l="1"/>
  <c r="H660" i="20" s="1"/>
  <c r="F661" i="20"/>
  <c r="E663" i="20"/>
  <c r="G661" i="20" l="1"/>
  <c r="H661" i="20" s="1"/>
  <c r="F662" i="20"/>
  <c r="E664" i="20"/>
  <c r="F663" i="20" l="1"/>
  <c r="G662" i="20"/>
  <c r="H662" i="20" s="1"/>
  <c r="E665" i="20"/>
  <c r="F664" i="20" l="1"/>
  <c r="G663" i="20"/>
  <c r="H663" i="20" s="1"/>
  <c r="E666" i="20"/>
  <c r="F665" i="20" l="1"/>
  <c r="G664" i="20"/>
  <c r="H664" i="20" s="1"/>
  <c r="E667" i="20"/>
  <c r="G665" i="20" l="1"/>
  <c r="H665" i="20" s="1"/>
  <c r="F666" i="20"/>
  <c r="E668" i="20"/>
  <c r="G666" i="20" l="1"/>
  <c r="H666" i="20" s="1"/>
  <c r="F667" i="20"/>
  <c r="E669" i="20"/>
  <c r="F668" i="20" l="1"/>
  <c r="G667" i="20"/>
  <c r="H667" i="20" s="1"/>
  <c r="E670" i="20"/>
  <c r="F669" i="20" l="1"/>
  <c r="G668" i="20"/>
  <c r="H668" i="20" s="1"/>
  <c r="E671" i="20"/>
  <c r="F670" i="20" l="1"/>
  <c r="G669" i="20"/>
  <c r="H669" i="20" s="1"/>
  <c r="E672" i="20"/>
  <c r="F671" i="20" l="1"/>
  <c r="G670" i="20"/>
  <c r="H670" i="20" s="1"/>
  <c r="E673" i="20"/>
  <c r="G671" i="20" l="1"/>
  <c r="H671" i="20" s="1"/>
  <c r="F672" i="20"/>
  <c r="E674" i="20"/>
  <c r="F673" i="20" l="1"/>
  <c r="G672" i="20"/>
  <c r="H672" i="20" s="1"/>
  <c r="E675" i="20"/>
  <c r="F674" i="20" l="1"/>
  <c r="G673" i="20"/>
  <c r="H673" i="20" s="1"/>
  <c r="E676" i="20"/>
  <c r="F675" i="20" l="1"/>
  <c r="G674" i="20"/>
  <c r="H674" i="20" s="1"/>
  <c r="E677" i="20"/>
  <c r="G675" i="20" l="1"/>
  <c r="H675" i="20" s="1"/>
  <c r="F676" i="20"/>
  <c r="E678" i="20"/>
  <c r="G676" i="20" l="1"/>
  <c r="H676" i="20" s="1"/>
  <c r="F677" i="20"/>
  <c r="E679" i="20"/>
  <c r="F678" i="20" l="1"/>
  <c r="G677" i="20"/>
  <c r="H677" i="20" s="1"/>
  <c r="E680" i="20"/>
  <c r="F679" i="20" l="1"/>
  <c r="G678" i="20"/>
  <c r="H678" i="20" s="1"/>
  <c r="E681" i="20"/>
  <c r="F680" i="20" l="1"/>
  <c r="G679" i="20"/>
  <c r="H679" i="20" s="1"/>
  <c r="E682" i="20"/>
  <c r="F681" i="20" l="1"/>
  <c r="G680" i="20"/>
  <c r="H680" i="20" s="1"/>
  <c r="E683" i="20"/>
  <c r="G681" i="20" l="1"/>
  <c r="H681" i="20" s="1"/>
  <c r="F682" i="20"/>
  <c r="E684" i="20"/>
  <c r="F683" i="20" l="1"/>
  <c r="G682" i="20"/>
  <c r="H682" i="20" s="1"/>
  <c r="E685" i="20"/>
  <c r="G683" i="20" l="1"/>
  <c r="H683" i="20" s="1"/>
  <c r="F684" i="20"/>
  <c r="E686" i="20"/>
  <c r="F685" i="20" l="1"/>
  <c r="G684" i="20"/>
  <c r="H684" i="20" s="1"/>
  <c r="E687" i="20"/>
  <c r="G685" i="20" l="1"/>
  <c r="H685" i="20" s="1"/>
  <c r="F686" i="20"/>
  <c r="E688" i="20"/>
  <c r="F687" i="20" l="1"/>
  <c r="G686" i="20"/>
  <c r="H686" i="20" s="1"/>
  <c r="E689" i="20"/>
  <c r="G687" i="20" l="1"/>
  <c r="H687" i="20" s="1"/>
  <c r="F688" i="20"/>
  <c r="E690" i="20"/>
  <c r="F689" i="20" l="1"/>
  <c r="G688" i="20"/>
  <c r="H688" i="20" s="1"/>
  <c r="E691" i="20"/>
  <c r="F690" i="20" l="1"/>
  <c r="G689" i="20"/>
  <c r="H689" i="20" s="1"/>
  <c r="E692" i="20"/>
  <c r="F691" i="20" l="1"/>
  <c r="G690" i="20"/>
  <c r="H690" i="20" s="1"/>
  <c r="E693" i="20"/>
  <c r="F692" i="20" l="1"/>
  <c r="G691" i="20"/>
  <c r="H691" i="20" s="1"/>
  <c r="E694" i="20"/>
  <c r="F693" i="20" l="1"/>
  <c r="G692" i="20"/>
  <c r="H692" i="20" s="1"/>
  <c r="E695" i="20"/>
  <c r="F694" i="20" l="1"/>
  <c r="G693" i="20"/>
  <c r="H693" i="20" s="1"/>
  <c r="E696" i="20"/>
  <c r="F695" i="20" l="1"/>
  <c r="G694" i="20"/>
  <c r="H694" i="20" s="1"/>
  <c r="E697" i="20"/>
  <c r="F696" i="20" l="1"/>
  <c r="G695" i="20"/>
  <c r="H695" i="20" s="1"/>
  <c r="E698" i="20"/>
  <c r="F697" i="20" l="1"/>
  <c r="G696" i="20"/>
  <c r="H696" i="20" s="1"/>
  <c r="E699" i="20"/>
  <c r="G697" i="20" l="1"/>
  <c r="H697" i="20" s="1"/>
  <c r="F698" i="20"/>
  <c r="E700" i="20"/>
  <c r="F699" i="20" l="1"/>
  <c r="G698" i="20"/>
  <c r="H698" i="20" s="1"/>
  <c r="E701" i="20"/>
  <c r="G699" i="20" l="1"/>
  <c r="H699" i="20" s="1"/>
  <c r="F700" i="20"/>
  <c r="E702" i="20"/>
  <c r="F701" i="20" l="1"/>
  <c r="G700" i="20"/>
  <c r="H700" i="20" s="1"/>
  <c r="E703" i="20"/>
  <c r="F702" i="20" l="1"/>
  <c r="G701" i="20"/>
  <c r="H701" i="20" s="1"/>
  <c r="E704" i="20"/>
  <c r="G702" i="20" l="1"/>
  <c r="H702" i="20" s="1"/>
  <c r="F703" i="20"/>
  <c r="E705" i="20"/>
  <c r="F704" i="20" l="1"/>
  <c r="G703" i="20"/>
  <c r="H703" i="20" s="1"/>
  <c r="E706" i="20"/>
  <c r="F705" i="20" l="1"/>
  <c r="G704" i="20"/>
  <c r="H704" i="20" s="1"/>
  <c r="E707" i="20"/>
  <c r="F706" i="20" l="1"/>
  <c r="G705" i="20"/>
  <c r="H705" i="20" s="1"/>
  <c r="E708" i="20"/>
  <c r="F707" i="20" l="1"/>
  <c r="G706" i="20"/>
  <c r="H706" i="20" s="1"/>
  <c r="E709" i="20"/>
  <c r="F708" i="20" l="1"/>
  <c r="G707" i="20"/>
  <c r="H707" i="20" s="1"/>
  <c r="E710" i="20"/>
  <c r="F709" i="20" l="1"/>
  <c r="G708" i="20"/>
  <c r="H708" i="20" s="1"/>
  <c r="E711" i="20"/>
  <c r="G709" i="20" l="1"/>
  <c r="H709" i="20" s="1"/>
  <c r="F710" i="20"/>
  <c r="E712" i="20"/>
  <c r="F711" i="20" l="1"/>
  <c r="G710" i="20"/>
  <c r="H710" i="20" s="1"/>
  <c r="E713" i="20"/>
  <c r="F712" i="20" l="1"/>
  <c r="G711" i="20"/>
  <c r="H711" i="20" s="1"/>
  <c r="E714" i="20"/>
  <c r="F713" i="20" l="1"/>
  <c r="G712" i="20"/>
  <c r="H712" i="20" s="1"/>
  <c r="E715" i="20"/>
  <c r="F714" i="20" l="1"/>
  <c r="G713" i="20"/>
  <c r="H713" i="20" s="1"/>
  <c r="E716" i="20"/>
  <c r="F715" i="20" l="1"/>
  <c r="G714" i="20"/>
  <c r="H714" i="20" s="1"/>
  <c r="E717" i="20"/>
  <c r="F716" i="20" l="1"/>
  <c r="G715" i="20"/>
  <c r="H715" i="20" s="1"/>
  <c r="E718" i="20"/>
  <c r="F717" i="20" l="1"/>
  <c r="G716" i="20"/>
  <c r="H716" i="20" s="1"/>
  <c r="E719" i="20"/>
  <c r="F718" i="20" l="1"/>
  <c r="G717" i="20"/>
  <c r="H717" i="20" s="1"/>
  <c r="E720" i="20"/>
  <c r="F719" i="20" l="1"/>
  <c r="G718" i="20"/>
  <c r="H718" i="20" s="1"/>
  <c r="E721" i="20"/>
  <c r="F720" i="20" l="1"/>
  <c r="G719" i="20"/>
  <c r="H719" i="20" s="1"/>
  <c r="E722" i="20"/>
  <c r="F721" i="20" l="1"/>
  <c r="G720" i="20"/>
  <c r="H720" i="20" s="1"/>
  <c r="E723" i="20"/>
  <c r="F722" i="20" l="1"/>
  <c r="G721" i="20"/>
  <c r="H721" i="20" s="1"/>
  <c r="E724" i="20"/>
  <c r="F723" i="20" l="1"/>
  <c r="G722" i="20"/>
  <c r="H722" i="20" s="1"/>
  <c r="E725" i="20"/>
  <c r="F724" i="20" l="1"/>
  <c r="G723" i="20"/>
  <c r="H723" i="20" s="1"/>
  <c r="E726" i="20"/>
  <c r="F725" i="20" l="1"/>
  <c r="G724" i="20"/>
  <c r="H724" i="20" s="1"/>
  <c r="E727" i="20"/>
  <c r="F726" i="20" l="1"/>
  <c r="G725" i="20"/>
  <c r="H725" i="20" s="1"/>
  <c r="E728" i="20"/>
  <c r="F727" i="20" l="1"/>
  <c r="G726" i="20"/>
  <c r="H726" i="20" s="1"/>
  <c r="E729" i="20"/>
  <c r="F728" i="20" l="1"/>
  <c r="G727" i="20"/>
  <c r="H727" i="20" s="1"/>
  <c r="E730" i="20"/>
  <c r="F729" i="20" l="1"/>
  <c r="G728" i="20"/>
  <c r="H728" i="20" s="1"/>
  <c r="E731" i="20"/>
  <c r="F730" i="20" l="1"/>
  <c r="G729" i="20"/>
  <c r="H729" i="20" s="1"/>
  <c r="E732" i="20"/>
  <c r="G730" i="20" l="1"/>
  <c r="H730" i="20" s="1"/>
  <c r="F731" i="20"/>
  <c r="E733" i="20"/>
  <c r="G731" i="20" l="1"/>
  <c r="H731" i="20" s="1"/>
  <c r="F732" i="20"/>
  <c r="E734" i="20"/>
  <c r="F733" i="20" l="1"/>
  <c r="G732" i="20"/>
  <c r="H732" i="20" s="1"/>
  <c r="E735" i="20"/>
  <c r="F734" i="20" l="1"/>
  <c r="G733" i="20"/>
  <c r="H733" i="20" s="1"/>
  <c r="E736" i="20"/>
  <c r="F735" i="20" l="1"/>
  <c r="G734" i="20"/>
  <c r="H734" i="20" s="1"/>
  <c r="E737" i="20"/>
  <c r="F736" i="20" l="1"/>
  <c r="G735" i="20"/>
  <c r="H735" i="20" s="1"/>
  <c r="E738" i="20"/>
  <c r="F737" i="20" l="1"/>
  <c r="G736" i="20"/>
  <c r="H736" i="20" s="1"/>
  <c r="E739" i="20"/>
  <c r="F738" i="20" l="1"/>
  <c r="G737" i="20"/>
  <c r="H737" i="20" s="1"/>
  <c r="E740" i="20"/>
  <c r="F739" i="20" l="1"/>
  <c r="G738" i="20"/>
  <c r="H738" i="20" s="1"/>
  <c r="E741" i="20"/>
  <c r="G739" i="20" l="1"/>
  <c r="H739" i="20" s="1"/>
  <c r="F740" i="20"/>
  <c r="E742" i="20"/>
  <c r="G740" i="20" l="1"/>
  <c r="H740" i="20" s="1"/>
  <c r="F741" i="20"/>
  <c r="E743" i="20"/>
  <c r="G741" i="20" l="1"/>
  <c r="H741" i="20" s="1"/>
  <c r="F742" i="20"/>
  <c r="E744" i="20"/>
  <c r="G742" i="20" l="1"/>
  <c r="H742" i="20" s="1"/>
  <c r="F743" i="20"/>
  <c r="E745" i="20"/>
  <c r="F744" i="20" l="1"/>
  <c r="G743" i="20"/>
  <c r="H743" i="20" s="1"/>
  <c r="E746" i="20"/>
  <c r="G744" i="20" l="1"/>
  <c r="H744" i="20" s="1"/>
  <c r="F745" i="20"/>
  <c r="E747" i="20"/>
  <c r="G745" i="20" l="1"/>
  <c r="H745" i="20" s="1"/>
  <c r="F746" i="20"/>
  <c r="E748" i="20"/>
  <c r="F747" i="20" l="1"/>
  <c r="G746" i="20"/>
  <c r="H746" i="20" s="1"/>
  <c r="E749" i="20"/>
  <c r="F748" i="20" l="1"/>
  <c r="G747" i="20"/>
  <c r="H747" i="20" s="1"/>
  <c r="E750" i="20"/>
  <c r="F749" i="20" l="1"/>
  <c r="G748" i="20"/>
  <c r="H748" i="20" s="1"/>
  <c r="E751" i="20"/>
  <c r="F750" i="20" l="1"/>
  <c r="G749" i="20"/>
  <c r="H749" i="20" s="1"/>
  <c r="E752" i="20"/>
  <c r="F751" i="20" l="1"/>
  <c r="G750" i="20"/>
  <c r="H750" i="20" s="1"/>
  <c r="E753" i="20"/>
  <c r="F752" i="20" l="1"/>
  <c r="G751" i="20"/>
  <c r="H751" i="20" s="1"/>
  <c r="E754" i="20"/>
  <c r="F753" i="20" l="1"/>
  <c r="G752" i="20"/>
  <c r="H752" i="20" s="1"/>
  <c r="E755" i="20"/>
  <c r="F754" i="20" l="1"/>
  <c r="G753" i="20"/>
  <c r="H753" i="20" s="1"/>
  <c r="E756" i="20"/>
  <c r="F755" i="20" l="1"/>
  <c r="G754" i="20"/>
  <c r="H754" i="20" s="1"/>
  <c r="E757" i="20"/>
  <c r="G755" i="20" l="1"/>
  <c r="H755" i="20" s="1"/>
  <c r="F756" i="20"/>
  <c r="E758" i="20"/>
  <c r="F757" i="20" l="1"/>
  <c r="G756" i="20"/>
  <c r="H756" i="20" s="1"/>
  <c r="E759" i="20"/>
  <c r="G757" i="20" l="1"/>
  <c r="H757" i="20" s="1"/>
  <c r="F758" i="20"/>
  <c r="E760" i="20"/>
  <c r="F759" i="20" l="1"/>
  <c r="G758" i="20"/>
  <c r="H758" i="20" s="1"/>
  <c r="E761" i="20"/>
  <c r="G759" i="20" l="1"/>
  <c r="H759" i="20" s="1"/>
  <c r="F760" i="20"/>
  <c r="E762" i="20"/>
  <c r="F761" i="20" l="1"/>
  <c r="G760" i="20"/>
  <c r="H760" i="20" s="1"/>
  <c r="E763" i="20"/>
  <c r="G761" i="20" l="1"/>
  <c r="H761" i="20" s="1"/>
  <c r="F762" i="20"/>
  <c r="E764" i="20"/>
  <c r="F763" i="20" l="1"/>
  <c r="G762" i="20"/>
  <c r="H762" i="20" s="1"/>
  <c r="E765" i="20"/>
  <c r="G763" i="20" l="1"/>
  <c r="H763" i="20" s="1"/>
  <c r="F764" i="20"/>
  <c r="E766" i="20"/>
  <c r="F765" i="20" l="1"/>
  <c r="G764" i="20"/>
  <c r="H764" i="20" s="1"/>
  <c r="E767" i="20"/>
  <c r="G765" i="20" l="1"/>
  <c r="H765" i="20" s="1"/>
  <c r="F766" i="20"/>
  <c r="E768" i="20"/>
  <c r="F767" i="20" l="1"/>
  <c r="G766" i="20"/>
  <c r="H766" i="20" s="1"/>
  <c r="E769" i="20"/>
  <c r="F768" i="20" l="1"/>
  <c r="G767" i="20"/>
  <c r="H767" i="20" s="1"/>
  <c r="E770" i="20"/>
  <c r="F769" i="20" l="1"/>
  <c r="G768" i="20"/>
  <c r="H768" i="20" s="1"/>
  <c r="E771" i="20"/>
  <c r="F770" i="20" l="1"/>
  <c r="G769" i="20"/>
  <c r="H769" i="20" s="1"/>
  <c r="E772" i="20"/>
  <c r="G770" i="20" l="1"/>
  <c r="H770" i="20" s="1"/>
  <c r="F771" i="20"/>
  <c r="E773" i="20"/>
  <c r="F772" i="20" l="1"/>
  <c r="G771" i="20"/>
  <c r="H771" i="20" s="1"/>
  <c r="E774" i="20"/>
  <c r="F773" i="20" l="1"/>
  <c r="G772" i="20"/>
  <c r="H772" i="20" s="1"/>
  <c r="E775" i="20"/>
  <c r="F774" i="20" l="1"/>
  <c r="G773" i="20"/>
  <c r="H773" i="20" s="1"/>
  <c r="E776" i="20"/>
  <c r="F775" i="20" l="1"/>
  <c r="G774" i="20"/>
  <c r="H774" i="20" s="1"/>
  <c r="E777" i="20"/>
  <c r="F776" i="20" l="1"/>
  <c r="G775" i="20"/>
  <c r="H775" i="20" s="1"/>
  <c r="E778" i="20"/>
  <c r="F777" i="20" l="1"/>
  <c r="G776" i="20"/>
  <c r="H776" i="20" s="1"/>
  <c r="E779" i="20"/>
  <c r="F778" i="20" l="1"/>
  <c r="G777" i="20"/>
  <c r="H777" i="20" s="1"/>
  <c r="E780" i="20"/>
  <c r="F779" i="20" l="1"/>
  <c r="G778" i="20"/>
  <c r="H778" i="20" s="1"/>
  <c r="E781" i="20"/>
  <c r="F780" i="20" l="1"/>
  <c r="G779" i="20"/>
  <c r="H779" i="20" s="1"/>
  <c r="E782" i="20"/>
  <c r="F781" i="20" l="1"/>
  <c r="G780" i="20"/>
  <c r="H780" i="20" s="1"/>
  <c r="E783" i="20"/>
  <c r="F782" i="20" l="1"/>
  <c r="G781" i="20"/>
  <c r="H781" i="20" s="1"/>
  <c r="E784" i="20"/>
  <c r="F783" i="20" l="1"/>
  <c r="G782" i="20"/>
  <c r="H782" i="20" s="1"/>
  <c r="E785" i="20"/>
  <c r="F784" i="20" l="1"/>
  <c r="G783" i="20"/>
  <c r="H783" i="20" s="1"/>
  <c r="E786" i="20"/>
  <c r="F785" i="20" l="1"/>
  <c r="G784" i="20"/>
  <c r="H784" i="20" s="1"/>
  <c r="E787" i="20"/>
  <c r="G785" i="20" l="1"/>
  <c r="H785" i="20" s="1"/>
  <c r="F786" i="20"/>
  <c r="E788" i="20"/>
  <c r="F787" i="20" l="1"/>
  <c r="G786" i="20"/>
  <c r="H786" i="20" s="1"/>
  <c r="E789" i="20"/>
  <c r="F788" i="20" l="1"/>
  <c r="G787" i="20"/>
  <c r="H787" i="20" s="1"/>
  <c r="E790" i="20"/>
  <c r="G788" i="20" l="1"/>
  <c r="H788" i="20" s="1"/>
  <c r="F789" i="20"/>
  <c r="E791" i="20"/>
  <c r="F790" i="20" l="1"/>
  <c r="G789" i="20"/>
  <c r="H789" i="20" s="1"/>
  <c r="E792" i="20"/>
  <c r="F791" i="20" l="1"/>
  <c r="G790" i="20"/>
  <c r="H790" i="20" s="1"/>
  <c r="E793" i="20"/>
  <c r="G791" i="20" l="1"/>
  <c r="H791" i="20" s="1"/>
  <c r="F792" i="20"/>
  <c r="E794" i="20"/>
  <c r="F793" i="20" l="1"/>
  <c r="G792" i="20"/>
  <c r="H792" i="20" s="1"/>
  <c r="E795" i="20"/>
  <c r="F794" i="20" l="1"/>
  <c r="G793" i="20"/>
  <c r="H793" i="20" s="1"/>
  <c r="E796" i="20"/>
  <c r="F795" i="20" l="1"/>
  <c r="G794" i="20"/>
  <c r="H794" i="20" s="1"/>
  <c r="E797" i="20"/>
  <c r="F796" i="20" l="1"/>
  <c r="G795" i="20"/>
  <c r="H795" i="20" s="1"/>
  <c r="E798" i="20"/>
  <c r="F797" i="20" l="1"/>
  <c r="G796" i="20"/>
  <c r="H796" i="20" s="1"/>
  <c r="E799" i="20"/>
  <c r="F798" i="20" l="1"/>
  <c r="G797" i="20"/>
  <c r="H797" i="20" s="1"/>
  <c r="E800" i="20"/>
  <c r="F799" i="20" l="1"/>
  <c r="G798" i="20"/>
  <c r="H798" i="20" s="1"/>
  <c r="E801" i="20"/>
  <c r="F800" i="20" l="1"/>
  <c r="G799" i="20"/>
  <c r="H799" i="20" s="1"/>
  <c r="E802" i="20"/>
  <c r="F801" i="20" l="1"/>
  <c r="G800" i="20"/>
  <c r="H800" i="20" s="1"/>
  <c r="E803" i="20"/>
  <c r="F802" i="20" l="1"/>
  <c r="G801" i="20"/>
  <c r="H801" i="20" s="1"/>
  <c r="E804" i="20"/>
  <c r="F803" i="20" l="1"/>
  <c r="G802" i="20"/>
  <c r="H802" i="20" s="1"/>
  <c r="E805" i="20"/>
  <c r="F804" i="20" l="1"/>
  <c r="G803" i="20"/>
  <c r="H803" i="20" s="1"/>
  <c r="E806" i="20"/>
  <c r="F805" i="20" l="1"/>
  <c r="G804" i="20"/>
  <c r="H804" i="20" s="1"/>
  <c r="E807" i="20"/>
  <c r="F806" i="20" l="1"/>
  <c r="G805" i="20"/>
  <c r="H805" i="20" s="1"/>
  <c r="E808" i="20"/>
  <c r="F807" i="20" l="1"/>
  <c r="G806" i="20"/>
  <c r="H806" i="20" s="1"/>
  <c r="E809" i="20"/>
  <c r="G807" i="20" l="1"/>
  <c r="H807" i="20" s="1"/>
  <c r="F808" i="20"/>
  <c r="E810" i="20"/>
  <c r="F809" i="20" l="1"/>
  <c r="G808" i="20"/>
  <c r="H808" i="20" s="1"/>
  <c r="E811" i="20"/>
  <c r="G809" i="20" l="1"/>
  <c r="H809" i="20" s="1"/>
  <c r="F810" i="20"/>
  <c r="E812" i="20"/>
  <c r="F811" i="20" l="1"/>
  <c r="G810" i="20"/>
  <c r="H810" i="20" s="1"/>
  <c r="E813" i="20"/>
  <c r="F812" i="20" l="1"/>
  <c r="G811" i="20"/>
  <c r="H811" i="20" s="1"/>
  <c r="E814" i="20"/>
  <c r="F813" i="20" l="1"/>
  <c r="G812" i="20"/>
  <c r="H812" i="20" s="1"/>
  <c r="E815" i="20"/>
  <c r="F814" i="20" l="1"/>
  <c r="G813" i="20"/>
  <c r="H813" i="20" s="1"/>
  <c r="E816" i="20"/>
  <c r="F815" i="20" l="1"/>
  <c r="G814" i="20"/>
  <c r="H814" i="20" s="1"/>
  <c r="E817" i="20"/>
  <c r="F816" i="20" l="1"/>
  <c r="G815" i="20"/>
  <c r="H815" i="20" s="1"/>
  <c r="E818" i="20"/>
  <c r="F817" i="20" l="1"/>
  <c r="G816" i="20"/>
  <c r="H816" i="20" s="1"/>
  <c r="E819" i="20"/>
  <c r="F818" i="20" l="1"/>
  <c r="G817" i="20"/>
  <c r="H817" i="20" s="1"/>
  <c r="E820" i="20"/>
  <c r="F819" i="20" l="1"/>
  <c r="G818" i="20"/>
  <c r="H818" i="20" s="1"/>
  <c r="E821" i="20"/>
  <c r="F820" i="20" l="1"/>
  <c r="G819" i="20"/>
  <c r="H819" i="20" s="1"/>
  <c r="E822" i="20"/>
  <c r="F821" i="20" l="1"/>
  <c r="G820" i="20"/>
  <c r="H820" i="20" s="1"/>
  <c r="E823" i="20"/>
  <c r="F822" i="20" l="1"/>
  <c r="G821" i="20"/>
  <c r="H821" i="20" s="1"/>
  <c r="E824" i="20"/>
  <c r="F823" i="20" l="1"/>
  <c r="G822" i="20"/>
  <c r="H822" i="20" s="1"/>
  <c r="E825" i="20"/>
  <c r="G823" i="20" l="1"/>
  <c r="H823" i="20" s="1"/>
  <c r="F824" i="20"/>
  <c r="E826" i="20"/>
  <c r="F825" i="20" l="1"/>
  <c r="G824" i="20"/>
  <c r="H824" i="20" s="1"/>
  <c r="E827" i="20"/>
  <c r="G825" i="20" l="1"/>
  <c r="H825" i="20" s="1"/>
  <c r="F826" i="20"/>
  <c r="E828" i="20"/>
  <c r="F827" i="20" l="1"/>
  <c r="G826" i="20"/>
  <c r="H826" i="20" s="1"/>
  <c r="E829" i="20"/>
  <c r="F828" i="20" l="1"/>
  <c r="G827" i="20"/>
  <c r="H827" i="20" s="1"/>
  <c r="E830" i="20"/>
  <c r="F829" i="20" l="1"/>
  <c r="G828" i="20"/>
  <c r="H828" i="20" s="1"/>
  <c r="E831" i="20"/>
  <c r="F830" i="20" l="1"/>
  <c r="G829" i="20"/>
  <c r="H829" i="20" s="1"/>
  <c r="E832" i="20"/>
  <c r="F831" i="20" l="1"/>
  <c r="G830" i="20"/>
  <c r="H830" i="20" s="1"/>
  <c r="E833" i="20"/>
  <c r="F832" i="20" l="1"/>
  <c r="G831" i="20"/>
  <c r="H831" i="20" s="1"/>
  <c r="E834" i="20"/>
  <c r="F833" i="20" l="1"/>
  <c r="G832" i="20"/>
  <c r="H832" i="20" s="1"/>
  <c r="E835" i="20"/>
  <c r="F834" i="20" l="1"/>
  <c r="G833" i="20"/>
  <c r="H833" i="20" s="1"/>
  <c r="E836" i="20"/>
  <c r="F835" i="20" l="1"/>
  <c r="G834" i="20"/>
  <c r="H834" i="20" s="1"/>
  <c r="E837" i="20"/>
  <c r="F836" i="20" l="1"/>
  <c r="G835" i="20"/>
  <c r="H835" i="20" s="1"/>
  <c r="E838" i="20"/>
  <c r="F837" i="20" l="1"/>
  <c r="G836" i="20"/>
  <c r="H836" i="20" s="1"/>
  <c r="E839" i="20"/>
  <c r="F838" i="20" l="1"/>
  <c r="G837" i="20"/>
  <c r="H837" i="20" s="1"/>
  <c r="E840" i="20"/>
  <c r="F839" i="20" l="1"/>
  <c r="G838" i="20"/>
  <c r="H838" i="20" s="1"/>
  <c r="E841" i="20"/>
  <c r="F840" i="20" l="1"/>
  <c r="G839" i="20"/>
  <c r="H839" i="20" s="1"/>
  <c r="E842" i="20"/>
  <c r="F841" i="20" l="1"/>
  <c r="G840" i="20"/>
  <c r="H840" i="20" s="1"/>
  <c r="E843" i="20"/>
  <c r="F842" i="20" l="1"/>
  <c r="G841" i="20"/>
  <c r="H841" i="20" s="1"/>
  <c r="E844" i="20"/>
  <c r="F843" i="20" l="1"/>
  <c r="G842" i="20"/>
  <c r="H842" i="20" s="1"/>
  <c r="E845" i="20"/>
  <c r="F844" i="20" l="1"/>
  <c r="G843" i="20"/>
  <c r="H843" i="20" s="1"/>
  <c r="E846" i="20"/>
  <c r="G844" i="20" l="1"/>
  <c r="H844" i="20" s="1"/>
  <c r="F845" i="20"/>
  <c r="E847" i="20"/>
  <c r="F846" i="20" l="1"/>
  <c r="G845" i="20"/>
  <c r="H845" i="20" s="1"/>
  <c r="E848" i="20"/>
  <c r="G846" i="20" l="1"/>
  <c r="H846" i="20" s="1"/>
  <c r="F847" i="20"/>
  <c r="E849" i="20"/>
  <c r="F848" i="20" l="1"/>
  <c r="G847" i="20"/>
  <c r="H847" i="20" s="1"/>
  <c r="E850" i="20"/>
  <c r="F849" i="20" l="1"/>
  <c r="G848" i="20"/>
  <c r="H848" i="20" s="1"/>
  <c r="E851" i="20"/>
  <c r="G849" i="20" l="1"/>
  <c r="H849" i="20" s="1"/>
  <c r="F850" i="20"/>
  <c r="E852" i="20"/>
  <c r="F851" i="20" l="1"/>
  <c r="G850" i="20"/>
  <c r="H850" i="20" s="1"/>
  <c r="E853" i="20"/>
  <c r="F852" i="20" l="1"/>
  <c r="G851" i="20"/>
  <c r="H851" i="20" s="1"/>
  <c r="E854" i="20"/>
  <c r="F853" i="20" l="1"/>
  <c r="G852" i="20"/>
  <c r="H852" i="20" s="1"/>
  <c r="E855" i="20"/>
  <c r="F854" i="20" l="1"/>
  <c r="G853" i="20"/>
  <c r="H853" i="20" s="1"/>
  <c r="E856" i="20"/>
  <c r="F855" i="20" l="1"/>
  <c r="G854" i="20"/>
  <c r="H854" i="20" s="1"/>
  <c r="E857" i="20"/>
  <c r="F856" i="20" l="1"/>
  <c r="G855" i="20"/>
  <c r="H855" i="20" s="1"/>
  <c r="E858" i="20"/>
  <c r="F857" i="20" l="1"/>
  <c r="G856" i="20"/>
  <c r="H856" i="20" s="1"/>
  <c r="E859" i="20"/>
  <c r="F858" i="20" l="1"/>
  <c r="G857" i="20"/>
  <c r="H857" i="20" s="1"/>
  <c r="E860" i="20"/>
  <c r="F859" i="20" l="1"/>
  <c r="G858" i="20"/>
  <c r="H858" i="20" s="1"/>
  <c r="E861" i="20"/>
  <c r="F860" i="20" l="1"/>
  <c r="G859" i="20"/>
  <c r="H859" i="20" s="1"/>
  <c r="E862" i="20"/>
  <c r="F861" i="20" l="1"/>
  <c r="G860" i="20"/>
  <c r="H860" i="20" s="1"/>
  <c r="E863" i="20"/>
  <c r="F862" i="20" l="1"/>
  <c r="G861" i="20"/>
  <c r="H861" i="20" s="1"/>
  <c r="E864" i="20"/>
  <c r="F863" i="20" l="1"/>
  <c r="G862" i="20"/>
  <c r="H862" i="20" s="1"/>
  <c r="E865" i="20"/>
  <c r="F864" i="20" l="1"/>
  <c r="G863" i="20"/>
  <c r="H863" i="20" s="1"/>
  <c r="E866" i="20"/>
  <c r="F865" i="20" l="1"/>
  <c r="G864" i="20"/>
  <c r="H864" i="20" s="1"/>
  <c r="E867" i="20"/>
  <c r="F866" i="20" l="1"/>
  <c r="G865" i="20"/>
  <c r="H865" i="20" s="1"/>
  <c r="E868" i="20"/>
  <c r="F867" i="20" l="1"/>
  <c r="G866" i="20"/>
  <c r="H866" i="20" s="1"/>
  <c r="E869" i="20"/>
  <c r="F868" i="20" l="1"/>
  <c r="G867" i="20"/>
  <c r="H867" i="20" s="1"/>
  <c r="E870" i="20"/>
  <c r="F869" i="20" l="1"/>
  <c r="G868" i="20"/>
  <c r="H868" i="20" s="1"/>
  <c r="E871" i="20"/>
  <c r="F870" i="20" l="1"/>
  <c r="G869" i="20"/>
  <c r="H869" i="20" s="1"/>
  <c r="E872" i="20"/>
  <c r="F871" i="20" l="1"/>
  <c r="G870" i="20"/>
  <c r="H870" i="20" s="1"/>
  <c r="E873" i="20"/>
  <c r="F872" i="20" l="1"/>
  <c r="G871" i="20"/>
  <c r="H871" i="20" s="1"/>
  <c r="E874" i="20"/>
  <c r="G872" i="20" l="1"/>
  <c r="H872" i="20" s="1"/>
  <c r="F873" i="20"/>
  <c r="E875" i="20"/>
  <c r="F874" i="20" l="1"/>
  <c r="G873" i="20"/>
  <c r="H873" i="20" s="1"/>
  <c r="E876" i="20"/>
  <c r="G874" i="20" l="1"/>
  <c r="H874" i="20" s="1"/>
  <c r="F875" i="20"/>
  <c r="E877" i="20"/>
  <c r="F876" i="20" l="1"/>
  <c r="G875" i="20"/>
  <c r="H875" i="20" s="1"/>
  <c r="E878" i="20"/>
  <c r="G876" i="20" l="1"/>
  <c r="H876" i="20" s="1"/>
  <c r="F877" i="20"/>
  <c r="E879" i="20"/>
  <c r="F878" i="20" l="1"/>
  <c r="G877" i="20"/>
  <c r="H877" i="20" s="1"/>
  <c r="E880" i="20"/>
  <c r="G878" i="20" l="1"/>
  <c r="H878" i="20" s="1"/>
  <c r="F879" i="20"/>
  <c r="E881" i="20"/>
  <c r="F880" i="20" l="1"/>
  <c r="G879" i="20"/>
  <c r="H879" i="20" s="1"/>
  <c r="E882" i="20"/>
  <c r="F881" i="20" l="1"/>
  <c r="G880" i="20"/>
  <c r="H880" i="20" s="1"/>
  <c r="E883" i="20"/>
  <c r="F882" i="20" l="1"/>
  <c r="G881" i="20"/>
  <c r="H881" i="20" s="1"/>
  <c r="E884" i="20"/>
  <c r="G882" i="20" l="1"/>
  <c r="H882" i="20" s="1"/>
  <c r="F883" i="20"/>
  <c r="E885" i="20"/>
  <c r="F884" i="20" l="1"/>
  <c r="G883" i="20"/>
  <c r="H883" i="20" s="1"/>
  <c r="E886" i="20"/>
  <c r="F885" i="20" l="1"/>
  <c r="G884" i="20"/>
  <c r="H884" i="20" s="1"/>
  <c r="E887" i="20"/>
  <c r="F886" i="20" l="1"/>
  <c r="H885" i="20"/>
  <c r="G885" i="20"/>
  <c r="E888" i="20"/>
  <c r="H886" i="20" l="1"/>
  <c r="F887" i="20"/>
  <c r="G886" i="20"/>
  <c r="E889" i="20"/>
  <c r="G887" i="20" l="1"/>
  <c r="F888" i="20"/>
  <c r="H887" i="20"/>
  <c r="E890" i="20"/>
  <c r="H888" i="20" l="1"/>
  <c r="G888" i="20"/>
  <c r="F889" i="20"/>
  <c r="E891" i="20"/>
  <c r="F890" i="20" l="1"/>
  <c r="H889" i="20"/>
  <c r="G889" i="20"/>
  <c r="E892" i="20"/>
  <c r="H890" i="20" l="1"/>
  <c r="G890" i="20"/>
  <c r="F891" i="20"/>
  <c r="E893" i="20"/>
  <c r="G891" i="20" l="1"/>
  <c r="H891" i="20"/>
  <c r="F892" i="20"/>
  <c r="E894" i="20"/>
  <c r="H892" i="20" l="1"/>
  <c r="F893" i="20"/>
  <c r="G892" i="20"/>
  <c r="E895" i="20"/>
  <c r="H893" i="20" l="1"/>
  <c r="G893" i="20"/>
  <c r="F894" i="20"/>
  <c r="E896" i="20"/>
  <c r="H894" i="20" l="1"/>
  <c r="F895" i="20"/>
  <c r="G894" i="20"/>
  <c r="E897" i="20"/>
  <c r="F896" i="20" l="1"/>
  <c r="H895" i="20"/>
  <c r="G895" i="20"/>
  <c r="E898" i="20"/>
  <c r="H896" i="20" l="1"/>
  <c r="F897" i="20"/>
  <c r="G896" i="20"/>
  <c r="E899" i="20"/>
  <c r="G897" i="20" l="1"/>
  <c r="H897" i="20"/>
  <c r="F898" i="20"/>
  <c r="E900" i="20"/>
  <c r="H898" i="20" l="1"/>
  <c r="F899" i="20"/>
  <c r="G898" i="20"/>
  <c r="E901" i="20"/>
  <c r="G899" i="20" l="1"/>
  <c r="H899" i="20"/>
  <c r="F900" i="20"/>
  <c r="E902" i="20"/>
  <c r="H900" i="20" l="1"/>
  <c r="G900" i="20"/>
  <c r="F901" i="20"/>
  <c r="E903" i="20"/>
  <c r="G901" i="20" l="1"/>
  <c r="F902" i="20"/>
  <c r="H901" i="20"/>
  <c r="E904" i="20"/>
  <c r="H902" i="20" l="1"/>
  <c r="F903" i="20"/>
  <c r="G902" i="20"/>
  <c r="E905" i="20"/>
  <c r="F904" i="20" l="1"/>
  <c r="H903" i="20"/>
  <c r="G903" i="20"/>
  <c r="E906" i="20"/>
  <c r="H904" i="20" l="1"/>
  <c r="F905" i="20"/>
  <c r="G904" i="20"/>
  <c r="E907" i="20"/>
  <c r="G905" i="20" l="1"/>
  <c r="H905" i="20"/>
  <c r="F906" i="20"/>
  <c r="E908" i="20"/>
  <c r="H906" i="20" l="1"/>
  <c r="G906" i="20"/>
  <c r="F907" i="20"/>
  <c r="E909" i="20"/>
  <c r="F908" i="20" l="1"/>
  <c r="H907" i="20"/>
  <c r="G907" i="20"/>
  <c r="E910" i="20"/>
  <c r="F909" i="20" l="1"/>
  <c r="G908" i="20"/>
  <c r="H908" i="20"/>
  <c r="E911" i="20"/>
  <c r="H909" i="20" l="1"/>
  <c r="G909" i="20"/>
  <c r="F910" i="20"/>
  <c r="E912" i="20"/>
  <c r="G910" i="20" l="1"/>
  <c r="H910" i="20"/>
  <c r="F911" i="20"/>
  <c r="E913" i="20"/>
  <c r="H911" i="20" l="1"/>
  <c r="G911" i="20"/>
  <c r="F912" i="20"/>
  <c r="E914" i="20"/>
  <c r="G912" i="20" l="1"/>
  <c r="H912" i="20"/>
  <c r="F913" i="20"/>
  <c r="E915" i="20"/>
  <c r="F914" i="20" l="1"/>
  <c r="H913" i="20"/>
  <c r="G913" i="20"/>
  <c r="E916" i="20"/>
  <c r="H914" i="20" l="1"/>
  <c r="G914" i="20"/>
  <c r="F915" i="20"/>
  <c r="E917" i="20"/>
  <c r="G915" i="20" l="1"/>
  <c r="F916" i="20"/>
  <c r="H915" i="20"/>
  <c r="E918" i="20"/>
  <c r="H916" i="20" l="1"/>
  <c r="G916" i="20"/>
  <c r="F917" i="20"/>
  <c r="E919" i="20"/>
  <c r="F918" i="20" l="1"/>
  <c r="H917" i="20"/>
  <c r="G917" i="20"/>
  <c r="E920" i="20"/>
  <c r="H918" i="20" l="1"/>
  <c r="G918" i="20"/>
  <c r="F919" i="20"/>
  <c r="E921" i="20"/>
  <c r="F920" i="20" l="1"/>
  <c r="H919" i="20"/>
  <c r="G919" i="20"/>
  <c r="E922" i="20"/>
  <c r="H920" i="20" l="1"/>
  <c r="F921" i="20"/>
  <c r="G920" i="20"/>
  <c r="E923" i="20"/>
  <c r="G921" i="20" l="1"/>
  <c r="H921" i="20"/>
  <c r="F922" i="20"/>
  <c r="E924" i="20"/>
  <c r="H922" i="20" l="1"/>
  <c r="F923" i="20"/>
  <c r="G922" i="20"/>
  <c r="E925" i="20"/>
  <c r="G923" i="20" l="1"/>
  <c r="H923" i="20"/>
  <c r="F924" i="20"/>
  <c r="E926" i="20"/>
  <c r="H924" i="20" l="1"/>
  <c r="G924" i="20"/>
  <c r="F925" i="20"/>
  <c r="E927" i="20"/>
  <c r="G925" i="20" l="1"/>
  <c r="F926" i="20"/>
  <c r="H925" i="20"/>
  <c r="E928" i="20"/>
  <c r="H926" i="20" l="1"/>
  <c r="G926" i="20"/>
  <c r="F927" i="20"/>
  <c r="E929" i="20"/>
  <c r="G927" i="20" l="1"/>
  <c r="F928" i="20"/>
  <c r="H927" i="20"/>
  <c r="E930" i="20"/>
  <c r="F929" i="20" l="1"/>
  <c r="G928" i="20"/>
  <c r="H928" i="20"/>
  <c r="E931" i="20"/>
  <c r="H929" i="20" l="1"/>
  <c r="G929" i="20"/>
  <c r="F930" i="20"/>
  <c r="E932" i="20"/>
  <c r="F931" i="20" l="1"/>
  <c r="G930" i="20"/>
  <c r="H930" i="20"/>
  <c r="E933" i="20"/>
  <c r="H931" i="20" l="1"/>
  <c r="G931" i="20"/>
  <c r="F932" i="20"/>
  <c r="E934" i="20"/>
  <c r="H932" i="20" l="1"/>
  <c r="F933" i="20"/>
  <c r="G932" i="20"/>
  <c r="E935" i="20"/>
  <c r="G933" i="20" l="1"/>
  <c r="H933" i="20"/>
  <c r="F934" i="20"/>
  <c r="E936" i="20"/>
  <c r="H934" i="20" l="1"/>
  <c r="F935" i="20"/>
  <c r="G934" i="20"/>
  <c r="E937" i="20"/>
  <c r="G935" i="20" l="1"/>
  <c r="F936" i="20"/>
  <c r="H935" i="20"/>
  <c r="E938" i="20"/>
  <c r="H936" i="20" l="1"/>
  <c r="F937" i="20"/>
  <c r="G936" i="20"/>
  <c r="E939" i="20"/>
  <c r="G937" i="20" l="1"/>
  <c r="F938" i="20"/>
  <c r="H937" i="20"/>
  <c r="E940" i="20"/>
  <c r="H938" i="20" l="1"/>
  <c r="G938" i="20"/>
  <c r="F939" i="20"/>
  <c r="E941" i="20"/>
  <c r="F940" i="20" l="1"/>
  <c r="H939" i="20"/>
  <c r="G939" i="20"/>
  <c r="E942" i="20"/>
  <c r="H940" i="20" l="1"/>
  <c r="G940" i="20"/>
  <c r="F941" i="20"/>
  <c r="E943" i="20"/>
  <c r="G941" i="20" l="1"/>
  <c r="H941" i="20"/>
  <c r="F942" i="20"/>
  <c r="E944" i="20"/>
  <c r="H942" i="20" l="1"/>
  <c r="G942" i="20"/>
  <c r="F943" i="20"/>
  <c r="E945" i="20"/>
  <c r="F944" i="20" l="1"/>
  <c r="H943" i="20"/>
  <c r="G943" i="20"/>
  <c r="E946" i="20"/>
  <c r="H944" i="20" l="1"/>
  <c r="G944" i="20"/>
  <c r="F945" i="20"/>
  <c r="E947" i="20"/>
  <c r="G945" i="20" l="1"/>
  <c r="H945" i="20"/>
  <c r="F946" i="20"/>
  <c r="E948" i="20"/>
  <c r="H946" i="20" l="1"/>
  <c r="G946" i="20"/>
  <c r="F947" i="20"/>
  <c r="E949" i="20"/>
  <c r="F948" i="20" l="1"/>
  <c r="H947" i="20"/>
  <c r="G947" i="20"/>
  <c r="E950" i="20"/>
  <c r="H948" i="20" l="1"/>
  <c r="G948" i="20"/>
  <c r="F949" i="20"/>
  <c r="E951" i="20"/>
  <c r="G949" i="20" l="1"/>
  <c r="H949" i="20"/>
  <c r="F950" i="20"/>
  <c r="E952" i="20"/>
  <c r="H950" i="20" l="1"/>
  <c r="F951" i="20"/>
  <c r="G950" i="20"/>
  <c r="E953" i="20"/>
  <c r="G951" i="20" l="1"/>
  <c r="H951" i="20"/>
  <c r="F952" i="20"/>
  <c r="E954" i="20"/>
  <c r="H952" i="20" l="1"/>
  <c r="G952" i="20"/>
  <c r="F953" i="20"/>
  <c r="E955" i="20"/>
  <c r="H953" i="20" l="1"/>
  <c r="G953" i="20"/>
  <c r="F954" i="20"/>
  <c r="E956" i="20"/>
  <c r="H954" i="20" l="1"/>
  <c r="F955" i="20"/>
  <c r="G954" i="20"/>
  <c r="E957" i="20"/>
  <c r="G955" i="20" l="1"/>
  <c r="H955" i="20"/>
  <c r="F956" i="20"/>
  <c r="E958" i="20"/>
  <c r="H956" i="20" l="1"/>
  <c r="G956" i="20"/>
  <c r="F957" i="20"/>
  <c r="E959" i="20"/>
  <c r="G957" i="20" l="1"/>
  <c r="F958" i="20"/>
  <c r="H957" i="20"/>
  <c r="E960" i="20"/>
  <c r="H958" i="20" l="1"/>
  <c r="F959" i="20"/>
  <c r="G958" i="20"/>
  <c r="E961" i="20"/>
  <c r="H959" i="20" l="1"/>
  <c r="G959" i="20"/>
  <c r="F960" i="20"/>
  <c r="E962" i="20"/>
  <c r="G960" i="20" l="1"/>
  <c r="F961" i="20"/>
  <c r="H960" i="20"/>
  <c r="E963" i="20"/>
  <c r="G961" i="20" l="1"/>
  <c r="F962" i="20"/>
  <c r="H961" i="20"/>
  <c r="E964" i="20"/>
  <c r="F963" i="20" l="1"/>
  <c r="G962" i="20"/>
  <c r="H962" i="20"/>
  <c r="E965" i="20"/>
  <c r="F964" i="20" l="1"/>
  <c r="H963" i="20"/>
  <c r="G963" i="20"/>
  <c r="E966" i="20"/>
  <c r="G964" i="20" l="1"/>
  <c r="H964" i="20"/>
  <c r="F965" i="20"/>
  <c r="E967" i="20"/>
  <c r="H965" i="20" l="1"/>
  <c r="G965" i="20"/>
  <c r="F966" i="20"/>
  <c r="E968" i="20"/>
  <c r="F967" i="20" l="1"/>
  <c r="G966" i="20"/>
  <c r="H966" i="20"/>
  <c r="E969" i="20"/>
  <c r="G967" i="20" l="1"/>
  <c r="F968" i="20"/>
  <c r="H967" i="20"/>
  <c r="E970" i="20"/>
  <c r="H968" i="20" l="1"/>
  <c r="G968" i="20"/>
  <c r="F969" i="20"/>
  <c r="E971" i="20"/>
  <c r="G969" i="20" l="1"/>
  <c r="F970" i="20"/>
  <c r="H969" i="20"/>
  <c r="E972" i="20"/>
  <c r="H970" i="20" l="1"/>
  <c r="G970" i="20"/>
  <c r="F971" i="20"/>
  <c r="E973" i="20"/>
  <c r="G971" i="20" l="1"/>
  <c r="F972" i="20"/>
  <c r="H971" i="20"/>
  <c r="E974" i="20"/>
  <c r="H972" i="20" l="1"/>
  <c r="G972" i="20"/>
  <c r="F973" i="20"/>
  <c r="E975" i="20"/>
  <c r="F974" i="20" l="1"/>
  <c r="H973" i="20"/>
  <c r="G973" i="20"/>
  <c r="E976" i="20"/>
  <c r="H974" i="20" l="1"/>
  <c r="G974" i="20"/>
  <c r="F975" i="20"/>
  <c r="E977" i="20"/>
  <c r="H975" i="20" l="1"/>
  <c r="F976" i="20"/>
  <c r="G975" i="20"/>
  <c r="E978" i="20"/>
  <c r="G976" i="20" l="1"/>
  <c r="F977" i="20"/>
  <c r="H976" i="20"/>
  <c r="E979" i="20"/>
  <c r="G977" i="20" l="1"/>
  <c r="F978" i="20"/>
  <c r="H977" i="20"/>
  <c r="E980" i="20"/>
  <c r="H978" i="20" l="1"/>
  <c r="F979" i="20"/>
  <c r="G978" i="20"/>
  <c r="E981" i="20"/>
  <c r="G979" i="20" l="1"/>
  <c r="F980" i="20"/>
  <c r="H979" i="20"/>
  <c r="E982" i="20"/>
  <c r="G980" i="20" l="1"/>
  <c r="F981" i="20"/>
  <c r="H980" i="20"/>
  <c r="E983" i="20"/>
  <c r="G981" i="20" l="1"/>
  <c r="F982" i="20"/>
  <c r="H981" i="20"/>
  <c r="E984" i="20"/>
  <c r="H982" i="20" l="1"/>
  <c r="F983" i="20"/>
  <c r="G982" i="20"/>
  <c r="E985" i="20"/>
  <c r="G983" i="20" l="1"/>
  <c r="F984" i="20"/>
  <c r="H983" i="20"/>
  <c r="E986" i="20"/>
  <c r="H984" i="20" l="1"/>
  <c r="F985" i="20"/>
  <c r="G984" i="20"/>
  <c r="E987" i="20"/>
  <c r="G985" i="20" l="1"/>
  <c r="F986" i="20"/>
  <c r="H985" i="20"/>
  <c r="E988" i="20"/>
  <c r="H986" i="20" l="1"/>
  <c r="F987" i="20"/>
  <c r="G986" i="20"/>
  <c r="E989" i="20"/>
  <c r="G987" i="20" l="1"/>
  <c r="F988" i="20"/>
  <c r="H987" i="20"/>
  <c r="E990" i="20"/>
  <c r="G988" i="20" l="1"/>
  <c r="F989" i="20"/>
  <c r="H988" i="20"/>
  <c r="E991" i="20"/>
  <c r="G989" i="20" l="1"/>
  <c r="F990" i="20"/>
  <c r="H989" i="20"/>
  <c r="E992" i="20"/>
  <c r="H990" i="20" l="1"/>
  <c r="F991" i="20"/>
  <c r="G990" i="20"/>
  <c r="E993" i="20"/>
  <c r="H991" i="20" l="1"/>
  <c r="F992" i="20"/>
  <c r="G991" i="20"/>
  <c r="E994" i="20"/>
  <c r="G992" i="20" l="1"/>
  <c r="F993" i="20"/>
  <c r="H992" i="20"/>
  <c r="E995" i="20"/>
  <c r="G993" i="20" l="1"/>
  <c r="F994" i="20"/>
  <c r="H993" i="20"/>
  <c r="E996" i="20"/>
  <c r="H994" i="20" l="1"/>
  <c r="F995" i="20"/>
  <c r="G994" i="20"/>
  <c r="E997" i="20"/>
  <c r="G995" i="20" l="1"/>
  <c r="F996" i="20"/>
  <c r="H995" i="20"/>
  <c r="E998" i="20"/>
  <c r="G996" i="20" l="1"/>
  <c r="F997" i="20"/>
  <c r="H996" i="20"/>
  <c r="E999" i="20"/>
  <c r="G997" i="20" l="1"/>
  <c r="F998" i="20"/>
  <c r="H997" i="20"/>
  <c r="E1000" i="20"/>
  <c r="H998" i="20" l="1"/>
  <c r="F999" i="20"/>
  <c r="G998" i="20"/>
  <c r="E1001" i="20"/>
  <c r="G999" i="20" l="1"/>
  <c r="F1000" i="20"/>
  <c r="H999" i="20"/>
  <c r="E1002" i="20"/>
  <c r="H1000" i="20" l="1"/>
  <c r="F1001" i="20"/>
  <c r="G1000" i="20"/>
  <c r="E1003" i="20"/>
  <c r="G1001" i="20" l="1"/>
  <c r="F1002" i="20"/>
  <c r="H1001" i="20"/>
  <c r="E1004" i="20"/>
  <c r="H1002" i="20" l="1"/>
  <c r="F1003" i="20"/>
  <c r="G1002" i="20"/>
  <c r="E1005" i="20"/>
  <c r="G1003" i="20" l="1"/>
  <c r="F1004" i="20"/>
  <c r="H1003" i="20"/>
  <c r="E1006" i="20"/>
  <c r="G1004" i="20" l="1"/>
  <c r="F1005" i="20"/>
  <c r="H1004" i="20"/>
  <c r="E1007" i="20"/>
  <c r="G1005" i="20" l="1"/>
  <c r="F1006" i="20"/>
  <c r="H1005" i="20"/>
  <c r="E1008" i="20"/>
  <c r="H1006" i="20" l="1"/>
  <c r="F1007" i="20"/>
  <c r="G1006" i="20"/>
  <c r="E1009" i="20"/>
  <c r="H1007" i="20" l="1"/>
  <c r="F1008" i="20"/>
  <c r="G1007" i="20"/>
  <c r="E1010" i="20"/>
  <c r="G1008" i="20" l="1"/>
  <c r="F1009" i="20"/>
  <c r="H1008" i="20"/>
  <c r="E1011" i="20"/>
  <c r="G1009" i="20" l="1"/>
  <c r="F1010" i="20"/>
  <c r="H1009" i="20"/>
  <c r="E1012" i="20"/>
  <c r="H1010" i="20" l="1"/>
  <c r="F1011" i="20"/>
  <c r="G1010" i="20"/>
  <c r="E1013" i="20"/>
  <c r="G1011" i="20" l="1"/>
  <c r="F1012" i="20"/>
  <c r="H1011" i="20"/>
  <c r="E1014" i="20"/>
  <c r="G1012" i="20" l="1"/>
  <c r="F1013" i="20"/>
  <c r="H1012" i="20"/>
  <c r="E1015" i="20"/>
  <c r="G1013" i="20" l="1"/>
  <c r="F1014" i="20"/>
  <c r="H1013" i="20"/>
  <c r="E1016" i="20"/>
  <c r="H1014" i="20" l="1"/>
  <c r="F1015" i="20"/>
  <c r="G1014" i="20"/>
  <c r="E1017" i="20"/>
  <c r="G1015" i="20" l="1"/>
  <c r="F1016" i="20"/>
  <c r="H1015" i="20"/>
  <c r="E1018" i="20"/>
  <c r="G1016" i="20" l="1"/>
  <c r="F1017" i="20"/>
  <c r="H1016" i="20"/>
  <c r="E1019" i="20"/>
  <c r="G1017" i="20" l="1"/>
  <c r="F1018" i="20"/>
  <c r="H1017" i="20"/>
  <c r="E1020" i="20"/>
  <c r="H1018" i="20" l="1"/>
  <c r="F1019" i="20"/>
  <c r="G1018" i="20"/>
  <c r="E1021" i="20"/>
  <c r="G1019" i="20" l="1"/>
  <c r="F1020" i="20"/>
  <c r="H1019" i="20"/>
  <c r="E1022" i="20"/>
  <c r="G1020" i="20" l="1"/>
  <c r="F1021" i="20"/>
  <c r="H1020" i="20"/>
  <c r="E1023" i="20"/>
  <c r="G1021" i="20" l="1"/>
  <c r="F1022" i="20"/>
  <c r="H1021" i="20"/>
  <c r="E1024" i="20"/>
  <c r="H1022" i="20" l="1"/>
  <c r="F1023" i="20"/>
  <c r="G1022" i="20"/>
  <c r="E1025" i="20"/>
  <c r="G1023" i="20" l="1"/>
  <c r="F1024" i="20"/>
  <c r="H1023" i="20"/>
  <c r="E1026" i="20"/>
  <c r="G1024" i="20" l="1"/>
  <c r="F1025" i="20"/>
  <c r="H1024" i="20"/>
  <c r="E1027" i="20"/>
  <c r="G1025" i="20" l="1"/>
  <c r="H1025" i="20"/>
  <c r="F1026" i="20"/>
  <c r="E1028" i="20"/>
  <c r="H1026" i="20" l="1"/>
  <c r="F1027" i="20"/>
  <c r="G1026" i="20"/>
  <c r="E1029" i="20"/>
  <c r="F1028" i="20" l="1"/>
  <c r="H1027" i="20"/>
  <c r="G1027" i="20"/>
  <c r="E1030" i="20"/>
  <c r="H1028" i="20" l="1"/>
  <c r="G1028" i="20"/>
  <c r="F1029" i="20"/>
  <c r="E1031" i="20"/>
  <c r="H1029" i="20" l="1"/>
  <c r="G1029" i="20"/>
  <c r="F1030" i="20"/>
  <c r="E1032" i="20"/>
  <c r="F1031" i="20" l="1"/>
  <c r="G1030" i="20"/>
  <c r="H1030" i="20"/>
  <c r="E1033" i="20"/>
  <c r="H1031" i="20" l="1"/>
  <c r="G1031" i="20"/>
  <c r="F1032" i="20"/>
  <c r="E1034" i="20"/>
  <c r="H1032" i="20" l="1"/>
  <c r="G1032" i="20"/>
  <c r="F1033" i="20"/>
  <c r="E1035" i="20"/>
  <c r="H1033" i="20" l="1"/>
  <c r="G1033" i="20"/>
  <c r="F1034" i="20"/>
  <c r="E1036" i="20"/>
  <c r="G1034" i="20" l="1"/>
  <c r="H1034" i="20"/>
  <c r="F1035" i="20"/>
  <c r="E1037" i="20"/>
  <c r="F1036" i="20" l="1"/>
  <c r="H1035" i="20"/>
  <c r="G1035" i="20"/>
  <c r="E1038" i="20"/>
  <c r="G1036" i="20" l="1"/>
  <c r="F1037" i="20"/>
  <c r="H1036" i="20"/>
  <c r="E1039" i="20"/>
  <c r="G1037" i="20" l="1"/>
  <c r="H1037" i="20"/>
  <c r="F1038" i="20"/>
  <c r="E1040" i="20"/>
  <c r="F1039" i="20" l="1"/>
  <c r="G1038" i="20"/>
  <c r="H1038" i="20"/>
  <c r="E1041" i="20"/>
  <c r="G1039" i="20" l="1"/>
  <c r="F1040" i="20"/>
  <c r="H1039" i="20"/>
  <c r="E1042" i="20"/>
  <c r="F1041" i="20" l="1"/>
  <c r="H1040" i="20"/>
  <c r="G1040" i="20"/>
  <c r="E1043" i="20"/>
  <c r="H1041" i="20" l="1"/>
  <c r="G1041" i="20"/>
  <c r="F1042" i="20"/>
  <c r="E1044" i="20"/>
  <c r="G1042" i="20" l="1"/>
  <c r="H1042" i="20"/>
  <c r="F1043" i="20"/>
  <c r="E1045" i="20"/>
  <c r="H1043" i="20" l="1"/>
  <c r="G1043" i="20"/>
  <c r="F1044" i="20"/>
  <c r="E1046" i="20"/>
  <c r="H1044" i="20" l="1"/>
  <c r="G1044" i="20"/>
  <c r="F1045" i="20"/>
  <c r="E1047" i="20"/>
  <c r="H1045" i="20" l="1"/>
  <c r="G1045" i="20"/>
  <c r="F1046" i="20"/>
  <c r="E1048" i="20"/>
  <c r="H1046" i="20" l="1"/>
  <c r="F1047" i="20"/>
  <c r="G1046" i="20"/>
  <c r="E1049" i="20"/>
  <c r="G1047" i="20" l="1"/>
  <c r="H1047" i="20"/>
  <c r="F1048" i="20"/>
  <c r="E1050" i="20"/>
  <c r="G1048" i="20" l="1"/>
  <c r="F1049" i="20"/>
  <c r="H1048" i="20"/>
  <c r="E1051" i="20"/>
  <c r="F1050" i="20" l="1"/>
  <c r="H1049" i="20"/>
  <c r="G1049" i="20"/>
  <c r="E1052" i="20"/>
  <c r="F1051" i="20" l="1"/>
  <c r="G1050" i="20"/>
  <c r="H1050" i="20"/>
  <c r="E1053" i="20"/>
  <c r="G1051" i="20" l="1"/>
  <c r="H1051" i="20"/>
  <c r="F1052" i="20"/>
  <c r="E1054" i="20"/>
  <c r="G1052" i="20" l="1"/>
  <c r="F1053" i="20"/>
  <c r="H1052" i="20"/>
  <c r="E1055" i="20"/>
  <c r="H1053" i="20" l="1"/>
  <c r="G1053" i="20"/>
  <c r="F1054" i="20"/>
  <c r="E1056" i="20"/>
  <c r="G1054" i="20" l="1"/>
  <c r="H1054" i="20"/>
  <c r="F1055" i="20"/>
  <c r="E1057" i="20"/>
  <c r="F1056" i="20" l="1"/>
  <c r="H1055" i="20"/>
  <c r="G1055" i="20"/>
  <c r="E1058" i="20"/>
  <c r="F1057" i="20" l="1"/>
  <c r="H1056" i="20"/>
  <c r="G1056" i="20"/>
  <c r="E1059" i="20"/>
  <c r="G1057" i="20" l="1"/>
  <c r="F1058" i="20"/>
  <c r="H1057" i="20"/>
  <c r="E1060" i="20"/>
  <c r="H1058" i="20" l="1"/>
  <c r="G1058" i="20"/>
  <c r="F1059" i="20"/>
  <c r="E1061" i="20"/>
  <c r="F1060" i="20" l="1"/>
  <c r="H1059" i="20"/>
  <c r="G1059" i="20"/>
  <c r="E1062" i="20"/>
  <c r="F1061" i="20" l="1"/>
  <c r="H1060" i="20"/>
  <c r="G1060" i="20"/>
  <c r="E1063" i="20"/>
  <c r="H1061" i="20" l="1"/>
  <c r="G1061" i="20"/>
  <c r="F1062" i="20"/>
  <c r="E1064" i="20"/>
  <c r="G1062" i="20" l="1"/>
  <c r="H1062" i="20"/>
  <c r="F1063" i="20"/>
  <c r="E1065" i="20"/>
  <c r="G1063" i="20" l="1"/>
  <c r="H1063" i="20"/>
  <c r="F1064" i="20"/>
  <c r="E1066" i="20"/>
  <c r="G1064" i="20" l="1"/>
  <c r="F1065" i="20"/>
  <c r="H1064" i="20"/>
  <c r="E1067" i="20"/>
  <c r="G1065" i="20" l="1"/>
  <c r="F1066" i="20"/>
  <c r="H1065" i="20"/>
  <c r="E1068" i="20"/>
  <c r="H1066" i="20" l="1"/>
  <c r="F1067" i="20"/>
  <c r="G1066" i="20"/>
  <c r="E1069" i="20"/>
  <c r="F1068" i="20" l="1"/>
  <c r="H1067" i="20"/>
  <c r="G1067" i="20"/>
  <c r="E1070" i="20"/>
  <c r="G1068" i="20" l="1"/>
  <c r="H1068" i="20"/>
  <c r="F1069" i="20"/>
  <c r="E1071" i="20"/>
  <c r="G1069" i="20" l="1"/>
  <c r="H1069" i="20"/>
  <c r="F1070" i="20"/>
  <c r="E1072" i="20"/>
  <c r="F1071" i="20" l="1"/>
  <c r="G1070" i="20"/>
  <c r="H1070" i="20"/>
  <c r="E1073" i="20"/>
  <c r="F1072" i="20" l="1"/>
  <c r="H1071" i="20"/>
  <c r="G1071" i="20"/>
  <c r="E1074" i="20"/>
  <c r="G1072" i="20" l="1"/>
  <c r="H1072" i="20"/>
  <c r="F1073" i="20"/>
  <c r="E1075" i="20"/>
  <c r="G1073" i="20" l="1"/>
  <c r="H1073" i="20"/>
  <c r="F1074" i="20"/>
  <c r="E1076" i="20"/>
  <c r="F1075" i="20" l="1"/>
  <c r="G1074" i="20"/>
  <c r="H1074" i="20"/>
  <c r="E1077" i="20"/>
  <c r="F1076" i="20" l="1"/>
  <c r="H1075" i="20"/>
  <c r="G1075" i="20"/>
  <c r="E1078" i="20"/>
  <c r="G1076" i="20" l="1"/>
  <c r="F1077" i="20"/>
  <c r="H1076" i="20"/>
  <c r="E1079" i="20"/>
  <c r="H1077" i="20" l="1"/>
  <c r="G1077" i="20"/>
  <c r="F1078" i="20"/>
  <c r="E1080" i="20"/>
  <c r="H1078" i="20" l="1"/>
  <c r="F1079" i="20"/>
  <c r="G1078" i="20"/>
  <c r="E1081" i="20"/>
  <c r="G1079" i="20" l="1"/>
  <c r="F1080" i="20"/>
  <c r="H1079" i="20"/>
  <c r="E1082" i="20"/>
  <c r="G1080" i="20" l="1"/>
  <c r="H1080" i="20"/>
  <c r="F1081" i="20"/>
  <c r="E1083" i="20"/>
  <c r="F1082" i="20" l="1"/>
  <c r="H1081" i="20"/>
  <c r="G1081" i="20"/>
  <c r="E1084" i="20"/>
  <c r="H1082" i="20" l="1"/>
  <c r="F1083" i="20"/>
  <c r="G1082" i="20"/>
  <c r="E1085" i="20"/>
  <c r="G1083" i="20" l="1"/>
  <c r="F1084" i="20"/>
  <c r="H1083" i="20"/>
  <c r="E1086" i="20"/>
  <c r="G1084" i="20" l="1"/>
  <c r="F1085" i="20"/>
  <c r="H1084" i="20"/>
  <c r="E1087" i="20"/>
  <c r="G1085" i="20" l="1"/>
  <c r="F1086" i="20"/>
  <c r="H1085" i="20"/>
  <c r="E1088" i="20"/>
  <c r="H1086" i="20" l="1"/>
  <c r="F1087" i="20"/>
  <c r="G1086" i="20"/>
  <c r="E1089" i="20"/>
  <c r="F1088" i="20" l="1"/>
  <c r="H1087" i="20"/>
  <c r="G1087" i="20"/>
  <c r="E1090" i="20"/>
  <c r="F1089" i="20" l="1"/>
  <c r="H1088" i="20"/>
  <c r="G1088" i="20"/>
  <c r="E1091" i="20"/>
  <c r="H1089" i="20" l="1"/>
  <c r="G1089" i="20"/>
  <c r="F1090" i="20"/>
  <c r="E1092" i="20"/>
  <c r="G1090" i="20" l="1"/>
  <c r="H1090" i="20"/>
  <c r="F1091" i="20"/>
  <c r="E1093" i="20"/>
  <c r="F1092" i="20" l="1"/>
  <c r="H1091" i="20"/>
  <c r="G1091" i="20"/>
  <c r="E1094" i="20"/>
  <c r="H1092" i="20" l="1"/>
  <c r="G1092" i="20"/>
  <c r="F1093" i="20"/>
  <c r="E1095" i="20"/>
  <c r="F1094" i="20" l="1"/>
  <c r="H1093" i="20"/>
  <c r="G1093" i="20"/>
  <c r="E1096" i="20"/>
  <c r="G1094" i="20" l="1"/>
  <c r="H1094" i="20"/>
  <c r="F1095" i="20"/>
  <c r="E1097" i="20"/>
  <c r="F1096" i="20" l="1"/>
  <c r="H1095" i="20"/>
  <c r="G1095" i="20"/>
  <c r="E1098" i="20"/>
  <c r="H1096" i="20" l="1"/>
  <c r="G1096" i="20"/>
  <c r="F1097" i="20"/>
  <c r="E1099" i="20"/>
  <c r="F1098" i="20" l="1"/>
  <c r="H1097" i="20"/>
  <c r="G1097" i="20"/>
  <c r="E1100" i="20"/>
  <c r="H1098" i="20" l="1"/>
  <c r="F1099" i="20"/>
  <c r="G1098" i="20"/>
  <c r="E1101" i="20"/>
  <c r="G1099" i="20" l="1"/>
  <c r="F1100" i="20"/>
  <c r="H1099" i="20"/>
  <c r="E1102" i="20"/>
  <c r="G1100" i="20" l="1"/>
  <c r="F1101" i="20"/>
  <c r="H1100" i="20"/>
  <c r="E1103" i="20"/>
  <c r="G1101" i="20" l="1"/>
  <c r="F1102" i="20"/>
  <c r="H1101" i="20"/>
  <c r="E1104" i="20"/>
  <c r="H1102" i="20" l="1"/>
  <c r="F1103" i="20"/>
  <c r="G1102" i="20"/>
  <c r="E1105" i="20"/>
  <c r="F1104" i="20" l="1"/>
  <c r="H1103" i="20"/>
  <c r="G1103" i="20"/>
  <c r="E1106" i="20"/>
  <c r="F1105" i="20" l="1"/>
  <c r="H1104" i="20"/>
  <c r="G1104" i="20"/>
  <c r="E1107" i="20"/>
  <c r="G1105" i="20" l="1"/>
  <c r="F1106" i="20"/>
  <c r="H1105" i="20"/>
  <c r="E1108" i="20"/>
  <c r="H1106" i="20" l="1"/>
  <c r="G1106" i="20"/>
  <c r="F1107" i="20"/>
  <c r="E1109" i="20"/>
  <c r="G1107" i="20" l="1"/>
  <c r="F1108" i="20"/>
  <c r="H1107" i="20"/>
  <c r="E1110" i="20"/>
  <c r="G1108" i="20" l="1"/>
  <c r="H1108" i="20"/>
  <c r="F1109" i="20"/>
  <c r="E1111" i="20"/>
  <c r="G1109" i="20" l="1"/>
  <c r="F1110" i="20"/>
  <c r="H1109" i="20"/>
  <c r="E1112" i="20"/>
  <c r="G1110" i="20" l="1"/>
  <c r="H1110" i="20"/>
  <c r="F1111" i="20"/>
  <c r="E1113" i="20"/>
  <c r="G1111" i="20" l="1"/>
  <c r="F1112" i="20"/>
  <c r="H1111" i="20"/>
  <c r="E1114" i="20"/>
  <c r="G1112" i="20" l="1"/>
  <c r="F1113" i="20"/>
  <c r="H1112" i="20"/>
  <c r="E1115" i="20"/>
  <c r="G1113" i="20" l="1"/>
  <c r="F1114" i="20"/>
  <c r="H1113" i="20"/>
  <c r="E1116" i="20"/>
  <c r="H1114" i="20" l="1"/>
  <c r="F1115" i="20"/>
  <c r="G1114" i="20"/>
  <c r="E1117" i="20"/>
  <c r="G1115" i="20" l="1"/>
  <c r="F1116" i="20"/>
  <c r="H1115" i="20"/>
  <c r="E1118" i="20"/>
  <c r="G1116" i="20" l="1"/>
  <c r="H1116" i="20"/>
  <c r="F1117" i="20"/>
  <c r="E1119" i="20"/>
  <c r="G1117" i="20" l="1"/>
  <c r="F1118" i="20"/>
  <c r="H1117" i="20"/>
  <c r="E1120" i="20"/>
  <c r="H1118" i="20" l="1"/>
  <c r="G1118" i="20"/>
  <c r="F1119" i="20"/>
  <c r="E1121" i="20"/>
  <c r="F1120" i="20" l="1"/>
  <c r="H1119" i="20"/>
  <c r="G1119" i="20"/>
  <c r="E1122" i="20"/>
  <c r="G1120" i="20" l="1"/>
  <c r="H1120" i="20"/>
  <c r="F1121" i="20"/>
  <c r="E1123" i="20"/>
  <c r="G1121" i="20" l="1"/>
  <c r="F1122" i="20"/>
  <c r="H1121" i="20"/>
  <c r="E1124" i="20"/>
  <c r="F1123" i="20" l="1"/>
  <c r="G1122" i="20"/>
  <c r="H1122" i="20"/>
  <c r="E1125" i="20"/>
  <c r="F1124" i="20" l="1"/>
  <c r="H1123" i="20"/>
  <c r="G1123" i="20"/>
  <c r="E1126" i="20"/>
  <c r="G1124" i="20" l="1"/>
  <c r="F1125" i="20"/>
  <c r="H1124" i="20"/>
  <c r="E1127" i="20"/>
  <c r="H1125" i="20" l="1"/>
  <c r="G1125" i="20"/>
  <c r="F1126" i="20"/>
  <c r="E1128" i="20"/>
  <c r="H1126" i="20" l="1"/>
  <c r="G1126" i="20"/>
  <c r="F1127" i="20"/>
  <c r="E1129" i="20"/>
  <c r="G1127" i="20" l="1"/>
  <c r="F1128" i="20"/>
  <c r="H1127" i="20"/>
  <c r="E1130" i="20"/>
  <c r="G1128" i="20" l="1"/>
  <c r="F1129" i="20"/>
  <c r="H1128" i="20"/>
  <c r="E1131" i="20"/>
  <c r="F1130" i="20" l="1"/>
  <c r="H1129" i="20"/>
  <c r="G1129" i="20"/>
  <c r="E1132" i="20"/>
  <c r="H1130" i="20" l="1"/>
  <c r="G1130" i="20"/>
  <c r="F1131" i="20"/>
  <c r="E1133" i="20"/>
  <c r="H1131" i="20" l="1"/>
  <c r="G1131" i="20"/>
  <c r="F1132" i="20"/>
  <c r="E1134" i="20"/>
  <c r="F1133" i="20" l="1"/>
  <c r="H1132" i="20"/>
  <c r="G1132" i="20"/>
  <c r="E1135" i="20"/>
  <c r="G1133" i="20" l="1"/>
  <c r="F1134" i="20"/>
  <c r="H1133" i="20"/>
  <c r="E1136" i="20"/>
  <c r="G1134" i="20" l="1"/>
  <c r="H1134" i="20"/>
  <c r="F1135" i="20"/>
  <c r="E1137" i="20"/>
  <c r="G1135" i="20" l="1"/>
  <c r="F1136" i="20"/>
  <c r="H1135" i="20"/>
  <c r="E1138" i="20"/>
  <c r="G1136" i="20" l="1"/>
  <c r="F1137" i="20"/>
  <c r="H1136" i="20"/>
  <c r="E1139" i="20"/>
  <c r="H1137" i="20" l="1"/>
  <c r="G1137" i="20"/>
  <c r="F1138" i="20"/>
  <c r="E1140" i="20"/>
  <c r="G1138" i="20" l="1"/>
  <c r="H1138" i="20"/>
  <c r="F1139" i="20"/>
  <c r="E1141" i="20"/>
  <c r="H1139" i="20" l="1"/>
  <c r="G1139" i="20"/>
  <c r="F1140" i="20"/>
  <c r="E1142" i="20"/>
  <c r="H1140" i="20" l="1"/>
  <c r="G1140" i="20"/>
  <c r="F1141" i="20"/>
  <c r="E1143" i="20"/>
  <c r="H1141" i="20" l="1"/>
  <c r="G1141" i="20"/>
  <c r="F1142" i="20"/>
  <c r="E1144" i="20"/>
  <c r="G1142" i="20" l="1"/>
  <c r="H1142" i="20"/>
  <c r="F1143" i="20"/>
  <c r="E1145" i="20"/>
  <c r="H1143" i="20" l="1"/>
  <c r="G1143" i="20"/>
  <c r="F1144" i="20"/>
  <c r="E1146" i="20"/>
  <c r="H1144" i="20" l="1"/>
  <c r="G1144" i="20"/>
  <c r="F1145" i="20"/>
  <c r="E1147" i="20"/>
  <c r="H1145" i="20" l="1"/>
  <c r="G1145" i="20"/>
  <c r="F1146" i="20"/>
  <c r="E1148" i="20"/>
  <c r="G1146" i="20" l="1"/>
  <c r="H1146" i="20"/>
  <c r="F1147" i="20"/>
  <c r="E1149" i="20"/>
  <c r="H1147" i="20" l="1"/>
  <c r="G1147" i="20"/>
  <c r="F1148" i="20"/>
  <c r="E1150" i="20"/>
  <c r="H1148" i="20" l="1"/>
  <c r="G1148" i="20"/>
  <c r="F1149" i="20"/>
  <c r="E1151" i="20"/>
  <c r="F1150" i="20" l="1"/>
  <c r="H1149" i="20"/>
  <c r="G1149" i="20"/>
  <c r="E1152" i="20"/>
  <c r="H1150" i="20" l="1"/>
  <c r="F1151" i="20"/>
  <c r="G1150" i="20"/>
  <c r="E1153" i="20"/>
  <c r="G1151" i="20" l="1"/>
  <c r="H1151" i="20"/>
  <c r="F1152" i="20"/>
  <c r="E1154" i="20"/>
  <c r="G1152" i="20" l="1"/>
  <c r="F1153" i="20"/>
  <c r="H1152" i="20"/>
  <c r="E1155" i="20"/>
  <c r="F1154" i="20" l="1"/>
  <c r="H1153" i="20"/>
  <c r="G1153" i="20"/>
  <c r="E1156" i="20"/>
  <c r="F1155" i="20" l="1"/>
  <c r="G1154" i="20"/>
  <c r="H1154" i="20"/>
  <c r="E1157" i="20"/>
  <c r="G1155" i="20" l="1"/>
  <c r="F1156" i="20"/>
  <c r="H1155" i="20"/>
  <c r="E1158" i="20"/>
  <c r="G1156" i="20" l="1"/>
  <c r="H1156" i="20"/>
  <c r="F1157" i="20"/>
  <c r="E1159" i="20"/>
  <c r="F1158" i="20" l="1"/>
  <c r="H1157" i="20"/>
  <c r="G1157" i="20"/>
  <c r="E1160" i="20"/>
  <c r="H1158" i="20" l="1"/>
  <c r="F1159" i="20"/>
  <c r="G1158" i="20"/>
  <c r="E1161" i="20"/>
  <c r="G1159" i="20" l="1"/>
  <c r="H1159" i="20"/>
  <c r="F1160" i="20"/>
  <c r="E1162" i="20"/>
  <c r="H1160" i="20" l="1"/>
  <c r="G1160" i="20"/>
  <c r="F1161" i="20"/>
  <c r="E1163" i="20"/>
  <c r="F1162" i="20" l="1"/>
  <c r="H1161" i="20"/>
  <c r="G1161" i="20"/>
  <c r="E1164" i="20"/>
  <c r="H1162" i="20" l="1"/>
  <c r="G1162" i="20"/>
  <c r="F1163" i="20"/>
  <c r="E1165" i="20"/>
  <c r="G1163" i="20" l="1"/>
  <c r="F1164" i="20"/>
  <c r="H1163" i="20"/>
  <c r="E1166" i="20"/>
  <c r="G1164" i="20" l="1"/>
  <c r="H1164" i="20"/>
  <c r="F1165" i="20"/>
  <c r="E1167" i="20"/>
  <c r="G1165" i="20" l="1"/>
  <c r="F1166" i="20"/>
  <c r="H1165" i="20"/>
  <c r="E1168" i="20"/>
  <c r="G1166" i="20" l="1"/>
  <c r="H1166" i="20"/>
  <c r="F1167" i="20"/>
  <c r="E1169" i="20"/>
  <c r="F1168" i="20" l="1"/>
  <c r="H1167" i="20"/>
  <c r="G1167" i="20"/>
  <c r="E1170" i="20"/>
  <c r="G1168" i="20" l="1"/>
  <c r="F1169" i="20"/>
  <c r="H1168" i="20"/>
  <c r="E1171" i="20"/>
  <c r="G1169" i="20" l="1"/>
  <c r="F1170" i="20"/>
  <c r="H1169" i="20"/>
  <c r="E1172" i="20"/>
  <c r="H1170" i="20" l="1"/>
  <c r="F1171" i="20"/>
  <c r="G1170" i="20"/>
  <c r="E1173" i="20"/>
  <c r="F1172" i="20" l="1"/>
  <c r="H1171" i="20"/>
  <c r="G1171" i="20"/>
  <c r="E1174" i="20"/>
  <c r="G1172" i="20" l="1"/>
  <c r="H1172" i="20"/>
  <c r="F1173" i="20"/>
  <c r="E1175" i="20"/>
  <c r="G1173" i="20" l="1"/>
  <c r="H1173" i="20"/>
  <c r="F1174" i="20"/>
  <c r="E1176" i="20"/>
  <c r="F1175" i="20" l="1"/>
  <c r="G1174" i="20"/>
  <c r="H1174" i="20"/>
  <c r="E1177" i="20"/>
  <c r="F1176" i="20" l="1"/>
  <c r="H1175" i="20"/>
  <c r="G1175" i="20"/>
  <c r="E1178" i="20"/>
  <c r="F1177" i="20" l="1"/>
  <c r="H1176" i="20"/>
  <c r="G1176" i="20"/>
  <c r="E1179" i="20"/>
  <c r="F1178" i="20" l="1"/>
  <c r="H1177" i="20"/>
  <c r="G1177" i="20"/>
  <c r="E1180" i="20"/>
  <c r="F1179" i="20" l="1"/>
  <c r="G1178" i="20"/>
  <c r="H1178" i="20"/>
  <c r="E1181" i="20"/>
  <c r="F1180" i="20" l="1"/>
  <c r="H1179" i="20"/>
  <c r="G1179" i="20"/>
  <c r="E1182" i="20"/>
  <c r="H1180" i="20" l="1"/>
  <c r="G1180" i="20"/>
  <c r="F1181" i="20"/>
  <c r="E1183" i="20"/>
  <c r="G1181" i="20" l="1"/>
  <c r="F1182" i="20"/>
  <c r="H1181" i="20"/>
  <c r="E1184" i="20"/>
  <c r="F1183" i="20" l="1"/>
  <c r="G1182" i="20"/>
  <c r="H1182" i="20"/>
  <c r="E1185" i="20"/>
  <c r="F1184" i="20" l="1"/>
  <c r="H1183" i="20"/>
  <c r="G1183" i="20"/>
  <c r="E1186" i="20"/>
  <c r="F1185" i="20" l="1"/>
  <c r="H1184" i="20"/>
  <c r="G1184" i="20"/>
  <c r="E1187" i="20"/>
  <c r="F1186" i="20" l="1"/>
  <c r="G1185" i="20"/>
  <c r="H1185" i="20"/>
  <c r="E1188" i="20"/>
  <c r="F1187" i="20" l="1"/>
  <c r="G1186" i="20"/>
  <c r="H1186" i="20"/>
  <c r="E1189" i="20"/>
  <c r="F1188" i="20" l="1"/>
  <c r="H1187" i="20"/>
  <c r="G1187" i="20"/>
  <c r="E1190" i="20"/>
  <c r="G1188" i="20" l="1"/>
  <c r="F1189" i="20"/>
  <c r="H1188" i="20"/>
  <c r="E1191" i="20"/>
  <c r="F1190" i="20" l="1"/>
  <c r="G1189" i="20"/>
  <c r="H1189" i="20"/>
  <c r="E1192" i="20"/>
  <c r="F1191" i="20" l="1"/>
  <c r="H1190" i="20"/>
  <c r="G1190" i="20"/>
  <c r="E1193" i="20"/>
  <c r="F1192" i="20" l="1"/>
  <c r="H1191" i="20"/>
  <c r="G1191" i="20"/>
  <c r="E1194" i="20"/>
  <c r="H1192" i="20" l="1"/>
  <c r="G1192" i="20"/>
  <c r="F1193" i="20"/>
  <c r="E1195" i="20"/>
  <c r="F1194" i="20" l="1"/>
  <c r="H1193" i="20"/>
  <c r="G1193" i="20"/>
  <c r="E1196" i="20"/>
  <c r="F1195" i="20" l="1"/>
  <c r="G1194" i="20"/>
  <c r="H1194" i="20"/>
  <c r="E1197" i="20"/>
  <c r="F1196" i="20" l="1"/>
  <c r="G1195" i="20"/>
  <c r="H1195" i="20"/>
  <c r="E1198" i="20"/>
  <c r="H1196" i="20" l="1"/>
  <c r="G1196" i="20"/>
  <c r="F1197" i="20"/>
  <c r="E1199" i="20"/>
  <c r="F1198" i="20" l="1"/>
  <c r="G1197" i="20"/>
  <c r="H1197" i="20"/>
  <c r="E1200" i="20"/>
  <c r="F1199" i="20" l="1"/>
  <c r="G1198" i="20"/>
  <c r="H1198" i="20"/>
  <c r="E1201" i="20"/>
  <c r="F1200" i="20" l="1"/>
  <c r="H1199" i="20"/>
  <c r="G1199" i="20"/>
  <c r="E1202" i="20"/>
  <c r="F1201" i="20" l="1"/>
  <c r="H1200" i="20"/>
  <c r="G1200" i="20"/>
  <c r="E1203" i="20"/>
  <c r="H1201" i="20" l="1"/>
  <c r="G1201" i="20"/>
  <c r="F1202" i="20"/>
  <c r="E1204" i="20"/>
  <c r="F1203" i="20" l="1"/>
  <c r="H1202" i="20"/>
  <c r="G1202" i="20"/>
  <c r="E1205" i="20"/>
  <c r="F1204" i="20" l="1"/>
  <c r="H1203" i="20"/>
  <c r="G1203" i="20"/>
  <c r="E1206" i="20"/>
  <c r="H1204" i="20" l="1"/>
  <c r="G1204" i="20"/>
  <c r="F1205" i="20"/>
  <c r="E1207" i="20"/>
  <c r="F1206" i="20" l="1"/>
  <c r="H1205" i="20"/>
  <c r="G1205" i="20"/>
  <c r="E1208" i="20"/>
  <c r="F1207" i="20" l="1"/>
  <c r="G1206" i="20"/>
  <c r="H1206" i="20"/>
  <c r="E1209" i="20"/>
  <c r="G1207" i="20" l="1"/>
  <c r="F1208" i="20"/>
  <c r="H1207" i="20"/>
  <c r="E1210" i="20"/>
  <c r="H1208" i="20" l="1"/>
  <c r="F1209" i="20"/>
  <c r="G1208" i="20"/>
  <c r="E1211" i="20"/>
  <c r="F1210" i="20" l="1"/>
  <c r="H1209" i="20"/>
  <c r="G1209" i="20"/>
  <c r="E1212" i="20"/>
  <c r="F1211" i="20" l="1"/>
  <c r="H1210" i="20"/>
  <c r="G1210" i="20"/>
  <c r="E1213" i="20"/>
  <c r="G1211" i="20" l="1"/>
  <c r="F1212" i="20"/>
  <c r="H1211" i="20"/>
  <c r="E1214" i="20"/>
  <c r="F1213" i="20" l="1"/>
  <c r="G1212" i="20"/>
  <c r="H1212" i="20"/>
  <c r="E1215" i="20"/>
  <c r="F1214" i="20" l="1"/>
  <c r="H1213" i="20"/>
  <c r="G1213" i="20"/>
  <c r="E1216" i="20"/>
  <c r="H1214" i="20" l="1"/>
  <c r="F1215" i="20"/>
  <c r="G1214" i="20"/>
  <c r="E1217" i="20"/>
  <c r="H1215" i="20" l="1"/>
  <c r="G1215" i="20"/>
  <c r="F1216" i="20"/>
  <c r="E1218" i="20"/>
  <c r="G1216" i="20" l="1"/>
  <c r="F1217" i="20"/>
  <c r="H1216" i="20"/>
  <c r="E1219" i="20"/>
  <c r="G1217" i="20" l="1"/>
  <c r="H1217" i="20"/>
  <c r="F1218" i="20"/>
  <c r="E1220" i="20"/>
  <c r="H1218" i="20" l="1"/>
  <c r="G1218" i="20"/>
  <c r="F1219" i="20"/>
  <c r="E1221" i="20"/>
  <c r="G1219" i="20" l="1"/>
  <c r="F1220" i="20"/>
  <c r="H1219" i="20"/>
  <c r="E1222" i="20"/>
  <c r="H1220" i="20" l="1"/>
  <c r="G1220" i="20"/>
  <c r="F1221" i="20"/>
  <c r="E1223" i="20"/>
  <c r="H1221" i="20" l="1"/>
  <c r="G1221" i="20"/>
  <c r="F1222" i="20"/>
  <c r="E1224" i="20"/>
  <c r="G1222" i="20" l="1"/>
  <c r="H1222" i="20"/>
  <c r="F1223" i="20"/>
  <c r="E1225" i="20"/>
  <c r="H1223" i="20" l="1"/>
  <c r="G1223" i="20"/>
  <c r="F1224" i="20"/>
  <c r="E1226" i="20"/>
  <c r="G1224" i="20" l="1"/>
  <c r="F1225" i="20"/>
  <c r="H1224" i="20"/>
  <c r="E1227" i="20"/>
  <c r="G1225" i="20" l="1"/>
  <c r="F1226" i="20"/>
  <c r="H1225" i="20"/>
  <c r="E1228" i="20"/>
  <c r="H1226" i="20" l="1"/>
  <c r="F1227" i="20"/>
  <c r="G1226" i="20"/>
  <c r="E1229" i="20"/>
  <c r="H1227" i="20" l="1"/>
  <c r="F1228" i="20"/>
  <c r="G1227" i="20"/>
  <c r="E1230" i="20"/>
  <c r="F1229" i="20" l="1"/>
  <c r="G1228" i="20"/>
  <c r="H1228" i="20"/>
  <c r="E1231" i="20"/>
  <c r="H1229" i="20" l="1"/>
  <c r="G1229" i="20"/>
  <c r="F1230" i="20"/>
  <c r="E1232" i="20"/>
  <c r="F1231" i="20" l="1"/>
  <c r="G1230" i="20"/>
  <c r="H1230" i="20"/>
  <c r="E1233" i="20"/>
  <c r="H1231" i="20" l="1"/>
  <c r="G1231" i="20"/>
  <c r="F1232" i="20"/>
  <c r="E1234" i="20"/>
  <c r="G1232" i="20" l="1"/>
  <c r="H1232" i="20"/>
  <c r="F1233" i="20"/>
  <c r="E1235" i="20"/>
  <c r="G1233" i="20" l="1"/>
  <c r="H1233" i="20"/>
  <c r="F1234" i="20"/>
  <c r="E1236" i="20"/>
  <c r="F1235" i="20" l="1"/>
  <c r="G1234" i="20"/>
  <c r="H1234" i="20"/>
  <c r="E1237" i="20"/>
  <c r="F1236" i="20" l="1"/>
  <c r="G1235" i="20"/>
  <c r="H1235" i="20"/>
  <c r="E1238" i="20"/>
  <c r="H1236" i="20" l="1"/>
  <c r="G1236" i="20"/>
  <c r="F1237" i="20"/>
  <c r="E1239" i="20"/>
  <c r="G1237" i="20" l="1"/>
  <c r="F1238" i="20"/>
  <c r="H1237" i="20"/>
  <c r="E1240" i="20"/>
  <c r="F1239" i="20" l="1"/>
  <c r="G1238" i="20"/>
  <c r="H1238" i="20"/>
  <c r="E1241" i="20"/>
  <c r="G1239" i="20" l="1"/>
  <c r="F1240" i="20"/>
  <c r="H1239" i="20"/>
  <c r="E1242" i="20"/>
  <c r="G1240" i="20" l="1"/>
  <c r="F1241" i="20"/>
  <c r="H1240" i="20"/>
  <c r="E1243" i="20"/>
  <c r="F1242" i="20" l="1"/>
  <c r="H1241" i="20"/>
  <c r="G1241" i="20"/>
  <c r="E1244" i="20"/>
  <c r="F1243" i="20" l="1"/>
  <c r="G1242" i="20"/>
  <c r="H1242" i="20"/>
  <c r="E1245" i="20"/>
  <c r="H1243" i="20" l="1"/>
  <c r="F1244" i="20"/>
  <c r="G1243" i="20"/>
  <c r="E1246" i="20"/>
  <c r="H1244" i="20" l="1"/>
  <c r="F1245" i="20"/>
  <c r="G1244" i="20"/>
  <c r="E1247" i="20"/>
  <c r="F1246" i="20" l="1"/>
  <c r="H1245" i="20"/>
  <c r="G1245" i="20"/>
  <c r="E1248" i="20"/>
  <c r="H1246" i="20" l="1"/>
  <c r="G1246" i="20"/>
  <c r="F1247" i="20"/>
  <c r="E1249" i="20"/>
  <c r="F1248" i="20" l="1"/>
  <c r="H1247" i="20"/>
  <c r="G1247" i="20"/>
  <c r="E1250" i="20"/>
  <c r="H1248" i="20" l="1"/>
  <c r="G1248" i="20"/>
  <c r="F1249" i="20"/>
  <c r="E1251" i="20"/>
  <c r="G1249" i="20" l="1"/>
  <c r="F1250" i="20"/>
  <c r="H1249" i="20"/>
  <c r="E1252" i="20"/>
  <c r="F1251" i="20" l="1"/>
  <c r="G1250" i="20"/>
  <c r="H1250" i="20"/>
  <c r="E1253" i="20"/>
  <c r="H1251" i="20" l="1"/>
  <c r="F1252" i="20"/>
  <c r="G1251" i="20"/>
  <c r="E1254" i="20"/>
  <c r="H1252" i="20" l="1"/>
  <c r="G1252" i="20"/>
  <c r="F1253" i="20"/>
  <c r="E1255" i="20"/>
  <c r="G1253" i="20" l="1"/>
  <c r="H1253" i="20"/>
  <c r="F1254" i="20"/>
  <c r="E1256" i="20"/>
  <c r="H1254" i="20" l="1"/>
  <c r="G1254" i="20"/>
  <c r="F1255" i="20"/>
  <c r="E1257" i="20"/>
  <c r="H1255" i="20" l="1"/>
  <c r="G1255" i="20"/>
  <c r="F1256" i="20"/>
  <c r="E1258" i="20"/>
  <c r="G1256" i="20" l="1"/>
  <c r="F1257" i="20"/>
  <c r="H1256" i="20"/>
  <c r="E1259" i="20"/>
  <c r="G1257" i="20" l="1"/>
  <c r="H1257" i="20"/>
  <c r="F1258" i="20"/>
  <c r="E1260" i="20"/>
  <c r="H1258" i="20" l="1"/>
  <c r="F1259" i="20"/>
  <c r="G1258" i="20"/>
  <c r="E1261" i="20"/>
  <c r="H1259" i="20" l="1"/>
  <c r="F1260" i="20"/>
  <c r="G1259" i="20"/>
  <c r="E1262" i="20"/>
  <c r="F1261" i="20" l="1"/>
  <c r="G1260" i="20"/>
  <c r="H1260" i="20"/>
  <c r="E1263" i="20"/>
  <c r="H1261" i="20" l="1"/>
  <c r="G1261" i="20"/>
  <c r="F1262" i="20"/>
  <c r="E1264" i="20"/>
  <c r="F1263" i="20" l="1"/>
  <c r="G1262" i="20"/>
  <c r="H1262" i="20"/>
  <c r="E1265" i="20"/>
  <c r="H1263" i="20" l="1"/>
  <c r="G1263" i="20"/>
  <c r="F1264" i="20"/>
  <c r="E1266" i="20"/>
  <c r="G1264" i="20" l="1"/>
  <c r="H1264" i="20"/>
  <c r="F1265" i="20"/>
  <c r="E1267" i="20"/>
  <c r="F1266" i="20" l="1"/>
  <c r="H1265" i="20"/>
  <c r="G1265" i="20"/>
  <c r="E1268" i="20"/>
  <c r="F1267" i="20" l="1"/>
  <c r="G1266" i="20"/>
  <c r="H1266" i="20"/>
  <c r="E1269" i="20"/>
  <c r="H1267" i="20" l="1"/>
  <c r="G1267" i="20"/>
  <c r="F1268" i="20"/>
  <c r="E1270" i="20"/>
  <c r="H1268" i="20" l="1"/>
  <c r="G1268" i="20"/>
  <c r="F1269" i="20"/>
  <c r="E1271" i="20"/>
  <c r="G1269" i="20" l="1"/>
  <c r="H1269" i="20"/>
  <c r="F1270" i="20"/>
  <c r="E1272" i="20"/>
  <c r="H1270" i="20" l="1"/>
  <c r="G1270" i="20"/>
  <c r="F1271" i="20"/>
  <c r="E1273" i="20"/>
  <c r="H1271" i="20" l="1"/>
  <c r="G1271" i="20"/>
  <c r="F1272" i="20"/>
  <c r="E1274" i="20"/>
  <c r="F1273" i="20" l="1"/>
  <c r="H1272" i="20"/>
  <c r="G1272" i="20"/>
  <c r="E1275" i="20"/>
  <c r="G1273" i="20" l="1"/>
  <c r="H1273" i="20"/>
  <c r="F1274" i="20"/>
  <c r="E1276" i="20"/>
  <c r="H1274" i="20" l="1"/>
  <c r="F1275" i="20"/>
  <c r="G1274" i="20"/>
  <c r="E1277" i="20"/>
  <c r="F1276" i="20" l="1"/>
  <c r="G1275" i="20"/>
  <c r="H1275" i="20"/>
  <c r="E1278" i="20"/>
  <c r="H1276" i="20" l="1"/>
  <c r="F1277" i="20"/>
  <c r="G1276" i="20"/>
  <c r="E1279" i="20"/>
  <c r="G1277" i="20" l="1"/>
  <c r="F1278" i="20"/>
  <c r="H1277" i="20"/>
  <c r="E1280" i="20"/>
  <c r="H1278" i="20" l="1"/>
  <c r="F1279" i="20"/>
  <c r="G1278" i="20"/>
  <c r="E1281" i="20"/>
  <c r="G1279" i="20" l="1"/>
  <c r="F1280" i="20"/>
  <c r="H1279" i="20"/>
  <c r="E1282" i="20"/>
  <c r="E1283" i="20" s="1"/>
  <c r="G1280" i="20" l="1"/>
  <c r="F1281" i="20"/>
  <c r="H1280" i="20"/>
  <c r="F1282" i="20" l="1"/>
  <c r="H1281" i="20"/>
  <c r="G1281" i="20"/>
  <c r="H1283" i="20" l="1"/>
  <c r="H1282" i="20"/>
  <c r="G1282" i="20"/>
  <c r="H1284" i="20" l="1"/>
  <c r="C161" i="20" s="1"/>
  <c r="D122" i="20" s="1"/>
  <c r="D123" i="20" s="1"/>
  <c r="D124" i="20" s="1"/>
  <c r="D109" i="20" s="1"/>
  <c r="D111" i="20" s="1"/>
  <c r="D112" i="20" s="1"/>
  <c r="D113" i="20" s="1"/>
  <c r="D114" i="20" l="1"/>
  <c r="D115" i="20" s="1"/>
  <c r="D133" i="20" s="1"/>
  <c r="D134" i="20" s="1"/>
  <c r="D135" i="20" s="1"/>
  <c r="D136" i="20" s="1"/>
  <c r="C122" i="20"/>
  <c r="C123" i="20" s="1"/>
  <c r="C124" i="20" s="1"/>
  <c r="C109" i="20" s="1"/>
  <c r="C111" i="20" s="1"/>
  <c r="D110" i="20"/>
  <c r="C112" i="20" l="1"/>
  <c r="C113" i="20" s="1"/>
  <c r="C110" i="20"/>
  <c r="C114" i="20" l="1"/>
  <c r="C115" i="20" s="1"/>
  <c r="D365" i="8"/>
  <c r="D445" i="8" s="1"/>
  <c r="C312" i="8"/>
  <c r="C313" i="8" s="1"/>
  <c r="C112" i="8"/>
  <c r="C113" i="8" s="1"/>
  <c r="C117" i="8" s="1"/>
  <c r="C134" i="8"/>
  <c r="C138" i="8" s="1"/>
  <c r="D140" i="20" l="1"/>
  <c r="D142" i="20" s="1"/>
  <c r="D143" i="20" s="1"/>
  <c r="D145" i="20" s="1"/>
  <c r="D147" i="20" s="1"/>
  <c r="C54" i="20" s="1"/>
  <c r="C55" i="20" s="1"/>
  <c r="D80" i="20" s="1"/>
  <c r="AW6" i="24" s="1"/>
  <c r="C53" i="20"/>
  <c r="C133" i="20"/>
  <c r="C134" i="20" s="1"/>
  <c r="C135" i="20" s="1"/>
  <c r="C136" i="20" s="1"/>
  <c r="D137" i="20" s="1"/>
  <c r="D138" i="20" s="1"/>
  <c r="C42" i="20" s="1"/>
  <c r="C36" i="8"/>
  <c r="C46" i="8" s="1"/>
  <c r="C157" i="8"/>
  <c r="C114" i="8"/>
  <c r="C315" i="8"/>
  <c r="D77" i="20" l="1"/>
  <c r="AW3" i="24" s="1"/>
  <c r="C47" i="20"/>
  <c r="C46" i="20"/>
  <c r="C127" i="8"/>
  <c r="D358" i="8"/>
  <c r="C118" i="8"/>
  <c r="C119" i="8" s="1"/>
  <c r="C166" i="8"/>
  <c r="C516" i="8"/>
  <c r="C150" i="8"/>
  <c r="C515" i="8"/>
  <c r="C51" i="20" l="1"/>
  <c r="C80" i="20" s="1"/>
  <c r="C77" i="20"/>
  <c r="AV3" i="24" s="1"/>
  <c r="C49" i="20"/>
  <c r="C522" i="8"/>
  <c r="D522" i="8" s="1"/>
  <c r="C38" i="8" s="1"/>
  <c r="D515" i="8"/>
  <c r="C523" i="8"/>
  <c r="D516" i="8"/>
  <c r="C81" i="8"/>
  <c r="D361" i="8"/>
  <c r="D369" i="8" s="1"/>
  <c r="C83" i="20" l="1"/>
  <c r="C52" i="20" s="1"/>
  <c r="AV6" i="24"/>
  <c r="D449" i="8"/>
  <c r="D455" i="8" s="1"/>
  <c r="C491" i="8" s="1"/>
  <c r="D81" i="8"/>
  <c r="AK5" i="24" s="1"/>
  <c r="AJ5" i="24"/>
  <c r="D523" i="8"/>
  <c r="C39" i="8" s="1"/>
  <c r="D373" i="8"/>
  <c r="D433" i="8" l="1"/>
  <c r="D384" i="8"/>
  <c r="D400" i="8" s="1"/>
  <c r="D431" i="8"/>
  <c r="D382" i="8"/>
  <c r="D398" i="8" s="1"/>
  <c r="D429" i="8"/>
  <c r="D388" i="8"/>
  <c r="D404" i="8" s="1"/>
  <c r="D380" i="8"/>
  <c r="D386" i="8"/>
  <c r="D392" i="8" l="1"/>
  <c r="D390" i="8"/>
  <c r="D396" i="8"/>
  <c r="D402" i="8"/>
  <c r="D413" i="8"/>
  <c r="D407" i="8" l="1"/>
  <c r="D416" i="8"/>
  <c r="D418" i="8" s="1"/>
  <c r="D435" i="8"/>
  <c r="D409" i="8" l="1"/>
  <c r="D437" i="8"/>
  <c r="D464" i="8" l="1"/>
  <c r="D470" i="8" s="1"/>
  <c r="D471" i="8" s="1"/>
  <c r="D478" i="8"/>
  <c r="D484" i="8" s="1"/>
  <c r="D441" i="8"/>
  <c r="C486" i="8" l="1"/>
  <c r="C497" i="8"/>
  <c r="D458" i="8"/>
  <c r="C494" i="8"/>
  <c r="C500" i="8" l="1"/>
  <c r="C502" i="8" s="1"/>
  <c r="C504" i="8" l="1"/>
  <c r="C517" i="8"/>
  <c r="C519" i="8" l="1"/>
  <c r="C524" i="8"/>
  <c r="D517" i="8"/>
  <c r="D524" i="8" l="1"/>
  <c r="C40" i="8" s="1"/>
  <c r="C526" i="8"/>
  <c r="D526" i="8" s="1"/>
  <c r="C42" i="8" s="1"/>
  <c r="C43" i="8" s="1"/>
  <c r="C156" i="8"/>
  <c r="C158" i="8" s="1"/>
  <c r="C159" i="8" s="1"/>
  <c r="C49" i="8" s="1"/>
  <c r="D519" i="8"/>
  <c r="C45" i="8" l="1"/>
  <c r="C79" i="8"/>
  <c r="AJ3" i="24" s="1"/>
  <c r="C47" i="8"/>
  <c r="C82" i="8" s="1"/>
  <c r="C165" i="8"/>
  <c r="C167" i="8" s="1"/>
  <c r="C168" i="8" s="1"/>
  <c r="C170" i="8" s="1"/>
  <c r="C172" i="8" s="1"/>
  <c r="C50" i="8" s="1"/>
  <c r="C51" i="8" s="1"/>
  <c r="D79" i="8" l="1"/>
  <c r="AK3" i="24" s="1"/>
  <c r="C86" i="8"/>
  <c r="C48" i="8" s="1"/>
  <c r="AJ6" i="24"/>
  <c r="D82" i="8"/>
  <c r="AK6" i="24" s="1"/>
  <c r="AO6" i="24" l="1"/>
  <c r="J111" i="19" l="1"/>
  <c r="J106" i="19"/>
  <c r="H8" i="24" s="1"/>
  <c r="H13" i="24" l="1"/>
  <c r="I105" i="19"/>
  <c r="J105" i="19" l="1"/>
  <c r="J113" i="19" s="1"/>
  <c r="I113" i="19"/>
  <c r="K100" i="19" l="1"/>
  <c r="V169" i="19" s="1"/>
  <c r="P184" i="19"/>
  <c r="E114" i="19"/>
  <c r="G114" i="19"/>
  <c r="F114" i="19"/>
  <c r="H114" i="19"/>
  <c r="D114" i="19"/>
  <c r="I121" i="34"/>
  <c r="I114" i="19"/>
  <c r="K109" i="19"/>
  <c r="H7" i="24"/>
  <c r="P186" i="19" l="1"/>
  <c r="P185" i="19"/>
  <c r="J121" i="34"/>
  <c r="J117" i="23"/>
  <c r="K108" i="19"/>
  <c r="K107" i="19"/>
  <c r="K101" i="19"/>
  <c r="V170" i="19" s="1"/>
  <c r="K110" i="19"/>
  <c r="V176" i="19" s="1"/>
  <c r="K111" i="19"/>
  <c r="J116" i="23"/>
  <c r="F215" i="23" s="1"/>
  <c r="F219" i="23" s="1"/>
  <c r="K105" i="19"/>
  <c r="V172" i="19" s="1"/>
  <c r="K104" i="19"/>
  <c r="V173" i="19" s="1"/>
  <c r="K103" i="19"/>
  <c r="K106" i="19"/>
  <c r="V174" i="19" s="1"/>
  <c r="K102" i="19"/>
  <c r="V171" i="19" s="1"/>
  <c r="V175" i="19" l="1"/>
  <c r="J116" i="19"/>
  <c r="J123" i="23" s="1"/>
  <c r="J115" i="19"/>
  <c r="J124" i="23" s="1"/>
  <c r="L4" i="24"/>
  <c r="L9" i="24"/>
  <c r="L8" i="24"/>
  <c r="B5" i="24"/>
  <c r="L5" i="24"/>
  <c r="B2" i="24"/>
  <c r="L2" i="24"/>
  <c r="B7" i="24"/>
  <c r="L7" i="24"/>
  <c r="B3" i="24"/>
  <c r="L3" i="24"/>
  <c r="J123" i="34"/>
  <c r="J122" i="34"/>
  <c r="B6" i="24"/>
  <c r="L6" i="24"/>
  <c r="B8" i="24"/>
  <c r="B9" i="24"/>
  <c r="B4" i="24"/>
  <c r="F217" i="23"/>
  <c r="G169" i="23" s="1"/>
  <c r="P3" i="24"/>
  <c r="G165" i="23"/>
  <c r="L10" i="24" l="1"/>
  <c r="B10" i="24"/>
  <c r="J122" i="23"/>
  <c r="F220" i="23" s="1"/>
  <c r="Q3" i="24" s="1"/>
  <c r="G173" i="23"/>
  <c r="P6" i="24"/>
  <c r="G175" i="23" l="1"/>
  <c r="F221" i="23"/>
  <c r="Q6" i="24" s="1"/>
  <c r="G177" i="23" l="1"/>
  <c r="D292" i="15" l="1"/>
  <c r="D306" i="15"/>
  <c r="D288" i="15" l="1"/>
  <c r="D295" i="15" s="1"/>
  <c r="C385" i="15" s="1"/>
  <c r="C388" i="15" s="1"/>
  <c r="C390" i="15" s="1"/>
  <c r="C405" i="15" l="1"/>
  <c r="C392" i="15"/>
  <c r="D297" i="15"/>
  <c r="C407" i="15" l="1"/>
  <c r="C412" i="15"/>
  <c r="D405" i="15"/>
  <c r="D412" i="15" l="1"/>
  <c r="C43" i="15" s="1"/>
  <c r="C414" i="15"/>
  <c r="D414" i="15" s="1"/>
  <c r="C45" i="15" s="1"/>
  <c r="C46" i="15" s="1"/>
  <c r="D407" i="15"/>
  <c r="C166" i="15"/>
  <c r="C168" i="15" s="1"/>
  <c r="C169" i="15" s="1"/>
  <c r="C52" i="15" l="1"/>
  <c r="C172" i="15"/>
  <c r="C174" i="15" s="1"/>
  <c r="C175" i="15" s="1"/>
  <c r="C177" i="15" s="1"/>
  <c r="C179" i="15" s="1"/>
  <c r="C53" i="15" s="1"/>
  <c r="C50" i="15"/>
  <c r="C83" i="15" s="1"/>
  <c r="C48" i="15"/>
  <c r="C80" i="15"/>
  <c r="AF3" i="24" s="1"/>
  <c r="AF6" i="24" l="1"/>
  <c r="C87" i="15"/>
  <c r="C51" i="15" s="1"/>
  <c r="D80" i="15"/>
  <c r="AG3" i="24" s="1"/>
  <c r="C54" i="15"/>
  <c r="D83" i="15" s="1"/>
  <c r="AG6"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10" authorId="0" shapeId="0" xr:uid="{00000000-0006-0000-01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0" authorId="0" shapeId="0" xr:uid="{00000000-0006-0000-0100-000002000000}">
      <text>
        <r>
          <rPr>
            <sz val="11"/>
            <color indexed="81"/>
            <rFont val="Tahoma"/>
            <family val="2"/>
          </rPr>
          <t>This is the unique supplier number that farmers have with their milk company.</t>
        </r>
        <r>
          <rPr>
            <sz val="9"/>
            <color indexed="81"/>
            <rFont val="Tahoma"/>
            <family val="2"/>
          </rPr>
          <t xml:space="preserve">
</t>
        </r>
      </text>
    </comment>
    <comment ref="G12" authorId="0" shapeId="0" xr:uid="{00000000-0006-0000-0100-000003000000}">
      <text>
        <r>
          <rPr>
            <sz val="11"/>
            <color indexed="81"/>
            <rFont val="Tahoma"/>
            <family val="2"/>
          </rPr>
          <t xml:space="preserve">Enter the financial year that this GHG assessment is for using the format 2012/13.  </t>
        </r>
      </text>
    </comment>
    <comment ref="C14" authorId="0" shapeId="0" xr:uid="{00000000-0006-0000-0100-000004000000}">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4" authorId="0" shapeId="0" xr:uid="{00000000-0006-0000-0100-000005000000}">
      <text>
        <r>
          <rPr>
            <sz val="11"/>
            <color indexed="81"/>
            <rFont val="Tahoma"/>
            <family val="2"/>
          </rPr>
          <t xml:space="preserve">If you click on the white cell to the right of this heading, a drop down arrow should appear along with a list of the regions specific to your state.  There are three regions for Victoria, three for New South Wales and only one for each other state.  The user needs to select which region the farm is located.  If the user has selected one of the states of Australia other than Victoria and New South Wales, the region is a repeat of the state and the user needs to again select their region (state).    </t>
        </r>
        <r>
          <rPr>
            <sz val="9"/>
            <color indexed="81"/>
            <rFont val="Tahoma"/>
            <family val="2"/>
          </rPr>
          <t xml:space="preserve">
</t>
        </r>
      </text>
    </comment>
    <comment ref="D16" authorId="0" shapeId="0" xr:uid="{00000000-0006-0000-0100-000006000000}">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6" authorId="0" shapeId="0" xr:uid="{00000000-0006-0000-0100-000007000000}">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6" authorId="0" shapeId="0" xr:uid="{AD0CD5FF-5218-499D-BE95-5625D1287637}">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6" authorId="0" shapeId="0" xr:uid="{00000000-0006-0000-0100-000009000000}">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6" authorId="0" shapeId="0" xr:uid="{00000000-0006-0000-0100-00000A000000}">
      <text>
        <r>
          <rPr>
            <sz val="11"/>
            <color indexed="81"/>
            <rFont val="Tahoma"/>
            <family val="2"/>
          </rPr>
          <t>Bulls that are still growing and so can be older than 1 yr of age.  Use the age mid-point for liveweight.  Liveweight gain will also be similar to the heifers, depending on how quickly they are grown out to maturity.</t>
        </r>
        <r>
          <rPr>
            <sz val="8"/>
            <color indexed="81"/>
            <rFont val="Tahoma"/>
            <family val="2"/>
          </rPr>
          <t xml:space="preserve">
</t>
        </r>
      </text>
    </comment>
    <comment ref="B17" authorId="1" shapeId="0" xr:uid="{00000000-0006-0000-0100-00000B000000}">
      <text>
        <r>
          <rPr>
            <sz val="12"/>
            <color indexed="81"/>
            <rFont val="Tahoma"/>
            <family val="2"/>
          </rPr>
          <t>Insert the number of animals in each category.</t>
        </r>
      </text>
    </comment>
    <comment ref="B19" authorId="1" shapeId="0" xr:uid="{00000000-0006-0000-0100-00000C000000}">
      <text>
        <r>
          <rPr>
            <sz val="11"/>
            <color indexed="81"/>
            <rFont val="Tahoma"/>
            <family val="2"/>
          </rPr>
          <t>Specify the average liveweight of your herd for each category.</t>
        </r>
      </text>
    </comment>
    <comment ref="E19" authorId="0" shapeId="0" xr:uid="{00000000-0006-0000-0100-00000D000000}">
      <text>
        <r>
          <rPr>
            <sz val="12"/>
            <color indexed="81"/>
            <rFont val="Tahoma"/>
            <family val="2"/>
          </rPr>
          <t>This is the live weight at the mid point of their age group, so for Heifers &gt; 1, this would be at 18 months of age for heifers calving at 2 yrs of age.  If accurate figures are not available, we suggest using 70% of the milking cow liveweight.  For example, if the milkers weigh 600kg, the heifers would weigh 420kg.</t>
        </r>
        <r>
          <rPr>
            <sz val="8"/>
            <color indexed="81"/>
            <rFont val="Tahoma"/>
            <family val="2"/>
          </rPr>
          <t xml:space="preserve">
</t>
        </r>
      </text>
    </comment>
    <comment ref="F19" authorId="0" shapeId="0" xr:uid="{00000000-0006-0000-0100-00000E000000}">
      <text>
        <r>
          <rPr>
            <sz val="11"/>
            <color indexed="81"/>
            <rFont val="Tahoma"/>
            <family val="2"/>
          </rPr>
          <t>This is the live weight at the mid point of their age group, so for Heifers &lt; 1, this would be at 6 months of age for heifers calving at 2 yrs of age.  If accurate figures are not available, we suggest using 30% of the milking cow liveweight. For example, if the milkers weigh 600kg, the heifers would weigh 180kg.</t>
        </r>
      </text>
    </comment>
    <comment ref="B21" authorId="1" shapeId="0" xr:uid="{00000000-0006-0000-0100-00000F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E21" authorId="0" shapeId="0" xr:uid="{00000000-0006-0000-0100-000010000000}">
      <text>
        <r>
          <rPr>
            <sz val="12"/>
            <color indexed="81"/>
            <rFont val="Tahoma"/>
            <family val="2"/>
          </rPr>
          <t xml:space="preserve">Typical live weight gain is between 0.6 and 0.75 kg per day depending on the breed, with Jerseys at the lower end and large-framed Holstein Friesians (&gt;600 kg) at the upper range
</t>
        </r>
      </text>
    </comment>
    <comment ref="F21" authorId="0" shapeId="0" xr:uid="{00000000-0006-0000-0100-000011000000}">
      <text>
        <r>
          <rPr>
            <sz val="12"/>
            <color indexed="81"/>
            <rFont val="Tahoma"/>
            <family val="2"/>
          </rPr>
          <t>Typical live weight gain is between 0.6 and 0.75 kg per day depending on the breed, with Jerseys at the lower end and large-framed Holstein Friesians (&gt;600 kg) at the upper range</t>
        </r>
        <r>
          <rPr>
            <sz val="8"/>
            <color indexed="81"/>
            <rFont val="Tahoma"/>
            <family val="2"/>
          </rPr>
          <t xml:space="preserve">
</t>
        </r>
      </text>
    </comment>
    <comment ref="H21" authorId="0" shapeId="0" xr:uid="{00000000-0006-0000-0100-000012000000}">
      <text>
        <r>
          <rPr>
            <sz val="12"/>
            <color indexed="81"/>
            <rFont val="Tahoma"/>
            <family val="2"/>
          </rPr>
          <t>Typical live weight gain is between 0.6 and 0.75 kg per day depending on the breed, with Jerseys at the lower end and large-framed Holstein Friesians (&gt;600 kg) at the upper range</t>
        </r>
        <r>
          <rPr>
            <sz val="8"/>
            <color indexed="81"/>
            <rFont val="Tahoma"/>
            <family val="2"/>
          </rPr>
          <t xml:space="preserve">
</t>
        </r>
      </text>
    </comment>
    <comment ref="B23" authorId="2" shapeId="0" xr:uid="{00000000-0006-0000-0100-000013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28" authorId="0" shapeId="0" xr:uid="{00000000-0006-0000-0100-000014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connrected milk, and threfore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29" authorId="0" shapeId="0" xr:uid="{00000000-0006-0000-0100-000015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1" authorId="0" shapeId="0" xr:uid="{00000000-0006-0000-0100-000016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38" authorId="3" shapeId="0" xr:uid="{00000000-0006-0000-0100-000017000000}">
      <text>
        <r>
          <rPr>
            <sz val="11"/>
            <color indexed="81"/>
            <rFont val="Tahoma"/>
            <family val="2"/>
          </rPr>
          <t xml:space="preserve">Enter the DMD in the feed eaten, not on offer.  Suggest the NGGI default of 75% in the absence of known figures.
</t>
        </r>
      </text>
    </comment>
    <comment ref="B39" authorId="2" shapeId="0" xr:uid="{00000000-0006-0000-0100-000018000000}">
      <text>
        <r>
          <rPr>
            <sz val="11"/>
            <color indexed="81"/>
            <rFont val="Tahoma"/>
            <family val="2"/>
          </rPr>
          <t>Enter the CP in the feed eaten, not on offer.  Suggest the NGGI default of 20% in the absence of known figures.</t>
        </r>
      </text>
    </comment>
    <comment ref="C42" authorId="0" shapeId="0" xr:uid="{00000000-0006-0000-0100-000019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44" authorId="0" shapeId="0" xr:uid="{00000000-0006-0000-0100-00001A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44" authorId="0" shapeId="0" xr:uid="{00000000-0006-0000-0100-00001B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45" authorId="1" shapeId="0" xr:uid="{00000000-0006-0000-0100-00001C000000}">
      <text>
        <r>
          <rPr>
            <sz val="11"/>
            <color indexed="81"/>
            <rFont val="Tahoma"/>
            <family val="2"/>
          </rPr>
          <t xml:space="preserve">Total area of pastures that received N fertiliser.  This inclused runoff/ outblocks and also leased land as this is still part of the farm business.
</t>
        </r>
      </text>
    </comment>
    <comment ref="B46" authorId="1" shapeId="0" xr:uid="{00000000-0006-0000-0100-00001D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49" authorId="2" shapeId="0" xr:uid="{00000000-0006-0000-0100-00001E000000}">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0" authorId="2" shapeId="0" xr:uid="{00000000-0006-0000-0100-00001F000000}">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53" authorId="1" shapeId="0" xr:uid="{00000000-0006-0000-0100-000020000000}">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53" authorId="0" shapeId="0" xr:uid="{00000000-0006-0000-0100-000021000000}">
      <text>
        <r>
          <rPr>
            <sz val="11"/>
            <color indexed="81"/>
            <rFont val="Tahoma"/>
            <family val="2"/>
          </rPr>
          <t>If unsure, select Brown coal from Victoria (highest emissions factor).</t>
        </r>
        <r>
          <rPr>
            <sz val="9"/>
            <color indexed="81"/>
            <rFont val="Tahoma"/>
            <family val="2"/>
          </rPr>
          <t xml:space="preserve">
</t>
        </r>
      </text>
    </comment>
    <comment ref="B54" authorId="1" shapeId="0" xr:uid="{00000000-0006-0000-0100-000022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55" authorId="0" shapeId="0" xr:uid="{00000000-0006-0000-0100-000023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fule needs to be considered as part of the farm business and included where applicable.</t>
        </r>
        <r>
          <rPr>
            <sz val="9"/>
            <color indexed="81"/>
            <rFont val="Tahoma"/>
            <family val="2"/>
          </rPr>
          <t xml:space="preserve">
</t>
        </r>
      </text>
    </comment>
    <comment ref="B62" authorId="0" shapeId="0" xr:uid="{00000000-0006-0000-0100-000024000000}">
      <text>
        <r>
          <rPr>
            <sz val="11"/>
            <color indexed="81"/>
            <rFont val="Tahoma"/>
            <family val="2"/>
          </rPr>
          <t xml:space="preserve">Users have two options available to estimate the amount of carbon sequestered in tree plantations.
1. Use another calculator/tool specifically designed to estimate carbon sequestration (e.g. CFI- aligned Reforestation tool ).  If this option is selected, the used needs to select the "Based on other calculators/ tool specifically designed  to estimate" option and enter the amount of carbon sequestered per hectare per annum from these other tools in the box below.  If this option is selected, the user still needs to enter the number of hectares under plantation. An example of a tool is the CFI- aligned Reforestation tool located at: http://ncat.climatechange.gov.au/cfirefor/ 
2. Use DGAS to work out an estimate based on selecting the "Based on data entered here" option.  Users then need to enter the area of trees planted, selecting the type of trees planted and selecting the average annual rainfall.  This will be a simplified estimation but can give some indication of how much carbon is stored in tree plantings each year (averaged over 30 years).
</t>
        </r>
      </text>
    </comment>
    <comment ref="B65" authorId="0" shapeId="0" xr:uid="{00000000-0006-0000-0100-000025000000}">
      <text>
        <r>
          <rPr>
            <sz val="11"/>
            <color indexed="81"/>
            <rFont val="Tahoma"/>
            <family val="2"/>
          </rPr>
          <t xml:space="preserve">If you have estimated the amount of carbon sequestered into trees via some other calculator or tool, enter the amount here (t CO2 sequestered per ha of trees).  You must also enter how many hectares of trees there are.  Otherwise if you are using the simplified version in DGAS, leave this cell blank.
</t>
        </r>
      </text>
    </comment>
    <comment ref="F65" authorId="1" shapeId="0" xr:uid="{00000000-0006-0000-0100-000026000000}">
      <text>
        <r>
          <rPr>
            <sz val="11"/>
            <color indexed="81"/>
            <rFont val="Tahoma"/>
            <family val="2"/>
          </rPr>
          <t>This allows for the evaluation of the carbon sequestration impact if planting trees on the farm. If you don't want this comparison, then set the area to zero.</t>
        </r>
      </text>
    </comment>
    <comment ref="B67" authorId="2" shapeId="0" xr:uid="{00000000-0006-0000-0100-000027000000}">
      <text>
        <r>
          <rPr>
            <sz val="11"/>
            <color indexed="81"/>
            <rFont val="Tahoma"/>
            <family val="2"/>
          </rPr>
          <t xml:space="preserve"> If they are not listed then choose the closest species, or just the general heading.</t>
        </r>
      </text>
    </comment>
    <comment ref="F67" authorId="2" shapeId="0" xr:uid="{00000000-0006-0000-0100-000028000000}">
      <text>
        <r>
          <rPr>
            <sz val="11"/>
            <color indexed="81"/>
            <rFont val="Tahoma"/>
            <family val="2"/>
          </rPr>
          <t>Rainfall is just a general guide for the rate of tree growth.</t>
        </r>
      </text>
    </comment>
    <comment ref="C70" authorId="0" shapeId="0" xr:uid="{00000000-0006-0000-0100-000029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70" authorId="0" shapeId="0" xr:uid="{00000000-0006-0000-0100-00002A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80" authorId="0" shapeId="0" xr:uid="{00000000-0006-0000-0100-00002B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mixedration farm where they are retained on concrete during their dry period also, it will be 365 days per annum.</t>
        </r>
        <r>
          <rPr>
            <sz val="9"/>
            <color indexed="81"/>
            <rFont val="Tahoma"/>
            <family val="2"/>
          </rPr>
          <t xml:space="preserve">
</t>
        </r>
      </text>
    </comment>
    <comment ref="B86" authorId="0" shapeId="0" xr:uid="{00000000-0006-0000-0100-00002C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90" authorId="0" shapeId="0" xr:uid="{00000000-0006-0000-0100-00002D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90" authorId="0" shapeId="0" xr:uid="{00000000-0006-0000-0100-00002E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93" authorId="0" shapeId="0" xr:uid="{00000000-0006-0000-0100-00002F000000}">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t>
        </r>
      </text>
    </comment>
    <comment ref="B95" authorId="0" shapeId="0" xr:uid="{00000000-0006-0000-0100-000030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95" authorId="0" shapeId="0" xr:uid="{00000000-0006-0000-0100-000031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09" authorId="0" shapeId="0" xr:uid="{00000000-0006-0000-0100-000032000000}">
      <text>
        <r>
          <rPr>
            <sz val="11"/>
            <color indexed="81"/>
            <rFont val="Tahoma"/>
            <family val="2"/>
          </rPr>
          <t xml:space="preserve">These are the emissions pre-farm gate from the production and/or manufacturing of feeds and fertilisers.
</t>
        </r>
      </text>
    </comment>
    <comment ref="L319" authorId="2" shapeId="0" xr:uid="{00000000-0006-0000-0100-000033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350" authorId="2" shapeId="0" xr:uid="{00000000-0006-0000-0100-000034000000}">
      <text>
        <r>
          <rPr>
            <sz val="8"/>
            <color indexed="81"/>
            <rFont val="Tahoma"/>
            <family val="2"/>
          </rPr>
          <t>MMS = the fraction of AE that is managed in the different manure management systems (except for pasture range and paddock)</t>
        </r>
      </text>
    </comment>
    <comment ref="B353" authorId="2" shapeId="0" xr:uid="{00000000-0006-0000-0100-000035000000}">
      <text>
        <r>
          <rPr>
            <sz val="8"/>
            <color indexed="81"/>
            <rFont val="Tahoma"/>
            <family val="2"/>
          </rPr>
          <t>E = total emissions of nitrous oxide from the different manure management systems (except for pasture range and paddock)</t>
        </r>
      </text>
    </comment>
    <comment ref="B355" authorId="2" shapeId="0" xr:uid="{00000000-0006-0000-0100-000036000000}">
      <text>
        <r>
          <rPr>
            <sz val="8"/>
            <color indexed="81"/>
            <rFont val="Tahoma"/>
            <family val="2"/>
          </rPr>
          <t>Except for pasture range and paddock</t>
        </r>
      </text>
    </comment>
    <comment ref="H542" authorId="2" shapeId="0" xr:uid="{00000000-0006-0000-0100-000037000000}">
      <text>
        <r>
          <rPr>
            <sz val="8"/>
            <color indexed="81"/>
            <rFont val="Tahoma"/>
            <family val="2"/>
          </rPr>
          <t>0.085 Gg SO2/PJ</t>
        </r>
      </text>
    </comment>
    <comment ref="B559" authorId="1" shapeId="0" xr:uid="{00000000-0006-0000-0100-000038000000}">
      <text>
        <r>
          <rPr>
            <sz val="8"/>
            <color indexed="81"/>
            <rFont val="Tahoma"/>
            <family val="2"/>
          </rPr>
          <t>SO2 Emission factor = 0.37 Gg SO2/PJ</t>
        </r>
      </text>
    </comment>
    <comment ref="C559" authorId="1" shapeId="0" xr:uid="{00000000-0006-0000-0100-000039000000}">
      <text>
        <r>
          <rPr>
            <sz val="8"/>
            <color indexed="81"/>
            <rFont val="Tahoma"/>
            <family val="2"/>
          </rPr>
          <t>30% would be average</t>
        </r>
      </text>
    </comment>
    <comment ref="D559" authorId="1" shapeId="0" xr:uid="{00000000-0006-0000-0100-00003A000000}">
      <text>
        <r>
          <rPr>
            <sz val="8"/>
            <color indexed="81"/>
            <rFont val="Tahoma"/>
            <family val="2"/>
          </rPr>
          <t>1000 average</t>
        </r>
      </text>
    </comment>
    <comment ref="B560" authorId="1" shapeId="0" xr:uid="{00000000-0006-0000-0100-00003B000000}">
      <text>
        <r>
          <rPr>
            <sz val="8"/>
            <color indexed="81"/>
            <rFont val="Tahoma"/>
            <family val="2"/>
          </rPr>
          <t>SO2 Emission factor = 0.15 Gg SO2/PJ</t>
        </r>
      </text>
    </comment>
    <comment ref="C560" authorId="1" shapeId="0" xr:uid="{00000000-0006-0000-0100-00003C000000}">
      <text>
        <r>
          <rPr>
            <sz val="8"/>
            <color indexed="81"/>
            <rFont val="Tahoma"/>
            <family val="2"/>
          </rPr>
          <t>25% average</t>
        </r>
      </text>
    </comment>
    <comment ref="D560" authorId="1" shapeId="0" xr:uid="{00000000-0006-0000-0100-00003D000000}">
      <text>
        <r>
          <rPr>
            <sz val="8"/>
            <color indexed="81"/>
            <rFont val="Tahoma"/>
            <family val="2"/>
          </rPr>
          <t>1400 average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2" authorId="0" shapeId="0" xr:uid="{00000000-0006-0000-1000-000001000000}">
      <text>
        <r>
          <rPr>
            <sz val="8"/>
            <color indexed="81"/>
            <rFont val="Tahoma"/>
            <family val="2"/>
          </rPr>
          <t>Enter the likely average daily liveweight gain (kg/day) for each class of animal in the herd.</t>
        </r>
      </text>
    </comment>
    <comment ref="C12" authorId="1" shapeId="0" xr:uid="{00000000-0006-0000-1000-000002000000}">
      <text>
        <r>
          <rPr>
            <sz val="8"/>
            <color indexed="81"/>
            <rFont val="Tahoma"/>
            <family val="2"/>
          </rPr>
          <t xml:space="preserve">Can be referenced back to DGAS
</t>
        </r>
      </text>
    </comment>
    <comment ref="B24" authorId="2" shapeId="0" xr:uid="{00000000-0006-0000-1000-000003000000}">
      <text>
        <r>
          <rPr>
            <sz val="11"/>
            <color indexed="81"/>
            <rFont val="Tahoma"/>
            <family val="2"/>
          </rPr>
          <t xml:space="preserve">What is the cost to implement this strategy on a per cow basis?  For example, if the inhibitor cost $1 per cow per  day and the strategy was implemented for 90 days, this would reflect a cost of $90 per cow. </t>
        </r>
      </text>
    </comment>
    <comment ref="B26" authorId="1" shapeId="0" xr:uid="{00000000-0006-0000-1000-000004000000}">
      <text>
        <r>
          <rPr>
            <sz val="11"/>
            <color indexed="81"/>
            <rFont val="Tahoma"/>
            <family val="2"/>
          </rPr>
          <t xml:space="preserve">Enter you average milk price over the whole year based on $ per litre. </t>
        </r>
        <r>
          <rPr>
            <sz val="8"/>
            <color indexed="81"/>
            <rFont val="Tahoma"/>
            <family val="2"/>
          </rPr>
          <t xml:space="preserve">
</t>
        </r>
      </text>
    </comment>
    <comment ref="B28" authorId="1" shapeId="0" xr:uid="{00000000-0006-0000-1000-000005000000}">
      <text>
        <r>
          <rPr>
            <sz val="11"/>
            <color indexed="81"/>
            <rFont val="Tahoma"/>
            <family val="2"/>
          </rPr>
          <t xml:space="preserve">Enter the farm price received from the CFI for a tonne of CO2-e.  </t>
        </r>
        <r>
          <rPr>
            <sz val="8"/>
            <color indexed="81"/>
            <rFont val="Tahoma"/>
            <family val="2"/>
          </rPr>
          <t xml:space="preserve">
</t>
        </r>
      </text>
    </comment>
    <comment ref="B31" authorId="3" shapeId="0" xr:uid="{00000000-0006-0000-1000-000006000000}">
      <text>
        <r>
          <rPr>
            <sz val="11"/>
            <color indexed="81"/>
            <rFont val="Tahoma"/>
            <family val="2"/>
          </rPr>
          <t>As urine patches are already in excess of N (i.e. around 1000 kg N/ha, there is no likelihood of any additional pasture production as a consequence of feeding the cows the N inhibitor.  Therefore there is unlikely to be any additional milk production achieved.  Therefore this figure is currently zero.  If future research confirms that there could be an increase in milk production, this will be incorporated into the calculator.</t>
        </r>
        <r>
          <rPr>
            <sz val="9"/>
            <color indexed="81"/>
            <rFont val="Tahoma"/>
            <family val="2"/>
          </rPr>
          <t xml:space="preserve">
</t>
        </r>
      </text>
    </comment>
    <comment ref="B33" authorId="2" shapeId="0" xr:uid="{00000000-0006-0000-1000-000007000000}">
      <text>
        <r>
          <rPr>
            <sz val="11"/>
            <color indexed="81"/>
            <rFont val="Tahoma"/>
            <family val="2"/>
          </rPr>
          <t xml:space="preserve">Negative number indicates that enteric methane emissions have increased </t>
        </r>
      </text>
    </comment>
    <comment ref="B34" authorId="3" shapeId="0" xr:uid="{00000000-0006-0000-1000-000008000000}">
      <text>
        <r>
          <rPr>
            <sz val="11"/>
            <color indexed="81"/>
            <rFont val="Tahoma"/>
            <family val="2"/>
          </rPr>
          <t>Negative numbers indicate waste methane has increased</t>
        </r>
        <r>
          <rPr>
            <sz val="9"/>
            <color indexed="81"/>
            <rFont val="Tahoma"/>
            <family val="2"/>
          </rPr>
          <t xml:space="preserve">
</t>
        </r>
      </text>
    </comment>
    <comment ref="B35" authorId="3" shapeId="0" xr:uid="{00000000-0006-0000-1000-000009000000}">
      <text>
        <r>
          <rPr>
            <sz val="11"/>
            <color indexed="81"/>
            <rFont val="Tahoma"/>
            <family val="2"/>
          </rPr>
          <t>Negative numbers indicate waste nitrous oxide emissions have  increased</t>
        </r>
        <r>
          <rPr>
            <sz val="9"/>
            <color indexed="81"/>
            <rFont val="Tahoma"/>
            <family val="2"/>
          </rPr>
          <t xml:space="preserve">
</t>
        </r>
      </text>
    </comment>
    <comment ref="B36" authorId="3" shapeId="0" xr:uid="{00000000-0006-0000-1000-00000A000000}">
      <text>
        <r>
          <rPr>
            <sz val="11"/>
            <color indexed="81"/>
            <rFont val="Tahoma"/>
            <family val="2"/>
          </rPr>
          <t xml:space="preserve">Negative numbers indicate N fertiliser nitrous oxide emissions have  increased
</t>
        </r>
      </text>
    </comment>
    <comment ref="B37" authorId="3" shapeId="0" xr:uid="{00000000-0006-0000-1000-00000B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8" authorId="3" shapeId="0" xr:uid="{00000000-0006-0000-1000-00000C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39" authorId="3" shapeId="0" xr:uid="{00000000-0006-0000-1000-00000D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0" authorId="3" shapeId="0" xr:uid="{00000000-0006-0000-1000-00000E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1" authorId="3" shapeId="0" xr:uid="{00000000-0006-0000-1000-00000F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2" authorId="3" shapeId="0" xr:uid="{00000000-0006-0000-1000-000010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3" authorId="3" shapeId="0" xr:uid="{00000000-0006-0000-1000-000011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44" authorId="3" shapeId="0" xr:uid="{00000000-0006-0000-1000-000012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45" authorId="3" shapeId="0" xr:uid="{00000000-0006-0000-1000-000013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46" authorId="3" shapeId="0" xr:uid="{00000000-0006-0000-1000-000014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66" authorId="2" shapeId="0" xr:uid="{00000000-0006-0000-1000-000015000000}">
      <text>
        <r>
          <rPr>
            <b/>
            <sz val="8"/>
            <color indexed="81"/>
            <rFont val="Tahoma"/>
            <family val="2"/>
          </rPr>
          <t>karenc1:</t>
        </r>
        <r>
          <rPr>
            <sz val="8"/>
            <color indexed="81"/>
            <rFont val="Tahoma"/>
            <family val="2"/>
          </rPr>
          <t xml:space="preserve">
What is the difference in price of coated versus uncoated N fertiliser with the nitrification inhibitor?  The spreadsheet calculates the % of fertiliser coated from previous data entry to calculate the additional fertiliser cost associated with the inhibitor.  For example if urea costs $500/tonne to purchase and spread and DCD coated fertiliser costs $600/tonne to purchase and spread, the additional cost is $100/tonne.  </t>
        </r>
      </text>
    </comment>
    <comment ref="B67" authorId="1" shapeId="0" xr:uid="{00000000-0006-0000-1000-000016000000}">
      <text>
        <r>
          <rPr>
            <sz val="8"/>
            <color indexed="81"/>
            <rFont val="Tahoma"/>
            <family val="2"/>
          </rPr>
          <t xml:space="preserve">Enter you average milk price for season in $ per litre. 
</t>
        </r>
      </text>
    </comment>
    <comment ref="B68" authorId="1" shapeId="0" xr:uid="{00000000-0006-0000-1000-000017000000}">
      <text>
        <r>
          <rPr>
            <sz val="8"/>
            <color indexed="81"/>
            <rFont val="Tahoma"/>
            <family val="2"/>
          </rPr>
          <t xml:space="preserve">Enter the farm price received from the CFI for a tonne of CO2-e.  (Provide some more detail here)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1" authorId="0" shapeId="0" xr:uid="{00000000-0006-0000-1100-000001000000}">
      <text>
        <r>
          <rPr>
            <sz val="8"/>
            <color indexed="81"/>
            <rFont val="Tahoma"/>
            <family val="2"/>
          </rPr>
          <t>Enter the likely average daily liveweight gain (kg/day) for each class of animal in the herd.</t>
        </r>
      </text>
    </comment>
    <comment ref="C11" authorId="1" shapeId="0" xr:uid="{00000000-0006-0000-1100-000002000000}">
      <text>
        <r>
          <rPr>
            <sz val="8"/>
            <color indexed="81"/>
            <rFont val="Tahoma"/>
            <family val="2"/>
          </rPr>
          <t xml:space="preserve">Can be referenced back to DGAS
</t>
        </r>
      </text>
    </comment>
    <comment ref="B16" authorId="2" shapeId="0" xr:uid="{00000000-0006-0000-1100-000003000000}">
      <text>
        <r>
          <rPr>
            <sz val="11"/>
            <color indexed="81"/>
            <rFont val="Tahoma"/>
            <family val="2"/>
          </rPr>
          <t>What % of the annual N fertiliser applied to pastures is coated with the inhibitor and applied during periods of the year when losses of N through leaching are high (e.g. autumn to spring for dryland pastures, year-round for irrigated pastures).</t>
        </r>
        <r>
          <rPr>
            <sz val="8"/>
            <color indexed="81"/>
            <rFont val="Tahoma"/>
            <family val="2"/>
          </rPr>
          <t xml:space="preserve">
</t>
        </r>
      </text>
    </comment>
    <comment ref="B18" authorId="1" shapeId="0" xr:uid="{00000000-0006-0000-1100-000004000000}">
      <text>
        <r>
          <rPr>
            <sz val="11"/>
            <color indexed="81"/>
            <rFont val="Tahoma"/>
            <family val="2"/>
          </rPr>
          <t xml:space="preserve">This is percentage of effectiveness for the coated fertiliser during the period it is applied.  For example, 50% of the total N fertiliser is coated and applied during periods of the year when N2O emissions are high (i.e. late autumn through to spring).  This question is asking what proportion of the proportion of coated N fertiliser is applied during this period of high risk.
For example, the farmer buys 1 t N of which 100% is coated.  Not all this fertiliser will be applied during times of the year when N2O emissions can be reduced.  If 75% of this is applied when conditions are conducive to N2O losses, then in essence, 750kg of the N fertiliser is effective in reducing N2O emissions and at a rate specified by the user in the % reduction in N2O emissions (next question below).
However, if the farmer purchases 80% of the total N fertiliser coated with the inhibitor (i.e. 800kg N/annum) and this is all applied during the periods of the year when it is effective, then the figure in this cell should be 100% to reflect that all 800kg N is effective in reducing N2O emissions and at a rate specified by the user in the % reduction in N2O emissions (next question below).          </t>
        </r>
      </text>
    </comment>
    <comment ref="B20" authorId="2" shapeId="0" xr:uid="{00000000-0006-0000-1100-000005000000}">
      <text>
        <r>
          <rPr>
            <sz val="11"/>
            <color indexed="81"/>
            <rFont val="Tahoma"/>
            <family val="2"/>
          </rPr>
          <t xml:space="preserve">What reduction potential does the nitrification inhibitor have on reducing N2O emissions.  We suggest 40% efficacy of the inhibitor over the duration that it is effective in reducing nitrous oxide emissions
</t>
        </r>
      </text>
    </comment>
    <comment ref="B22" authorId="2" shapeId="0" xr:uid="{00000000-0006-0000-1100-000006000000}">
      <text>
        <r>
          <rPr>
            <sz val="11"/>
            <color indexed="81"/>
            <rFont val="Tahoma"/>
            <family val="2"/>
          </rPr>
          <t>What is the cost of uncoated N fertiliser?</t>
        </r>
      </text>
    </comment>
    <comment ref="B24" authorId="3" shapeId="0" xr:uid="{00000000-0006-0000-1100-000007000000}">
      <text>
        <r>
          <rPr>
            <sz val="11"/>
            <color indexed="81"/>
            <rFont val="Tahoma"/>
            <family val="2"/>
          </rPr>
          <t>What is the cost of the N fertiliser coated with the inhibitor?  This is likely to be more expensive than the uncoated and the difference between the two multiplied by the amount of N applied to the pastures will reflect the implementation cost.  For example, if uncoated N fertiliser cost $500 per tonne and  the coated cost $750 per tonne, the net increase is $250 per tonne.</t>
        </r>
        <r>
          <rPr>
            <b/>
            <sz val="11"/>
            <color indexed="81"/>
            <rFont val="Tahoma"/>
            <family val="2"/>
          </rPr>
          <t xml:space="preserve">
</t>
        </r>
      </text>
    </comment>
    <comment ref="B26" authorId="2" shapeId="0" xr:uid="{00000000-0006-0000-1100-000008000000}">
      <text>
        <r>
          <rPr>
            <sz val="11"/>
            <color indexed="81"/>
            <rFont val="Tahoma"/>
            <family val="2"/>
          </rPr>
          <t>We suggest using zero to start with as it is unlikely that applying an N fertiliser coated with the nitrification inhibitor will result in any additional pasture growth (unless the soil was already limited in N).</t>
        </r>
      </text>
    </comment>
    <comment ref="B30" authorId="3" shapeId="0" xr:uid="{00000000-0006-0000-1100-000009000000}">
      <text>
        <r>
          <rPr>
            <sz val="11"/>
            <color indexed="81"/>
            <rFont val="Tahoma"/>
            <family val="2"/>
          </rPr>
          <t>The equation to convert DMD to ME is:
ME = (DMD x 0.1604) - 1.037.  For example, if the DMD is 75% then ME = (75 x 0.1604)  - 1.037 = 11.0 MJ</t>
        </r>
      </text>
    </comment>
    <comment ref="B34" authorId="1" shapeId="0" xr:uid="{00000000-0006-0000-1100-00000A000000}">
      <text>
        <r>
          <rPr>
            <sz val="11"/>
            <color indexed="81"/>
            <rFont val="Tahoma"/>
            <family val="2"/>
          </rPr>
          <t xml:space="preserve">Enter you average milk price over the whole year based on $ per litre. </t>
        </r>
        <r>
          <rPr>
            <sz val="8"/>
            <color indexed="81"/>
            <rFont val="Tahoma"/>
            <family val="2"/>
          </rPr>
          <t xml:space="preserve">
</t>
        </r>
      </text>
    </comment>
    <comment ref="B36" authorId="2" shapeId="0" xr:uid="{00000000-0006-0000-1100-00000B000000}">
      <text>
        <r>
          <rPr>
            <sz val="11"/>
            <color indexed="81"/>
            <rFont val="Tahoma"/>
            <family val="2"/>
          </rPr>
          <t>The milk price for when the  inhibitor coated N fertiliser is applied might be different to the mean annual milk price.</t>
        </r>
      </text>
    </comment>
    <comment ref="B38" authorId="1" shapeId="0" xr:uid="{00000000-0006-0000-1100-00000C000000}">
      <text>
        <r>
          <rPr>
            <sz val="11"/>
            <color indexed="81"/>
            <rFont val="Tahoma"/>
            <family val="2"/>
          </rPr>
          <t xml:space="preserve">Enter the farm price received from the CFI for a tonne of CO2-e.  </t>
        </r>
        <r>
          <rPr>
            <sz val="8"/>
            <color indexed="81"/>
            <rFont val="Tahoma"/>
            <family val="2"/>
          </rPr>
          <t xml:space="preserve">
</t>
        </r>
      </text>
    </comment>
    <comment ref="B43" authorId="2" shapeId="0" xr:uid="{00000000-0006-0000-1100-00000D000000}">
      <text>
        <r>
          <rPr>
            <sz val="11"/>
            <color indexed="81"/>
            <rFont val="Tahoma"/>
            <family val="2"/>
          </rPr>
          <t xml:space="preserve">Negative number indicates that enteric methane emissions have increased </t>
        </r>
      </text>
    </comment>
    <comment ref="B44" authorId="3" shapeId="0" xr:uid="{00000000-0006-0000-1100-00000E000000}">
      <text>
        <r>
          <rPr>
            <sz val="11"/>
            <color indexed="81"/>
            <rFont val="Tahoma"/>
            <family val="2"/>
          </rPr>
          <t>Negative numbers indicate waste methane has increased</t>
        </r>
        <r>
          <rPr>
            <sz val="9"/>
            <color indexed="81"/>
            <rFont val="Tahoma"/>
            <family val="2"/>
          </rPr>
          <t xml:space="preserve">
</t>
        </r>
      </text>
    </comment>
    <comment ref="B45" authorId="3" shapeId="0" xr:uid="{00000000-0006-0000-1100-00000F000000}">
      <text>
        <r>
          <rPr>
            <sz val="11"/>
            <color indexed="81"/>
            <rFont val="Tahoma"/>
            <family val="2"/>
          </rPr>
          <t>Negative numbers indicate waste nitrous oxide emissions have  increased</t>
        </r>
        <r>
          <rPr>
            <sz val="9"/>
            <color indexed="81"/>
            <rFont val="Tahoma"/>
            <family val="2"/>
          </rPr>
          <t xml:space="preserve">
</t>
        </r>
      </text>
    </comment>
    <comment ref="B46" authorId="3" shapeId="0" xr:uid="{00000000-0006-0000-1100-000010000000}">
      <text>
        <r>
          <rPr>
            <sz val="11"/>
            <color indexed="81"/>
            <rFont val="Tahoma"/>
            <family val="2"/>
          </rPr>
          <t xml:space="preserve">Negative numbers indicate N fertiliser nitrous oxide emissions have  increased
</t>
        </r>
      </text>
    </comment>
    <comment ref="B47" authorId="3" shapeId="0" xr:uid="{00000000-0006-0000-1100-000011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8" authorId="3" shapeId="0" xr:uid="{00000000-0006-0000-1100-000012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9" authorId="3" shapeId="0" xr:uid="{00000000-0006-0000-1100-000013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50" authorId="3" shapeId="0" xr:uid="{00000000-0006-0000-1100-000014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1" authorId="3" shapeId="0" xr:uid="{00000000-0006-0000-1100-000015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2" authorId="3" shapeId="0" xr:uid="{00000000-0006-0000-1100-000016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3" authorId="3" shapeId="0" xr:uid="{00000000-0006-0000-1100-000017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54" authorId="3" shapeId="0" xr:uid="{00000000-0006-0000-1100-000018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55" authorId="3" shapeId="0" xr:uid="{00000000-0006-0000-1100-000019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56" authorId="3" shapeId="0" xr:uid="{00000000-0006-0000-1100-00001A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72" authorId="2" shapeId="0" xr:uid="{00000000-0006-0000-1100-00001B000000}">
      <text>
        <r>
          <rPr>
            <b/>
            <sz val="8"/>
            <color indexed="81"/>
            <rFont val="Tahoma"/>
            <family val="2"/>
          </rPr>
          <t>karenc1:</t>
        </r>
        <r>
          <rPr>
            <sz val="8"/>
            <color indexed="81"/>
            <rFont val="Tahoma"/>
            <family val="2"/>
          </rPr>
          <t xml:space="preserve">
What % of the annual N fertiliser applied to pastures is coated with the inhibitor and applied during periods of the year when losses of N through leaching are high (e.g. autumn to spring for dryland pastures, year-round for irrigated pastures)
</t>
        </r>
      </text>
    </comment>
    <comment ref="B75" authorId="2" shapeId="0" xr:uid="{00000000-0006-0000-1100-00001C000000}">
      <text>
        <r>
          <rPr>
            <b/>
            <sz val="8"/>
            <color indexed="81"/>
            <rFont val="Tahoma"/>
            <family val="2"/>
          </rPr>
          <t>karenc1:</t>
        </r>
        <r>
          <rPr>
            <sz val="8"/>
            <color indexed="81"/>
            <rFont val="Tahoma"/>
            <family val="2"/>
          </rPr>
          <t xml:space="preserve">
What reduction potential does the nitrification inhibitor have on reducing N2O emissions.  Suggest 40%
</t>
        </r>
      </text>
    </comment>
    <comment ref="B84" authorId="1" shapeId="0" xr:uid="{00000000-0006-0000-1100-00001D000000}">
      <text>
        <r>
          <rPr>
            <sz val="8"/>
            <color indexed="81"/>
            <rFont val="Tahoma"/>
            <family val="2"/>
          </rPr>
          <t xml:space="preserve">Enter the farm price received from the CFI for a tonne of CO2-e.  (Provide some more detail here)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Karen Christie</author>
    <author>rrawnsle</author>
    <author>karenc1</author>
  </authors>
  <commentList>
    <comment ref="B15" authorId="0" shapeId="0" xr:uid="{00000000-0006-0000-1200-000001000000}">
      <text>
        <r>
          <rPr>
            <sz val="11"/>
            <color indexed="81"/>
            <rFont val="Tahoma"/>
            <family val="2"/>
          </rPr>
          <t>This figure needs entering as it is not linked to the baseline farm data entered.</t>
        </r>
        <r>
          <rPr>
            <sz val="9"/>
            <color indexed="81"/>
            <rFont val="Tahoma"/>
            <family val="2"/>
          </rPr>
          <t xml:space="preserve">
</t>
        </r>
      </text>
    </comment>
    <comment ref="B16" authorId="0" shapeId="0" xr:uid="{00000000-0006-0000-1200-000002000000}">
      <text>
        <r>
          <rPr>
            <sz val="11"/>
            <color indexed="81"/>
            <rFont val="Tahoma"/>
            <family val="2"/>
          </rPr>
          <t>This figure needs entering as it is not linked to the baseline farm data entered.</t>
        </r>
        <r>
          <rPr>
            <sz val="9"/>
            <color indexed="81"/>
            <rFont val="Tahoma"/>
            <family val="2"/>
          </rPr>
          <t xml:space="preserve">
</t>
        </r>
      </text>
    </comment>
    <comment ref="B18" authorId="0" shapeId="0" xr:uid="{00000000-0006-0000-1200-000003000000}">
      <text>
        <r>
          <rPr>
            <sz val="11"/>
            <color indexed="81"/>
            <rFont val="Tahoma"/>
            <family val="2"/>
          </rPr>
          <t>The user needs to enter the average number of lactations before culling for the herd here.</t>
        </r>
        <r>
          <rPr>
            <sz val="9"/>
            <color indexed="81"/>
            <rFont val="Tahoma"/>
            <family val="2"/>
          </rPr>
          <t xml:space="preserve">
</t>
        </r>
      </text>
    </comment>
    <comment ref="B20" authorId="0" shapeId="0" xr:uid="{00000000-0006-0000-1200-000004000000}">
      <text>
        <r>
          <rPr>
            <sz val="11"/>
            <color indexed="81"/>
            <rFont val="Tahoma"/>
            <family val="2"/>
          </rPr>
          <t>With this strategy, we have assumed the same calving data for the standard and extended lactations.  The date format should be as such 10/09/2013</t>
        </r>
        <r>
          <rPr>
            <sz val="9"/>
            <color indexed="81"/>
            <rFont val="Tahoma"/>
            <family val="2"/>
          </rPr>
          <t xml:space="preserve">
</t>
        </r>
      </text>
    </comment>
    <comment ref="B22" authorId="1" shapeId="0" xr:uid="{00000000-0006-0000-1200-000005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24" authorId="1" shapeId="0" xr:uid="{00000000-0006-0000-1200-000006000000}">
      <text>
        <r>
          <rPr>
            <sz val="11"/>
            <color indexed="81"/>
            <rFont val="Tahoma"/>
            <family val="2"/>
          </rPr>
          <t>What is the daily milk production per day for the extended lactation herd during their subsequent lactations (litres/cow.day)</t>
        </r>
        <r>
          <rPr>
            <sz val="8"/>
            <color indexed="81"/>
            <rFont val="Tahoma"/>
            <family val="2"/>
          </rPr>
          <t xml:space="preserve">
  </t>
        </r>
      </text>
    </comment>
    <comment ref="B26" authorId="1" shapeId="0" xr:uid="{00000000-0006-0000-1200-000007000000}">
      <text>
        <r>
          <rPr>
            <sz val="11"/>
            <color indexed="81"/>
            <rFont val="Tahoma"/>
            <family val="2"/>
          </rPr>
          <t xml:space="preserve">Average number of days for each extended lactation.  If calving every 18 months, this is approximately 485 days milking with approximately 60 days dry.  If calving every 2 years, this is 730 days between calving so cows might milk for 670 days with 60 days dry </t>
        </r>
        <r>
          <rPr>
            <sz val="8"/>
            <color indexed="81"/>
            <rFont val="Tahoma"/>
            <family val="2"/>
          </rPr>
          <t xml:space="preserve">
</t>
        </r>
      </text>
    </comment>
    <comment ref="B28" authorId="2" shapeId="0" xr:uid="{00000000-0006-0000-1200-000008000000}">
      <text>
        <r>
          <rPr>
            <sz val="11"/>
            <color indexed="81"/>
            <rFont val="Tahoma"/>
            <family val="2"/>
          </rPr>
          <t xml:space="preserve">See previous comment.  </t>
        </r>
      </text>
    </comment>
    <comment ref="B30" authorId="0" shapeId="0" xr:uid="{00000000-0006-0000-1200-000009000000}">
      <text>
        <r>
          <rPr>
            <sz val="11"/>
            <color indexed="81"/>
            <rFont val="Tahoma"/>
            <family val="2"/>
          </rPr>
          <t>Approx number of extended lactations before each cow is culled.  To best compare this strategy, it is best to have the cows in the extended lactation system present on the farm for a similar length of time as the baseline farm system.  For example, compare six lactations of 10 months for the baseline farm with either three lactations of 22 months and 2 months dry (calving every 2nd year) or four lactations of 16 months and 2 months dry (calving every 19 months)</t>
        </r>
        <r>
          <rPr>
            <sz val="8"/>
            <color indexed="81"/>
            <rFont val="Tahoma"/>
            <family val="2"/>
          </rPr>
          <t xml:space="preserve">
</t>
        </r>
      </text>
    </comment>
    <comment ref="B32" authorId="0" shapeId="0" xr:uid="{00000000-0006-0000-1200-00000A000000}">
      <text>
        <r>
          <rPr>
            <sz val="11"/>
            <color indexed="81"/>
            <rFont val="Tahoma"/>
            <family val="2"/>
          </rPr>
          <t>While there be any implementation expenses with this strategy?  Extending the lactation length means that the milker spends a greater time producing milk.  Therefore their intakes will be higher than if they only milk for 10 months and spend 2 months per year dry.  Will the farmer need to increase grain inputs or supplementary feeding as the cows may be milking through times of the year where pasture supply is reduced?  For example, dairy farmers traditionally calved in late winter/ early spring so that by the time autumn comes around, milk production has declined and therefore reliance on pasture supply has also deminished.  However, if by extending the lactation to 18 months, by autumn the cows are only half way through their lactation and may require additional high energy supplements such as grain to maintain their lactation curve.  Users need to make this judgement and enter a price for this.</t>
        </r>
      </text>
    </comment>
    <comment ref="B33" authorId="0" shapeId="0" xr:uid="{00000000-0006-0000-1200-00000B000000}">
      <text>
        <r>
          <rPr>
            <b/>
            <sz val="10"/>
            <color indexed="81"/>
            <rFont val="Tahoma"/>
            <family val="2"/>
          </rPr>
          <t>Karen Christie:</t>
        </r>
        <r>
          <rPr>
            <sz val="9"/>
            <color indexed="81"/>
            <rFont val="Tahoma"/>
            <family val="2"/>
          </rPr>
          <t xml:space="preserve">
</t>
        </r>
      </text>
    </comment>
    <comment ref="B34" authorId="1" shapeId="0" xr:uid="{00000000-0006-0000-1200-00000C000000}">
      <text>
        <r>
          <rPr>
            <sz val="11"/>
            <color indexed="81"/>
            <rFont val="Tahoma"/>
            <family val="2"/>
          </rPr>
          <t xml:space="preserve">Enter you average milk price over the whole year based on $ per litre. </t>
        </r>
        <r>
          <rPr>
            <sz val="8"/>
            <color indexed="81"/>
            <rFont val="Tahoma"/>
            <family val="2"/>
          </rPr>
          <t xml:space="preserve">
</t>
        </r>
      </text>
    </comment>
    <comment ref="B36" authorId="1" shapeId="0" xr:uid="{00000000-0006-0000-1200-00000D000000}">
      <text>
        <r>
          <rPr>
            <sz val="11"/>
            <color indexed="81"/>
            <rFont val="Tahoma"/>
            <family val="2"/>
          </rPr>
          <t xml:space="preserve">Enter the farm price received from the CFI for a tonne of CO2-e.  </t>
        </r>
        <r>
          <rPr>
            <sz val="8"/>
            <color indexed="81"/>
            <rFont val="Tahoma"/>
            <family val="2"/>
          </rPr>
          <t xml:space="preserve">
</t>
        </r>
      </text>
    </comment>
    <comment ref="B39" authorId="1" shapeId="0" xr:uid="{00000000-0006-0000-1200-00000E000000}">
      <text>
        <r>
          <rPr>
            <sz val="11"/>
            <color indexed="81"/>
            <rFont val="Tahoma"/>
            <family val="2"/>
          </rPr>
          <t>This is the estimated additional milk that could be produced from the extended lactation per cow over her lifetime in the milking herd</t>
        </r>
        <r>
          <rPr>
            <sz val="8"/>
            <color indexed="81"/>
            <rFont val="Tahoma"/>
            <family val="2"/>
          </rPr>
          <t xml:space="preserve">
</t>
        </r>
      </text>
    </comment>
    <comment ref="B42" authorId="2" shapeId="0" xr:uid="{00000000-0006-0000-1200-00000F000000}">
      <text>
        <r>
          <rPr>
            <sz val="11"/>
            <color indexed="81"/>
            <rFont val="Tahoma"/>
            <family val="2"/>
          </rPr>
          <t xml:space="preserve">Negative number indicates that enteric methane emissions have increased </t>
        </r>
      </text>
    </comment>
    <comment ref="B43" authorId="0" shapeId="0" xr:uid="{00000000-0006-0000-1200-000010000000}">
      <text>
        <r>
          <rPr>
            <sz val="11"/>
            <color indexed="81"/>
            <rFont val="Tahoma"/>
            <family val="2"/>
          </rPr>
          <t>Negative numbers indicate waste methane has increased</t>
        </r>
        <r>
          <rPr>
            <sz val="9"/>
            <color indexed="81"/>
            <rFont val="Tahoma"/>
            <family val="2"/>
          </rPr>
          <t xml:space="preserve">
</t>
        </r>
      </text>
    </comment>
    <comment ref="B44" authorId="0" shapeId="0" xr:uid="{00000000-0006-0000-1200-000011000000}">
      <text>
        <r>
          <rPr>
            <sz val="11"/>
            <color indexed="81"/>
            <rFont val="Tahoma"/>
            <family val="2"/>
          </rPr>
          <t>Negative numbers indicate waste nitrous oxide emissions have  increased</t>
        </r>
        <r>
          <rPr>
            <sz val="9"/>
            <color indexed="81"/>
            <rFont val="Tahoma"/>
            <family val="2"/>
          </rPr>
          <t xml:space="preserve">
</t>
        </r>
      </text>
    </comment>
    <comment ref="B45" authorId="0" shapeId="0" xr:uid="{00000000-0006-0000-1200-000012000000}">
      <text>
        <r>
          <rPr>
            <sz val="11"/>
            <color indexed="81"/>
            <rFont val="Tahoma"/>
            <family val="2"/>
          </rPr>
          <t xml:space="preserve">Negative numbers indicate N fertiliser nitrous oxide emissions have  increased
</t>
        </r>
      </text>
    </comment>
    <comment ref="B46" authorId="0" shapeId="0" xr:uid="{00000000-0006-0000-1200-000013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7" authorId="0" shapeId="0" xr:uid="{00000000-0006-0000-1200-000014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8" authorId="0" shapeId="0" xr:uid="{00000000-0006-0000-1200-000015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9" authorId="0" shapeId="0" xr:uid="{00000000-0006-0000-1200-000016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0" authorId="0" shapeId="0" xr:uid="{00000000-0006-0000-1200-000017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1" authorId="0" shapeId="0" xr:uid="{00000000-0006-0000-1200-000018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2" authorId="0" shapeId="0" xr:uid="{00000000-0006-0000-1200-000019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53" authorId="0" shapeId="0" xr:uid="{00000000-0006-0000-1200-00001A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54" authorId="0" shapeId="0" xr:uid="{00000000-0006-0000-1200-00001B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55" authorId="0" shapeId="0" xr:uid="{00000000-0006-0000-1200-00001C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66" authorId="1" shapeId="0" xr:uid="{00000000-0006-0000-1200-00001D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67" authorId="1" shapeId="0" xr:uid="{00000000-0006-0000-1200-00001E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68" authorId="1" shapeId="0" xr:uid="{00000000-0006-0000-1200-00001F000000}">
      <text>
        <r>
          <rPr>
            <sz val="8"/>
            <color indexed="81"/>
            <rFont val="Tahoma"/>
            <family val="2"/>
          </rPr>
          <t xml:space="preserve">This is percentage of the energy that is not used a methane that could be used for milk production. 
</t>
        </r>
      </text>
    </comment>
    <comment ref="B69" authorId="2" shapeId="0" xr:uid="{00000000-0006-0000-1200-000020000000}">
      <text>
        <r>
          <rPr>
            <b/>
            <sz val="8"/>
            <color indexed="81"/>
            <rFont val="Tahoma"/>
            <family val="2"/>
          </rPr>
          <t>karenc1:</t>
        </r>
        <r>
          <rPr>
            <sz val="8"/>
            <color indexed="81"/>
            <rFont val="Tahoma"/>
            <family val="2"/>
          </rPr>
          <t xml:space="preserve">
How many days per year is the strategy effective in reducing enteric CH4 emissions</t>
        </r>
      </text>
    </comment>
    <comment ref="B71" authorId="1" shapeId="0" xr:uid="{00000000-0006-0000-1200-000021000000}">
      <text>
        <r>
          <rPr>
            <sz val="8"/>
            <color indexed="81"/>
            <rFont val="Tahoma"/>
            <family val="2"/>
          </rPr>
          <t xml:space="preserve">Enter you average milk price for season in $ per litre. 
</t>
        </r>
      </text>
    </comment>
    <comment ref="B72" authorId="1" shapeId="0" xr:uid="{00000000-0006-0000-1200-000022000000}">
      <text>
        <r>
          <rPr>
            <sz val="8"/>
            <color indexed="81"/>
            <rFont val="Tahoma"/>
            <family val="2"/>
          </rPr>
          <t xml:space="preserve">Enter the farm price received from the CFI for a tonne of CO2-e.  (Provide some more detail here)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rrawnsle</author>
    <author>Karen Christie</author>
    <author>karenc1</author>
  </authors>
  <commentList>
    <comment ref="B15" authorId="0" shapeId="0" xr:uid="{00000000-0006-0000-1300-000001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17" authorId="0" shapeId="0" xr:uid="{00000000-0006-0000-1300-000002000000}">
      <text>
        <r>
          <rPr>
            <sz val="11"/>
            <color indexed="81"/>
            <rFont val="Tahoma"/>
            <family val="2"/>
          </rPr>
          <t>What is the daily milk production per day for the extended lactation herd during their 1st lactation (litres/cow.day)</t>
        </r>
        <r>
          <rPr>
            <sz val="8"/>
            <color indexed="81"/>
            <rFont val="Tahoma"/>
            <family val="2"/>
          </rPr>
          <t xml:space="preserve">
  </t>
        </r>
      </text>
    </comment>
    <comment ref="B19" authorId="1" shapeId="0" xr:uid="{00000000-0006-0000-1300-000003000000}">
      <text>
        <r>
          <rPr>
            <sz val="11"/>
            <color indexed="81"/>
            <rFont val="Tahoma"/>
            <family val="2"/>
          </rPr>
          <t xml:space="preserve">Dairy Australia's "Heifers on Target' booklet published in 2013 suggests that heifers cost between $1300 and $1500 (exc labour) to rear a heifer to 24 months of age.  
We've assumed half this cost is incurred between 0 and 1 year of age and the other half is incurred between 1 and 2 years of age.    </t>
        </r>
      </text>
    </comment>
    <comment ref="B21" authorId="0" shapeId="0" xr:uid="{00000000-0006-0000-1300-000004000000}">
      <text>
        <r>
          <rPr>
            <sz val="11"/>
            <color indexed="81"/>
            <rFont val="Tahoma"/>
            <family val="2"/>
          </rPr>
          <t xml:space="preserve">Enter you average milk price over the whole year based on $ per litre. </t>
        </r>
        <r>
          <rPr>
            <sz val="8"/>
            <color indexed="81"/>
            <rFont val="Tahoma"/>
            <family val="2"/>
          </rPr>
          <t xml:space="preserve">
</t>
        </r>
      </text>
    </comment>
    <comment ref="B23" authorId="0" shapeId="0" xr:uid="{00000000-0006-0000-1300-000005000000}">
      <text>
        <r>
          <rPr>
            <sz val="11"/>
            <color indexed="81"/>
            <rFont val="Tahoma"/>
            <family val="2"/>
          </rPr>
          <t xml:space="preserve">Enter the farm price received from the CFI for a tonne of CO2-e.  </t>
        </r>
        <r>
          <rPr>
            <sz val="8"/>
            <color indexed="81"/>
            <rFont val="Tahoma"/>
            <family val="2"/>
          </rPr>
          <t xml:space="preserve">
</t>
        </r>
      </text>
    </comment>
    <comment ref="B29" authorId="2" shapeId="0" xr:uid="{00000000-0006-0000-1300-000006000000}">
      <text>
        <r>
          <rPr>
            <sz val="11"/>
            <color indexed="81"/>
            <rFont val="Tahoma"/>
            <family val="2"/>
          </rPr>
          <t xml:space="preserve">Negative number indicates that enteric methane emissions have increased </t>
        </r>
      </text>
    </comment>
    <comment ref="B30" authorId="1" shapeId="0" xr:uid="{00000000-0006-0000-1300-000007000000}">
      <text>
        <r>
          <rPr>
            <sz val="11"/>
            <color indexed="81"/>
            <rFont val="Tahoma"/>
            <family val="2"/>
          </rPr>
          <t>Negative numbers indicate waste methane has increased</t>
        </r>
        <r>
          <rPr>
            <sz val="9"/>
            <color indexed="81"/>
            <rFont val="Tahoma"/>
            <family val="2"/>
          </rPr>
          <t xml:space="preserve">
</t>
        </r>
      </text>
    </comment>
    <comment ref="B31" authorId="1" shapeId="0" xr:uid="{00000000-0006-0000-1300-000008000000}">
      <text>
        <r>
          <rPr>
            <sz val="11"/>
            <color indexed="81"/>
            <rFont val="Tahoma"/>
            <family val="2"/>
          </rPr>
          <t>Negative numbers indicate waste nitrous oxide emissions have  increased</t>
        </r>
        <r>
          <rPr>
            <sz val="9"/>
            <color indexed="81"/>
            <rFont val="Tahoma"/>
            <family val="2"/>
          </rPr>
          <t xml:space="preserve">
</t>
        </r>
      </text>
    </comment>
    <comment ref="B32" authorId="1" shapeId="0" xr:uid="{00000000-0006-0000-1300-000009000000}">
      <text>
        <r>
          <rPr>
            <sz val="11"/>
            <color indexed="81"/>
            <rFont val="Tahoma"/>
            <family val="2"/>
          </rPr>
          <t xml:space="preserve">Negative numbers indicate N fertiliser nitrous oxide emissions have  increased
</t>
        </r>
      </text>
    </comment>
    <comment ref="B33" authorId="1" shapeId="0" xr:uid="{00000000-0006-0000-1300-00000A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4" authorId="1" shapeId="0" xr:uid="{00000000-0006-0000-1300-00000B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35" authorId="1" shapeId="0" xr:uid="{00000000-0006-0000-1300-00000C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36" authorId="1" shapeId="0" xr:uid="{00000000-0006-0000-1300-00000D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37" authorId="1" shapeId="0" xr:uid="{00000000-0006-0000-1300-00000E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38" authorId="1" shapeId="0" xr:uid="{00000000-0006-0000-1300-00000F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39" authorId="1" shapeId="0" xr:uid="{00000000-0006-0000-1300-000010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40" authorId="1" shapeId="0" xr:uid="{00000000-0006-0000-1300-000011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41" authorId="1" shapeId="0" xr:uid="{00000000-0006-0000-1300-000012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42" authorId="1" shapeId="0" xr:uid="{00000000-0006-0000-1300-000013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53" authorId="0" shapeId="0" xr:uid="{00000000-0006-0000-1300-000014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54" authorId="0" shapeId="0" xr:uid="{00000000-0006-0000-1300-000015000000}">
      <text>
        <r>
          <rPr>
            <sz val="8"/>
            <color indexed="81"/>
            <rFont val="Tahoma"/>
            <family val="2"/>
          </rPr>
          <t xml:space="preserve">This is the percentage change in amount of energy that goes to methane. For example if % GE intake as methane in 7% and you enter a percentage change of 10% then the new %GE intake is 6.3%. This is calculated as 7 * (100-10)% = 6.3%
  </t>
        </r>
      </text>
    </comment>
    <comment ref="B56" authorId="0" shapeId="0" xr:uid="{00000000-0006-0000-1300-000016000000}">
      <text>
        <r>
          <rPr>
            <sz val="8"/>
            <color indexed="81"/>
            <rFont val="Tahoma"/>
            <family val="2"/>
          </rPr>
          <t xml:space="preserve">Enter you average milk price for season in $ per litre. 
</t>
        </r>
      </text>
    </comment>
    <comment ref="B57" authorId="0" shapeId="0" xr:uid="{00000000-0006-0000-1300-000017000000}">
      <text>
        <r>
          <rPr>
            <sz val="8"/>
            <color indexed="81"/>
            <rFont val="Tahoma"/>
            <family val="2"/>
          </rPr>
          <t xml:space="preserve">Enter the farm price received from the CFI for a tonne of CO2-e.  (Provide some more detail here)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Karen Christie</author>
    <author>rrawnsle</author>
    <author>karenc1</author>
  </authors>
  <commentList>
    <comment ref="B24" authorId="0" shapeId="0" xr:uid="{00000000-0006-0000-1400-000001000000}">
      <text>
        <r>
          <rPr>
            <sz val="8"/>
            <color indexed="81"/>
            <rFont val="Tahoma"/>
            <family val="2"/>
          </rPr>
          <t xml:space="preserve">Balance assumed to be spread daily from a sump at the dairy and therefore not end up in the lagoon
</t>
        </r>
      </text>
    </comment>
    <comment ref="B26" authorId="0" shapeId="0" xr:uid="{00000000-0006-0000-1400-000002000000}">
      <text>
        <r>
          <rPr>
            <sz val="8"/>
            <color indexed="81"/>
            <rFont val="Tahoma"/>
            <family val="2"/>
          </rPr>
          <t>Is some of the manure separated before entering the lagoon?  For example, mechanical screw.  See the CFI meth for more details</t>
        </r>
      </text>
    </comment>
    <comment ref="B28" authorId="0" shapeId="0" xr:uid="{00000000-0006-0000-1400-000003000000}">
      <text>
        <r>
          <rPr>
            <sz val="8"/>
            <color indexed="81"/>
            <rFont val="Tahoma"/>
            <family val="2"/>
          </rPr>
          <t xml:space="preserve">See the CFI methodology document for more information
</t>
        </r>
      </text>
    </comment>
    <comment ref="B30" authorId="1" shapeId="0" xr:uid="{00000000-0006-0000-1400-000004000000}">
      <text>
        <r>
          <rPr>
            <sz val="8"/>
            <color indexed="81"/>
            <rFont val="Tahoma"/>
            <family val="2"/>
          </rPr>
          <t xml:space="preserve">Enter the cost implementing the strategy on a per annum basis.  For example, covering a lagoon to capture methane has a major upfront cost which is needs to be divided over the number of years that the covering is effective.  
</t>
        </r>
      </text>
    </comment>
    <comment ref="B34" authorId="1" shapeId="0" xr:uid="{00000000-0006-0000-1400-000005000000}">
      <text>
        <r>
          <rPr>
            <sz val="8"/>
            <color indexed="81"/>
            <rFont val="Tahoma"/>
            <family val="2"/>
          </rPr>
          <t xml:space="preserve">Enter you average milk price for season in $ per litre. 
</t>
        </r>
      </text>
    </comment>
    <comment ref="B36" authorId="1" shapeId="0" xr:uid="{00000000-0006-0000-1400-000006000000}">
      <text>
        <r>
          <rPr>
            <sz val="8"/>
            <color indexed="81"/>
            <rFont val="Tahoma"/>
            <family val="2"/>
          </rPr>
          <t xml:space="preserve">Enter the farm price received from the CFI for a tonne of CO2-e.  </t>
        </r>
      </text>
    </comment>
    <comment ref="B41" authorId="2" shapeId="0" xr:uid="{00000000-0006-0000-1400-000007000000}">
      <text>
        <r>
          <rPr>
            <b/>
            <sz val="8"/>
            <color indexed="81"/>
            <rFont val="Tahoma"/>
            <family val="2"/>
          </rPr>
          <t>karenc1:</t>
        </r>
        <r>
          <rPr>
            <sz val="8"/>
            <color indexed="81"/>
            <rFont val="Tahoma"/>
            <family val="2"/>
          </rPr>
          <t xml:space="preserve">
Negative number indicates that enteric methane emissions have increased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9" authorId="0" shapeId="0" xr:uid="{00000000-0006-0000-03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9" authorId="0" shapeId="0" xr:uid="{00000000-0006-0000-0300-000002000000}">
      <text>
        <r>
          <rPr>
            <sz val="11"/>
            <color indexed="81"/>
            <rFont val="Tahoma"/>
            <family val="2"/>
          </rPr>
          <t>This is the unique supplier number that farmers have with their milk company.</t>
        </r>
        <r>
          <rPr>
            <sz val="9"/>
            <color indexed="81"/>
            <rFont val="Tahoma"/>
            <family val="2"/>
          </rPr>
          <t xml:space="preserve">
</t>
        </r>
      </text>
    </comment>
    <comment ref="G11" authorId="0" shapeId="0" xr:uid="{00000000-0006-0000-0300-000003000000}">
      <text>
        <r>
          <rPr>
            <sz val="11"/>
            <color indexed="81"/>
            <rFont val="Tahoma"/>
            <family val="2"/>
          </rPr>
          <t xml:space="preserve">Enter the financial year that this GHG assessment is for using the format 2012/13.  </t>
        </r>
      </text>
    </comment>
    <comment ref="C13" authorId="0" shapeId="0" xr:uid="{00000000-0006-0000-0300-000004000000}">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3" authorId="0" shapeId="0" xr:uid="{00000000-0006-0000-0300-000005000000}">
      <text>
        <r>
          <rPr>
            <sz val="11"/>
            <color indexed="81"/>
            <rFont val="Tahoma"/>
            <family val="2"/>
          </rPr>
          <t xml:space="preserve">If you click on the white cell to the right of this heading, a drop down arrow should appear along with a list of the regions specific to your state.  There are three regions for Victoria, three for New South Wales and only one for each other state.  The user needs to select which region the farm is located.  If the user has selected one of the states of Australia other than Victoria and New South Wales, the region is a repeat of the state and the user needs to again select their region (state).    </t>
        </r>
        <r>
          <rPr>
            <sz val="9"/>
            <color indexed="81"/>
            <rFont val="Tahoma"/>
            <family val="2"/>
          </rPr>
          <t xml:space="preserve">
</t>
        </r>
      </text>
    </comment>
    <comment ref="D15" authorId="0" shapeId="0" xr:uid="{00000000-0006-0000-0300-000006000000}">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5" authorId="0" shapeId="0" xr:uid="{00000000-0006-0000-0300-000007000000}">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5" authorId="0" shapeId="0" xr:uid="{00000000-0006-0000-0300-000008000000}">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5" authorId="0" shapeId="0" xr:uid="{00000000-0006-0000-0300-000009000000}">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5" authorId="0" shapeId="0" xr:uid="{00000000-0006-0000-0300-00000A000000}">
      <text>
        <r>
          <rPr>
            <sz val="11"/>
            <color indexed="81"/>
            <rFont val="Tahoma"/>
            <family val="2"/>
          </rPr>
          <t>Bulls that are still growing and so can be older than 1 yr of age.  Use the age mid-point for liveweight.  Liveweight gain will also be similar to the heifers, depending on how quickly they are grown out to maturity.</t>
        </r>
        <r>
          <rPr>
            <sz val="8"/>
            <color indexed="81"/>
            <rFont val="Tahoma"/>
            <family val="2"/>
          </rPr>
          <t xml:space="preserve">
</t>
        </r>
      </text>
    </comment>
    <comment ref="B16" authorId="1" shapeId="0" xr:uid="{00000000-0006-0000-0300-00000B000000}">
      <text>
        <r>
          <rPr>
            <sz val="12"/>
            <color indexed="81"/>
            <rFont val="Tahoma"/>
            <family val="2"/>
          </rPr>
          <t>Insert the number of animals in each category.</t>
        </r>
      </text>
    </comment>
    <comment ref="B18" authorId="1" shapeId="0" xr:uid="{00000000-0006-0000-0300-00000C000000}">
      <text>
        <r>
          <rPr>
            <sz val="11"/>
            <color indexed="81"/>
            <rFont val="Tahoma"/>
            <family val="2"/>
          </rPr>
          <t>Specify the average liveweight of your herd for each category.</t>
        </r>
      </text>
    </comment>
    <comment ref="E18" authorId="0" shapeId="0" xr:uid="{00000000-0006-0000-0300-00000D000000}">
      <text>
        <r>
          <rPr>
            <sz val="12"/>
            <color indexed="81"/>
            <rFont val="Tahoma"/>
            <family val="2"/>
          </rPr>
          <t>This is the live weight at the mid point of their age group, so for Heifers &gt; 1, this would be at 18 months of age for heifers calving at 2 yrs of age.  If accurate figures are not available, we suggest using 70% of the milking cow liveweight.  For example, if the milkers weigh 600kg, the heifers would weigh 420kg.</t>
        </r>
        <r>
          <rPr>
            <sz val="8"/>
            <color indexed="81"/>
            <rFont val="Tahoma"/>
            <family val="2"/>
          </rPr>
          <t xml:space="preserve">
</t>
        </r>
      </text>
    </comment>
    <comment ref="F18" authorId="0" shapeId="0" xr:uid="{00000000-0006-0000-0300-00000E000000}">
      <text>
        <r>
          <rPr>
            <sz val="11"/>
            <color indexed="81"/>
            <rFont val="Tahoma"/>
            <family val="2"/>
          </rPr>
          <t>This is the live weight at the mid point of their age group, so for Heifers &lt; 1, this would be at 6 months of age for heifers calving at 2 yrs of age.  If accurate figures are not available, we suggest using 30% of the milking cow liveweight. For example, if the milkers weigh 600kg, the heifers would weigh 180kg.</t>
        </r>
      </text>
    </comment>
    <comment ref="B20" authorId="1" shapeId="0" xr:uid="{00000000-0006-0000-0300-00000F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0" authorId="0" shapeId="0" xr:uid="{00000000-0006-0000-0300-000010000000}">
      <text>
        <r>
          <rPr>
            <sz val="12"/>
            <color indexed="81"/>
            <rFont val="Tahoma"/>
            <family val="2"/>
          </rPr>
          <t>While milking cows lose weight in early lactation, this weight is regained during late lactation and during the non-lactating phase.  Therefore over a 12 month period there is generally no change in live weight and therefore no live weight gain</t>
        </r>
        <r>
          <rPr>
            <sz val="8"/>
            <color indexed="81"/>
            <rFont val="Tahoma"/>
            <family val="2"/>
          </rPr>
          <t xml:space="preserve">
</t>
        </r>
      </text>
    </comment>
    <comment ref="E20" authorId="0" shapeId="0" xr:uid="{00000000-0006-0000-0300-000011000000}">
      <text>
        <r>
          <rPr>
            <sz val="12"/>
            <color indexed="81"/>
            <rFont val="Tahoma"/>
            <family val="2"/>
          </rPr>
          <t xml:space="preserve">Typical live weight gain is between 0.6 and 0.75 kg per day depending on the breed, with Jerseys at the lower end and large-framed Holstein Friesians (&gt;600 kg) at the upper range
</t>
        </r>
      </text>
    </comment>
    <comment ref="F20" authorId="0" shapeId="0" xr:uid="{00000000-0006-0000-0300-000012000000}">
      <text>
        <r>
          <rPr>
            <sz val="12"/>
            <color indexed="81"/>
            <rFont val="Tahoma"/>
            <family val="2"/>
          </rPr>
          <t>Typical live weight gain is between 0.6 and 0.75 kg per day depending on the breed, with Jerseys at the lower end and large-framed Holstein Friesians (&gt;600 kg) at the upper range</t>
        </r>
        <r>
          <rPr>
            <sz val="8"/>
            <color indexed="81"/>
            <rFont val="Tahoma"/>
            <family val="2"/>
          </rPr>
          <t xml:space="preserve">
</t>
        </r>
      </text>
    </comment>
    <comment ref="B22" authorId="2" shapeId="0" xr:uid="{00000000-0006-0000-0300-000013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27" authorId="0" shapeId="0" xr:uid="{00000000-0006-0000-0300-000014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connrected milk, and threfore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28" authorId="0" shapeId="0" xr:uid="{00000000-0006-0000-0300-000015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0" authorId="0" shapeId="0" xr:uid="{00000000-0006-0000-0300-000016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37" authorId="3" shapeId="0" xr:uid="{00000000-0006-0000-0300-000017000000}">
      <text>
        <r>
          <rPr>
            <sz val="11"/>
            <color indexed="81"/>
            <rFont val="Tahoma"/>
            <family val="2"/>
          </rPr>
          <t>Enter the DMD in the feed eaten, not on offer.  Suggest the NGGI default of 75% in the absence of known figures.</t>
        </r>
      </text>
    </comment>
    <comment ref="B38" authorId="2" shapeId="0" xr:uid="{00000000-0006-0000-0300-000018000000}">
      <text>
        <r>
          <rPr>
            <sz val="11"/>
            <color indexed="81"/>
            <rFont val="Tahoma"/>
            <family val="2"/>
          </rPr>
          <t>Enter the CP in the feed eaten, not on offer.  Suggest the NGGI default of 20% in the absence of known figures.</t>
        </r>
      </text>
    </comment>
    <comment ref="C41" authorId="0" shapeId="0" xr:uid="{00000000-0006-0000-0300-000019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43" authorId="0" shapeId="0" xr:uid="{00000000-0006-0000-0300-00001A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43" authorId="0" shapeId="0" xr:uid="{00000000-0006-0000-0300-00001B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44" authorId="1" shapeId="0" xr:uid="{00000000-0006-0000-0300-00001C000000}">
      <text>
        <r>
          <rPr>
            <sz val="11"/>
            <color indexed="81"/>
            <rFont val="Tahoma"/>
            <family val="2"/>
          </rPr>
          <t xml:space="preserve">Total area of pastures that received N fertiliser.  This inclused runoff/ outblocks and also leased land as this is still part of the farm business.
</t>
        </r>
      </text>
    </comment>
    <comment ref="B45" authorId="1" shapeId="0" xr:uid="{00000000-0006-0000-0300-00001D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48" authorId="2" shapeId="0" xr:uid="{00000000-0006-0000-0300-00001E000000}">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49" authorId="2" shapeId="0" xr:uid="{00000000-0006-0000-0300-00001F000000}">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52" authorId="1" shapeId="0" xr:uid="{00000000-0006-0000-0300-000020000000}">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52" authorId="0" shapeId="0" xr:uid="{00000000-0006-0000-0300-000021000000}">
      <text>
        <r>
          <rPr>
            <sz val="11"/>
            <color indexed="81"/>
            <rFont val="Tahoma"/>
            <family val="2"/>
          </rPr>
          <t>If unsure, select Brown coal from Victoria (highest emissions factor).</t>
        </r>
        <r>
          <rPr>
            <sz val="9"/>
            <color indexed="81"/>
            <rFont val="Tahoma"/>
            <family val="2"/>
          </rPr>
          <t xml:space="preserve">
</t>
        </r>
      </text>
    </comment>
    <comment ref="B53" authorId="1" shapeId="0" xr:uid="{00000000-0006-0000-0300-000022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54" authorId="0" shapeId="0" xr:uid="{00000000-0006-0000-0300-000023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fule needs to be considered as part of the farm business and included where applicable.</t>
        </r>
        <r>
          <rPr>
            <sz val="9"/>
            <color indexed="81"/>
            <rFont val="Tahoma"/>
            <family val="2"/>
          </rPr>
          <t xml:space="preserve">
</t>
        </r>
      </text>
    </comment>
    <comment ref="B61" authorId="0" shapeId="0" xr:uid="{00000000-0006-0000-0300-000024000000}">
      <text>
        <r>
          <rPr>
            <sz val="11"/>
            <color indexed="81"/>
            <rFont val="Tahoma"/>
            <family val="2"/>
          </rPr>
          <t xml:space="preserve">Users have two options available to estimate the amount of carbon sequestered in tree plantations.
1. Use another calculator/tool specifically designed to estimate carbon sequestration (e.g. CFI- aligned Reforestation tool ).  If this option is selected, the used needs to select the "Based on other calculators/ tool specifically designed  to estimate" option and enter the amount of carbon sequestered per hectare per annum from these other tools in the box below.  If this option is selected, the user still needs to enter the number of hectares under plantation. An example of a tool is the CFI- aligned Reforestation tool located at: http://ncat.climatechange.gov.au/cfirefor/ 
2. Use DGAS to work out an estimate based on selecting the "Based on data entered here" option.  Users then need to enter the area of trees planted, selecting the type of trees planted and selecting the average annual rainfall.  This will be a simplified estimation but can give some indication of how much carbon is stored in tree plantings each year (averaged over 30 years).
</t>
        </r>
      </text>
    </comment>
    <comment ref="B64" authorId="0" shapeId="0" xr:uid="{00000000-0006-0000-0300-000025000000}">
      <text>
        <r>
          <rPr>
            <sz val="11"/>
            <color indexed="81"/>
            <rFont val="Tahoma"/>
            <family val="2"/>
          </rPr>
          <t xml:space="preserve">If you have estimated the amount of carbon sequestered into trees via some other calculator or tool, enter the amount here (t CO2 sequestered per ha of trees).  You must also enter how many hectares of trees there are.  Otherwise if you are using the simplified version in DGAS, leave this cell blank.
</t>
        </r>
      </text>
    </comment>
    <comment ref="F64" authorId="1" shapeId="0" xr:uid="{00000000-0006-0000-0300-000026000000}">
      <text>
        <r>
          <rPr>
            <sz val="11"/>
            <color indexed="81"/>
            <rFont val="Tahoma"/>
            <family val="2"/>
          </rPr>
          <t>This allows for the evaluation of the carbon sequestration impact if planting trees on the farm. If you don't want this comparison, then set the area to zero.</t>
        </r>
      </text>
    </comment>
    <comment ref="B66" authorId="2" shapeId="0" xr:uid="{00000000-0006-0000-0300-000027000000}">
      <text>
        <r>
          <rPr>
            <sz val="11"/>
            <color indexed="81"/>
            <rFont val="Tahoma"/>
            <family val="2"/>
          </rPr>
          <t xml:space="preserve"> If they are not listed then choose the closest species, or just the general heading.</t>
        </r>
      </text>
    </comment>
    <comment ref="F66" authorId="2" shapeId="0" xr:uid="{00000000-0006-0000-0300-000028000000}">
      <text>
        <r>
          <rPr>
            <sz val="11"/>
            <color indexed="81"/>
            <rFont val="Tahoma"/>
            <family val="2"/>
          </rPr>
          <t>Rainfall is just a general guide for the rate of tree growth.</t>
        </r>
      </text>
    </comment>
    <comment ref="C69" authorId="0" shapeId="0" xr:uid="{00000000-0006-0000-0300-000029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69" authorId="0" shapeId="0" xr:uid="{00000000-0006-0000-0300-00002A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80" authorId="0" shapeId="0" xr:uid="{00000000-0006-0000-0300-00002B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mixedration farm where they are retained on concrete during their dry period also, it will be 365 days per annum.</t>
        </r>
        <r>
          <rPr>
            <sz val="9"/>
            <color indexed="81"/>
            <rFont val="Tahoma"/>
            <family val="2"/>
          </rPr>
          <t xml:space="preserve">
</t>
        </r>
      </text>
    </comment>
    <comment ref="B82" authorId="0" shapeId="0" xr:uid="{00000000-0006-0000-0300-00002C000000}">
      <text>
        <r>
          <rPr>
            <sz val="11"/>
            <color indexed="81"/>
            <rFont val="Tahoma"/>
            <family val="2"/>
          </rPr>
          <t xml:space="preserve">This question is not asking how frequently you spread waste from a pond/lagoon system.  It is making the distinction between if the waste from the daily is spread daily through either an irrigation system or slurry cart or if it is flushed with additional water and goes into a pond/ lagoon system.     </t>
        </r>
        <r>
          <rPr>
            <sz val="9"/>
            <color indexed="81"/>
            <rFont val="Tahoma"/>
            <family val="2"/>
          </rPr>
          <t xml:space="preserve">
</t>
        </r>
      </text>
    </comment>
    <comment ref="B86" authorId="0" shapeId="0" xr:uid="{00000000-0006-0000-0300-00002D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90" authorId="0" shapeId="0" xr:uid="{00000000-0006-0000-0300-00002E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90" authorId="0" shapeId="0" xr:uid="{00000000-0006-0000-0300-00002F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93" authorId="0" shapeId="0" xr:uid="{00000000-0006-0000-0300-000030000000}">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t>
        </r>
      </text>
    </comment>
    <comment ref="B95" authorId="0" shapeId="0" xr:uid="{00000000-0006-0000-0300-000031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95" authorId="0" shapeId="0" xr:uid="{00000000-0006-0000-0300-000032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0" authorId="0" shapeId="0" xr:uid="{00000000-0006-0000-0300-000033000000}">
      <text>
        <r>
          <rPr>
            <sz val="11"/>
            <color indexed="81"/>
            <rFont val="Tahoma"/>
            <family val="2"/>
          </rPr>
          <t xml:space="preserve">These are the emissions pre-farm gate from the production and/or manufacturing of feeds and fertilisers.
</t>
        </r>
      </text>
    </comment>
    <comment ref="B355" authorId="2" shapeId="0" xr:uid="{00000000-0006-0000-0300-000034000000}">
      <text>
        <r>
          <rPr>
            <sz val="8"/>
            <color indexed="81"/>
            <rFont val="Tahoma"/>
            <family val="2"/>
          </rPr>
          <t>E = total emissions of nitrous oxide from the different manure management systems (except for pasture range and paddock)</t>
        </r>
      </text>
    </comment>
    <comment ref="B357" authorId="2" shapeId="0" xr:uid="{00000000-0006-0000-0300-000035000000}">
      <text>
        <r>
          <rPr>
            <sz val="8"/>
            <color indexed="81"/>
            <rFont val="Tahoma"/>
            <family val="2"/>
          </rPr>
          <t>Except for pasture range and paddock</t>
        </r>
      </text>
    </comment>
    <comment ref="L457" authorId="2" shapeId="0" xr:uid="{00000000-0006-0000-0300-000036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 ref="H546" authorId="2" shapeId="0" xr:uid="{00000000-0006-0000-0300-000037000000}">
      <text>
        <r>
          <rPr>
            <sz val="8"/>
            <color indexed="81"/>
            <rFont val="Tahoma"/>
            <family val="2"/>
          </rPr>
          <t>0.085 Gg SO2/PJ</t>
        </r>
      </text>
    </comment>
    <comment ref="B563" authorId="1" shapeId="0" xr:uid="{00000000-0006-0000-0300-000038000000}">
      <text>
        <r>
          <rPr>
            <sz val="8"/>
            <color indexed="81"/>
            <rFont val="Tahoma"/>
            <family val="2"/>
          </rPr>
          <t>SO2 Emission factor = 0.37 Gg SO2/PJ</t>
        </r>
      </text>
    </comment>
    <comment ref="C563" authorId="1" shapeId="0" xr:uid="{00000000-0006-0000-0300-000039000000}">
      <text>
        <r>
          <rPr>
            <sz val="8"/>
            <color indexed="81"/>
            <rFont val="Tahoma"/>
            <family val="2"/>
          </rPr>
          <t>30% would be average</t>
        </r>
      </text>
    </comment>
    <comment ref="D563" authorId="1" shapeId="0" xr:uid="{00000000-0006-0000-0300-00003A000000}">
      <text>
        <r>
          <rPr>
            <sz val="8"/>
            <color indexed="81"/>
            <rFont val="Tahoma"/>
            <family val="2"/>
          </rPr>
          <t>1000 average</t>
        </r>
      </text>
    </comment>
    <comment ref="B564" authorId="1" shapeId="0" xr:uid="{00000000-0006-0000-0300-00003B000000}">
      <text>
        <r>
          <rPr>
            <sz val="8"/>
            <color indexed="81"/>
            <rFont val="Tahoma"/>
            <family val="2"/>
          </rPr>
          <t>SO2 Emission factor = 0.15 Gg SO2/PJ</t>
        </r>
      </text>
    </comment>
    <comment ref="C564" authorId="1" shapeId="0" xr:uid="{00000000-0006-0000-0300-00003C000000}">
      <text>
        <r>
          <rPr>
            <sz val="8"/>
            <color indexed="81"/>
            <rFont val="Tahoma"/>
            <family val="2"/>
          </rPr>
          <t>25% average</t>
        </r>
      </text>
    </comment>
    <comment ref="D564" authorId="1" shapeId="0" xr:uid="{00000000-0006-0000-0300-00003D000000}">
      <text>
        <r>
          <rPr>
            <sz val="8"/>
            <color indexed="81"/>
            <rFont val="Tahoma"/>
            <family val="2"/>
          </rPr>
          <t>1400 average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rrawnsle</author>
  </authors>
  <commentList>
    <comment ref="C11" authorId="0" shapeId="0" xr:uid="{00000000-0006-0000-09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1" authorId="0" shapeId="0" xr:uid="{00000000-0006-0000-0900-000002000000}">
      <text>
        <r>
          <rPr>
            <sz val="11"/>
            <color indexed="81"/>
            <rFont val="Tahoma"/>
            <family val="2"/>
          </rPr>
          <t>This is the unique supplier number that farmers have with their milk company.</t>
        </r>
        <r>
          <rPr>
            <sz val="9"/>
            <color indexed="81"/>
            <rFont val="Tahoma"/>
            <family val="2"/>
          </rPr>
          <t xml:space="preserve">
</t>
        </r>
      </text>
    </comment>
    <comment ref="G13" authorId="0" shapeId="0" xr:uid="{00000000-0006-0000-0900-000003000000}">
      <text>
        <r>
          <rPr>
            <sz val="11"/>
            <color indexed="81"/>
            <rFont val="Tahoma"/>
            <family val="2"/>
          </rPr>
          <t xml:space="preserve">Enter the financial year that this GHG assessment is for using the format 2012/13.  </t>
        </r>
      </text>
    </comment>
    <comment ref="C15" authorId="0" shapeId="0" xr:uid="{00000000-0006-0000-0900-000004000000}">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5" authorId="0" shapeId="0" xr:uid="{00000000-0006-0000-0900-000005000000}">
      <text>
        <r>
          <rPr>
            <sz val="11"/>
            <color indexed="81"/>
            <rFont val="Tahoma"/>
            <family val="2"/>
          </rPr>
          <t xml:space="preserve">If you click on the white cell to the right of this heading, a drop down arrow should appear along with a list of the regions specific to your state.  There are three regions for Victoria, three for New South Wales and only one for each other state.  The user needs to select which region the farm is located.  If the user has selected one of the states of Australia other than Victoria and New South Wales, the region is a repeat of the state and the user needs to again select their region (state).    </t>
        </r>
        <r>
          <rPr>
            <sz val="9"/>
            <color indexed="81"/>
            <rFont val="Tahoma"/>
            <family val="2"/>
          </rPr>
          <t xml:space="preserve">
</t>
        </r>
      </text>
    </comment>
    <comment ref="D17" authorId="0" shapeId="0" xr:uid="{00000000-0006-0000-0900-000006000000}">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7" authorId="0" shapeId="0" xr:uid="{00000000-0006-0000-0900-000007000000}">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7" authorId="0" shapeId="0" xr:uid="{00000000-0006-0000-0900-000008000000}">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7" authorId="0" shapeId="0" xr:uid="{00000000-0006-0000-0900-000009000000}">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7" authorId="0" shapeId="0" xr:uid="{00000000-0006-0000-0900-00000A000000}">
      <text>
        <r>
          <rPr>
            <sz val="11"/>
            <color indexed="81"/>
            <rFont val="Tahoma"/>
            <family val="2"/>
          </rPr>
          <t>Bulls that are still growing and so can be older than 1 yr of age.  Use the age mid-point for liveweight.  Liveweight gain will also be similar to the heifers, depending on how quickly they are grown out to maturity.</t>
        </r>
        <r>
          <rPr>
            <sz val="8"/>
            <color indexed="81"/>
            <rFont val="Tahoma"/>
            <family val="2"/>
          </rPr>
          <t xml:space="preserve">
</t>
        </r>
      </text>
    </comment>
    <comment ref="B18" authorId="1" shapeId="0" xr:uid="{00000000-0006-0000-0900-00000B000000}">
      <text>
        <r>
          <rPr>
            <sz val="12"/>
            <color indexed="81"/>
            <rFont val="Tahoma"/>
            <family val="2"/>
          </rPr>
          <t>Insert the number of animals in each category.</t>
        </r>
      </text>
    </comment>
    <comment ref="B20" authorId="1" shapeId="0" xr:uid="{00000000-0006-0000-0900-00000C000000}">
      <text>
        <r>
          <rPr>
            <sz val="11"/>
            <color indexed="81"/>
            <rFont val="Tahoma"/>
            <family val="2"/>
          </rPr>
          <t>Specify the average liveweight of your herd for each category.</t>
        </r>
      </text>
    </comment>
    <comment ref="B22" authorId="1" shapeId="0" xr:uid="{00000000-0006-0000-0900-00000D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2" authorId="0" shapeId="0" xr:uid="{00000000-0006-0000-0900-00000E000000}">
      <text>
        <r>
          <rPr>
            <sz val="11"/>
            <color indexed="81"/>
            <rFont val="Tahoma"/>
            <family val="2"/>
          </rPr>
          <t>While milking cows lose weight in early lactation, this weight is regained during late lactation and during the non-lactating phase.  Therefore over a 12 month period there is generally no change in liveweight and therefore no liveweight gain.</t>
        </r>
        <r>
          <rPr>
            <sz val="8"/>
            <color indexed="81"/>
            <rFont val="Tahoma"/>
            <family val="2"/>
          </rPr>
          <t xml:space="preserve">
</t>
        </r>
      </text>
    </comment>
    <comment ref="B24" authorId="2" shapeId="0" xr:uid="{00000000-0006-0000-0900-00000F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29" authorId="0" shapeId="0" xr:uid="{00000000-0006-0000-0900-000010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connrected milk, and threfore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30" authorId="0" shapeId="0" xr:uid="{00000000-0006-0000-0900-000011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2" authorId="0" shapeId="0" xr:uid="{00000000-0006-0000-0900-000012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39" authorId="3" shapeId="0" xr:uid="{00000000-0006-0000-0900-000013000000}">
      <text>
        <r>
          <rPr>
            <sz val="11"/>
            <color indexed="81"/>
            <rFont val="Tahoma"/>
            <family val="2"/>
          </rPr>
          <t>Enter the DMD in the feed eaten, not on offer.  Suggest the NGGI default of 75% in the absence of known figures.</t>
        </r>
      </text>
    </comment>
    <comment ref="B40" authorId="2" shapeId="0" xr:uid="{00000000-0006-0000-0900-000014000000}">
      <text>
        <r>
          <rPr>
            <sz val="11"/>
            <color indexed="81"/>
            <rFont val="Tahoma"/>
            <family val="2"/>
          </rPr>
          <t>Enter the CP in the feed eaten, not on offer.  Suggest the NGGI default of 20% in the absence of known figures.</t>
        </r>
      </text>
    </comment>
    <comment ref="C43" authorId="0" shapeId="0" xr:uid="{00000000-0006-0000-0900-000015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G45" authorId="0" shapeId="0" xr:uid="{00000000-0006-0000-0900-000016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46" authorId="1" shapeId="0" xr:uid="{00000000-0006-0000-0900-000017000000}">
      <text>
        <r>
          <rPr>
            <sz val="11"/>
            <color indexed="81"/>
            <rFont val="Tahoma"/>
            <family val="2"/>
          </rPr>
          <t xml:space="preserve">Total area of pastures that received N fertiliser.  This inclused runoff/ outblocks and also leased land as this is still part of the farm business.
</t>
        </r>
      </text>
    </comment>
    <comment ref="B47" authorId="1" shapeId="0" xr:uid="{00000000-0006-0000-0900-000018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50" authorId="2" shapeId="0" xr:uid="{00000000-0006-0000-0900-000019000000}">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1" authorId="2" shapeId="0" xr:uid="{00000000-0006-0000-0900-00001A000000}">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54" authorId="1" shapeId="0" xr:uid="{00000000-0006-0000-0900-00001B000000}">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54" authorId="0" shapeId="0" xr:uid="{00000000-0006-0000-0900-00001C000000}">
      <text>
        <r>
          <rPr>
            <sz val="11"/>
            <color indexed="81"/>
            <rFont val="Tahoma"/>
            <family val="2"/>
          </rPr>
          <t>If unsure, select Brown coal from Victoria (highest emissions factor).</t>
        </r>
        <r>
          <rPr>
            <sz val="9"/>
            <color indexed="81"/>
            <rFont val="Tahoma"/>
            <family val="2"/>
          </rPr>
          <t xml:space="preserve">
</t>
        </r>
      </text>
    </comment>
    <comment ref="B55" authorId="1" shapeId="0" xr:uid="{00000000-0006-0000-0900-00001D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56" authorId="0" shapeId="0" xr:uid="{00000000-0006-0000-0900-00001E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fule needs to be considered as part of the farm business and included where applicable.</t>
        </r>
        <r>
          <rPr>
            <sz val="9"/>
            <color indexed="81"/>
            <rFont val="Tahoma"/>
            <family val="2"/>
          </rPr>
          <t xml:space="preserve">
</t>
        </r>
      </text>
    </comment>
    <comment ref="B63" authorId="0" shapeId="0" xr:uid="{00000000-0006-0000-0900-00001F000000}">
      <text>
        <r>
          <rPr>
            <sz val="11"/>
            <color indexed="81"/>
            <rFont val="Tahoma"/>
            <family val="2"/>
          </rPr>
          <t xml:space="preserve">Users have two options available to estimate the amount of carbon sequestered in tree plantations.
1. Use another calculator/tool specifically designed to estimate carbon sequestration (e.g. CFI- aligned Reforestation tool ).  If this option is selected, the used needs to select the "Based on other calculators/ tool specifically designed  to estimate" option and enter the amount of carbon sequestered per hectare per annum from these other tools in the box below.  If this option is selected, the user still needs to enter the number of hectares under plantation. An example of a tool is the CFI- aligned Reforestation tool located at: http://ncat.climatechange.gov.au/cfirefor/ 
2. Use DGAS to work out an estimate based on selecting the "Based on data entered here" option.  Users then need to enter the area of trees planted, selecting the type of trees planted and selecting the average annual rainfall.  This will be a simplified estimation but can give some indication of how much carbon is stored in tree plantings each year (averaged over 30 years).
</t>
        </r>
      </text>
    </comment>
    <comment ref="B66" authorId="0" shapeId="0" xr:uid="{00000000-0006-0000-0900-000020000000}">
      <text>
        <r>
          <rPr>
            <sz val="11"/>
            <color indexed="81"/>
            <rFont val="Tahoma"/>
            <family val="2"/>
          </rPr>
          <t xml:space="preserve">If you have estimated the amount of carbon sequestered into trees via some other calculator or tool, enter the amount here (t CO2 sequestered per ha of trees).  You must also enter how many hectares of trees there are.  Otherwise if you are using the simplified version in DGAS, leave this cell blank.
</t>
        </r>
      </text>
    </comment>
    <comment ref="F66" authorId="1" shapeId="0" xr:uid="{00000000-0006-0000-0900-000021000000}">
      <text>
        <r>
          <rPr>
            <sz val="11"/>
            <color indexed="81"/>
            <rFont val="Tahoma"/>
            <family val="2"/>
          </rPr>
          <t>This allows for the evaluation of the carbon sequestration impact if planting trees on the farm. If you don't want this comparison, then set the area to zero.</t>
        </r>
      </text>
    </comment>
    <comment ref="B68" authorId="2" shapeId="0" xr:uid="{00000000-0006-0000-0900-000022000000}">
      <text>
        <r>
          <rPr>
            <sz val="11"/>
            <color indexed="81"/>
            <rFont val="Tahoma"/>
            <family val="2"/>
          </rPr>
          <t xml:space="preserve"> If they are not listed then choose the closest species, or just the general heading.</t>
        </r>
      </text>
    </comment>
    <comment ref="F68" authorId="2" shapeId="0" xr:uid="{00000000-0006-0000-0900-000023000000}">
      <text>
        <r>
          <rPr>
            <sz val="11"/>
            <color indexed="81"/>
            <rFont val="Tahoma"/>
            <family val="2"/>
          </rPr>
          <t>Rainfall is just a general guide for the rate of tree growth.</t>
        </r>
      </text>
    </comment>
    <comment ref="C71" authorId="0" shapeId="0" xr:uid="{00000000-0006-0000-0900-000024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71" authorId="0" shapeId="0" xr:uid="{00000000-0006-0000-0900-000025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81" authorId="0" shapeId="0" xr:uid="{00000000-0006-0000-0900-000026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mixedration farm where they are retained on concrete during their dry period also, it will be 365 days per annum.</t>
        </r>
        <r>
          <rPr>
            <sz val="9"/>
            <color indexed="81"/>
            <rFont val="Tahoma"/>
            <family val="2"/>
          </rPr>
          <t xml:space="preserve">
</t>
        </r>
      </text>
    </comment>
    <comment ref="B84" authorId="0" shapeId="0" xr:uid="{00000000-0006-0000-0900-000027000000}">
      <text>
        <r>
          <rPr>
            <sz val="11"/>
            <color indexed="81"/>
            <rFont val="Tahoma"/>
            <family val="2"/>
          </rPr>
          <t xml:space="preserve">This question is not asking how frequently you spread waste from a pond/lagoon system.  It is making the distinction between if the waste from the daily is spread daily through either an irrigation system or slurry cart or if it is flushed with additional water and goes into a pond/ lagoon system.     </t>
        </r>
        <r>
          <rPr>
            <sz val="9"/>
            <color indexed="81"/>
            <rFont val="Tahoma"/>
            <family val="2"/>
          </rPr>
          <t xml:space="preserve">
</t>
        </r>
      </text>
    </comment>
    <comment ref="B87" authorId="0" shapeId="0" xr:uid="{00000000-0006-0000-0900-000028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91" authorId="0" shapeId="0" xr:uid="{00000000-0006-0000-0900-000029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91" authorId="0" shapeId="0" xr:uid="{00000000-0006-0000-0900-00002A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94" authorId="0" shapeId="0" xr:uid="{00000000-0006-0000-0900-00002B000000}">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t>
        </r>
      </text>
    </comment>
    <comment ref="B96" authorId="0" shapeId="0" xr:uid="{00000000-0006-0000-0900-00002C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96" authorId="0" shapeId="0" xr:uid="{00000000-0006-0000-0900-00002D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0" authorId="0" shapeId="0" xr:uid="{00000000-0006-0000-0900-00002E000000}">
      <text>
        <r>
          <rPr>
            <sz val="11"/>
            <color indexed="81"/>
            <rFont val="Tahoma"/>
            <family val="2"/>
          </rPr>
          <t xml:space="preserve">These are the emissions pre-farm gate from the production and/or manufacturing of feeds and fertilisers.
</t>
        </r>
      </text>
    </comment>
    <comment ref="B116" authorId="0" shapeId="0" xr:uid="{00000000-0006-0000-0900-00002F000000}">
      <text>
        <r>
          <rPr>
            <sz val="11"/>
            <color indexed="81"/>
            <rFont val="Tahoma"/>
            <family val="2"/>
          </rPr>
          <t>Note that a negative number means an increase in total farm GHG emissions and a positive number means a decline in total farm GHG emissions.</t>
        </r>
        <r>
          <rPr>
            <sz val="9"/>
            <color indexed="81"/>
            <rFont val="Tahoma"/>
            <family val="2"/>
          </rPr>
          <t xml:space="preserve">
</t>
        </r>
      </text>
    </comment>
    <comment ref="B122" authorId="0" shapeId="0" xr:uid="{00000000-0006-0000-0900-000030000000}">
      <text>
        <r>
          <rPr>
            <sz val="11"/>
            <color indexed="81"/>
            <rFont val="Tahoma"/>
            <family val="2"/>
          </rPr>
          <t xml:space="preserve">Note that a negative figure indicates that the emissions intensity has increased. </t>
        </r>
        <r>
          <rPr>
            <sz val="9"/>
            <color indexed="81"/>
            <rFont val="Tahoma"/>
            <family val="2"/>
          </rPr>
          <t xml:space="preserve">
</t>
        </r>
      </text>
    </comment>
    <comment ref="B123" authorId="0" shapeId="0" xr:uid="{00000000-0006-0000-0900-000031000000}">
      <text>
        <r>
          <rPr>
            <sz val="11"/>
            <color indexed="81"/>
            <rFont val="Tahoma"/>
            <family val="2"/>
          </rPr>
          <t xml:space="preserve">Note that a negative figure indicates that the emissions intensity has increased. </t>
        </r>
        <r>
          <rPr>
            <b/>
            <sz val="9"/>
            <color indexed="81"/>
            <rFont val="Tahoma"/>
            <family val="2"/>
          </rPr>
          <t xml:space="preserve">
</t>
        </r>
        <r>
          <rPr>
            <sz val="9"/>
            <color indexed="81"/>
            <rFont val="Tahoma"/>
            <family val="2"/>
          </rPr>
          <t xml:space="preserve">
</t>
        </r>
      </text>
    </comment>
    <comment ref="C157" authorId="0" shapeId="0" xr:uid="{00000000-0006-0000-0900-000032000000}">
      <text>
        <r>
          <rPr>
            <sz val="11"/>
            <color indexed="81"/>
            <rFont val="Tahoma"/>
            <family val="2"/>
          </rPr>
          <t>Changes to the baselien farm system may come with additional expenses.  For example, if milk production per cow is increased, there is likely to be higher electricity expenses to harvest this milk.  In addition, how is this additional milk production per cow achieved?  Is it through improved genetic gain which needs to be costed.</t>
        </r>
        <r>
          <rPr>
            <sz val="9"/>
            <color indexed="81"/>
            <rFont val="Tahoma"/>
            <family val="2"/>
          </rPr>
          <t xml:space="preserve">
</t>
        </r>
      </text>
    </comment>
    <comment ref="C159" authorId="0" shapeId="0" xr:uid="{00000000-0006-0000-0900-000033000000}">
      <text>
        <r>
          <rPr>
            <sz val="11"/>
            <color indexed="81"/>
            <rFont val="Tahoma"/>
            <family val="2"/>
          </rPr>
          <t>Does the change in  farm system result in any reduction in expenses?  This represents additional income for the strategy farm system and needs to be incorporated.</t>
        </r>
        <r>
          <rPr>
            <sz val="9"/>
            <color indexed="81"/>
            <rFont val="Tahoma"/>
            <family val="2"/>
          </rPr>
          <t xml:space="preserve">
</t>
        </r>
      </text>
    </comment>
    <comment ref="C161" authorId="0" shapeId="0" xr:uid="{00000000-0006-0000-0900-000034000000}">
      <text>
        <r>
          <rPr>
            <sz val="11"/>
            <color indexed="81"/>
            <rFont val="Tahoma"/>
            <family val="2"/>
          </rPr>
          <t>Does the change in farm system result in additional milk production?  Or maybe a reduction in milk production?  This needs to be valued and incorporated into the economic implications of changing the baseline farm system.</t>
        </r>
        <r>
          <rPr>
            <sz val="9"/>
            <color indexed="81"/>
            <rFont val="Tahoma"/>
            <family val="2"/>
          </rPr>
          <t xml:space="preserve">
</t>
        </r>
      </text>
    </comment>
    <comment ref="C163" authorId="4" shapeId="0" xr:uid="{00000000-0006-0000-0900-000035000000}">
      <text>
        <r>
          <rPr>
            <sz val="11"/>
            <color indexed="81"/>
            <rFont val="Tahoma"/>
            <family val="2"/>
          </rPr>
          <t xml:space="preserve">Enter the farm price received from the CFI for a tonne of CO2-e.  </t>
        </r>
        <r>
          <rPr>
            <sz val="8"/>
            <color indexed="81"/>
            <rFont val="Tahoma"/>
            <family val="2"/>
          </rPr>
          <t xml:space="preserve">
</t>
        </r>
      </text>
    </comment>
    <comment ref="C165" authorId="0" shapeId="0" xr:uid="{00000000-0006-0000-0900-000036000000}">
      <text>
        <r>
          <rPr>
            <sz val="11"/>
            <color indexed="81"/>
            <rFont val="Tahoma"/>
            <family val="2"/>
          </rPr>
          <t>If figure reflects the income achieved if thechanges to the baseline farm system qualified for a carbon credit.</t>
        </r>
        <r>
          <rPr>
            <sz val="9"/>
            <color indexed="81"/>
            <rFont val="Tahoma"/>
            <family val="2"/>
          </rPr>
          <t xml:space="preserve">
</t>
        </r>
      </text>
    </comment>
    <comment ref="C167" authorId="0" shapeId="0" xr:uid="{00000000-0006-0000-0900-000037000000}">
      <text>
        <r>
          <rPr>
            <sz val="11"/>
            <color indexed="81"/>
            <rFont val="Tahoma"/>
            <family val="2"/>
          </rPr>
          <t>This figure represents the net change in expenses associated with implementing changes to the baseline farm system.  If the changes cost more than any saved expenses, then the number will be positive to indicate a net increase in expenses.  However, if the changes result in a greater saving in expenses than the cost of implementation, the figure will be a negative figure.</t>
        </r>
        <r>
          <rPr>
            <sz val="9"/>
            <color indexed="81"/>
            <rFont val="Tahoma"/>
            <family val="2"/>
          </rPr>
          <t xml:space="preserve">
</t>
        </r>
      </text>
    </comment>
    <comment ref="C169" authorId="0" shapeId="0" xr:uid="{00000000-0006-0000-0900-000038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C171" authorId="0" shapeId="0" xr:uid="{00000000-0006-0000-0900-000039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C173" authorId="0" shapeId="0" xr:uid="{00000000-0006-0000-0900-00003A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C175" authorId="0" shapeId="0" xr:uid="{00000000-0006-0000-0900-00003B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C177" authorId="0" shapeId="0" xr:uid="{00000000-0006-0000-0900-00003C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L380" authorId="2" shapeId="0" xr:uid="{00000000-0006-0000-0900-00003D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411" authorId="2" shapeId="0" xr:uid="{00000000-0006-0000-0900-00003E000000}">
      <text>
        <r>
          <rPr>
            <sz val="8"/>
            <color indexed="81"/>
            <rFont val="Tahoma"/>
            <family val="2"/>
          </rPr>
          <t>MMS = the fraction of AE that is managed in the different manure management systems (except for pasture range and paddock)</t>
        </r>
      </text>
    </comment>
    <comment ref="B414" authorId="2" shapeId="0" xr:uid="{00000000-0006-0000-0900-00003F000000}">
      <text>
        <r>
          <rPr>
            <sz val="8"/>
            <color indexed="81"/>
            <rFont val="Tahoma"/>
            <family val="2"/>
          </rPr>
          <t>E = total emissions of nitrous oxide from the different manure management systems (except for pasture range and paddock)</t>
        </r>
      </text>
    </comment>
    <comment ref="B416" authorId="2" shapeId="0" xr:uid="{00000000-0006-0000-0900-000040000000}">
      <text>
        <r>
          <rPr>
            <sz val="8"/>
            <color indexed="81"/>
            <rFont val="Tahoma"/>
            <family val="2"/>
          </rPr>
          <t>Except for pasture range and paddock</t>
        </r>
      </text>
    </comment>
    <comment ref="L516" authorId="2" shapeId="0" xr:uid="{00000000-0006-0000-0900-000041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 ref="H603" authorId="2" shapeId="0" xr:uid="{00000000-0006-0000-0900-000042000000}">
      <text>
        <r>
          <rPr>
            <sz val="8"/>
            <color indexed="81"/>
            <rFont val="Tahoma"/>
            <family val="2"/>
          </rPr>
          <t>0.085 Gg SO2/PJ</t>
        </r>
      </text>
    </comment>
    <comment ref="B620" authorId="1" shapeId="0" xr:uid="{00000000-0006-0000-0900-000043000000}">
      <text>
        <r>
          <rPr>
            <sz val="8"/>
            <color indexed="81"/>
            <rFont val="Tahoma"/>
            <family val="2"/>
          </rPr>
          <t>SO2 Emission factor = 0.37 Gg SO2/PJ</t>
        </r>
      </text>
    </comment>
    <comment ref="C620" authorId="1" shapeId="0" xr:uid="{00000000-0006-0000-0900-000044000000}">
      <text>
        <r>
          <rPr>
            <sz val="8"/>
            <color indexed="81"/>
            <rFont val="Tahoma"/>
            <family val="2"/>
          </rPr>
          <t>30% would be average</t>
        </r>
      </text>
    </comment>
    <comment ref="D620" authorId="1" shapeId="0" xr:uid="{00000000-0006-0000-0900-000045000000}">
      <text>
        <r>
          <rPr>
            <sz val="8"/>
            <color indexed="81"/>
            <rFont val="Tahoma"/>
            <family val="2"/>
          </rPr>
          <t>1000 average</t>
        </r>
      </text>
    </comment>
    <comment ref="B621" authorId="1" shapeId="0" xr:uid="{00000000-0006-0000-0900-000046000000}">
      <text>
        <r>
          <rPr>
            <sz val="8"/>
            <color indexed="81"/>
            <rFont val="Tahoma"/>
            <family val="2"/>
          </rPr>
          <t>SO2 Emission factor = 0.15 Gg SO2/PJ</t>
        </r>
      </text>
    </comment>
    <comment ref="C621" authorId="1" shapeId="0" xr:uid="{00000000-0006-0000-0900-000047000000}">
      <text>
        <r>
          <rPr>
            <sz val="8"/>
            <color indexed="81"/>
            <rFont val="Tahoma"/>
            <family val="2"/>
          </rPr>
          <t>25% average</t>
        </r>
      </text>
    </comment>
    <comment ref="D621" authorId="1" shapeId="0" xr:uid="{00000000-0006-0000-0900-000048000000}">
      <text>
        <r>
          <rPr>
            <sz val="8"/>
            <color indexed="81"/>
            <rFont val="Tahoma"/>
            <family val="2"/>
          </rPr>
          <t>1400 average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Karen Christie</author>
    <author>Dr Richard J Eckard</author>
    <author>Seyda Ozkan</author>
    <author>Richard Eckard</author>
  </authors>
  <commentList>
    <comment ref="C10" authorId="0" shapeId="0" xr:uid="{00000000-0006-0000-0A00-000001000000}">
      <text>
        <r>
          <rPr>
            <sz val="11"/>
            <color indexed="81"/>
            <rFont val="Tahoma"/>
            <family val="2"/>
          </rPr>
          <t>Enter the primary ID you which to use to report these results.</t>
        </r>
        <r>
          <rPr>
            <b/>
            <sz val="11"/>
            <color indexed="81"/>
            <rFont val="Tahoma"/>
            <family val="2"/>
          </rPr>
          <t xml:space="preserve"> </t>
        </r>
        <r>
          <rPr>
            <sz val="9"/>
            <color indexed="81"/>
            <rFont val="Tahoma"/>
            <family val="2"/>
          </rPr>
          <t xml:space="preserve">
</t>
        </r>
      </text>
    </comment>
    <comment ref="G10" authorId="0" shapeId="0" xr:uid="{00000000-0006-0000-0A00-000002000000}">
      <text>
        <r>
          <rPr>
            <sz val="11"/>
            <color indexed="81"/>
            <rFont val="Tahoma"/>
            <family val="2"/>
          </rPr>
          <t>This is the unique supplier number that farmers have with their milk company.</t>
        </r>
        <r>
          <rPr>
            <sz val="9"/>
            <color indexed="81"/>
            <rFont val="Tahoma"/>
            <family val="2"/>
          </rPr>
          <t xml:space="preserve">
</t>
        </r>
      </text>
    </comment>
    <comment ref="G12" authorId="0" shapeId="0" xr:uid="{00000000-0006-0000-0A00-000003000000}">
      <text>
        <r>
          <rPr>
            <sz val="11"/>
            <color indexed="81"/>
            <rFont val="Tahoma"/>
            <family val="2"/>
          </rPr>
          <t xml:space="preserve">Enter the financial year that this GHG assessment is for using the format 2012/13.  </t>
        </r>
      </text>
    </comment>
    <comment ref="C14" authorId="0" shapeId="0" xr:uid="{00000000-0006-0000-0A00-000004000000}">
      <text>
        <r>
          <rPr>
            <sz val="11"/>
            <color indexed="81"/>
            <rFont val="Tahoma"/>
            <family val="2"/>
          </rPr>
          <t>When you go to the white cell to the right of this heading, a drop down arrow will appear to the right hand side and if you click on this, a list of all the states of Australia will appear.  You must select the state before the region.</t>
        </r>
        <r>
          <rPr>
            <sz val="9"/>
            <color indexed="81"/>
            <rFont val="Tahoma"/>
            <family val="2"/>
          </rPr>
          <t xml:space="preserve">
</t>
        </r>
      </text>
    </comment>
    <comment ref="F14" authorId="0" shapeId="0" xr:uid="{00000000-0006-0000-0A00-000005000000}">
      <text>
        <r>
          <rPr>
            <sz val="11"/>
            <color indexed="81"/>
            <rFont val="Tahoma"/>
            <family val="2"/>
          </rPr>
          <t xml:space="preserve">If you click on the white cell to the right of this heading, a drop down arrow should appear along with a list of the regions specific to your state.  There are three regions for Victoria, three for New South Wales and only one for each other state.  The user needs to select which region the farm is located.  If the user has selected one of the states of Australia other than Victoria and New South Wales, the region is a repeat of the state and the user needs to again select their region (state).    </t>
        </r>
        <r>
          <rPr>
            <sz val="9"/>
            <color indexed="81"/>
            <rFont val="Tahoma"/>
            <family val="2"/>
          </rPr>
          <t xml:space="preserve">
</t>
        </r>
      </text>
    </comment>
    <comment ref="D16" authorId="0" shapeId="0" xr:uid="{00000000-0006-0000-0A00-000006000000}">
      <text>
        <r>
          <rPr>
            <sz val="11"/>
            <color indexed="81"/>
            <rFont val="Tahoma"/>
            <family val="2"/>
          </rPr>
          <t xml:space="preserve">Milking cows also include non-lactating cows.  So if you milk year-round, it is how many cows calved in the 12 month period as opposed to the milking herd size.  For seasonal calving herds, it’s the peak milking herd size.  Therefore a 360 head seasonal milking herd is the same as a 300 head year-round milking herd with 60 dries at any particular month, both farms have milked 360 cows over the 12 month period  </t>
        </r>
        <r>
          <rPr>
            <sz val="8"/>
            <color indexed="81"/>
            <rFont val="Tahoma"/>
            <family val="2"/>
          </rPr>
          <t xml:space="preserve">
</t>
        </r>
      </text>
    </comment>
    <comment ref="E16" authorId="0" shapeId="0" xr:uid="{00000000-0006-0000-0A00-000007000000}">
      <text>
        <r>
          <rPr>
            <sz val="11"/>
            <color indexed="81"/>
            <rFont val="Tahoma"/>
            <family val="2"/>
          </rPr>
          <t>This category is for heifers aged between 1 and 2 yrs of age.  Use the mid-point (i.e. 18 months) for aspects such as average live weight.  Alternatively, the average live weight is 70% of the mature milking cow liveweight.  Liveweight gain will vary between 0.6 and 0.8 kg/day depending on the liveweight of the milking cow.</t>
        </r>
        <r>
          <rPr>
            <sz val="8"/>
            <color indexed="81"/>
            <rFont val="Tahoma"/>
            <family val="2"/>
          </rPr>
          <t xml:space="preserve">
</t>
        </r>
      </text>
    </comment>
    <comment ref="F16" authorId="0" shapeId="0" xr:uid="{00000000-0006-0000-0A00-000008000000}">
      <text>
        <r>
          <rPr>
            <sz val="11"/>
            <color indexed="81"/>
            <rFont val="Tahoma"/>
            <family val="2"/>
          </rPr>
          <t>This category is for heifers aged between birth and 1 yr of age.  Use the mid-point (i.e. 6 months) for aspects such as average live weight.  Alternatively, the average live weight is 35% of the mature milking cow liveweight.  Liveweight gain will vary between 0.6 and 0.8 kg/day depending on the liveweight of the milking cow.</t>
        </r>
        <r>
          <rPr>
            <sz val="12"/>
            <color indexed="81"/>
            <rFont val="Tahoma"/>
            <family val="2"/>
          </rPr>
          <t xml:space="preserve">
</t>
        </r>
      </text>
    </comment>
    <comment ref="G16" authorId="0" shapeId="0" xr:uid="{00000000-0006-0000-0A00-000009000000}">
      <text>
        <r>
          <rPr>
            <sz val="11"/>
            <color indexed="81"/>
            <rFont val="Tahoma"/>
            <family val="2"/>
          </rPr>
          <t xml:space="preserve">Mature bulls are no longer growing.  They  will be 10 to 20% heavier than the milking cow.  For example, if the milking cow weighs 600kg, the bulls are likely to be 660 to 720 kg.  As they are fully grown there is no liveweight gain.
</t>
        </r>
      </text>
    </comment>
    <comment ref="H16" authorId="0" shapeId="0" xr:uid="{00000000-0006-0000-0A00-00000A000000}">
      <text>
        <r>
          <rPr>
            <sz val="11"/>
            <color indexed="81"/>
            <rFont val="Tahoma"/>
            <family val="2"/>
          </rPr>
          <t>Bulls that are still growing and so can be older than 1 yr of age.  Use the age mid-point for liveweight.  Liveweight gain will also be similar to the heifers, depending on how quickly they are grown out to maturity.</t>
        </r>
        <r>
          <rPr>
            <sz val="8"/>
            <color indexed="81"/>
            <rFont val="Tahoma"/>
            <family val="2"/>
          </rPr>
          <t xml:space="preserve">
</t>
        </r>
      </text>
    </comment>
    <comment ref="B17" authorId="1" shapeId="0" xr:uid="{00000000-0006-0000-0A00-00000B000000}">
      <text>
        <r>
          <rPr>
            <sz val="12"/>
            <color indexed="81"/>
            <rFont val="Tahoma"/>
            <family val="2"/>
          </rPr>
          <t>Insert the number of animals in each category.</t>
        </r>
      </text>
    </comment>
    <comment ref="B19" authorId="1" shapeId="0" xr:uid="{00000000-0006-0000-0A00-00000C000000}">
      <text>
        <r>
          <rPr>
            <sz val="11"/>
            <color indexed="81"/>
            <rFont val="Tahoma"/>
            <family val="2"/>
          </rPr>
          <t>Specify the average liveweight of your herd for each category.</t>
        </r>
      </text>
    </comment>
    <comment ref="B21" authorId="1" shapeId="0" xr:uid="{00000000-0006-0000-0A00-00000D000000}">
      <text>
        <r>
          <rPr>
            <sz val="11"/>
            <color indexed="81"/>
            <rFont val="Tahoma"/>
            <family val="2"/>
          </rPr>
          <t xml:space="preserve">Insert the likely average daily liveweight gain for each class of animal in the herd.
This is an estimate of the expected weight gain of an animal in a particular class of livestock over the 12 month period.  There are indicative liveweight gains in the heading for the stock classes that are still growing.
</t>
        </r>
      </text>
    </comment>
    <comment ref="D21" authorId="0" shapeId="0" xr:uid="{00000000-0006-0000-0A00-00000E000000}">
      <text>
        <r>
          <rPr>
            <sz val="12"/>
            <color indexed="81"/>
            <rFont val="Tahoma"/>
            <family val="2"/>
          </rPr>
          <t>While milking cows lose weight in early lactation, this weight is regained during late lactation and during the non-lactating phase.  Therefore over a 12 month period there is generally no change in live weight and therefore no live weight gain</t>
        </r>
        <r>
          <rPr>
            <sz val="8"/>
            <color indexed="81"/>
            <rFont val="Tahoma"/>
            <family val="2"/>
          </rPr>
          <t xml:space="preserve">
</t>
        </r>
      </text>
    </comment>
    <comment ref="B23" authorId="2" shapeId="0" xr:uid="{00000000-0006-0000-0A00-00000F000000}">
      <text>
        <r>
          <rPr>
            <sz val="11"/>
            <color indexed="81"/>
            <rFont val="Tahoma"/>
            <family val="2"/>
          </rPr>
          <t xml:space="preserve">Select which way you wish to report the annual milk production by using the drop-down list.  Either milk is reported as litres per herd per annum (1st option) or kg milksolids per herd per annum (2nd option).  Then enter the amount produced in the white cell to the right.  You will note that the units will change between "litres of milk" and "kg milksolids" depending on which option you selected to report the milk production.  
If the option of litres per herd per annum is selected, DGAS will convert this data to a standard fat and protein corrected milk (FPCM) volume (based on 4.0% fat and 3.2% protein; FAO 2010).  This allows us to standardise milk production to compare between breeds.  For example, to compare Jerseys herds with lower volumes of milk per cow with higher MS% versus Friesian herds with higher volumes of milk per cow at lower MS%.  This fat and protein corrected milk volume will be used to estimate the daily milk production per cow and also the milk GHG emissions intensity.  </t>
        </r>
      </text>
    </comment>
    <comment ref="F28" authorId="0" shapeId="0" xr:uid="{00000000-0006-0000-0A00-000010000000}">
      <text>
        <r>
          <rPr>
            <sz val="11"/>
            <color indexed="81"/>
            <rFont val="Tahoma"/>
            <family val="2"/>
          </rPr>
          <t xml:space="preserve">The average litres per cow per day is calculated and based on a standard fat and protein concentration of 4.0 and 3.3% respectively.  If you don't enter the known far and protein concentrations, these percentages will be used. 
Therefore if the fat and protein concentration of your milk is greater than these values, the kg of fat and protein corrected milk, and therefore litres of milk, will be lower than if the concentration of the milk had been 4.0% fat and 3.3% protein.    
However, if your milk has lower fat and protein concentrations than these standards, the kg of fat and protein connrected milk, and threfore litres per cow per day will be higher than if the concentration of the milk had been 4.0% fat and 3.3% protein.    
Check that this figure is approximately what would be expected and if it is substantially different, check the milk production per annum (either as litres or kg milksolids) and the concentration of the milk to see that these figures are reflective of your farm system. </t>
        </r>
      </text>
    </comment>
    <comment ref="D29" authorId="0" shapeId="0" xr:uid="{00000000-0006-0000-0A00-000011000000}">
      <text>
        <r>
          <rPr>
            <sz val="11"/>
            <color indexed="81"/>
            <rFont val="Tahoma"/>
            <family val="2"/>
          </rPr>
          <t>Intakes are what is consumed after wastage is taken into consideration.  Wastage of grain and concentrates in the dairy may be quite low (1-2%) but forages such as hay and silage fed out in the paddock can be quite high (up to approx 25-30%) depending on placement (e.g. middle of paddock versus near fencelines etc).</t>
        </r>
        <r>
          <rPr>
            <sz val="9"/>
            <color indexed="81"/>
            <rFont val="Tahoma"/>
            <family val="2"/>
          </rPr>
          <t xml:space="preserve"> 
</t>
        </r>
      </text>
    </comment>
    <comment ref="B31" authorId="0" shapeId="0" xr:uid="{00000000-0006-0000-0A00-000012000000}">
      <text>
        <r>
          <rPr>
            <sz val="11"/>
            <color indexed="81"/>
            <rFont val="Tahoma"/>
            <family val="2"/>
          </rPr>
          <t xml:space="preserve">Based on data entry, the calculator can estimate the daily intake required.  If the user enters how much feed came through supplementation, the difference between the sum of this and the figure presented here is assumed to come from pastures.
For example, if the calculator estimated that the cows required 20 kg DM/day to produce the milk entered, and the farmer knew that 10kg of this came in the form of grain and silage, the balance 10 kg must have been from pasture.
</t>
        </r>
      </text>
    </comment>
    <comment ref="B38" authorId="3" shapeId="0" xr:uid="{00000000-0006-0000-0A00-000013000000}">
      <text>
        <r>
          <rPr>
            <sz val="11"/>
            <color indexed="81"/>
            <rFont val="Tahoma"/>
            <family val="2"/>
          </rPr>
          <t>Enter the DMD in the feed eaten, not on offer.  Suggest 70% DMD as an average</t>
        </r>
      </text>
    </comment>
    <comment ref="B39" authorId="2" shapeId="0" xr:uid="{00000000-0006-0000-0A00-000014000000}">
      <text>
        <r>
          <rPr>
            <sz val="11"/>
            <color indexed="81"/>
            <rFont val="Tahoma"/>
            <family val="2"/>
          </rPr>
          <t>Enter the CP in the feed eaten, not on offer.  Suggest 16% CP as an average</t>
        </r>
      </text>
    </comment>
    <comment ref="C42" authorId="0" shapeId="0" xr:uid="{00000000-0006-0000-0A00-000015000000}">
      <text>
        <r>
          <rPr>
            <sz val="11"/>
            <color indexed="81"/>
            <rFont val="Tahoma"/>
            <family val="2"/>
          </rPr>
          <t>Users can enter the rate of fertiliser applied either as kg of element (i.e. N:P:K:S: lime) per hectare per annum, in which case the number of hectares must be accurate, or the tonnes of element (N:P:K:S: lime) per annum, which removes any need of accuracy in terms of area that the fertiliser is applied to.  The second option is particularly useful if the amount of land that the fertilisers were applied to is not known.  For example, the farmer purchased 10 t N but the rate at which it went on and/ or the amount of land is not known. 
Typical nutrient content of some common fertilisers include:
Urea- 46% N
Mono-ammonium phosphate (MAP)- 11% N, 22% P, 1 to 2% S
Di-ammonium phosphate (DAP)- 18% N, 20% P, 1 to 3% S
Sulphate of Ammonia (SOA)- 21% N, 24% S
Single superphosphate (SSP)- 9% P, 11% S
Triple superphosphate (TSP)- 20% P, 1 to 2% S
Muriate of potash (MOP)- 50% K
Potassium sulphate (SOP)- 42% K, 17% S</t>
        </r>
        <r>
          <rPr>
            <sz val="9"/>
            <color indexed="81"/>
            <rFont val="Tahoma"/>
            <family val="2"/>
          </rPr>
          <t xml:space="preserve">
</t>
        </r>
      </text>
    </comment>
    <comment ref="C44" authorId="0" shapeId="0" xr:uid="{00000000-0006-0000-0A00-000016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G44" authorId="0" shapeId="0" xr:uid="{00000000-0006-0000-0A00-000017000000}">
      <text>
        <r>
          <rPr>
            <sz val="11"/>
            <color indexed="81"/>
            <rFont val="Tahoma"/>
            <family val="2"/>
          </rPr>
          <t xml:space="preserve">Amount of Nitrogen fertiliser applied to pastures. Remember that urea is 46%N and DAP is 18% N etc. i.e. 10 tonnes of urea = 4.6 tonnes N </t>
        </r>
        <r>
          <rPr>
            <sz val="9"/>
            <color indexed="81"/>
            <rFont val="Tahoma"/>
            <family val="2"/>
          </rPr>
          <t xml:space="preserve">
</t>
        </r>
      </text>
    </comment>
    <comment ref="B45" authorId="1" shapeId="0" xr:uid="{00000000-0006-0000-0A00-000018000000}">
      <text>
        <r>
          <rPr>
            <sz val="11"/>
            <color indexed="81"/>
            <rFont val="Tahoma"/>
            <family val="2"/>
          </rPr>
          <t xml:space="preserve">Total area of pastures that received N fertiliser.  This inclused runoff/ outblocks and also leased land as this is still part of the farm business.
</t>
        </r>
      </text>
    </comment>
    <comment ref="B46" authorId="1" shapeId="0" xr:uid="{00000000-0006-0000-0A00-000019000000}">
      <text>
        <r>
          <rPr>
            <sz val="11"/>
            <color indexed="81"/>
            <rFont val="Tahoma"/>
            <family val="2"/>
          </rPr>
          <t>The total area of cropping land that received N fertiliser.  If you don't know what amount went onto pastures and onto crops, just include all together as applied to pastures. It will make only a small increase in N2O emissions.</t>
        </r>
      </text>
    </comment>
    <comment ref="B49" authorId="2" shapeId="0" xr:uid="{00000000-0006-0000-0A00-00001A000000}">
      <text>
        <r>
          <rPr>
            <sz val="11"/>
            <color indexed="81"/>
            <rFont val="Tahoma"/>
            <family val="2"/>
          </rPr>
          <t xml:space="preserve">Area of farmland applied with P, K, S and Lime applied to pastures.  Note if different areas of land are fertilised (e.g. 100ha with P but only 50ha with K), the area needs to consistent across the fertilisers and the rate changed accordingly.
For example, 100ha of pastures was fertilised with 50 kg P/ha.  In addition, 50ha of pastures was fertilised with 50 kg K/ha.  To make this uniform, make the pasture 100 ha for both and apply 50kg P and 25kg K.  Alternatively if the option of tonnes of element per annum is used, the area of pastures is irrelevant.    </t>
        </r>
      </text>
    </comment>
    <comment ref="B50" authorId="2" shapeId="0" xr:uid="{00000000-0006-0000-0A00-00001B000000}">
      <text>
        <r>
          <rPr>
            <sz val="11"/>
            <color indexed="81"/>
            <rFont val="Tahoma"/>
            <family val="2"/>
          </rPr>
          <t xml:space="preserve">Area of farmland applied with P, K, S and Lime applied to crops.  Note if different areas of land are fertilised (e.g. 100ha with P but only 50ha with K), the area needs to consistent across the fertilisers and the rate changed accordingly.
For example, 100ha of crops was fertilised with 50 kg P/ha.  In addition, 50ha of crops was fertilised with 50 kg K/ha.  To make this uniform, make the crop 100 ha for both and apply 50kg P and 25kg K.  Alternatively if the option of tonnes of element per annum is used, the area of crops is irrelevant.    </t>
        </r>
      </text>
    </comment>
    <comment ref="B53" authorId="1" shapeId="0" xr:uid="{00000000-0006-0000-0A00-00001C000000}">
      <text>
        <r>
          <rPr>
            <sz val="11"/>
            <color indexed="81"/>
            <rFont val="Tahoma"/>
            <family val="2"/>
          </rPr>
          <t>What was your total annual electricity bill for the year in KWh?
If your supplier guarantees a fraction of their electricity is 'clean and green", e.g. 10%, reduce the total amount by 10% to reflect how much is generated from burning coal or gas.</t>
        </r>
      </text>
    </comment>
    <comment ref="E53" authorId="0" shapeId="0" xr:uid="{00000000-0006-0000-0A00-00001D000000}">
      <text>
        <r>
          <rPr>
            <sz val="11"/>
            <color indexed="81"/>
            <rFont val="Tahoma"/>
            <family val="2"/>
          </rPr>
          <t>If unsure, select Brown coal from Victoria (highest emissions factor).</t>
        </r>
        <r>
          <rPr>
            <sz val="9"/>
            <color indexed="81"/>
            <rFont val="Tahoma"/>
            <family val="2"/>
          </rPr>
          <t xml:space="preserve">
</t>
        </r>
      </text>
    </comment>
    <comment ref="B54" authorId="1" shapeId="0" xr:uid="{00000000-0006-0000-0A00-00001E000000}">
      <text>
        <r>
          <rPr>
            <sz val="11"/>
            <color indexed="81"/>
            <rFont val="Tahoma"/>
            <family val="2"/>
          </rPr>
          <t>How any litres of diesel and unleaded petrol did the farm use last year?
Remember to consider the fuel that would have been consumed if you use contractors to undertake some/ all of your field work (e.g. silage making, fertiliser spreading, direct drilling new pasture seed etc).
Approximate consumption figures are:
Fertilising/ chemical spraying/ rolling/ hay raking- 3 litres/ha
Sowing/ mowing/ wrapping silage- 9 litres/ha
Baling/ harvesting/ discing- 16 litres/ha
Ploughing/ tillage- 22 litres/ha
So if you were making silage from a 1ha paddock, with the grass cut, then tethered and then raked before baling and wrapping, it is likely that 52 litres per hectare (i.e. 9 litres/ha for cutting, tethering, raking and wrapping and 16 litres/ha for baling) may have been consumed.</t>
        </r>
      </text>
    </comment>
    <comment ref="B55" authorId="0" shapeId="0" xr:uid="{00000000-0006-0000-0A00-00001F000000}">
      <text>
        <r>
          <rPr>
            <sz val="11"/>
            <color indexed="81"/>
            <rFont val="Tahoma"/>
            <family val="2"/>
          </rPr>
          <t>We need to understand how much supplementary feed is purchased.  Each feed type is multiplied by the GHG emissions associated with their production to estimate an embedded emission.  For example each tonne of grain emits 0.3 tonnes of CO2e in the production of the grain.  We don't include the CO2 emitted with the transportation of these feeds to the farm as it is difficult to ascertain how far they may travel from the farm where they were produced to the dairy farm.  
Feed grown on a run-off block or leased area is part of your farm business and therefore is not considered purchased feed.  However, the inputs into growing this feed such as fertiliser and fule needs to be considered as part of the farm business and included where applicable.</t>
        </r>
        <r>
          <rPr>
            <sz val="9"/>
            <color indexed="81"/>
            <rFont val="Tahoma"/>
            <family val="2"/>
          </rPr>
          <t xml:space="preserve">
</t>
        </r>
      </text>
    </comment>
    <comment ref="B62" authorId="0" shapeId="0" xr:uid="{00000000-0006-0000-0A00-000020000000}">
      <text>
        <r>
          <rPr>
            <sz val="11"/>
            <color indexed="81"/>
            <rFont val="Tahoma"/>
            <family val="2"/>
          </rPr>
          <t xml:space="preserve">Users have two options available to estimate the amount of carbon sequestered in tree plantations.
1. Use another calculator/tool specifically designed to estimate carbon sequestration (e.g. CFI- aligned Reforestation tool ).  If this option is selected, the used needs to select the "Based on other calculators/ tool specifically designed  to estimate" option and enter the amount of carbon sequestered per hectare per annum from these other tools in the box below.  If this option is selected, the user still needs to enter the number of hectares under plantation. An example of a tool is the CFI- aligned Reforestation tool located at: http://ncat.climatechange.gov.au/cfirefor/ 
2. Use DGAS to work out an estimate based on selecting the "Based on data entered here" option.  Users then need to enter the area of trees planted, selecting the type of trees planted and selecting the average annual rainfall.  This will be a simplified estimation but can give some indication of how much carbon is stored in tree plantings each year (averaged over 30 years).
</t>
        </r>
      </text>
    </comment>
    <comment ref="B65" authorId="0" shapeId="0" xr:uid="{00000000-0006-0000-0A00-000021000000}">
      <text>
        <r>
          <rPr>
            <sz val="11"/>
            <color indexed="81"/>
            <rFont val="Tahoma"/>
            <family val="2"/>
          </rPr>
          <t xml:space="preserve">If you have estimated the amount of carbon sequestered into trees via some other calculator or tool, enter the amount here (t CO2 sequestered per ha of trees).  You must also enter how many hectares of trees there are.  Otherwise if you are using the simplified version in DGAS, leave this cell blank.
</t>
        </r>
      </text>
    </comment>
    <comment ref="F65" authorId="1" shapeId="0" xr:uid="{00000000-0006-0000-0A00-000022000000}">
      <text>
        <r>
          <rPr>
            <sz val="11"/>
            <color indexed="81"/>
            <rFont val="Tahoma"/>
            <family val="2"/>
          </rPr>
          <t>This allows for the evaluation of the carbon sequestration impact if planting trees on the farm. If you don't want this comparison, then set the area to zero.</t>
        </r>
      </text>
    </comment>
    <comment ref="B67" authorId="2" shapeId="0" xr:uid="{00000000-0006-0000-0A00-000023000000}">
      <text>
        <r>
          <rPr>
            <sz val="11"/>
            <color indexed="81"/>
            <rFont val="Tahoma"/>
            <family val="2"/>
          </rPr>
          <t xml:space="preserve"> If they are not listed then choose the closest species, or just the general heading.</t>
        </r>
      </text>
    </comment>
    <comment ref="F67" authorId="2" shapeId="0" xr:uid="{00000000-0006-0000-0A00-000024000000}">
      <text>
        <r>
          <rPr>
            <sz val="11"/>
            <color indexed="81"/>
            <rFont val="Tahoma"/>
            <family val="2"/>
          </rPr>
          <t>Rainfall is just a general guide for the rate of tree growth.</t>
        </r>
      </text>
    </comment>
    <comment ref="C70" authorId="0" shapeId="0" xr:uid="{00000000-0006-0000-0A00-000025000000}">
      <text>
        <r>
          <rPr>
            <sz val="11"/>
            <color indexed="81"/>
            <rFont val="Tahoma"/>
            <family val="2"/>
          </rPr>
          <t>Users can either use the state-based fractions and factors as per the methodology or enter their own farm management practices to determine what proportion of waste is handled via each manure management system.  
If the default figures are used, there are no more questions to be answered.  However, if the user-defined option is selected, we need to know the number of hours the milkers are at the dairy, how that waste is handled and if the milkers and/or the heifers are on a feedpad area, how that waste is handled.  This may be particularly important if a change in feeding regimes means that a feedpad is used for a substantial amount of time over the 12 month assessment period.</t>
        </r>
        <r>
          <rPr>
            <sz val="9"/>
            <color indexed="81"/>
            <rFont val="Tahoma"/>
            <family val="2"/>
          </rPr>
          <t xml:space="preserve">
</t>
        </r>
      </text>
    </comment>
    <comment ref="H70" authorId="0" shapeId="0" xr:uid="{00000000-0006-0000-0A00-000026000000}">
      <text>
        <r>
          <rPr>
            <sz val="11"/>
            <color indexed="81"/>
            <rFont val="Tahoma"/>
            <family val="2"/>
          </rPr>
          <t xml:space="preserve">The CFI/ERF methodology for the </t>
        </r>
        <r>
          <rPr>
            <i/>
            <sz val="11"/>
            <color indexed="81"/>
            <rFont val="Tahoma"/>
            <family val="2"/>
          </rPr>
          <t xml:space="preserve">Destruction of methane generated from dairy manure in covered anaerobic ponds </t>
        </r>
        <r>
          <rPr>
            <sz val="11"/>
            <color indexed="81"/>
            <rFont val="Tahoma"/>
            <family val="2"/>
          </rPr>
          <t xml:space="preserve">requires the milker's volatile solids (kg VS/head.day). </t>
        </r>
        <r>
          <rPr>
            <b/>
            <sz val="11"/>
            <color indexed="81"/>
            <rFont val="Times New Roman"/>
            <family val="1"/>
          </rPr>
          <t xml:space="preserve"> </t>
        </r>
      </text>
    </comment>
    <comment ref="B81" authorId="0" shapeId="0" xr:uid="{00000000-0006-0000-0A00-000027000000}">
      <text>
        <r>
          <rPr>
            <sz val="11"/>
            <color indexed="81"/>
            <rFont val="Tahoma"/>
            <family val="2"/>
          </rPr>
          <t>The average number of hours that the milkers spend at the dairy depends on when the cows are released post-milking.  If the whole herd is retained, then it is the time taken to milk the whole herd.  If the cows are released from the dairy and either return to a paddock to graze or to a feedpad/ loafing area, it is the mid-point of milking.  For example, if total milking time takes 2.5 hours morning and 2 hours at night but the cows return to the paddock after being released from the dairy, then its half of 2.25 hours per day (half of 4.5 hrs).  However, if the whole herd is retained to the end of milking and released as a whole herd, it will be 4.5 hours per day.  
If you milk 3 times in 2 days, work out how many hours this would be over the two days and half this to work out the daily rate.  Either enter this figure if the whole herd is retained or halve this figure again if the cows return to pasture as they exit the dairy.  For example, milking takes 2 hours per shift, there are 3 shifts per 2 days, therefore the cows are present at the dairy for 6 hours in total over the two days.  Divide this by 2 to get a daily rate of 3 hours per day.  If the cows are retained at the dairy, then enter 3 hours per day or if they return to the paddock after exiting, enter 1.5 hours per day.  
We also need to know the average number of days per annum the milkers are at the dairy.  For most farms this will be the same as the average lactation length.  However, for cows in a total mixedration farm where they are retained on concrete during their dry period also, it will be 365 days per annum.</t>
        </r>
        <r>
          <rPr>
            <sz val="9"/>
            <color indexed="81"/>
            <rFont val="Tahoma"/>
            <family val="2"/>
          </rPr>
          <t xml:space="preserve">
</t>
        </r>
      </text>
    </comment>
    <comment ref="B87" authorId="0" shapeId="0" xr:uid="{00000000-0006-0000-0A00-000028000000}">
      <text>
        <r>
          <rPr>
            <sz val="11"/>
            <color indexed="81"/>
            <rFont val="Tahoma"/>
            <family val="2"/>
          </rPr>
          <t>We automatically assume that 20% of the waste is trapped if there is a means of removing some of the solids prior to being spread daily from a sump or from entering the lagoon.  This waste is then assumed to be in a solids storage state with a lower methane emission factor than if the waste went to the lagoon but higher than if it was spread daily.</t>
        </r>
        <r>
          <rPr>
            <sz val="9"/>
            <color indexed="81"/>
            <rFont val="Tahoma"/>
            <family val="2"/>
          </rPr>
          <t xml:space="preserve">
</t>
        </r>
      </text>
    </comment>
    <comment ref="B91" authorId="0" shapeId="0" xr:uid="{00000000-0006-0000-0A00-000029000000}">
      <text>
        <r>
          <rPr>
            <sz val="11"/>
            <color indexed="81"/>
            <rFont val="Tahoma"/>
            <family val="2"/>
          </rPr>
          <t xml:space="preserve">Select the option that best reflects how the waste from the feedpad is handled.  We assume that if the dairy waste is pre-treated before going into a pond/ lagoon system, this is the same for the feedpad waste. 
If unsure about whether the feedpad waste is allowed to dry out to a dry consistency or semi-dry, select semi-dry as this will result in only a slight increase in GHG emissions.  </t>
        </r>
        <r>
          <rPr>
            <sz val="9"/>
            <color indexed="81"/>
            <rFont val="Tahoma"/>
            <family val="2"/>
          </rPr>
          <t xml:space="preserve">
</t>
        </r>
      </text>
    </comment>
    <comment ref="H91" authorId="0" shapeId="0" xr:uid="{00000000-0006-0000-0A00-00002A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94" authorId="0" shapeId="0" xr:uid="{00000000-0006-0000-0A00-00002B000000}">
      <text>
        <r>
          <rPr>
            <sz val="11"/>
            <color indexed="81"/>
            <rFont val="Tahoma"/>
            <family val="2"/>
          </rPr>
          <t>These questions are generally only relevant for farms where the heifers are retained on concrete for long periods of time per day and throughout the year (e.g. TMR farms where the young stock are housed).  
We are not concerned with the time that unweaned calves spend in sheds or when heifers spend time in yards for routine management practices (e.g. weighing, vaccinating, pregnancy testing etc).</t>
        </r>
      </text>
    </comment>
    <comment ref="B96" authorId="0" shapeId="0" xr:uid="{00000000-0006-0000-0A00-00002C000000}">
      <text>
        <r>
          <rPr>
            <sz val="11"/>
            <color indexed="81"/>
            <rFont val="Tahoma"/>
            <family val="2"/>
          </rPr>
          <t>Users are only given one option when selecting how the waste from the heifers is handled.  If two or more options are used, selected the most relevant.
We assume that if the milker waste is pre-treated prior to entering the pond/ lagoon system, this will be the same for the heifer waste.</t>
        </r>
        <r>
          <rPr>
            <sz val="9"/>
            <color indexed="81"/>
            <rFont val="Tahoma"/>
            <family val="2"/>
          </rPr>
          <t xml:space="preserve">
</t>
        </r>
      </text>
    </comment>
    <comment ref="H96" authorId="0" shapeId="0" xr:uid="{00000000-0006-0000-0A00-00002D000000}">
      <text>
        <r>
          <rPr>
            <sz val="11"/>
            <color indexed="81"/>
            <rFont val="Tahoma"/>
            <family val="2"/>
          </rPr>
          <t>The Integrated methane conversion factor (MCF) is an estimated (as opposed to user entered) number and therefore protected.</t>
        </r>
        <r>
          <rPr>
            <sz val="9"/>
            <color indexed="81"/>
            <rFont val="Tahoma"/>
            <family val="2"/>
          </rPr>
          <t xml:space="preserve">
</t>
        </r>
      </text>
    </comment>
    <comment ref="B112" authorId="0" shapeId="0" xr:uid="{00000000-0006-0000-0A00-00002E000000}">
      <text>
        <r>
          <rPr>
            <sz val="11"/>
            <color indexed="81"/>
            <rFont val="Tahoma"/>
            <family val="2"/>
          </rPr>
          <t xml:space="preserve">These are the emissions pre-farm gate from the production and/or manufacturing of feeds and fertilisers.
</t>
        </r>
      </text>
    </comment>
    <comment ref="J319" authorId="2" shapeId="0" xr:uid="{00000000-0006-0000-0A00-00002F000000}">
      <text>
        <r>
          <rPr>
            <sz val="8"/>
            <color indexed="81"/>
            <rFont val="Tahoma"/>
            <family val="2"/>
          </rPr>
          <t>FN was assumed to be 1 here. Appendix 6.H.1 provides more detailed information regarding the fraction of fertiliser N applied to each production system for each state between 1990 and 2008</t>
        </r>
      </text>
    </comment>
    <comment ref="B350" authorId="2" shapeId="0" xr:uid="{00000000-0006-0000-0A00-000030000000}">
      <text>
        <r>
          <rPr>
            <sz val="8"/>
            <color indexed="81"/>
            <rFont val="Tahoma"/>
            <family val="2"/>
          </rPr>
          <t>MMS = the fraction of AE that is managed in the different manure management systems (except for pasture range and paddock)</t>
        </r>
      </text>
    </comment>
    <comment ref="B352" authorId="2" shapeId="0" xr:uid="{00000000-0006-0000-0A00-000031000000}">
      <text>
        <r>
          <rPr>
            <sz val="8"/>
            <color indexed="81"/>
            <rFont val="Tahoma"/>
            <family val="2"/>
          </rPr>
          <t>E = total emissions of nitrous oxide from the different manure management systems (except for pasture range and paddock)</t>
        </r>
      </text>
    </comment>
    <comment ref="B354" authorId="2" shapeId="0" xr:uid="{00000000-0006-0000-0A00-000032000000}">
      <text>
        <r>
          <rPr>
            <sz val="8"/>
            <color indexed="81"/>
            <rFont val="Tahoma"/>
            <family val="2"/>
          </rPr>
          <t>Except for pasture range and paddock</t>
        </r>
      </text>
    </comment>
    <comment ref="J452" authorId="2" shapeId="0" xr:uid="{00000000-0006-0000-0A00-000033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 ref="H543" authorId="2" shapeId="0" xr:uid="{00000000-0006-0000-0A00-000034000000}">
      <text>
        <r>
          <rPr>
            <sz val="8"/>
            <color indexed="81"/>
            <rFont val="Tahoma"/>
            <family val="2"/>
          </rPr>
          <t>0.085 Gg SO2/PJ</t>
        </r>
      </text>
    </comment>
    <comment ref="B560" authorId="1" shapeId="0" xr:uid="{00000000-0006-0000-0A00-000035000000}">
      <text>
        <r>
          <rPr>
            <sz val="8"/>
            <color indexed="81"/>
            <rFont val="Tahoma"/>
            <family val="2"/>
          </rPr>
          <t>SO2 Emission factor = 0.37 Gg SO2/PJ</t>
        </r>
      </text>
    </comment>
    <comment ref="C560" authorId="1" shapeId="0" xr:uid="{00000000-0006-0000-0A00-000036000000}">
      <text>
        <r>
          <rPr>
            <sz val="8"/>
            <color indexed="81"/>
            <rFont val="Tahoma"/>
            <family val="2"/>
          </rPr>
          <t>30% would be average</t>
        </r>
      </text>
    </comment>
    <comment ref="D560" authorId="1" shapeId="0" xr:uid="{00000000-0006-0000-0A00-000037000000}">
      <text>
        <r>
          <rPr>
            <sz val="8"/>
            <color indexed="81"/>
            <rFont val="Tahoma"/>
            <family val="2"/>
          </rPr>
          <t>1000 average</t>
        </r>
      </text>
    </comment>
    <comment ref="B561" authorId="1" shapeId="0" xr:uid="{00000000-0006-0000-0A00-000038000000}">
      <text>
        <r>
          <rPr>
            <sz val="8"/>
            <color indexed="81"/>
            <rFont val="Tahoma"/>
            <family val="2"/>
          </rPr>
          <t>SO2 Emission factor = 0.15 Gg SO2/PJ</t>
        </r>
      </text>
    </comment>
    <comment ref="C561" authorId="1" shapeId="0" xr:uid="{00000000-0006-0000-0A00-000039000000}">
      <text>
        <r>
          <rPr>
            <sz val="8"/>
            <color indexed="81"/>
            <rFont val="Tahoma"/>
            <family val="2"/>
          </rPr>
          <t>25% average</t>
        </r>
      </text>
    </comment>
    <comment ref="D561" authorId="1" shapeId="0" xr:uid="{00000000-0006-0000-0A00-00003A000000}">
      <text>
        <r>
          <rPr>
            <sz val="8"/>
            <color indexed="81"/>
            <rFont val="Tahoma"/>
            <family val="2"/>
          </rPr>
          <t>1400 average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
  <commentList>
    <comment ref="B14" authorId="0" shapeId="0" xr:uid="{00000000-0006-0000-0B00-000001000000}">
      <text>
        <r>
          <rPr>
            <sz val="8"/>
            <color indexed="81"/>
            <rFont val="Tahoma"/>
            <family val="2"/>
          </rPr>
          <t>Enter the likely average daily liveweight gain (kg/day) for each class of animal in the herd.</t>
        </r>
      </text>
    </comment>
    <comment ref="C14" authorId="1" shapeId="0" xr:uid="{00000000-0006-0000-0B00-000002000000}">
      <text>
        <r>
          <rPr>
            <sz val="8"/>
            <color indexed="81"/>
            <rFont val="Tahoma"/>
            <family val="2"/>
          </rPr>
          <t xml:space="preserve">Can be referenced back to DGAS
</t>
        </r>
      </text>
    </comment>
    <comment ref="B19" authorId="1" shapeId="0" xr:uid="{00000000-0006-0000-0B00-000003000000}">
      <text>
        <r>
          <rPr>
            <sz val="11"/>
            <color indexed="81"/>
            <rFont val="Tahoma"/>
            <family val="2"/>
          </rPr>
          <t>This is the percentage reduction in enteric methane emissions expected to occur. For example, a vaccine may promote a 30% reduction in CH4 emissions, thus use the up /down arrows to select 30%.</t>
        </r>
        <r>
          <rPr>
            <sz val="8"/>
            <color indexed="81"/>
            <rFont val="Tahoma"/>
            <family val="2"/>
          </rPr>
          <t xml:space="preserve">
  </t>
        </r>
      </text>
    </comment>
    <comment ref="B21" authorId="1" shapeId="0" xr:uid="{00000000-0006-0000-0B00-000004000000}">
      <text>
        <r>
          <rPr>
            <sz val="11"/>
            <color indexed="81"/>
            <rFont val="Tahoma"/>
            <family val="2"/>
          </rPr>
          <t>Enter the cost implementing the strategy on per cow basis for a year. For example if the vaccine cost $5.00 per cow and needs to be given only once year enter $5.00.</t>
        </r>
        <r>
          <rPr>
            <sz val="8"/>
            <color indexed="81"/>
            <rFont val="Tahoma"/>
            <family val="2"/>
          </rPr>
          <t xml:space="preserve">
</t>
        </r>
      </text>
    </comment>
    <comment ref="B23" authorId="1" shapeId="0" xr:uid="{00000000-0006-0000-0B00-000005000000}">
      <text>
        <r>
          <rPr>
            <sz val="11"/>
            <color indexed="81"/>
            <rFont val="Tahoma"/>
            <family val="2"/>
          </rPr>
          <t xml:space="preserve">This is percentage of the energy that is not used a methane that could be used for milk production.  Research tells us that this number is very low, if at all. </t>
        </r>
        <r>
          <rPr>
            <sz val="8"/>
            <color indexed="81"/>
            <rFont val="Tahoma"/>
            <family val="2"/>
          </rPr>
          <t xml:space="preserve">
</t>
        </r>
      </text>
    </comment>
    <comment ref="B25" authorId="2" shapeId="0" xr:uid="{00000000-0006-0000-0B00-000006000000}">
      <text>
        <r>
          <rPr>
            <sz val="11"/>
            <color indexed="81"/>
            <rFont val="Tahoma"/>
            <family val="2"/>
          </rPr>
          <t>How many days per year is the strategy effective in reducing enteric CH4 emissions</t>
        </r>
      </text>
    </comment>
    <comment ref="B27" authorId="1" shapeId="0" xr:uid="{00000000-0006-0000-0B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29" authorId="1" shapeId="0" xr:uid="{00000000-0006-0000-0B00-000008000000}">
      <text>
        <r>
          <rPr>
            <sz val="11"/>
            <color indexed="81"/>
            <rFont val="Tahoma"/>
            <family val="2"/>
          </rPr>
          <t xml:space="preserve">Enter the farm price received from the CFI for a tonne of CO2-e.  </t>
        </r>
        <r>
          <rPr>
            <sz val="8"/>
            <color indexed="81"/>
            <rFont val="Tahoma"/>
            <family val="2"/>
          </rPr>
          <t xml:space="preserve">
</t>
        </r>
      </text>
    </comment>
    <comment ref="B34" authorId="2" shapeId="0" xr:uid="{00000000-0006-0000-0B00-000009000000}">
      <text>
        <r>
          <rPr>
            <sz val="11"/>
            <color indexed="81"/>
            <rFont val="Tahoma"/>
            <family val="2"/>
          </rPr>
          <t xml:space="preserve">Negative number indicates that enteric methane emissions have increased </t>
        </r>
      </text>
    </comment>
    <comment ref="B35" authorId="3" shapeId="0" xr:uid="{00000000-0006-0000-0B00-00000A000000}">
      <text>
        <r>
          <rPr>
            <sz val="11"/>
            <color indexed="81"/>
            <rFont val="Tahoma"/>
            <family val="2"/>
          </rPr>
          <t>Negative numbers indicate waste methane has increased</t>
        </r>
        <r>
          <rPr>
            <sz val="9"/>
            <color indexed="81"/>
            <rFont val="Tahoma"/>
            <family val="2"/>
          </rPr>
          <t xml:space="preserve">
</t>
        </r>
      </text>
    </comment>
    <comment ref="B36" authorId="3" shapeId="0" xr:uid="{00000000-0006-0000-0B00-00000B000000}">
      <text>
        <r>
          <rPr>
            <sz val="11"/>
            <color indexed="81"/>
            <rFont val="Tahoma"/>
            <family val="2"/>
          </rPr>
          <t>Negative numbers indicate waste nitrous oxide emissions have  increased</t>
        </r>
        <r>
          <rPr>
            <sz val="9"/>
            <color indexed="81"/>
            <rFont val="Tahoma"/>
            <family val="2"/>
          </rPr>
          <t xml:space="preserve">
</t>
        </r>
      </text>
    </comment>
    <comment ref="B37" authorId="3" shapeId="0" xr:uid="{00000000-0006-0000-0B00-00000C000000}">
      <text>
        <r>
          <rPr>
            <sz val="11"/>
            <color indexed="81"/>
            <rFont val="Tahoma"/>
            <family val="2"/>
          </rPr>
          <t xml:space="preserve">Negative numbers indicate N fertiliser nitrous oxide emissions have  increased
</t>
        </r>
      </text>
    </comment>
    <comment ref="B38" authorId="3" shapeId="0" xr:uid="{00000000-0006-0000-0B00-00000D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39" authorId="3" shapeId="0" xr:uid="{00000000-0006-0000-0B00-00000E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0" authorId="3" shapeId="0" xr:uid="{00000000-0006-0000-0B00-00000F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1" authorId="3" shapeId="0" xr:uid="{00000000-0006-0000-0B00-000010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2" authorId="3" shapeId="0" xr:uid="{00000000-0006-0000-0B00-000011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3" authorId="3" shapeId="0" xr:uid="{00000000-0006-0000-0B00-000012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4" authorId="3" shapeId="0" xr:uid="{00000000-0006-0000-0B00-000013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45" authorId="3" shapeId="0" xr:uid="{00000000-0006-0000-0B00-000014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46" authorId="3" shapeId="0" xr:uid="{00000000-0006-0000-0B00-000015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47" authorId="3" shapeId="0" xr:uid="{00000000-0006-0000-0B00-000016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5" authorId="0" shapeId="0" xr:uid="{00000000-0006-0000-0C00-000001000000}">
      <text>
        <r>
          <rPr>
            <sz val="8"/>
            <color indexed="81"/>
            <rFont val="Tahoma"/>
            <family val="2"/>
          </rPr>
          <t>Enter the likely average daily liveweight gain (kg/day) for each class of animal in the herd.</t>
        </r>
      </text>
    </comment>
    <comment ref="C15" authorId="1" shapeId="0" xr:uid="{00000000-0006-0000-0C00-000002000000}">
      <text>
        <r>
          <rPr>
            <sz val="8"/>
            <color indexed="81"/>
            <rFont val="Tahoma"/>
            <family val="2"/>
          </rPr>
          <t xml:space="preserve">Can be referenced back to DGAS
</t>
        </r>
      </text>
    </comment>
    <comment ref="B21" authorId="2" shapeId="0" xr:uid="{00000000-0006-0000-0C00-000003000000}">
      <text>
        <r>
          <rPr>
            <sz val="11"/>
            <color indexed="81"/>
            <rFont val="Tahoma"/>
            <family val="2"/>
          </rPr>
          <t xml:space="preserve">Dryland summer/autumn pasture-based diets are generally 2-3% so can safely feed an additional 3-4% </t>
        </r>
      </text>
    </comment>
    <comment ref="B23" authorId="2" shapeId="0" xr:uid="{00000000-0006-0000-0C00-000004000000}">
      <text>
        <r>
          <rPr>
            <sz val="8"/>
            <color indexed="81"/>
            <rFont val="Tahoma"/>
            <family val="2"/>
          </rPr>
          <t>Intake estimated from the above data entries (i.e. weight, live  weight gain, milk production etc)</t>
        </r>
      </text>
    </comment>
    <comment ref="B25" authorId="3" shapeId="0" xr:uid="{00000000-0006-0000-0C00-000005000000}">
      <text>
        <r>
          <rPr>
            <sz val="11"/>
            <color indexed="81"/>
            <rFont val="Tahoma"/>
            <family val="2"/>
          </rPr>
          <t>With this strategy we are replacing one low fat supplement with another and feeding the same rate.</t>
        </r>
        <r>
          <rPr>
            <sz val="9"/>
            <color indexed="81"/>
            <rFont val="Tahoma"/>
            <family val="2"/>
          </rPr>
          <t xml:space="preserve">
</t>
        </r>
      </text>
    </comment>
    <comment ref="B41" authorId="3" shapeId="0" xr:uid="{00000000-0006-0000-0C00-000006000000}">
      <text>
        <r>
          <rPr>
            <sz val="11"/>
            <color indexed="81"/>
            <rFont val="Tahoma"/>
            <family val="2"/>
          </rPr>
          <t>When entering the price of the new high dietary fat supplement, consider if there are any additional costs associated with feeding out the supplement.  For example, if the low dietary fat supplement was silage which needed a tractor and labour to feed out but now the high fat supplement is fed through the dairy, there is a reduction in feed-out expenses.  The implementation expenses is the difference between the two supplements and may be a negative figure if the cost of the high fat supplement is lower than the low dietary fat supplement that is being replaced..  This then essentially becomes another source of income as its a saved expense.</t>
        </r>
        <r>
          <rPr>
            <sz val="9"/>
            <color indexed="81"/>
            <rFont val="Tahoma"/>
            <family val="2"/>
          </rPr>
          <t xml:space="preserve">
</t>
        </r>
      </text>
    </comment>
    <comment ref="B45" authorId="1" shapeId="0" xr:uid="{00000000-0006-0000-0C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47" authorId="2" shapeId="0" xr:uid="{00000000-0006-0000-0C00-000008000000}">
      <text>
        <r>
          <rPr>
            <sz val="11"/>
            <color indexed="81"/>
            <rFont val="Tahoma"/>
            <family val="2"/>
          </rPr>
          <t xml:space="preserve">High fat supplements generally fed when milk price is higher than the annual average milk price (e.g. 40c/litre year round but 42.5 c/litre over summer).  Enter via the up/down arrows 0.40 in the previous cell and 0.425 in this cell 
</t>
        </r>
      </text>
    </comment>
    <comment ref="B49" authorId="1" shapeId="0" xr:uid="{00000000-0006-0000-0C00-000009000000}">
      <text>
        <r>
          <rPr>
            <sz val="11"/>
            <color indexed="81"/>
            <rFont val="Tahoma"/>
            <family val="2"/>
          </rPr>
          <t xml:space="preserve">Enter the farm price received from the CFI for a tonne of CO2-e.  </t>
        </r>
        <r>
          <rPr>
            <sz val="8"/>
            <color indexed="81"/>
            <rFont val="Tahoma"/>
            <family val="2"/>
          </rPr>
          <t xml:space="preserve">
</t>
        </r>
      </text>
    </comment>
    <comment ref="B52" authorId="2" shapeId="0" xr:uid="{00000000-0006-0000-0C00-00000A000000}">
      <text>
        <r>
          <rPr>
            <sz val="11"/>
            <color indexed="81"/>
            <rFont val="Tahoma"/>
            <family val="2"/>
          </rPr>
          <t>Any diet with a dietary fat % of greater than 7% will adversely affect milk production.  If a message "TOO HIGH" appears indicating the diet is too high and to feed lower levels, either the amount of supplement fed needs reducing or the fat content of the new supplement needs reducing or a combination of these options.</t>
        </r>
      </text>
    </comment>
    <comment ref="B55" authorId="2" shapeId="0" xr:uid="{00000000-0006-0000-0C00-00000B000000}">
      <text>
        <r>
          <rPr>
            <sz val="11"/>
            <color indexed="81"/>
            <rFont val="Tahoma"/>
            <family val="2"/>
          </rPr>
          <t xml:space="preserve">Negative number indicates that enteric methane emissions have increased </t>
        </r>
      </text>
    </comment>
    <comment ref="B56" authorId="3" shapeId="0" xr:uid="{00000000-0006-0000-0C00-00000C000000}">
      <text>
        <r>
          <rPr>
            <sz val="11"/>
            <color indexed="81"/>
            <rFont val="Tahoma"/>
            <family val="2"/>
          </rPr>
          <t>Negative numbers indicate waste methane has increased.  This increase will be deducted from any decrease in enteric methane.  Any reduction in waste methane will show up as 0 as this can't be credited under the current ERF methodology.</t>
        </r>
        <r>
          <rPr>
            <sz val="9"/>
            <color indexed="81"/>
            <rFont val="Tahoma"/>
            <family val="2"/>
          </rPr>
          <t xml:space="preserve">
</t>
        </r>
      </text>
    </comment>
    <comment ref="B57" authorId="3" shapeId="0" xr:uid="{00000000-0006-0000-0C00-00000D000000}">
      <text>
        <r>
          <rPr>
            <sz val="11"/>
            <color indexed="81"/>
            <rFont val="Tahoma"/>
            <family val="2"/>
          </rPr>
          <t xml:space="preserve">Negative numbers indicate waste nitrous oxide has increased.  This increase will be deducted from any decrease in enteric methane.  Any reduction in waste nitrous oxide will show up as 0 as this can't be credited under the current ERF methodology.
</t>
        </r>
        <r>
          <rPr>
            <sz val="9"/>
            <color indexed="81"/>
            <rFont val="Tahoma"/>
            <family val="2"/>
          </rPr>
          <t xml:space="preserve">
</t>
        </r>
      </text>
    </comment>
    <comment ref="B58" authorId="3" shapeId="0" xr:uid="{00000000-0006-0000-0C00-00000E000000}">
      <text>
        <r>
          <rPr>
            <sz val="11"/>
            <color indexed="81"/>
            <rFont val="Tahoma"/>
            <family val="2"/>
          </rPr>
          <t xml:space="preserve">Negative numbers indicate N fertiliser nitrous oxide emissions have  increased
</t>
        </r>
      </text>
    </comment>
    <comment ref="B59" authorId="3" shapeId="0" xr:uid="{00000000-0006-0000-0C00-00000F000000}">
      <text>
        <r>
          <rPr>
            <sz val="11"/>
            <color indexed="81"/>
            <rFont val="Tahoma"/>
            <family val="2"/>
          </rPr>
          <t xml:space="preserve">Only the reduction in enteric methane minus any increase in waste or N fertiliser emissions can be credited.
</t>
        </r>
        <r>
          <rPr>
            <sz val="9"/>
            <color indexed="81"/>
            <rFont val="Tahoma"/>
            <family val="2"/>
          </rPr>
          <t xml:space="preserve">
</t>
        </r>
      </text>
    </comment>
    <comment ref="B60" authorId="3" shapeId="0" xr:uid="{00000000-0006-0000-0C00-000010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61" authorId="3" shapeId="0" xr:uid="{00000000-0006-0000-0C00-000011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62" authorId="3" shapeId="0" xr:uid="{00000000-0006-0000-0C00-000012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63" authorId="3" shapeId="0" xr:uid="{00000000-0006-0000-0C00-000013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64" authorId="3" shapeId="0" xr:uid="{00000000-0006-0000-0C00-000014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65" authorId="3" shapeId="0" xr:uid="{00000000-0006-0000-0C00-000015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66" authorId="3" shapeId="0" xr:uid="{00000000-0006-0000-0C00-000016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67" authorId="3" shapeId="0" xr:uid="{00000000-0006-0000-0C00-000017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68" authorId="3" shapeId="0" xr:uid="{00000000-0006-0000-0C00-000018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338" authorId="4" shapeId="0" xr:uid="{00000000-0006-0000-0C00-000019000000}">
      <text>
        <r>
          <rPr>
            <sz val="8"/>
            <color indexed="81"/>
            <rFont val="Tahoma"/>
            <family val="2"/>
          </rPr>
          <t>MMS = the fraction of AE that is managed in the different manure management systems (except for pasture range and paddock)</t>
        </r>
      </text>
    </comment>
    <comment ref="B341" authorId="4" shapeId="0" xr:uid="{00000000-0006-0000-0C00-00001A000000}">
      <text>
        <r>
          <rPr>
            <sz val="8"/>
            <color indexed="81"/>
            <rFont val="Tahoma"/>
            <family val="2"/>
          </rPr>
          <t>E = total emissions of nitrous oxide from the different manure management systems (except for pasture range and paddock)</t>
        </r>
      </text>
    </comment>
    <comment ref="B343" authorId="4" shapeId="0" xr:uid="{00000000-0006-0000-0C00-00001B000000}">
      <text>
        <r>
          <rPr>
            <sz val="8"/>
            <color indexed="81"/>
            <rFont val="Tahoma"/>
            <family val="2"/>
          </rPr>
          <t>Except for pasture range and paddock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3" authorId="0" shapeId="0" xr:uid="{00000000-0006-0000-0D00-000001000000}">
      <text>
        <r>
          <rPr>
            <sz val="8"/>
            <color indexed="81"/>
            <rFont val="Tahoma"/>
            <family val="2"/>
          </rPr>
          <t>Enter the likely average daily liveweight gain (kg/day) for each class of animal in the herd.</t>
        </r>
      </text>
    </comment>
    <comment ref="C13" authorId="1" shapeId="0" xr:uid="{00000000-0006-0000-0D00-000002000000}">
      <text>
        <r>
          <rPr>
            <sz val="8"/>
            <color indexed="81"/>
            <rFont val="Tahoma"/>
            <family val="2"/>
          </rPr>
          <t xml:space="preserve">Can be referenced back to DGAS
</t>
        </r>
      </text>
    </comment>
    <comment ref="B19" authorId="2" shapeId="0" xr:uid="{00000000-0006-0000-0D00-000003000000}">
      <text>
        <r>
          <rPr>
            <sz val="11"/>
            <color indexed="81"/>
            <rFont val="Tahoma"/>
            <family val="2"/>
          </rPr>
          <t xml:space="preserve">Dryland summer/autumn pasture-based diets are generally 2-3% so can safely feed an additional 3-4% </t>
        </r>
      </text>
    </comment>
    <comment ref="B21" authorId="3" shapeId="0" xr:uid="{00000000-0006-0000-0D00-000004000000}">
      <text>
        <r>
          <rPr>
            <sz val="11"/>
            <color indexed="81"/>
            <rFont val="Tahoma"/>
            <family val="2"/>
          </rPr>
          <t>This strategy assumes that the high fat supplement does not reduce intake of the other components of the diet.  This would suggest that the milkers were underfed previously.  For example, the baseline diet has the cows consuming 17 kg DM per day but now with feeding 3 kg DM/day of high fat supplement, the cows are now consuming 20 kg DM/day.</t>
        </r>
        <r>
          <rPr>
            <sz val="9"/>
            <color indexed="81"/>
            <rFont val="Tahoma"/>
            <family val="2"/>
          </rPr>
          <t xml:space="preserve">
</t>
        </r>
      </text>
    </comment>
    <comment ref="B31" authorId="3" shapeId="0" xr:uid="{00000000-0006-0000-0D00-000005000000}">
      <text>
        <r>
          <rPr>
            <sz val="11"/>
            <color indexed="81"/>
            <rFont val="Tahoma"/>
            <family val="2"/>
          </rPr>
          <t xml:space="preserve">When entering the price of the new high dietary fat supplement, consider if there are any additional costs associated with feeding out the supplement.  For example, some supplements may be better fed using a feedpad area so is there more machinery and labour associated with delivery of the high fat supplement to the milkers?  Or is it just delivered through the dairy and so no additional electricity or machinery or labour?  </t>
        </r>
        <r>
          <rPr>
            <sz val="9"/>
            <color indexed="81"/>
            <rFont val="Tahoma"/>
            <family val="2"/>
          </rPr>
          <t xml:space="preserve">
</t>
        </r>
      </text>
    </comment>
    <comment ref="B33" authorId="2" shapeId="0" xr:uid="{00000000-0006-0000-0D00-000006000000}">
      <text>
        <r>
          <rPr>
            <sz val="11"/>
            <color indexed="81"/>
            <rFont val="Tahoma"/>
            <family val="2"/>
          </rPr>
          <t xml:space="preserve">Substitution rate (SR) is the rate that one feed reduces the intake of another feed.  In this model, a SR of 0.0 means that there is no substitution.  A SR of 1.0 means that for every 1 kg DM of supplement fed, the baseline diet intake will be reduced by 1 kg DM.  Therefore if the SR is 0.5, the baseline diet is 15 kg pastures and 4 kg of high dietary fat supplement is then fed, then the die consists of 13kg pasture and 4kg fat, resulting in 17kg DMI.  If the SR was 0.0, then 19kg DMI would be consumed, if the SR was 1.0, then 15kg DMI was be consumed   </t>
        </r>
      </text>
    </comment>
    <comment ref="B35" authorId="1" shapeId="0" xr:uid="{00000000-0006-0000-0D00-000007000000}">
      <text>
        <r>
          <rPr>
            <sz val="11"/>
            <color indexed="81"/>
            <rFont val="Tahoma"/>
            <family val="2"/>
          </rPr>
          <t xml:space="preserve">Enter you average milk price over the whole year based on $ per litre. </t>
        </r>
        <r>
          <rPr>
            <sz val="8"/>
            <color indexed="81"/>
            <rFont val="Tahoma"/>
            <family val="2"/>
          </rPr>
          <t xml:space="preserve">
</t>
        </r>
      </text>
    </comment>
    <comment ref="B37" authorId="2" shapeId="0" xr:uid="{00000000-0006-0000-0D00-000008000000}">
      <text>
        <r>
          <rPr>
            <sz val="11"/>
            <color indexed="81"/>
            <rFont val="Tahoma"/>
            <family val="2"/>
          </rPr>
          <t xml:space="preserve">High fat supplements generally fed when milk price is higher than the annual average milk price (e.g. 40c/litre year round but 42.5 c/litre over summer).  Enter via the up/down arrows 0.40 in the previous cell and 0.425 in this cell 
</t>
        </r>
      </text>
    </comment>
    <comment ref="B39" authorId="1" shapeId="0" xr:uid="{00000000-0006-0000-0D00-000009000000}">
      <text>
        <r>
          <rPr>
            <sz val="11"/>
            <color indexed="81"/>
            <rFont val="Tahoma"/>
            <family val="2"/>
          </rPr>
          <t xml:space="preserve">Enter the farm price received from the CFI for a tonne of CO2-e.  </t>
        </r>
        <r>
          <rPr>
            <sz val="8"/>
            <color indexed="81"/>
            <rFont val="Tahoma"/>
            <family val="2"/>
          </rPr>
          <t xml:space="preserve">
</t>
        </r>
      </text>
    </comment>
    <comment ref="B42" authorId="2" shapeId="0" xr:uid="{00000000-0006-0000-0D00-00000A000000}">
      <text>
        <r>
          <rPr>
            <sz val="11"/>
            <color indexed="81"/>
            <rFont val="Tahoma"/>
            <family val="2"/>
          </rPr>
          <t>Any diet with a dietary fat % of greater than 7% will adversely affect milk production.  If a message "TOO HIGH" appears, either the amount of supplement fed needs reducing or the fat content of the new supplement needs reducing or a combination of these options.</t>
        </r>
      </text>
    </comment>
    <comment ref="B45" authorId="2" shapeId="0" xr:uid="{00000000-0006-0000-0D00-00000B000000}">
      <text>
        <r>
          <rPr>
            <sz val="11"/>
            <color indexed="81"/>
            <rFont val="Tahoma"/>
            <family val="2"/>
          </rPr>
          <t xml:space="preserve">Negative number indicates that enteric methane emissions have increased </t>
        </r>
      </text>
    </comment>
    <comment ref="B46" authorId="3" shapeId="0" xr:uid="{00000000-0006-0000-0D00-00000C000000}">
      <text>
        <r>
          <rPr>
            <sz val="11"/>
            <color indexed="81"/>
            <rFont val="Tahoma"/>
            <family val="2"/>
          </rPr>
          <t>Negative numbers indicate waste methane has increased</t>
        </r>
        <r>
          <rPr>
            <sz val="9"/>
            <color indexed="81"/>
            <rFont val="Tahoma"/>
            <family val="2"/>
          </rPr>
          <t xml:space="preserve">
</t>
        </r>
      </text>
    </comment>
    <comment ref="B47" authorId="3" shapeId="0" xr:uid="{00000000-0006-0000-0D00-00000D000000}">
      <text>
        <r>
          <rPr>
            <sz val="11"/>
            <color indexed="81"/>
            <rFont val="Tahoma"/>
            <family val="2"/>
          </rPr>
          <t>Negative numbers indicate waste nitrous oxide emissions have  increased</t>
        </r>
        <r>
          <rPr>
            <sz val="9"/>
            <color indexed="81"/>
            <rFont val="Tahoma"/>
            <family val="2"/>
          </rPr>
          <t xml:space="preserve">
</t>
        </r>
      </text>
    </comment>
    <comment ref="B48" authorId="3" shapeId="0" xr:uid="{00000000-0006-0000-0D00-00000E000000}">
      <text>
        <r>
          <rPr>
            <sz val="11"/>
            <color indexed="81"/>
            <rFont val="Tahoma"/>
            <family val="2"/>
          </rPr>
          <t xml:space="preserve">Negative numbers indicate N fertiliser nitrous oxide emissions have  increased
</t>
        </r>
      </text>
    </comment>
    <comment ref="B49" authorId="3" shapeId="0" xr:uid="{00000000-0006-0000-0D00-00000F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50" authorId="3" shapeId="0" xr:uid="{00000000-0006-0000-0D00-000010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51" authorId="3" shapeId="0" xr:uid="{00000000-0006-0000-0D00-000011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52" authorId="3" shapeId="0" xr:uid="{00000000-0006-0000-0D00-000012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53" authorId="3" shapeId="0" xr:uid="{00000000-0006-0000-0D00-000013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4" authorId="3" shapeId="0" xr:uid="{00000000-0006-0000-0D00-000014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5" authorId="3" shapeId="0" xr:uid="{00000000-0006-0000-0D00-000015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56" authorId="3" shapeId="0" xr:uid="{00000000-0006-0000-0D00-000016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57" authorId="3" shapeId="0" xr:uid="{00000000-0006-0000-0D00-000017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58" authorId="3" shapeId="0" xr:uid="{00000000-0006-0000-0D00-000018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71" authorId="2" shapeId="0" xr:uid="{00000000-0006-0000-0D00-000019000000}">
      <text>
        <r>
          <rPr>
            <b/>
            <sz val="8"/>
            <color indexed="81"/>
            <rFont val="Tahoma"/>
            <family val="2"/>
          </rPr>
          <t>karenc1:</t>
        </r>
        <r>
          <rPr>
            <sz val="8"/>
            <color indexed="81"/>
            <rFont val="Tahoma"/>
            <family val="2"/>
          </rPr>
          <t xml:space="preserve">
Dryland summer/autumn pasture-based diets are generally 2-3% so can safely feed an additional 3-4% </t>
        </r>
      </text>
    </comment>
    <comment ref="B75" authorId="2" shapeId="0" xr:uid="{00000000-0006-0000-0D00-00001A000000}">
      <text/>
    </comment>
    <comment ref="B78" authorId="2" shapeId="0" xr:uid="{00000000-0006-0000-0D00-00001B000000}">
      <text>
        <r>
          <rPr>
            <b/>
            <sz val="8"/>
            <color indexed="81"/>
            <rFont val="Tahoma"/>
            <family val="2"/>
          </rPr>
          <t>karenc1:</t>
        </r>
        <r>
          <rPr>
            <sz val="8"/>
            <color indexed="81"/>
            <rFont val="Tahoma"/>
            <family val="2"/>
          </rPr>
          <t xml:space="preserve">
Substitution rate (SR) is the rate that one feed reduces the intake of another feed.  In this model, a SR of 0.0 means that there is no substitution.  A SR of 1.0 means that for every 1 kg DM of supplement fed, the baseline diet intake will be reduced by 1 kg DM.  Therefore if the SR is 0.5, the baseline diet is 15 kg pastures and 4 kg of high dietary fat supplement is then fed, then the die consists of 13kg pasture and 4kg fat, resulting in 17kg DMI.  If the SR was 0.0, then 19kg DMI would be consumed, if the SR was 1.0, then 15kg DMI was be consumed   </t>
        </r>
      </text>
    </comment>
    <comment ref="B79" authorId="1" shapeId="0" xr:uid="{00000000-0006-0000-0D00-00001C000000}">
      <text>
        <r>
          <rPr>
            <sz val="8"/>
            <color indexed="81"/>
            <rFont val="Tahoma"/>
            <family val="2"/>
          </rPr>
          <t xml:space="preserve">Enter you average milk price for season in $ per litre. 
</t>
        </r>
      </text>
    </comment>
    <comment ref="B81" authorId="1" shapeId="0" xr:uid="{00000000-0006-0000-0D00-00001D000000}">
      <text>
        <r>
          <rPr>
            <sz val="8"/>
            <color indexed="81"/>
            <rFont val="Tahoma"/>
            <family val="2"/>
          </rPr>
          <t xml:space="preserve">Enter the farm price received from the CFI for a tonne of CO2-e.  (Provide some more detail here)
</t>
        </r>
      </text>
    </comment>
    <comment ref="B338" authorId="4" shapeId="0" xr:uid="{00000000-0006-0000-0D00-00001E000000}">
      <text>
        <r>
          <rPr>
            <sz val="8"/>
            <color indexed="81"/>
            <rFont val="Tahoma"/>
            <family val="2"/>
          </rPr>
          <t>MMS = the fraction of AE that is managed in the different manure management systems (except for pasture range and paddock)</t>
        </r>
      </text>
    </comment>
    <comment ref="B341" authorId="4" shapeId="0" xr:uid="{00000000-0006-0000-0D00-00001F000000}">
      <text>
        <r>
          <rPr>
            <sz val="8"/>
            <color indexed="81"/>
            <rFont val="Tahoma"/>
            <family val="2"/>
          </rPr>
          <t>E = total emissions of nitrous oxide from the different manure management systems (except for pasture range and paddock)</t>
        </r>
      </text>
    </comment>
    <comment ref="B343" authorId="4" shapeId="0" xr:uid="{00000000-0006-0000-0D00-000020000000}">
      <text>
        <r>
          <rPr>
            <sz val="8"/>
            <color indexed="81"/>
            <rFont val="Tahoma"/>
            <family val="2"/>
          </rPr>
          <t>Except for pasture range and paddock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3" authorId="0" shapeId="0" xr:uid="{00000000-0006-0000-0E00-000001000000}">
      <text>
        <r>
          <rPr>
            <sz val="8"/>
            <color indexed="81"/>
            <rFont val="Tahoma"/>
            <family val="2"/>
          </rPr>
          <t>Enter the likely average daily liveweight gain (kg/day) for each class of animal in the herd.</t>
        </r>
      </text>
    </comment>
    <comment ref="C13" authorId="1" shapeId="0" xr:uid="{00000000-0006-0000-0E00-000002000000}">
      <text>
        <r>
          <rPr>
            <sz val="8"/>
            <color indexed="81"/>
            <rFont val="Tahoma"/>
            <family val="2"/>
          </rPr>
          <t xml:space="preserve">Can be referenced back to DGAS
</t>
        </r>
      </text>
    </comment>
    <comment ref="B25" authorId="2" shapeId="0" xr:uid="{00000000-0006-0000-0E00-000003000000}">
      <text>
        <r>
          <rPr>
            <sz val="11"/>
            <color indexed="81"/>
            <rFont val="Tahoma"/>
            <family val="2"/>
          </rPr>
          <t xml:space="preserve">Substitution rate (SR) is the rate that one feed reduces the intake of another feed.  In this model, a SR of 0.0 means that there is no substitution, only an increase in intake.  A SR of 1.0 means that for every 1 kg DM of supplement fed, the baseline diet intake will be reduced by 1 kg DM.  Therefore if the SR is 0.5, the baseline diet is 15 kg pastures and 4 kg of grain supplement is then fed, then the die consists of 13kg pasture and 4kg grain, resulting in 17kg DMI.  If the SR was 0.0, then 19kg DMI would be consumed (15kg pasture and 4kg grain), if the SR was 1.0, then 15kg DMI was be consumed (11 kg pasture and 4kg grain). </t>
        </r>
        <r>
          <rPr>
            <sz val="8"/>
            <color indexed="81"/>
            <rFont val="Tahoma"/>
            <family val="2"/>
          </rPr>
          <t xml:space="preserve"> </t>
        </r>
      </text>
    </comment>
    <comment ref="B29" authorId="3" shapeId="0" xr:uid="{00000000-0006-0000-0E00-000004000000}">
      <text>
        <r>
          <rPr>
            <sz val="9"/>
            <color indexed="81"/>
            <rFont val="Tahoma"/>
            <family val="2"/>
          </rPr>
          <t xml:space="preserve">Make sure you also consider if there is any additional machinery or electricity or labour required with this strategy. 
</t>
        </r>
      </text>
    </comment>
    <comment ref="B31" authorId="1" shapeId="0" xr:uid="{00000000-0006-0000-0E00-000005000000}">
      <text>
        <r>
          <rPr>
            <sz val="11"/>
            <color indexed="81"/>
            <rFont val="Tahoma"/>
            <family val="2"/>
          </rPr>
          <t xml:space="preserve">Enter you average milk price over the whole year based on $ per litre. </t>
        </r>
        <r>
          <rPr>
            <sz val="8"/>
            <color indexed="81"/>
            <rFont val="Tahoma"/>
            <family val="2"/>
          </rPr>
          <t xml:space="preserve">
</t>
        </r>
      </text>
    </comment>
    <comment ref="B33" authorId="2" shapeId="0" xr:uid="{00000000-0006-0000-0E00-000006000000}">
      <text>
        <r>
          <rPr>
            <sz val="11"/>
            <color indexed="81"/>
            <rFont val="Tahoma"/>
            <family val="2"/>
          </rPr>
          <t>The milk price for when the increased DMD supplement is fed might be higher than the annual average milk price.</t>
        </r>
      </text>
    </comment>
    <comment ref="B35" authorId="1" shapeId="0" xr:uid="{00000000-0006-0000-0E00-000007000000}">
      <text>
        <r>
          <rPr>
            <sz val="11"/>
            <color indexed="81"/>
            <rFont val="Tahoma"/>
            <family val="2"/>
          </rPr>
          <t xml:space="preserve">Enter the farm price received from the CFI for a tonne of CO2-e.  </t>
        </r>
        <r>
          <rPr>
            <sz val="8"/>
            <color indexed="81"/>
            <rFont val="Tahoma"/>
            <family val="2"/>
          </rPr>
          <t xml:space="preserve">
</t>
        </r>
      </text>
    </comment>
    <comment ref="B41" authorId="2" shapeId="0" xr:uid="{00000000-0006-0000-0E00-000008000000}">
      <text>
        <r>
          <rPr>
            <sz val="11"/>
            <color indexed="81"/>
            <rFont val="Tahoma"/>
            <family val="2"/>
          </rPr>
          <t xml:space="preserve">Negative number indicates that enteric methane emissions have increased </t>
        </r>
      </text>
    </comment>
    <comment ref="B42" authorId="3" shapeId="0" xr:uid="{00000000-0006-0000-0E00-000009000000}">
      <text>
        <r>
          <rPr>
            <sz val="11"/>
            <color indexed="81"/>
            <rFont val="Tahoma"/>
            <family val="2"/>
          </rPr>
          <t>Negative numbers indicate waste methane has increased</t>
        </r>
        <r>
          <rPr>
            <sz val="9"/>
            <color indexed="81"/>
            <rFont val="Tahoma"/>
            <family val="2"/>
          </rPr>
          <t xml:space="preserve">
</t>
        </r>
      </text>
    </comment>
    <comment ref="B43" authorId="3" shapeId="0" xr:uid="{00000000-0006-0000-0E00-00000A000000}">
      <text>
        <r>
          <rPr>
            <sz val="11"/>
            <color indexed="81"/>
            <rFont val="Tahoma"/>
            <family val="2"/>
          </rPr>
          <t>Negative numbers indicate waste nitrous oxide emissions have  increased</t>
        </r>
        <r>
          <rPr>
            <sz val="9"/>
            <color indexed="81"/>
            <rFont val="Tahoma"/>
            <family val="2"/>
          </rPr>
          <t xml:space="preserve">
</t>
        </r>
      </text>
    </comment>
    <comment ref="B44" authorId="3" shapeId="0" xr:uid="{00000000-0006-0000-0E00-00000B000000}">
      <text>
        <r>
          <rPr>
            <sz val="11"/>
            <color indexed="81"/>
            <rFont val="Tahoma"/>
            <family val="2"/>
          </rPr>
          <t xml:space="preserve">Negative numbers indicate N fertiliser nitrous oxide emissions have  increased
</t>
        </r>
      </text>
    </comment>
    <comment ref="B45" authorId="3" shapeId="0" xr:uid="{00000000-0006-0000-0E00-00000C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6" authorId="3" shapeId="0" xr:uid="{00000000-0006-0000-0E00-00000D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7" authorId="3" shapeId="0" xr:uid="{00000000-0006-0000-0E00-00000E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8" authorId="3" shapeId="0" xr:uid="{00000000-0006-0000-0E00-00000F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9" authorId="3" shapeId="0" xr:uid="{00000000-0006-0000-0E00-000010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50" authorId="3" shapeId="0" xr:uid="{00000000-0006-0000-0E00-000011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51" authorId="3" shapeId="0" xr:uid="{00000000-0006-0000-0E00-000012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52" authorId="3" shapeId="0" xr:uid="{00000000-0006-0000-0E00-000013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53" authorId="3" shapeId="0" xr:uid="{00000000-0006-0000-0E00-000014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54" authorId="3" shapeId="0" xr:uid="{00000000-0006-0000-0E00-000015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71" authorId="2" shapeId="0" xr:uid="{00000000-0006-0000-0E00-000016000000}">
      <text>
        <r>
          <rPr>
            <b/>
            <sz val="8"/>
            <color indexed="81"/>
            <rFont val="Tahoma"/>
            <family val="2"/>
          </rPr>
          <t>karenc1:</t>
        </r>
        <r>
          <rPr>
            <sz val="8"/>
            <color indexed="81"/>
            <rFont val="Tahoma"/>
            <family val="2"/>
          </rPr>
          <t xml:space="preserve">
Substitution rate (SR) is the rate that one feed reduces the intake of another feed.  In this model, a SR of 0.0 means that there is no substitution, only an increase in intake.  A SR of 1.0 means that for every 1 kg DM of supplement fed, the baseline diet intake will be reduced by 1 kg DM.  Therefore if the SR is 0.5, the baseline diet is 15 kg pastures and 4 kg of grain supplement is then fed, then the die consists of 13kg pasture and 4kg grain, resulting in 17kg DMI.  If the SR was 0.0, then 19kg DMI would be consumed (15kg pasture and 4kg grain), if the SR was 1.0, then 15kg DMI was be consumed (11 kg pasture and 4kg grain)  </t>
        </r>
      </text>
    </comment>
    <comment ref="B74" authorId="1" shapeId="0" xr:uid="{00000000-0006-0000-0E00-000017000000}">
      <text>
        <r>
          <rPr>
            <sz val="8"/>
            <color indexed="81"/>
            <rFont val="Tahoma"/>
            <family val="2"/>
          </rPr>
          <t xml:space="preserve">Enter you average milk price for season in $ per litre. 
</t>
        </r>
      </text>
    </comment>
    <comment ref="B76" authorId="1" shapeId="0" xr:uid="{00000000-0006-0000-0E00-000018000000}">
      <text>
        <r>
          <rPr>
            <sz val="8"/>
            <color indexed="81"/>
            <rFont val="Tahoma"/>
            <family val="2"/>
          </rPr>
          <t xml:space="preserve">Enter the farm price received from the CFI for a tonne of CO2-e.  (Provide some more detail here)
</t>
        </r>
      </text>
    </comment>
    <comment ref="B316" authorId="4" shapeId="0" xr:uid="{00000000-0006-0000-0E00-000019000000}">
      <text>
        <r>
          <rPr>
            <sz val="8"/>
            <color indexed="81"/>
            <rFont val="Tahoma"/>
            <family val="2"/>
          </rPr>
          <t>MMS = the fraction of AE that is managed in the different manure management systems (except for pasture range and paddock)</t>
        </r>
      </text>
    </comment>
    <comment ref="B319" authorId="4" shapeId="0" xr:uid="{00000000-0006-0000-0E00-00001A000000}">
      <text>
        <r>
          <rPr>
            <sz val="8"/>
            <color indexed="81"/>
            <rFont val="Tahoma"/>
            <family val="2"/>
          </rPr>
          <t>E = total emissions of nitrous oxide from the different manure management systems (except for pasture range and paddock)</t>
        </r>
      </text>
    </comment>
    <comment ref="B321" authorId="4" shapeId="0" xr:uid="{00000000-0006-0000-0E00-00001B000000}">
      <text>
        <r>
          <rPr>
            <sz val="8"/>
            <color indexed="81"/>
            <rFont val="Tahoma"/>
            <family val="2"/>
          </rPr>
          <t>Except for pasture range and paddock</t>
        </r>
      </text>
    </comment>
    <comment ref="J360" authorId="4" shapeId="0" xr:uid="{00000000-0006-0000-0E00-00001C000000}">
      <text>
        <r>
          <rPr>
            <sz val="8"/>
            <color indexed="81"/>
            <rFont val="Tahoma"/>
            <family val="2"/>
          </rPr>
          <t>Fraction of N available for leaching and runoff for each state can be found in Appendix 6.J.1. However, since dairy farms are either irrigated or believed to receive enough rainfall to leach, fraction of leaching and runoff here was assumed to be 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Dr Richard J Eckard</author>
    <author>rrawnsle</author>
    <author>karenc1</author>
    <author>Karen Christie</author>
    <author>Seyda Ozkan</author>
  </authors>
  <commentList>
    <comment ref="B12" authorId="0" shapeId="0" xr:uid="{00000000-0006-0000-0F00-000001000000}">
      <text>
        <r>
          <rPr>
            <sz val="8"/>
            <color indexed="81"/>
            <rFont val="Tahoma"/>
            <family val="2"/>
          </rPr>
          <t>Enter the likely average daily liveweight gain (kg/day) for each class of animal in the herd.</t>
        </r>
      </text>
    </comment>
    <comment ref="C12" authorId="1" shapeId="0" xr:uid="{00000000-0006-0000-0F00-000002000000}">
      <text>
        <r>
          <rPr>
            <sz val="8"/>
            <color indexed="81"/>
            <rFont val="Tahoma"/>
            <family val="2"/>
          </rPr>
          <t xml:space="preserve">Can be referenced back to DGAS
</t>
        </r>
      </text>
    </comment>
    <comment ref="B26" authorId="1" shapeId="0" xr:uid="{00000000-0006-0000-0F00-000003000000}">
      <text>
        <r>
          <rPr>
            <sz val="11"/>
            <color indexed="81"/>
            <rFont val="Tahoma"/>
            <family val="2"/>
          </rPr>
          <t xml:space="preserve">Enter you average milk price over the whole year based on $ per litre. </t>
        </r>
        <r>
          <rPr>
            <sz val="8"/>
            <color indexed="81"/>
            <rFont val="Tahoma"/>
            <family val="2"/>
          </rPr>
          <t xml:space="preserve">
</t>
        </r>
      </text>
    </comment>
    <comment ref="B28" authorId="2" shapeId="0" xr:uid="{00000000-0006-0000-0F00-000004000000}">
      <text>
        <r>
          <rPr>
            <sz val="11"/>
            <color indexed="81"/>
            <rFont val="Tahoma"/>
            <family val="2"/>
          </rPr>
          <t>The milk price for when the management practice is implemented to increase diet DMD might be different to the mean annual milk price.</t>
        </r>
      </text>
    </comment>
    <comment ref="B30" authorId="1" shapeId="0" xr:uid="{00000000-0006-0000-0F00-000005000000}">
      <text>
        <r>
          <rPr>
            <sz val="11"/>
            <color indexed="81"/>
            <rFont val="Tahoma"/>
            <family val="2"/>
          </rPr>
          <t xml:space="preserve">Enter the farm price received from the CFI for a tonne of CO2-e.  </t>
        </r>
        <r>
          <rPr>
            <sz val="8"/>
            <color indexed="81"/>
            <rFont val="Tahoma"/>
            <family val="2"/>
          </rPr>
          <t xml:space="preserve">
</t>
        </r>
      </text>
    </comment>
    <comment ref="B32" authorId="2" shapeId="0" xr:uid="{00000000-0006-0000-0F00-000006000000}">
      <text>
        <r>
          <rPr>
            <b/>
            <sz val="8"/>
            <color indexed="81"/>
            <rFont val="Tahoma"/>
            <family val="2"/>
          </rPr>
          <t>karenc1:</t>
        </r>
        <r>
          <rPr>
            <sz val="8"/>
            <color indexed="81"/>
            <rFont val="Tahoma"/>
            <family val="2"/>
          </rPr>
          <t xml:space="preserve">
Does the daily intake of the cow change as well as the digestibility?  If the diet increases by 2kg DM/day, enter 2.0 in this cell.  If it remains the same (only the quality of the diet changes, not the quantity), enter 0.0 in this cell.  If it is reduced by 2kg/day, enter -2.0 in this cell.
</t>
        </r>
      </text>
    </comment>
    <comment ref="B38" authorId="2" shapeId="0" xr:uid="{00000000-0006-0000-0F00-000007000000}">
      <text>
        <r>
          <rPr>
            <sz val="11"/>
            <color indexed="81"/>
            <rFont val="Tahoma"/>
            <family val="2"/>
          </rPr>
          <t xml:space="preserve">Negative number indicates that enteric methane emissions have increased </t>
        </r>
      </text>
    </comment>
    <comment ref="B39" authorId="3" shapeId="0" xr:uid="{00000000-0006-0000-0F00-000008000000}">
      <text>
        <r>
          <rPr>
            <sz val="11"/>
            <color indexed="81"/>
            <rFont val="Tahoma"/>
            <family val="2"/>
          </rPr>
          <t>Negative numbers indicate waste methane has increased</t>
        </r>
        <r>
          <rPr>
            <sz val="9"/>
            <color indexed="81"/>
            <rFont val="Tahoma"/>
            <family val="2"/>
          </rPr>
          <t xml:space="preserve">
</t>
        </r>
      </text>
    </comment>
    <comment ref="B40" authorId="3" shapeId="0" xr:uid="{00000000-0006-0000-0F00-000009000000}">
      <text>
        <r>
          <rPr>
            <sz val="11"/>
            <color indexed="81"/>
            <rFont val="Tahoma"/>
            <family val="2"/>
          </rPr>
          <t>Negative numbers indicate waste nitrous oxide emissions have  increased</t>
        </r>
        <r>
          <rPr>
            <sz val="9"/>
            <color indexed="81"/>
            <rFont val="Tahoma"/>
            <family val="2"/>
          </rPr>
          <t xml:space="preserve">
</t>
        </r>
      </text>
    </comment>
    <comment ref="B41" authorId="3" shapeId="0" xr:uid="{00000000-0006-0000-0F00-00000A000000}">
      <text>
        <r>
          <rPr>
            <sz val="11"/>
            <color indexed="81"/>
            <rFont val="Tahoma"/>
            <family val="2"/>
          </rPr>
          <t xml:space="preserve">Negative numbers indicate N fertiliser nitrous oxide emissions have  increased
</t>
        </r>
      </text>
    </comment>
    <comment ref="B42" authorId="3" shapeId="0" xr:uid="{00000000-0006-0000-0F00-00000B000000}">
      <text>
        <r>
          <rPr>
            <sz val="11"/>
            <color indexed="81"/>
            <rFont val="Tahoma"/>
            <family val="2"/>
          </rPr>
          <t>This is the sum of all reductions in GHG emissions and if negative represents a net increase in farm GHG emissions.</t>
        </r>
        <r>
          <rPr>
            <sz val="9"/>
            <color indexed="81"/>
            <rFont val="Tahoma"/>
            <family val="2"/>
          </rPr>
          <t xml:space="preserve">
</t>
        </r>
      </text>
    </comment>
    <comment ref="B43" authorId="3" shapeId="0" xr:uid="{00000000-0006-0000-0F00-00000C000000}">
      <text>
        <r>
          <rPr>
            <sz val="11"/>
            <color indexed="81"/>
            <rFont val="Tahoma"/>
            <family val="2"/>
          </rPr>
          <t>If figure reflects the income achieved if the strategy adopted qualified for a carbon credit.</t>
        </r>
        <r>
          <rPr>
            <sz val="9"/>
            <color indexed="81"/>
            <rFont val="Tahoma"/>
            <family val="2"/>
          </rPr>
          <t xml:space="preserve">
</t>
        </r>
      </text>
    </comment>
    <comment ref="B44" authorId="3" shapeId="0" xr:uid="{00000000-0006-0000-0F00-00000D000000}">
      <text>
        <r>
          <rPr>
            <sz val="11"/>
            <color indexed="81"/>
            <rFont val="Tahoma"/>
            <family val="2"/>
          </rPr>
          <t>This figure represents how much it would cost to implement the abatement strategy and is influenced by the data entered in the above Key variables for the strategy farm pink section.</t>
        </r>
        <r>
          <rPr>
            <sz val="9"/>
            <color indexed="81"/>
            <rFont val="Tahoma"/>
            <family val="2"/>
          </rPr>
          <t xml:space="preserve">
</t>
        </r>
      </text>
    </comment>
    <comment ref="B45" authorId="3" shapeId="0" xr:uid="{00000000-0006-0000-0F00-00000E000000}">
      <text>
        <r>
          <rPr>
            <sz val="11"/>
            <color indexed="81"/>
            <rFont val="Tahoma"/>
            <family val="2"/>
          </rPr>
          <t xml:space="preserve">This figure reflects the difference between the potential carbon credit and the expenses to implement the strategy.  If this number is negative, it means that it cost more to implement than any potential income from a reduction in GHG emissions.  For example, if an abatement strategy resulted in a potential carbon credit of $2500 per annum but it cost $3000 to implement, then the benefit as a stand alone abatement would be a loss of $500 per annum. </t>
        </r>
        <r>
          <rPr>
            <sz val="9"/>
            <color indexed="81"/>
            <rFont val="Tahoma"/>
            <family val="2"/>
          </rPr>
          <t xml:space="preserve">
</t>
        </r>
      </text>
    </comment>
    <comment ref="B46" authorId="3" shapeId="0" xr:uid="{00000000-0006-0000-0F00-00000F000000}">
      <text>
        <r>
          <rPr>
            <sz val="11"/>
            <color indexed="81"/>
            <rFont val="Tahoma"/>
            <family val="2"/>
          </rPr>
          <t>Some strategies result in additional milk being produced.  If this is the case, this additional amount of milk is multiplied by the milk price entered above in the pink Key variables for the strategy farm section and reported here.</t>
        </r>
        <r>
          <rPr>
            <sz val="9"/>
            <color indexed="81"/>
            <rFont val="Tahoma"/>
            <family val="2"/>
          </rPr>
          <t xml:space="preserve">
</t>
        </r>
      </text>
    </comment>
    <comment ref="B47" authorId="3" shapeId="0" xr:uid="{00000000-0006-0000-0F00-000010000000}">
      <text>
        <r>
          <rPr>
            <sz val="11"/>
            <color indexed="81"/>
            <rFont val="Tahoma"/>
            <family val="2"/>
          </rPr>
          <t>If there is an increase in milk income, this is added to the potential income from any carbon credit and the cost of implementing the strategy deducted.
For example, if an abatement strategy resulted in a potential carbon credit of $2500 per annum but it cost $3000 to implement, then the benefit as a stand alone abatement would be a loss of $500 per annum.  However, if the strategy resulted in additional milk to the value of $2500 per annum, then the estimated total farm benefit from the strategy would be $2000 per annum.</t>
        </r>
      </text>
    </comment>
    <comment ref="B48" authorId="3" shapeId="0" xr:uid="{00000000-0006-0000-0F00-000011000000}">
      <text>
        <r>
          <rPr>
            <sz val="11"/>
            <color indexed="81"/>
            <rFont val="Tahoma"/>
            <family val="2"/>
          </rPr>
          <t xml:space="preserve">This figure is calculated by dividing the total farm benefit based on a reduction in total farm GHG emissions (i.e. far right blue column financial figure) by the estimated income from milk production for the baseline farm system.  For example, if implementing an abatement strategy resulted in an additional net total farm benefit of $1000 per annum once the changes in income and expenses were taken into consideration. If the baseline milk income was $100,000 per annum, then the CFI total farm benefit income, as a percentage of milk income would be 1%   </t>
        </r>
        <r>
          <rPr>
            <sz val="9"/>
            <color indexed="81"/>
            <rFont val="Tahoma"/>
            <family val="2"/>
          </rPr>
          <t xml:space="preserve">
</t>
        </r>
      </text>
    </comment>
    <comment ref="B49" authorId="3" shapeId="0" xr:uid="{00000000-0006-0000-0F00-000012000000}">
      <text>
        <r>
          <rPr>
            <sz val="11"/>
            <color indexed="81"/>
            <rFont val="Tahoma"/>
            <family val="2"/>
          </rPr>
          <t xml:space="preserve">This figure indicates the reduction in emissions intensity as a consequence of implementing the abatement strategy.  For example, if the emissions intensity of the baseline farm system was 1.05 kg CO2e/ litre of milk and this is reduced to 1.00 kg CO2e/ litre of milk by implementing an abatement strategy, this would represent a reduction in emissions intensity of 0.05 kg CO2e/ litre of milk. </t>
        </r>
        <r>
          <rPr>
            <sz val="9"/>
            <color indexed="81"/>
            <rFont val="Tahoma"/>
            <family val="2"/>
          </rPr>
          <t xml:space="preserve">
</t>
        </r>
      </text>
    </comment>
    <comment ref="B50" authorId="3" shapeId="0" xr:uid="{00000000-0006-0000-0F00-000013000000}">
      <text>
        <r>
          <rPr>
            <sz val="11"/>
            <color indexed="81"/>
            <rFont val="Tahoma"/>
            <family val="2"/>
          </rPr>
          <t xml:space="preserve">If a carbon credit was paid based on  reduction in emissions intensity, this figure would reflect this carbon credit.  For example, if a strategy reduced the emissions intensity by 0.05 kg CO2e/ litre of milk, the farm produced 1 millions litres during the strategy period and the price per t of CO2e was $5, then the potential carbon credit would be $250 per annum (i.e. 0.05 x 1 million x $5 / 1000 to convert from kg to tonnes of carbon).
</t>
        </r>
      </text>
    </comment>
    <comment ref="B51" authorId="3" shapeId="0" xr:uid="{00000000-0006-0000-0F00-000014000000}">
      <text>
        <r>
          <rPr>
            <sz val="11"/>
            <color indexed="81"/>
            <rFont val="Tahoma"/>
            <family val="2"/>
          </rPr>
          <t>This figure includes any additional income from milk production in addition to any carbon credit if payment was based on a reduction in emissions intensity of milk production.</t>
        </r>
        <r>
          <rPr>
            <sz val="9"/>
            <color indexed="81"/>
            <rFont val="Tahoma"/>
            <family val="2"/>
          </rPr>
          <t xml:space="preserve">
</t>
        </r>
      </text>
    </comment>
    <comment ref="B72" authorId="1" shapeId="0" xr:uid="{00000000-0006-0000-0F00-000015000000}">
      <text>
        <r>
          <rPr>
            <sz val="8"/>
            <color indexed="81"/>
            <rFont val="Tahoma"/>
            <family val="2"/>
          </rPr>
          <t xml:space="preserve">Enter you average milk price for season in $ per litre. 
</t>
        </r>
      </text>
    </comment>
    <comment ref="B74" authorId="1" shapeId="0" xr:uid="{00000000-0006-0000-0F00-000016000000}">
      <text>
        <r>
          <rPr>
            <sz val="8"/>
            <color indexed="81"/>
            <rFont val="Tahoma"/>
            <family val="2"/>
          </rPr>
          <t xml:space="preserve">Enter the farm price received from the CFI for a tonne of CO2-e.  (Provide some more detail here)
</t>
        </r>
      </text>
    </comment>
    <comment ref="B428" authorId="4" shapeId="0" xr:uid="{00000000-0006-0000-0F00-000017000000}">
      <text>
        <r>
          <rPr>
            <sz val="8"/>
            <color indexed="81"/>
            <rFont val="Tahoma"/>
            <family val="2"/>
          </rPr>
          <t>MMS = the fraction of AE that is managed in the different manure management systems (except for pasture range and paddock)</t>
        </r>
      </text>
    </comment>
    <comment ref="B431" authorId="4" shapeId="0" xr:uid="{00000000-0006-0000-0F00-000018000000}">
      <text>
        <r>
          <rPr>
            <sz val="8"/>
            <color indexed="81"/>
            <rFont val="Tahoma"/>
            <family val="2"/>
          </rPr>
          <t>E = total emissions of nitrous oxide from the different manure management systems (except for pasture range and paddock)</t>
        </r>
      </text>
    </comment>
    <comment ref="B433" authorId="4" shapeId="0" xr:uid="{00000000-0006-0000-0F00-000019000000}">
      <text>
        <r>
          <rPr>
            <sz val="8"/>
            <color indexed="81"/>
            <rFont val="Tahoma"/>
            <family val="2"/>
          </rPr>
          <t>Except for pasture range and paddock</t>
        </r>
      </text>
    </comment>
  </commentList>
</comments>
</file>

<file path=xl/sharedStrings.xml><?xml version="1.0" encoding="utf-8"?>
<sst xmlns="http://schemas.openxmlformats.org/spreadsheetml/2006/main" count="6094" uniqueCount="1718">
  <si>
    <t>Methane Calculation</t>
  </si>
  <si>
    <t>Feed Intake =</t>
  </si>
  <si>
    <t>Energy for Milk =</t>
  </si>
  <si>
    <t>= Milk Production x 3.054 MJ Net Energy/kg milk / 0.6 / (0.00795 DMD - 0.0014)/18.4</t>
  </si>
  <si>
    <t>Gross Energy Intake =</t>
  </si>
  <si>
    <t>GEI = (I x 18.4)</t>
  </si>
  <si>
    <t>Intake relative to maintenance</t>
  </si>
  <si>
    <t>L =I ÷ (1.185 + 0.00454W - 0.0000026W2 + 0.315LWG)2; where LWG=0)</t>
  </si>
  <si>
    <t>% gross energy intake as methane =</t>
  </si>
  <si>
    <t xml:space="preserve">Y = 1.3 + 0.112D + L(2.37 - 0.050D) </t>
  </si>
  <si>
    <t>Daily Methane Yield =</t>
  </si>
  <si>
    <t>Daily Methane Yield =(kg CH4/hd/d)</t>
  </si>
  <si>
    <t>Cow nos</t>
  </si>
  <si>
    <t>Methane loss (kg)</t>
  </si>
  <si>
    <t>Grand Total - Enteric tCO2-e</t>
  </si>
  <si>
    <t>Enter live weight gain (kg/day)</t>
  </si>
  <si>
    <t>Calculated potential CFI income ($ per farm)</t>
  </si>
  <si>
    <t>Estimated additional milk produced (litres/farm)</t>
  </si>
  <si>
    <t>Estimated total farm benefit from strategy ($ per farm)</t>
  </si>
  <si>
    <t>Calculated cost to implement the strategy ($ per farm)</t>
  </si>
  <si>
    <t>Benefit as stand alone abatement ($ per farm)</t>
  </si>
  <si>
    <t>CFI Income</t>
  </si>
  <si>
    <t>Implementation cost</t>
  </si>
  <si>
    <t>Additional milk income</t>
  </si>
  <si>
    <t>Total farm benefit</t>
  </si>
  <si>
    <t>Additional energy (MJ/day)</t>
  </si>
  <si>
    <t>Additional milk (litres/cow/day)</t>
  </si>
  <si>
    <t>New diet digestibility (%DMD)</t>
  </si>
  <si>
    <t>Total change in emissions (t CO2e)</t>
  </si>
  <si>
    <t>Baseline energy (MJ/day)</t>
  </si>
  <si>
    <t>Strategy energy (MJ/day)</t>
  </si>
  <si>
    <t>Nitrogen fertiliser applied to pastures (t/annum)</t>
  </si>
  <si>
    <t>Baseline indirect N2O emissions from N fertiliser (leached)</t>
  </si>
  <si>
    <t>Baseline direct N2O emissions from N fertilisers (t CO2e/annum)</t>
  </si>
  <si>
    <t>Baseline total direct and indirect N2O emissions from N fertiliser (t CO2e/annum)</t>
  </si>
  <si>
    <t>ME of current</t>
  </si>
  <si>
    <t>ME of diet total</t>
  </si>
  <si>
    <t>Digestibility of new diet</t>
  </si>
  <si>
    <t>ME of new diet</t>
  </si>
  <si>
    <t xml:space="preserve">ME total </t>
  </si>
  <si>
    <t>Additional ME</t>
  </si>
  <si>
    <t>% fat of new diet</t>
  </si>
  <si>
    <t>Change in % fat</t>
  </si>
  <si>
    <t>Estimate intake new diet</t>
  </si>
  <si>
    <t>New milk production figure</t>
  </si>
  <si>
    <t>Methane production from kg DM eaten (kg CH4)</t>
  </si>
  <si>
    <t>Crude protein intake (CPI)</t>
  </si>
  <si>
    <t>ME</t>
  </si>
  <si>
    <t>The amount of nitrogen that is retained by the body (NRijk g/head/day)</t>
  </si>
  <si>
    <t>z relative size</t>
  </si>
  <si>
    <t>U = (CPI/6.25 x 1000) - NR - F - [(1.1 x 10-4  x W0.75)/6.25 x 1000]</t>
  </si>
  <si>
    <t>Nitrogen excreted in Urine g/head/day</t>
  </si>
  <si>
    <t>Digestibility</t>
  </si>
  <si>
    <t>Intake estimate</t>
  </si>
  <si>
    <t>Curvature</t>
  </si>
  <si>
    <t>Intake</t>
  </si>
  <si>
    <t xml:space="preserve">Enter % 'saved' energy that could be used for milk production </t>
  </si>
  <si>
    <t>Methane produced  (kg CH4/annum)</t>
  </si>
  <si>
    <t>Energy for 1 litre of milk (MJ)</t>
  </si>
  <si>
    <t>Litres produced per day</t>
  </si>
  <si>
    <t xml:space="preserve">Enter estimated fat content of the baseline diet (%) </t>
  </si>
  <si>
    <t>Enter amount of baseline supplement to be replaced (kg DM/cow.day)</t>
  </si>
  <si>
    <t>Enter cost of baseline supplement to be replaced ($/t DM)</t>
  </si>
  <si>
    <t>Enter digestibility of baseline supplement to be replaced  (%)</t>
  </si>
  <si>
    <t>Enter cost of new abatement strategy supplement ($/t DM)</t>
  </si>
  <si>
    <t xml:space="preserve">Enter number of days per year the new abatement supplement is fed </t>
  </si>
  <si>
    <t>Fat % of baseline diet without the fat supp to be replaced</t>
  </si>
  <si>
    <t xml:space="preserve">Enter estimated fat content of the current baseline diet (%) </t>
  </si>
  <si>
    <t xml:space="preserve">Enter estimated fat content of the supplement fed (%) </t>
  </si>
  <si>
    <t>Enter amount of additional supplement to be fed (kg DM/cow.day)</t>
  </si>
  <si>
    <t>Additional Milk (litres per cow)</t>
  </si>
  <si>
    <t>Enter cost of additional supplementary feed ($/t DM)</t>
  </si>
  <si>
    <t>Enter on farm price received for a t CO2e ($)</t>
  </si>
  <si>
    <t>Enter digestibility of the abatement strategy diet (%)</t>
  </si>
  <si>
    <t>Estimated change in daily diet intake (kg DM/cow.day)</t>
  </si>
  <si>
    <t>Estimated change in daily diet energy (MJ/cow.day)</t>
  </si>
  <si>
    <t>Source: Chapter 7 Animal intake and metabolism (IMJ Consultants: Armidale, Australia)</t>
  </si>
  <si>
    <t>Litres produce baseline (litres/day.farm)</t>
  </si>
  <si>
    <t>Litres produce abatement strategy (litres/day.farm)</t>
  </si>
  <si>
    <t>Baseline emissions intensity (kg CO2e/litre)</t>
  </si>
  <si>
    <t>Abatement strategy emissions intensity (kg CO2e/litre)</t>
  </si>
  <si>
    <t>Change in emissions intensity (kg CO2e/litre)</t>
  </si>
  <si>
    <t>Enter N fertiliser applied to pastures (t N/annum)</t>
  </si>
  <si>
    <t>Enter % reduction of N2O emissions with N inhibitor applied to fertiliser</t>
  </si>
  <si>
    <t>Enter efficacy of inhibitor coated fertiliser (%)</t>
  </si>
  <si>
    <t>Enter cost of uncoated fertiliser ($ / t N)</t>
  </si>
  <si>
    <t>Enter cost of coated fertiliser ($ / t N)</t>
  </si>
  <si>
    <t>Enter area of farm that the coated fertiliser is applied to (ha)</t>
  </si>
  <si>
    <t>Enter milk price ($/ litre)</t>
  </si>
  <si>
    <t>Reduction in enteric CH4 emissions (t CO2e/annum)</t>
  </si>
  <si>
    <t>Enter time cows spend grazing on pastures (% of year)</t>
  </si>
  <si>
    <t>Enter efficacy of nitrification inhibitor (%)</t>
  </si>
  <si>
    <t>Enter cost to implement strategy ($ per cow)</t>
  </si>
  <si>
    <t>Additional feed eaten (kg DM/annum)</t>
  </si>
  <si>
    <t>Methane Calculation (NECESSARY TO ESTIMATE DAILY INTAKES)</t>
  </si>
  <si>
    <t>Estimated additional milk income ($ per farm)</t>
  </si>
  <si>
    <t>Substitution rate</t>
  </si>
  <si>
    <t xml:space="preserve">Enter digestibility of the additional supplement fed (%) </t>
  </si>
  <si>
    <t>Enter estimated substitution rate (%)</t>
  </si>
  <si>
    <t>Enter % annual N fertiliser purchased that is coated with a N inhibitor</t>
  </si>
  <si>
    <t>Enter utilisation efficiency of additional pasture (%)</t>
  </si>
  <si>
    <t>Estimate current baseline daily intake (kg DM/cow.day)</t>
  </si>
  <si>
    <t>Enter number of days the fat source is fed (days/year)</t>
  </si>
  <si>
    <t>Enter number of days the supplement is fed (days /year)</t>
  </si>
  <si>
    <t>Estimated  change in ME intake (MJ/cow.day)</t>
  </si>
  <si>
    <t>Estimated fat content of the abatement strategy diet (%)</t>
  </si>
  <si>
    <t>Enter number of days per year the inhibitor is effective (days/year)</t>
  </si>
  <si>
    <t>Enter feed quality of the additional pasture (MJ/kg DM)</t>
  </si>
  <si>
    <t xml:space="preserve">Enter estimated substitution rate </t>
  </si>
  <si>
    <t>Total milk income</t>
  </si>
  <si>
    <t>Farm benefit as % of baseline total income</t>
  </si>
  <si>
    <t>CFI total farm benefit income as % of current milk income</t>
  </si>
  <si>
    <t>CFI benefit as % of milk income</t>
  </si>
  <si>
    <t>Enter crude protein of the new abatement strategy supplement (%)</t>
  </si>
  <si>
    <t>Enter digestibility of the new abatement strategy supplement (%)</t>
  </si>
  <si>
    <t>Enter fat content of the new abatement strategy supplement (%)</t>
  </si>
  <si>
    <t>Enter fat content of baseline supplement to be replaced (%)</t>
  </si>
  <si>
    <t>Enter milk price ($/ litre; value is actually in cents to allow for increments of single cents)</t>
  </si>
  <si>
    <t>Enter on farm price received for a t CO2e ($; value is 100 times greater to allow for increments for the up/down arrows)</t>
  </si>
  <si>
    <t xml:space="preserve">CFI Income </t>
  </si>
  <si>
    <t xml:space="preserve">Implementation cost </t>
  </si>
  <si>
    <t xml:space="preserve">Additional milk income </t>
  </si>
  <si>
    <t xml:space="preserve">Enter estimated fat content of the baseline diet (%; value ten times higher to incorporate up/down arrows) </t>
  </si>
  <si>
    <t>Enter amount of baseline supplement to be replaced (kg DM/cow.day; value ten times higher to incorporate up/down arrows)</t>
  </si>
  <si>
    <t>Enter % reduction in enteric methane with the vaccine (value is tens times greater to incorporate up/down arrows)</t>
  </si>
  <si>
    <t>Enter cost of implementing the abatement strategy  ($ per cow; value is tens times greater to incorporate up/down arrows))</t>
  </si>
  <si>
    <t>Enter fat content of baseline supplement to be replaced (%; value ten times higher to incorporate up/down arrows)</t>
  </si>
  <si>
    <t>Enter digestibility of the new abatement strategy supplement (%; value ten times higher in incorporate up/down arrows)</t>
  </si>
  <si>
    <t>Enter average annual milk price ($/ litre)</t>
  </si>
  <si>
    <t>Enter milk price for when supplements fed ($/litre)</t>
  </si>
  <si>
    <t>Enter average annual milk price ($/ litre; value here reported as c/litre to allow increments of 1 cent/litre milk change)</t>
  </si>
  <si>
    <t>$/ litre; value here reported as c/litre to allow increments of 1 cent/litre milk change</t>
  </si>
  <si>
    <t>ME of diet total (MJ/day.head)</t>
  </si>
  <si>
    <t>Digestibility of new diet (%)</t>
  </si>
  <si>
    <t>Additional ME (MJ/cow.day)</t>
  </si>
  <si>
    <t>New milk production figure (litres/cow.day)</t>
  </si>
  <si>
    <t>Digestibility of diet from all sources minus the supplement being replaced</t>
  </si>
  <si>
    <t>Enter annual milk price ($/ litre)</t>
  </si>
  <si>
    <t>Enter seasonal milk price when supplement fed ($/litre)</t>
  </si>
  <si>
    <t>Estimate intake new diet (kg DMI/cow.day)</t>
  </si>
  <si>
    <t>ME of new diet (MJ/kg DM)</t>
  </si>
  <si>
    <t>Additional Milk (litres per cow.day)</t>
  </si>
  <si>
    <t xml:space="preserve">Enter estimated fat content of the current baseline diet (%; value ten times higher to incorporate up/down arrows) </t>
  </si>
  <si>
    <t>Indirect N2O emissions from leaching</t>
  </si>
  <si>
    <t>Direct N2O emissions</t>
  </si>
  <si>
    <t>% reduction</t>
  </si>
  <si>
    <t>MJ/ litre of milk constant used for all varying butterfat/protein milk concentrations</t>
  </si>
  <si>
    <t>ME of baseline diet ((DMD x 0.1604) - 1.037)</t>
  </si>
  <si>
    <t>Intake remains unchanged to baseline intake as 1:1 replacement</t>
  </si>
  <si>
    <t>Difference between strategy and baseline fat %</t>
  </si>
  <si>
    <t xml:space="preserve">Strategy GHG emissions for the period of time higher fat source fed x increase in % of fat in the diet x 3.5% reduction of methane for each 1% increase in diet fat %  </t>
  </si>
  <si>
    <t>Difference between strategy enteric CH4 (with changes to diet DMD taken into consideration) and the reduction in enteric CH4 due to feeding dietary fats</t>
  </si>
  <si>
    <t>Data for graph</t>
  </si>
  <si>
    <t>Difference between baseline and strategy % of GEI emitted as CH4 (as a % so this is why it is divided by 100) x baseline gross energy intake (MJ/cow.day) x % of energy available for milk production (as a % so this is why this is divided by 100)</t>
  </si>
  <si>
    <t>ME of baseline diet (MJ/kg DM) x daily intake (kg DM/cow.day)</t>
  </si>
  <si>
    <t>ME = ((Baseline DMD% x 0.1604) - 1.037)</t>
  </si>
  <si>
    <t>((Baseline intake (kg DM/cow.day) X DMD% of baseline diet) - (kg DM low fat supplement replaced x DMD% of low fat supplement replaced)) / (baseline intake (kg DM/cow.day) - kg DM of low fat supplement replaced)</t>
  </si>
  <si>
    <t>ME of strategy diet (MJ/kg DM) x daily intake (kg DM/cow.day)</t>
  </si>
  <si>
    <t>ME intake strategy diet - ME intake baseline diet (MJ/kg DM)</t>
  </si>
  <si>
    <t>Baseline milk (litres/cow.day) + additional strategy milk (litres/cow.day)</t>
  </si>
  <si>
    <t>((Baseline intake (kg DM/cow.day) x fat % of baseline diet) - (kg of low fat supplement to replaced x fat% of low fat supplement to be replaced)) / (baseline intake (kg DM/cow.day) - kg of low fat supplement to be replaced)</t>
  </si>
  <si>
    <t>((Fat % of baseline diet - fat % of the low fat supplement being replaced) /  baseline intake (kg DM/cow.day) + (fat % of new high fat supplement x kg DM of new high fat supplement) / strategy intake (kg DM/cow.day; which is same as baseline intake as 1:1 replacement)</t>
  </si>
  <si>
    <t>% change over the period of activation</t>
  </si>
  <si>
    <t>% change over 12 months</t>
  </si>
  <si>
    <t>Difference between baseline and strategy milk GHG emissions intensity / baseline milk intensity</t>
  </si>
  <si>
    <t>% change over the activation period x number of days per annum activated / 365 days</t>
  </si>
  <si>
    <t>Up/down arrows</t>
  </si>
  <si>
    <r>
      <t>I = (1.185 + 0.00454W - 0.0000026W</t>
    </r>
    <r>
      <rPr>
        <i/>
        <vertAlign val="superscript"/>
        <sz val="10"/>
        <rFont val="Times New Roman"/>
        <family val="1"/>
      </rPr>
      <t>2</t>
    </r>
    <r>
      <rPr>
        <i/>
        <sz val="10"/>
        <rFont val="Times New Roman"/>
        <family val="1"/>
      </rPr>
      <t xml:space="preserve"> + 0.315LWG)</t>
    </r>
    <r>
      <rPr>
        <i/>
        <vertAlign val="superscript"/>
        <sz val="10"/>
        <rFont val="Times New Roman"/>
        <family val="1"/>
      </rPr>
      <t xml:space="preserve">2 </t>
    </r>
    <r>
      <rPr>
        <i/>
        <sz val="10"/>
        <rFont val="Times New Roman"/>
        <family val="1"/>
      </rPr>
      <t>* MR+ MI (MR = 1.1 for milkers and 1.0 for all other stock)</t>
    </r>
  </si>
  <si>
    <r>
      <t>MI = MP x NE / k / q</t>
    </r>
    <r>
      <rPr>
        <i/>
        <vertAlign val="subscript"/>
        <sz val="10"/>
        <rFont val="Times New Roman"/>
        <family val="1"/>
      </rPr>
      <t xml:space="preserve">m </t>
    </r>
    <r>
      <rPr>
        <i/>
        <sz val="10"/>
        <rFont val="Times New Roman"/>
        <family val="1"/>
      </rPr>
      <t>/ 18.4</t>
    </r>
  </si>
  <si>
    <t>Y = 1.3 + 0.112xDMD + Intake relative to maintenance (2.37 - 0.050xDMD)</t>
  </si>
  <si>
    <t>Baseline farm system</t>
  </si>
  <si>
    <t>Strategy farm system</t>
  </si>
  <si>
    <t>Difference between baseline diet methane production and strategy methane production with change in diet DMD and dietary fats taken into consideration</t>
  </si>
  <si>
    <t>Enter crude protein of the new abatement strategy supplement (%; value ten times higher to incorporate up/down arrows)</t>
  </si>
  <si>
    <t>Enter fat content of the new abatement strategy supplement (%; value ten times higher to incorporate up/down arrows)</t>
  </si>
  <si>
    <t>Changes in milk production</t>
  </si>
  <si>
    <t>Changes in fat % of the diet</t>
  </si>
  <si>
    <t>GHG emissions intensity calculations</t>
  </si>
  <si>
    <t>Change in milk production</t>
  </si>
  <si>
    <t>Change due to oils (t CO2e)</t>
  </si>
  <si>
    <t>New grand total (t CO2e)</t>
  </si>
  <si>
    <t>Change in Emissions (t CO2e)</t>
  </si>
  <si>
    <t>kg DM new supp + (kg DM baseline intake (kg DM/cow.day) - (kg DM new supp x substitution rate (as a fraction so why divided by 100))</t>
  </si>
  <si>
    <t>ME = ((Strategy DMD% x 0.1604) - 1.037)</t>
  </si>
  <si>
    <t xml:space="preserve">Fat % of baseline diet </t>
  </si>
  <si>
    <t>Fat % of the strategy diet</t>
  </si>
  <si>
    <t>((DMD% of new supp) x kg DM new supp / daily intake strategy diet (kg DM.cow.day)) + ((DMD% baseline diet + (daily intake strategy diet (kg DM/cow.day) - kg DM new supp) / daily intake strategy diet (kg DM.cow.day)</t>
  </si>
  <si>
    <t>((Fat % of new supp) x kg DM new supp / daily intake strategy diet (kg DM.cow.day)) + ((Fat % baseline diet + (daily intake strategy diet (kg DM/cow.day) - kg DM new supp) / daily intake strategy diet (kg DM.cow.day)</t>
  </si>
  <si>
    <t>Baseline farm system N2O emissions calculations</t>
  </si>
  <si>
    <t>CPIijk = Iijk x CPijk</t>
  </si>
  <si>
    <t>Nitrogen excreted in faeces</t>
  </si>
  <si>
    <t xml:space="preserve"> F = {0.3(CPI x (1-[(DMD+10)/100])) + 0.105(ME x I x 0.008) + (0.0152 x I)}/6.25 x 1000</t>
  </si>
  <si>
    <t>Urinary N x herd size x 365 days (Gg N/annum)</t>
  </si>
  <si>
    <t>ME = (DMD*0.1604)-1.037</t>
  </si>
  <si>
    <t>% reduction in total N2O emissions</t>
  </si>
  <si>
    <t>Total baseline N2O emissions for when cows are on pasture only</t>
  </si>
  <si>
    <t>Difference between baseline and strategy GHG emissions intensity</t>
  </si>
  <si>
    <t>Enter % annual N fertiliser purchased that is coated with an inhibitor</t>
  </si>
  <si>
    <t>Enter % reduction of N2O emissions with inhibitor applied to fertiliser</t>
  </si>
  <si>
    <t>Average annual milk price ($/litre)</t>
  </si>
  <si>
    <t>Enter seasonal milk price when inhibitor is used ($/litre)</t>
  </si>
  <si>
    <t>Sum of direct and indirect N2O emissions</t>
  </si>
  <si>
    <t>assumption of 20 g CH4 per kg DM intake (or equivalent to 20 kg/tonne DM)</t>
  </si>
  <si>
    <t>Difference in ME (MJ/cow.day)</t>
  </si>
  <si>
    <t>Converted into milk production based on 5.5 MJ/litre</t>
  </si>
  <si>
    <t>Baseline milk production + strategy additional milk production</t>
  </si>
  <si>
    <t>Calculations to determine the new daily intake based on the change in diet DMD and the methodology as incorporated into DairyMod (Johnson 2005)</t>
  </si>
  <si>
    <t>Max (as defined by the methodology)</t>
  </si>
  <si>
    <t>Min (as defined by the methodology)</t>
  </si>
  <si>
    <t>Baseline digestibility (% DM as a fraction)</t>
  </si>
  <si>
    <t>Strategy Digestibility (% DM as a fraction)</t>
  </si>
  <si>
    <t>Change in intake (kg DM/cow.day)</t>
  </si>
  <si>
    <t>Intake estimate (kg DM/cow.day)</t>
  </si>
  <si>
    <t>Baseline GHG emissions (t CO2e/annum)</t>
  </si>
  <si>
    <t>Baseline GHG emissions intensity (kg CO2e/litre milk)</t>
  </si>
  <si>
    <t>Strategy GHG emissions (t CO2e/annum)</t>
  </si>
  <si>
    <t>Methane loss over the number of days the strategy is implemented</t>
  </si>
  <si>
    <t>Reduction in N fertiliser N2O emissions (t CO2e/annum)</t>
  </si>
  <si>
    <t>Total reduction in farm GHG emissions (t CO2e/annum)</t>
  </si>
  <si>
    <t>CFI payment based on GHG emissions intensity reduction</t>
  </si>
  <si>
    <t>Number of days per annum activated</t>
  </si>
  <si>
    <t>Number of milkers</t>
  </si>
  <si>
    <t>Amount of milk produced per cow when activated (litres/day)</t>
  </si>
  <si>
    <t>Baseline milk production plus additional milk production per cow.day</t>
  </si>
  <si>
    <t>GHG emissions intensity reduction (kg CO2e/litre milk)</t>
  </si>
  <si>
    <t>Reduction in GHG emissions (t CO2e over period of activation)</t>
  </si>
  <si>
    <t>Carbon price ($/ t CO2e)</t>
  </si>
  <si>
    <t xml:space="preserve">MJ of energy available for milk production/cow.day/ 5.5 MJ per litre milk </t>
  </si>
  <si>
    <t>CFI payment based on GHG emissions intensity reduction ($/annum)</t>
  </si>
  <si>
    <t>Baseline N2O emissions x % fertiliser coated with the inhibitor x % of time inhibitor is effective x efficacy of the nitrification inhibitor</t>
  </si>
  <si>
    <t>Number of milkers x milk production per cow.day x 365 days</t>
  </si>
  <si>
    <t>Baseline direct and indirect N2O emissions</t>
  </si>
  <si>
    <t xml:space="preserve">Baseline milk production + additional milk produced </t>
  </si>
  <si>
    <t xml:space="preserve">additional grass (kg/ha) x utilisation rate of consuming the grass (as a %) x ha of land inhibitor fertiliser applied to </t>
  </si>
  <si>
    <t>Calculated potential CFI income if paid on reduced GHG emissions intensity ($/farm)</t>
  </si>
  <si>
    <t>Estimated total benefit if paid on reduced GHG emissions intensity ($/farm)</t>
  </si>
  <si>
    <t>Additional methane (t CO2 e/annum)</t>
  </si>
  <si>
    <t>Enter period of time the coated inhibitor is effective (days/annum)</t>
  </si>
  <si>
    <t>Total baseline N2O emissions (t CO2e/annum)</t>
  </si>
  <si>
    <t>Total strategy N2O emissions (t CO2e/annum)</t>
  </si>
  <si>
    <t>Total reduction in N2O emissions (t CO2e/annum)</t>
  </si>
  <si>
    <t>Total indirect leached from urinary N emitted from pastures (t CO2e/annum)</t>
  </si>
  <si>
    <t>M = VS x Bo x MCF x p</t>
  </si>
  <si>
    <t>Methane produced from waste collected in the lagoon (CH4/cow/day)</t>
  </si>
  <si>
    <t>GWP of GHG released into the environment (21 if CH4, 1 if CO2)</t>
  </si>
  <si>
    <t>Reduction in emissions (t CO2e/annum)</t>
  </si>
  <si>
    <t>Methane produced from waste collected in the lagoon (Gg CO2e/cow/annum)</t>
  </si>
  <si>
    <t>Methane produced from waste collected in the lagoon (t CO2e/cow/annum)</t>
  </si>
  <si>
    <t>Baseline emissions (t CO2e/annum)</t>
  </si>
  <si>
    <t>Milking Cows</t>
  </si>
  <si>
    <t xml:space="preserve">Heifers &gt;1 </t>
  </si>
  <si>
    <t xml:space="preserve">Heifers &lt;1 </t>
  </si>
  <si>
    <t>Units</t>
  </si>
  <si>
    <t>Seasons</t>
  </si>
  <si>
    <t>Livestock numbers</t>
  </si>
  <si>
    <t>head</t>
  </si>
  <si>
    <t>Liveweight</t>
  </si>
  <si>
    <t>kg/head</t>
  </si>
  <si>
    <t>kg/day</t>
  </si>
  <si>
    <t>%</t>
  </si>
  <si>
    <t>Total</t>
  </si>
  <si>
    <t>ha</t>
  </si>
  <si>
    <t>Lagoon</t>
  </si>
  <si>
    <t>Solid storage</t>
  </si>
  <si>
    <t>Pasture</t>
  </si>
  <si>
    <t>Selected</t>
  </si>
  <si>
    <t>Solids storage</t>
  </si>
  <si>
    <t>Inventory reference</t>
  </si>
  <si>
    <t>Feed Intake</t>
  </si>
  <si>
    <t>kg DM/head/day</t>
  </si>
  <si>
    <t>Additional intake for milk production</t>
  </si>
  <si>
    <t>MP x 3.054 (MJ net energy/kg milk) / 0.6 / (0.00795 x DMD - 0.0014) / 18.4</t>
  </si>
  <si>
    <t>L = I / (1.185 + 0.00454 x W - 0.0000026 x W^2 + (0.315 x 0))^2</t>
  </si>
  <si>
    <t>Daily Methane Yield (M)</t>
  </si>
  <si>
    <t>kg CH4/head/day</t>
  </si>
  <si>
    <t>Annual Australian methane production (Gg) for all classes of dairy cattle across all states</t>
  </si>
  <si>
    <t>4A.1a_7</t>
  </si>
  <si>
    <t>Grand Total</t>
  </si>
  <si>
    <t>Gg CH4/year/farm</t>
  </si>
  <si>
    <t xml:space="preserve">Grand Total </t>
  </si>
  <si>
    <t>Gg CO2-e/year/farm</t>
  </si>
  <si>
    <t>t CO2-e/year/farm</t>
  </si>
  <si>
    <t>Data Input</t>
  </si>
  <si>
    <t>Ash content (A)</t>
  </si>
  <si>
    <t>fraction</t>
  </si>
  <si>
    <t>Emission potential (Bo)</t>
  </si>
  <si>
    <t>m3 CH4/kg VS</t>
  </si>
  <si>
    <t>Density of methane (r)</t>
  </si>
  <si>
    <t>kg/m3</t>
  </si>
  <si>
    <t xml:space="preserve">Volatile solids (VS) </t>
  </si>
  <si>
    <t>VS = I x (1 - DMD) x (1 - A)</t>
  </si>
  <si>
    <t>4B.1a_1</t>
  </si>
  <si>
    <t>kg/head/day</t>
  </si>
  <si>
    <t>Methane production from manure</t>
  </si>
  <si>
    <t xml:space="preserve">M = VS x Bo x MCF x r </t>
  </si>
  <si>
    <t>4B.1a_2</t>
  </si>
  <si>
    <t>MCF = Integrated methane conversion factor - based on the proportion  of different manure management regimes</t>
  </si>
  <si>
    <t>State</t>
  </si>
  <si>
    <t>The annual methane production (Gg) from the manure of dairy cattle</t>
  </si>
  <si>
    <t>4B.1a_3</t>
  </si>
  <si>
    <t>Grand total</t>
  </si>
  <si>
    <t>Gg CH4/farm/year</t>
  </si>
  <si>
    <t>Gg CO2-e/farm/year</t>
  </si>
  <si>
    <t>t CO2-e/farm/year</t>
  </si>
  <si>
    <t>Faecal nitrous oxide calculation</t>
  </si>
  <si>
    <t>The crude protein intake of dairy cattle</t>
  </si>
  <si>
    <t>CPI = I x CP</t>
  </si>
  <si>
    <t>4B.1a_4</t>
  </si>
  <si>
    <t>Nitrogen excreted in faeces (F)</t>
  </si>
  <si>
    <t>F = {0.3 x (CPI x (1 - [(DMD + 10) / 100])) + 0.105 x (ME x I x 0.008) + (0.0152 x I)} / 6.25</t>
  </si>
  <si>
    <t>4B.1a_5</t>
  </si>
  <si>
    <t xml:space="preserve">ME (Metabolisable energy) = 0.1604 x DMD - 1.037 </t>
  </si>
  <si>
    <t>1 / 6.25 = Factor for converting crude protein into nitrogen</t>
  </si>
  <si>
    <t>Nitrogen retained (NR) by the body</t>
  </si>
  <si>
    <t>4B.1a_6</t>
  </si>
  <si>
    <t>Table 6.A.7</t>
  </si>
  <si>
    <t>Heifers &gt;1</t>
  </si>
  <si>
    <t>Heifers &lt;1</t>
  </si>
  <si>
    <t>Dairy Bulls &gt;1</t>
  </si>
  <si>
    <t>Dairy Bulls &lt;1</t>
  </si>
  <si>
    <t>kg N/head/day</t>
  </si>
  <si>
    <t>Nitrogen excreted in urine (U)</t>
  </si>
  <si>
    <r>
      <t>U = (CPI / 6.25) - NR - F - [(1.1 x 10^-4</t>
    </r>
    <r>
      <rPr>
        <b/>
        <vertAlign val="superscript"/>
        <sz val="12"/>
        <rFont val="Times New Roman"/>
        <family val="1"/>
      </rPr>
      <t xml:space="preserve"> </t>
    </r>
    <r>
      <rPr>
        <b/>
        <sz val="12"/>
        <rFont val="Times New Roman"/>
        <family val="1"/>
      </rPr>
      <t xml:space="preserve"> x W^0.75) / 6.25]</t>
    </r>
  </si>
  <si>
    <t>4B.1a_7</t>
  </si>
  <si>
    <t>4B.1a_8a</t>
  </si>
  <si>
    <t>Gg N/farm/season</t>
  </si>
  <si>
    <t>4B.1a_8b</t>
  </si>
  <si>
    <t>AE =AF + AU</t>
  </si>
  <si>
    <t>The total emissions of nitrous oxide from different manure management systems (Total MMS)</t>
  </si>
  <si>
    <t>E = AE x MMS x EF x Cg</t>
  </si>
  <si>
    <t>Emission factor (EF) = N2O-N kg/N excreted for the different manure management systems</t>
  </si>
  <si>
    <t>MMS = The fraction of AE that is managed in different manure management systems</t>
  </si>
  <si>
    <t>Manure Management Systems  (MMS)</t>
  </si>
  <si>
    <t>EF (kg N20-N kg/N excreted)</t>
  </si>
  <si>
    <t>MMS = 8 Pasture range and paddock</t>
  </si>
  <si>
    <t>Gg N2O/farm/season</t>
  </si>
  <si>
    <t>Gg N2O/farm/year</t>
  </si>
  <si>
    <t>Z</t>
  </si>
  <si>
    <t>N Fertiliser crops</t>
  </si>
  <si>
    <t>N Fertiliser Pastures</t>
  </si>
  <si>
    <t>N2O emissions from synthetic fertiliser</t>
  </si>
  <si>
    <t>M = TM x FN</t>
  </si>
  <si>
    <t>4D1_1</t>
  </si>
  <si>
    <t>TM = total mass of fertiliser</t>
  </si>
  <si>
    <t>Gg N</t>
  </si>
  <si>
    <t>FN = fraction of N applied to production system</t>
  </si>
  <si>
    <t>Appendix 6.H.1</t>
  </si>
  <si>
    <t>Annual N2O emissions from the addition of synthetic fertiliser (E)</t>
  </si>
  <si>
    <t>E = (M x EF x Cg)</t>
  </si>
  <si>
    <t>Gg N2O</t>
  </si>
  <si>
    <t>4D1_2</t>
  </si>
  <si>
    <t>EF = Emission factor</t>
  </si>
  <si>
    <t>Gg N2O-N/Gg N</t>
  </si>
  <si>
    <t>Table 6.22</t>
  </si>
  <si>
    <t>Production system</t>
  </si>
  <si>
    <t>Emission factor</t>
  </si>
  <si>
    <t>Irrigated pasture</t>
  </si>
  <si>
    <t>Irrigated crop</t>
  </si>
  <si>
    <t>Non-irrigated pasture</t>
  </si>
  <si>
    <t>Non-irrigated crop</t>
  </si>
  <si>
    <t>Sugar cane</t>
  </si>
  <si>
    <t>Cotton</t>
  </si>
  <si>
    <t>Horticulture</t>
  </si>
  <si>
    <t>Grand total from fertiliser application</t>
  </si>
  <si>
    <t>N2O emissions from animal waste (manure) applied to soils</t>
  </si>
  <si>
    <t>The nitrogen content of animal manure applied to agricultural soils</t>
  </si>
  <si>
    <t>4D1_3</t>
  </si>
  <si>
    <t>AE = mass of nitrogen excreted</t>
  </si>
  <si>
    <t>N2O emissions from animal waste</t>
  </si>
  <si>
    <t>E = MN soil x EF x Cg</t>
  </si>
  <si>
    <t>4D1_4</t>
  </si>
  <si>
    <t xml:space="preserve">EF (manure) </t>
  </si>
  <si>
    <t>Biological nitrogen fixation</t>
  </si>
  <si>
    <t>M = P x R x DM x CC x NC</t>
  </si>
  <si>
    <t>4D1_5</t>
  </si>
  <si>
    <t>M = mass of N fixed by crops and pastures</t>
  </si>
  <si>
    <t>Not used currently</t>
  </si>
  <si>
    <t>P = annual production of crop</t>
  </si>
  <si>
    <t>Gg</t>
  </si>
  <si>
    <t>R = residue to crop ratio</t>
  </si>
  <si>
    <t>kg crop residue/kg crop</t>
  </si>
  <si>
    <t xml:space="preserve">DM = dry matter content </t>
  </si>
  <si>
    <t>kg dry weight/kg crop residue</t>
  </si>
  <si>
    <t>CC = mass fraction of carbon in crop residue</t>
  </si>
  <si>
    <t>NC = nitrogen to carbon ratio in crop residue</t>
  </si>
  <si>
    <t>Annual N2O production from N fixing crops</t>
  </si>
  <si>
    <t>E = M x EF x Cg</t>
  </si>
  <si>
    <t>4D1_6</t>
  </si>
  <si>
    <t>EF = 0.0125</t>
  </si>
  <si>
    <t>The application of crop residues</t>
  </si>
  <si>
    <t xml:space="preserve">The mass of N in crop residues returned to soils </t>
  </si>
  <si>
    <t>M = P x R x DM x CC x NC x (1- F - FFOD)</t>
  </si>
  <si>
    <t>4D1_7</t>
  </si>
  <si>
    <t>M = mass of N in crop residues</t>
  </si>
  <si>
    <t>F = fraction of the crop that is burnt</t>
  </si>
  <si>
    <t>FFOD = fraction of the crop that is removed</t>
  </si>
  <si>
    <t xml:space="preserve">Annual N2O production from crop residues </t>
  </si>
  <si>
    <t>4D1_8</t>
  </si>
  <si>
    <t>Annual N2O production from cultivation of histosols</t>
  </si>
  <si>
    <t>E = A x EF x Cg x 10^-6</t>
  </si>
  <si>
    <t>4D1_9</t>
  </si>
  <si>
    <t xml:space="preserve">A = area of cultivated histosols </t>
  </si>
  <si>
    <t>EF = 8</t>
  </si>
  <si>
    <t>kg N2O-N/ha</t>
  </si>
  <si>
    <t>Animal production</t>
  </si>
  <si>
    <t>The faecal and urinary nitrogen excreted on pasture and paddock</t>
  </si>
  <si>
    <t>4D2</t>
  </si>
  <si>
    <t>FN soil = AF x MMS</t>
  </si>
  <si>
    <t>4D2_1</t>
  </si>
  <si>
    <t>UN soil = AU x MMS</t>
  </si>
  <si>
    <t>4D2_2</t>
  </si>
  <si>
    <t>Total N2O production from animal waste voided in the field by grazing livestock</t>
  </si>
  <si>
    <t>E = (FN soil x EF x Cg) + (UN soil x EF x Cg)</t>
  </si>
  <si>
    <t>4D2_3</t>
  </si>
  <si>
    <t>EF (faeces)</t>
  </si>
  <si>
    <t>EF (urine)</t>
  </si>
  <si>
    <t>Total N2O emissions from manure, faeces and urine</t>
  </si>
  <si>
    <t>Atmospheric nitrogen deposition</t>
  </si>
  <si>
    <t>M = TM x FracGASF</t>
  </si>
  <si>
    <t>4D3_1</t>
  </si>
  <si>
    <t xml:space="preserve">M = mass of synthetic fertiliser volatilised </t>
  </si>
  <si>
    <t>Gg N/Gg applied</t>
  </si>
  <si>
    <t>Fertiliser</t>
  </si>
  <si>
    <t xml:space="preserve">The mass of animal waste volatilised </t>
  </si>
  <si>
    <t>4D3_2</t>
  </si>
  <si>
    <t>FracGASM = the fraction of N volatilised in each MMS</t>
  </si>
  <si>
    <t>Table 6.31</t>
  </si>
  <si>
    <t>Animal waste</t>
  </si>
  <si>
    <t>The mass of savanna burning and field burning of agricultural residue NOx-N emissions that volatilise (M)</t>
  </si>
  <si>
    <t>M = E / (46/14)</t>
  </si>
  <si>
    <t>4D3_3</t>
  </si>
  <si>
    <t>E = NOx emissions from savanna burning and field burning of agricultural residues</t>
  </si>
  <si>
    <t>Gg NOx</t>
  </si>
  <si>
    <t>46/14 = factor to convert elemental mass of NOx to molecular mass</t>
  </si>
  <si>
    <t>Annual N2O production from atmospheric deposition (indirect ammonia)</t>
  </si>
  <si>
    <t>4D3_4</t>
  </si>
  <si>
    <t>M = mass of N volatilised from subset k</t>
  </si>
  <si>
    <t>Total CO2-e emissions from indirect ammonia losses</t>
  </si>
  <si>
    <t>Leaching of organic nitrogen and subsequent denitrification in rivers and estuaries</t>
  </si>
  <si>
    <t>The mass of fertiliser N applied to soils that is lost through leaching and runoff (M)</t>
  </si>
  <si>
    <t>M = M x FracWET x FracLEACH</t>
  </si>
  <si>
    <t>4D3_5</t>
  </si>
  <si>
    <t>M = mass of fertiliser in each production system</t>
  </si>
  <si>
    <t>FracWET =</t>
  </si>
  <si>
    <t>Appendix 6.J.1</t>
  </si>
  <si>
    <t xml:space="preserve">FracLEACH = </t>
  </si>
  <si>
    <t>The mass of animal waste N applied to soils that is lost through leaching and runoff (M)</t>
  </si>
  <si>
    <t>M = (Mnsoil + UN soil + FN soil) x FracWET x FracLEACH</t>
  </si>
  <si>
    <t>4D3_6</t>
  </si>
  <si>
    <t>Mnsoil = mass of manure N applied to soils (animal wastes applied to soils)</t>
  </si>
  <si>
    <t>Unsoil = mass of urinary N applied to soils (animal production)</t>
  </si>
  <si>
    <t>Fnsoil =mass of faecal N applied to soils (animal production)</t>
  </si>
  <si>
    <t>Total N2O production from leaching and runoff</t>
  </si>
  <si>
    <t>4D3_7</t>
  </si>
  <si>
    <t>M = mass of N lost through leaching and runoff</t>
  </si>
  <si>
    <t>Total CO2-e emissions from leaching and runoff (indirect nitrate)</t>
  </si>
  <si>
    <t>Results</t>
  </si>
  <si>
    <t>Enteric fermentation</t>
  </si>
  <si>
    <t>Waste management</t>
  </si>
  <si>
    <t>Methane from waste</t>
  </si>
  <si>
    <t>Indirect N fertiliser</t>
  </si>
  <si>
    <t>Indirect N waste</t>
  </si>
  <si>
    <t>Direct N fertiliser</t>
  </si>
  <si>
    <t>N fertiliser</t>
  </si>
  <si>
    <t>Dung &amp; urine voided onto pastures</t>
  </si>
  <si>
    <t>Average liveweight of milking cow (kg)</t>
  </si>
  <si>
    <t>Average annual milk production (litres/cow.day)</t>
  </si>
  <si>
    <t>Enter crude protein of the baseline supplement to be replaced (%)</t>
  </si>
  <si>
    <t>Crude protein of diet from all sources minus the supplement being replaced</t>
  </si>
  <si>
    <t>Crude protein of new diet (%)</t>
  </si>
  <si>
    <t>((Baseline intake (kg DM/cow.day) X CP% of baseline diet) - (kg DM low fat supplement replaced x  CP% of low fat supplement replaced)) / (baseline intake (kg DM/cow.day) - kg DM of low fat supplement replaced)</t>
  </si>
  <si>
    <t>(ME = DMD x 0.134 + 1.23 + (0.235 x fat%))</t>
  </si>
  <si>
    <t>Annual</t>
  </si>
  <si>
    <t>Gg CH4/farm/annum</t>
  </si>
  <si>
    <t>AF = ∑ (365 x N x F) x 10^-6</t>
  </si>
  <si>
    <t>AU = ∑ (365 x N x U) x 10^-6</t>
  </si>
  <si>
    <t>Gg N/farm/annum</t>
  </si>
  <si>
    <t>Gg N2O/farm/annum</t>
  </si>
  <si>
    <t>Annum</t>
  </si>
  <si>
    <t>Waste Methane Calculation</t>
  </si>
  <si>
    <t>Enteric Methane Calculation</t>
  </si>
  <si>
    <t>Change in waste methane emissions (t CO2e/annum)</t>
  </si>
  <si>
    <t xml:space="preserve">Total annual faecal (AF) nitrogen excreted </t>
  </si>
  <si>
    <t>Total annual urinary (AU) nitrogen excreted</t>
  </si>
  <si>
    <t>Annual faecal and urinary nitrogen excreted (AE)</t>
  </si>
  <si>
    <t>Total N waste</t>
  </si>
  <si>
    <t>Nitrous oxide loss over the number of days the strategy is implemented</t>
  </si>
  <si>
    <t>Grand Total - Waste N2O tCO2-e</t>
  </si>
  <si>
    <t>Grand Total - Waste tCO2-e</t>
  </si>
  <si>
    <t>Milkers</t>
  </si>
  <si>
    <t>N2O (kg N2O/farm/annum)</t>
  </si>
  <si>
    <t>t CO2e/herd for the duration of the strategy</t>
  </si>
  <si>
    <t>Baseline</t>
  </si>
  <si>
    <t>Strategy</t>
  </si>
  <si>
    <t>Reduction in animal waste CH4 emissions (t CO2e/annum)</t>
  </si>
  <si>
    <t>Reduction in animal waste N2O emissions (t CO2e/annum)</t>
  </si>
  <si>
    <t>Current milk production (litres/cow.day)</t>
  </si>
  <si>
    <t>Digestibility of the baseline diet (%)</t>
  </si>
  <si>
    <t>Crude protein of the baseline diet (%)</t>
  </si>
  <si>
    <t>Enter dry matter digestibilty of the additional supplement to be fed (%)</t>
  </si>
  <si>
    <t>Enter crude protein of the additional supplement to be fed (%)</t>
  </si>
  <si>
    <t>Enter crude protein of the additional supplement fed (%)</t>
  </si>
  <si>
    <t>ME of current baseline diet total (MJ/cow.day)</t>
  </si>
  <si>
    <t>ME of current baseline diet (MJ/kg DMI; calculated from DMD of current diet)</t>
  </si>
  <si>
    <t>((CP% of new supp) x kg DM new supp / daily intake strategy diet (kg DM.cow.day)) + ((CP% baseline diet + (daily intake strategy diet (kg DM/cow.day) - kg DM new supp) / daily intake strategy diet (kg DM.cow.day)</t>
  </si>
  <si>
    <t>ME =(((baseline intake x (supp intake x substitution rate ))x ME baseline diet) + (Supp intake x ME supp))/ strategy intake</t>
  </si>
  <si>
    <t>ME of new diet (MJ/cow.day)</t>
  </si>
  <si>
    <t>Digestibility of the current baseline diet (%)</t>
  </si>
  <si>
    <t>Crude protein of current diet (%)</t>
  </si>
  <si>
    <t>Enter digestibility of the additional supplement (%)</t>
  </si>
  <si>
    <t>Enter crude protein of the additional supplement (%)</t>
  </si>
  <si>
    <t>Crude protein of new diet</t>
  </si>
  <si>
    <t>Enter crude protein of the abatement strategy diet (%)</t>
  </si>
  <si>
    <t>new diet ME (Mj/kg DM)</t>
  </si>
  <si>
    <t>Average liveweight of mature milking cow (kg)</t>
  </si>
  <si>
    <t>Average lactation length (days)</t>
  </si>
  <si>
    <t>Number of lactations before culling</t>
  </si>
  <si>
    <t>Enter average daily milk production during the 1st lactation (litres/cow.day)</t>
  </si>
  <si>
    <t>Enter average daily milk production during subsequent lactations (litres/cow.day)</t>
  </si>
  <si>
    <t>Enter average lactation length (days)</t>
  </si>
  <si>
    <t>Enter average days non-lactating (days)</t>
  </si>
  <si>
    <t>Nearest 100</t>
  </si>
  <si>
    <t>Energy MJ</t>
  </si>
  <si>
    <t>Liveweight gain</t>
  </si>
  <si>
    <t>Birth date</t>
  </si>
  <si>
    <t>Weight (kg)</t>
  </si>
  <si>
    <t>Date at 1st Calving</t>
  </si>
  <si>
    <t>Primiparous cow live weight at 1st Calving</t>
  </si>
  <si>
    <t>Average growth rate to 1st calving (kg per day)</t>
  </si>
  <si>
    <t>Nearest average daily GR</t>
  </si>
  <si>
    <t>Total Energy to 1st Calf (MJ)</t>
  </si>
  <si>
    <t>Sum</t>
  </si>
  <si>
    <t>Extended</t>
  </si>
  <si>
    <t>Liveweights</t>
  </si>
  <si>
    <t>1st Calving date</t>
  </si>
  <si>
    <t>Maintenance</t>
  </si>
  <si>
    <t>Primiparous weight (kg)</t>
  </si>
  <si>
    <t>Primiparous</t>
  </si>
  <si>
    <t>MJ/day</t>
  </si>
  <si>
    <t>Multiparous weight (kg)</t>
  </si>
  <si>
    <t>Month</t>
  </si>
  <si>
    <t>MJ/month</t>
  </si>
  <si>
    <t>Average Lactation length (days)</t>
  </si>
  <si>
    <t>Sixth</t>
  </si>
  <si>
    <t>Dry period (days)</t>
  </si>
  <si>
    <t>Seventh</t>
  </si>
  <si>
    <t>Average daily production primiparous (litres)</t>
  </si>
  <si>
    <t>Eight</t>
  </si>
  <si>
    <t>Lactation production primiparous (litres)</t>
  </si>
  <si>
    <t>Ninth</t>
  </si>
  <si>
    <t>Average daily production multiparous (litres)</t>
  </si>
  <si>
    <t>Total Energy (MJ)</t>
  </si>
  <si>
    <t>Lactation production multiparous (litres)</t>
  </si>
  <si>
    <t>Number of lactations</t>
  </si>
  <si>
    <t>Cull date</t>
  </si>
  <si>
    <t>Energy for growth (1st lactation to 2nd Lactation; MJ)</t>
  </si>
  <si>
    <t>Energy for milk 1st lactation (MJ; assuming 5.5 MJ/litre milk)</t>
  </si>
  <si>
    <t>Energy for milk multiparous (MJ)</t>
  </si>
  <si>
    <t>Pregnancy energy lifetime (MJ)</t>
  </si>
  <si>
    <t>Lifetime MJ</t>
  </si>
  <si>
    <t>MJ per litre Milk</t>
  </si>
  <si>
    <t>Lifetime GEI Intake (MJ assuming 11MJ/kg DMI)</t>
  </si>
  <si>
    <t>Methane (kg CH4 assuming 6.5% GEI lost as CH4)</t>
  </si>
  <si>
    <t>Methane (tonnes CH4 lifetime per cow)</t>
  </si>
  <si>
    <t>Methane (tonnes CO2 lifetime per cow)</t>
  </si>
  <si>
    <t>Herd number</t>
  </si>
  <si>
    <t>Number of calves raised per day</t>
  </si>
  <si>
    <t>Energy per day per replacement (MJ/day)</t>
  </si>
  <si>
    <t>Energy per day for replacements (MJ/day for all replacements)</t>
  </si>
  <si>
    <t xml:space="preserve">Lifetime energy for calf (MJ; calculated as replacement rate) </t>
  </si>
  <si>
    <t>Pregnancy energy (MJ)</t>
  </si>
  <si>
    <t>Estimated additional milk produced (litres/cow.lifetime)</t>
  </si>
  <si>
    <t>Estimated additional milk produced (litres/herd.annum)</t>
  </si>
  <si>
    <t>Days multiparous</t>
  </si>
  <si>
    <t>Energy for Maintenance multiparous (MJ)</t>
  </si>
  <si>
    <t>Conventional</t>
  </si>
  <si>
    <t>Pregnancy</t>
  </si>
  <si>
    <t>(kg liveweight)</t>
  </si>
  <si>
    <t>Daily Energy for Maintenance first lactation (MJ/day)</t>
  </si>
  <si>
    <t>Birth Weight (kg)</t>
  </si>
  <si>
    <t>Multiparous</t>
  </si>
  <si>
    <t>Enter average extended lactation length (days)</t>
  </si>
  <si>
    <t>Number of extended lactations before culling</t>
  </si>
  <si>
    <t>Days 1st calf to cull</t>
  </si>
  <si>
    <t>Average daily milk between 1st calf to cull</t>
  </si>
  <si>
    <t>Additional milk due to extended lactation (litres/annum)</t>
  </si>
  <si>
    <t xml:space="preserve">Emissions intensity per cow per lifetime </t>
  </si>
  <si>
    <t>Daily emissions per cow</t>
  </si>
  <si>
    <t>Yearly emissions per cow</t>
  </si>
  <si>
    <t>Yearly emissions per herd</t>
  </si>
  <si>
    <t>Difference in yearly CH4 emissions per herd per annum (kg CO2e/annum)</t>
  </si>
  <si>
    <t>Reduction in enteric CH4 emissions per herd per annum (t CO2e/annum)</t>
  </si>
  <si>
    <t>Average daily milk per cow per annum</t>
  </si>
  <si>
    <t>Calculations to allocate energy to raising calves to enter herd</t>
  </si>
  <si>
    <t>Choose the type of trees planted</t>
  </si>
  <si>
    <t>Carbon sequestration potential of trees</t>
  </si>
  <si>
    <t>Years</t>
  </si>
  <si>
    <t>High</t>
  </si>
  <si>
    <t>Med-High</t>
  </si>
  <si>
    <t>Med</t>
  </si>
  <si>
    <t>Med-Low</t>
  </si>
  <si>
    <t>Low</t>
  </si>
  <si>
    <t>Rainfall</t>
  </si>
  <si>
    <t>from</t>
  </si>
  <si>
    <t>to</t>
  </si>
  <si>
    <t>weight</t>
  </si>
  <si>
    <t>C content</t>
  </si>
  <si>
    <t>Counter</t>
  </si>
  <si>
    <t>mm/yr</t>
  </si>
  <si>
    <t>m3/ha/yr</t>
  </si>
  <si>
    <t>dry-tonne/ m3</t>
  </si>
  <si>
    <t>t CO2e/ha</t>
  </si>
  <si>
    <t>General softwoods</t>
  </si>
  <si>
    <t>Pinus Radiata - Pine</t>
  </si>
  <si>
    <t>Generic hardwood</t>
  </si>
  <si>
    <t>Eucalyptus globulus - Blue gum</t>
  </si>
  <si>
    <t>Eucalyptus nitens - Shining gum</t>
  </si>
  <si>
    <t>Eucalyptus saligna - Sydney blue gum</t>
  </si>
  <si>
    <t>Eucalyptus grandis - Rose gum</t>
  </si>
  <si>
    <t>Comybia maculata - Spotted gum</t>
  </si>
  <si>
    <t>Mixed hardwoods</t>
  </si>
  <si>
    <t>Acacia melanoxylon - Blackwood</t>
  </si>
  <si>
    <t>Eucalyptus camaldulensis - River red gum</t>
  </si>
  <si>
    <t>Eucalyptus sideroxylon - Ironbark</t>
  </si>
  <si>
    <t>Eucalyptus cladocalyx - Sugar gum</t>
  </si>
  <si>
    <t>Casuarina cunninghamiana - She oak</t>
  </si>
  <si>
    <t>Rainfall Selection</t>
  </si>
  <si>
    <t>High (&gt;700)</t>
  </si>
  <si>
    <t>Med (500 - 700)</t>
  </si>
  <si>
    <t>Low (&lt;500)</t>
  </si>
  <si>
    <t>Energy - Fuel and Electricity</t>
  </si>
  <si>
    <t>Annual diesel consumption (F)</t>
  </si>
  <si>
    <t>L/year</t>
  </si>
  <si>
    <t>Energy density for diesel (D)</t>
  </si>
  <si>
    <t>Gg/kL</t>
  </si>
  <si>
    <t>Oxidation factor for CO2 (P)</t>
  </si>
  <si>
    <t>Emission factor for CO2 (ADO) (EF)</t>
  </si>
  <si>
    <t>Gg CO2/PJ</t>
  </si>
  <si>
    <t>Annual electricity use (F)</t>
  </si>
  <si>
    <t>kWh</t>
  </si>
  <si>
    <t>Emission factor (electricity) (EF)</t>
  </si>
  <si>
    <t>Tonnes CO2-e/KWh</t>
  </si>
  <si>
    <t>CO2 emissions from diesel use</t>
  </si>
  <si>
    <t>E = F x D x P x EF x 10^-6</t>
  </si>
  <si>
    <t>F = annual diesel consumption</t>
  </si>
  <si>
    <t>D = energy density for diesel</t>
  </si>
  <si>
    <t>P = oxidation factor for CO2</t>
  </si>
  <si>
    <t>Gg CO2</t>
  </si>
  <si>
    <t>CO2 emission factor for ADO</t>
  </si>
  <si>
    <t>g CO2/PJ</t>
  </si>
  <si>
    <t>CH4</t>
  </si>
  <si>
    <t>N2O</t>
  </si>
  <si>
    <t>NOx</t>
  </si>
  <si>
    <t>CO</t>
  </si>
  <si>
    <t>NMVOC</t>
  </si>
  <si>
    <t>SO2</t>
  </si>
  <si>
    <t>CO2 emissions from diesel use for non-CO2 gasses</t>
  </si>
  <si>
    <t>t CO2-e</t>
  </si>
  <si>
    <t>Total CO2-e emissions from diesel use</t>
  </si>
  <si>
    <t>CO2 emissions from electricity use</t>
  </si>
  <si>
    <t>E = F x EF</t>
  </si>
  <si>
    <t>F = Annual electricity use</t>
  </si>
  <si>
    <t>EF = emission factor</t>
  </si>
  <si>
    <t>Total CO2-e emissions from diesel and electricity</t>
  </si>
  <si>
    <t>Australian Current Best Performance for Fuel Class</t>
  </si>
  <si>
    <t>Fuel type</t>
  </si>
  <si>
    <t>Thermal efficiency (%)</t>
  </si>
  <si>
    <t>kg CO2/MWh</t>
  </si>
  <si>
    <t>t CO2/kWh</t>
  </si>
  <si>
    <t xml:space="preserve">Black Coal </t>
  </si>
  <si>
    <t xml:space="preserve">Brown Coal-Victorian </t>
  </si>
  <si>
    <t xml:space="preserve">Natural Gas-Steam </t>
  </si>
  <si>
    <t>Natural Gas-Turbine</t>
  </si>
  <si>
    <t xml:space="preserve">Diesel </t>
  </si>
  <si>
    <t>Cogen -Oil fired steam</t>
  </si>
  <si>
    <t>Hydro or other clean Power</t>
  </si>
  <si>
    <t>Sequestration</t>
  </si>
  <si>
    <t>Results for baseline farm system</t>
  </si>
  <si>
    <t xml:space="preserve">Dung &amp; urine voided </t>
  </si>
  <si>
    <t>Baseline farm GHG emissions estimations</t>
  </si>
  <si>
    <t>Total Maintenance first lactation (MJ)</t>
  </si>
  <si>
    <t>Enter number of heifers &lt; 1 yr age</t>
  </si>
  <si>
    <t>Enter number of heifers &gt; 1 yr age</t>
  </si>
  <si>
    <t>Heifers &lt; 1 yr age</t>
  </si>
  <si>
    <t>Heifers &gt; 1 yr age</t>
  </si>
  <si>
    <t>Estimated baseline replacement rate</t>
  </si>
  <si>
    <t>Estimated strategy replacement rate</t>
  </si>
  <si>
    <t xml:space="preserve">Enter number of heifers &gt; 1 yr age  </t>
  </si>
  <si>
    <t xml:space="preserve">Enter number of heifers &lt; 1 yr age  </t>
  </si>
  <si>
    <t>Heifer nos</t>
  </si>
  <si>
    <t>Grand total difference (t CO2e/annum)</t>
  </si>
  <si>
    <t>N2O (kg N2O/hd/annum)</t>
  </si>
  <si>
    <t>Nitrous oxide loss (kg N2O/annum)</t>
  </si>
  <si>
    <t>Grand Total - Waste N2O t CO2-e</t>
  </si>
  <si>
    <t xml:space="preserve">Difference between strategy and baseline enteric CH4 </t>
  </si>
  <si>
    <t xml:space="preserve">Difference between strategy and baseline waste CH4 </t>
  </si>
  <si>
    <t>Difference between strategy and baseline waste N2O</t>
  </si>
  <si>
    <t>Digestibility of the diet (%)</t>
  </si>
  <si>
    <t>Cost to raise heifers to point of entry</t>
  </si>
  <si>
    <t>Enter the price to raise a heifer calf to the point of joining the milking herd ($/head)</t>
  </si>
  <si>
    <t xml:space="preserve">Saved costs </t>
  </si>
  <si>
    <t>Enter % reduction in enteric methane with management or breeding</t>
  </si>
  <si>
    <t>Change in income &amp; costs based on reduction in total farm GHG emissions ($ per annum)</t>
  </si>
  <si>
    <t>Change in income &amp; costs based on reduction in GHG emissions intensity ($ per annum)</t>
  </si>
  <si>
    <t>Changes in feed quality for GHG assessments (use the default NGGI equations)</t>
  </si>
  <si>
    <t>ME of strategy diet (DMD x 0.1604-1.037)</t>
  </si>
  <si>
    <t>Digestibility of strategy diet (%)</t>
  </si>
  <si>
    <t>Crude protein of strategy diet (%)</t>
  </si>
  <si>
    <t>Estimate intake strategy diet (kg DM/day)</t>
  </si>
  <si>
    <t>New milk production (litres/cow.day)</t>
  </si>
  <si>
    <t>Additional milk (litres/cow.day)</t>
  </si>
  <si>
    <t>ME of total strategy diet (MJ/cow.day)</t>
  </si>
  <si>
    <t>Assumed 5.5 MJ/litre milk</t>
  </si>
  <si>
    <t>Baseline intake (kg DM/cow.day)</t>
  </si>
  <si>
    <t>Baseline enteric methane (g CH4/kg DMI)</t>
  </si>
  <si>
    <t>Strategy intake (kg DM/cow.day)</t>
  </si>
  <si>
    <t>Grand total change (t CO2e/annum)</t>
  </si>
  <si>
    <t>grams fat per kg DMI taking into account a 2% wastage</t>
  </si>
  <si>
    <t>Daily Methane Yield (kg CH4/hd/d)</t>
  </si>
  <si>
    <t>kg CH4/cow.day</t>
  </si>
  <si>
    <t>Change in milk production based on high fat supplementation equations</t>
  </si>
  <si>
    <t>ME of new supplement (MJ/kg DM) based on ((ME = DMD x0.1604-1.037</t>
  </si>
  <si>
    <t>((DMD% of new supp) x kg DM new supp / daily intake strategy diet (kg DM.cow.day)) + ((DMD% baseline diet * (daily intake strategy diet (kg DM/cow.day) - kg DM new supp) / daily intake strategy diet (kg DM.cow.day)</t>
  </si>
  <si>
    <t>Change in milk production based on NGGI methodology equations</t>
  </si>
  <si>
    <t>Intake of original diet (kg DM/day)</t>
  </si>
  <si>
    <t>ME of baseline diet (MJ/kg DM)</t>
  </si>
  <si>
    <t>ME of new supplement (MJ/day)</t>
  </si>
  <si>
    <t>ME of original component feed of the strategy diet (MJ/day)</t>
  </si>
  <si>
    <t>Total ME of strategy diet (MJ/day)</t>
  </si>
  <si>
    <t>Total ME of  baseline diet (MJ/cow.day)</t>
  </si>
  <si>
    <t>Difference in ME (MJ/day)</t>
  </si>
  <si>
    <t>Baseline diet intake</t>
  </si>
  <si>
    <t>Intake of strategy diet new supplement (kg DM/day)</t>
  </si>
  <si>
    <t xml:space="preserve">ME of new supplement (MJ/kg DM) </t>
  </si>
  <si>
    <t>ME of supplementary feed  (MJ/kg DM) x daily intake (kg DM/cow.day)</t>
  </si>
  <si>
    <t>Intake of the original component of the diet not substituted (kg DM/day)</t>
  </si>
  <si>
    <t>ME of whole strategy diet minus ME of baseline diet</t>
  </si>
  <si>
    <t>Additional milk production (litres/day)</t>
  </si>
  <si>
    <t>Total milk production while activated (litres/day)</t>
  </si>
  <si>
    <t>Baseline milk plus strategy additional milk</t>
  </si>
  <si>
    <t>Enter the longevity of the strategy before needing replacing (years)</t>
  </si>
  <si>
    <t>Enter total cost of implementing the abatement strategy  ($ per farm)</t>
  </si>
  <si>
    <t>Cost of strategy per annum ($/annum)</t>
  </si>
  <si>
    <t>Enter estimated substitution rate (range between 0 and 1)</t>
  </si>
  <si>
    <t>Baseline number of milkers</t>
  </si>
  <si>
    <t>Enter cost of achieving improved diet digestibility ($/ farm)</t>
  </si>
  <si>
    <t>Enter number of days per annum the strategy is activated</t>
  </si>
  <si>
    <t>Enter DMD content of baseline supplement to be replaced (%; value ten times higher to incorporate up/down arrows)</t>
  </si>
  <si>
    <t>Enter CP content of baseline supplement to be replaced (%; value ten times higher to incorporate up/down arrows)</t>
  </si>
  <si>
    <t>Enter cost of the baseline supplement to be replaced ($)</t>
  </si>
  <si>
    <t>Enter price of the new abatement strategy supplement ($/t DM)</t>
  </si>
  <si>
    <t>Enter number of days per annum the new supplement is fed</t>
  </si>
  <si>
    <t>Number of days activated</t>
  </si>
  <si>
    <t>Cost of the new supplement ($/t DM)</t>
  </si>
  <si>
    <t>Days per annum effective</t>
  </si>
  <si>
    <t>Cost per annum</t>
  </si>
  <si>
    <t>Enter % of the year cows grazing pasture</t>
  </si>
  <si>
    <t>Enter days/annum the strategy is effective</t>
  </si>
  <si>
    <t>Enter efficacy of the NI (%)</t>
  </si>
  <si>
    <t>Enter cost of the uncoated N fertiliser ($/t)</t>
  </si>
  <si>
    <t>Enter cost of coated N fertiliser ($/t)</t>
  </si>
  <si>
    <t>Enter additional pasture production (kg DM/ha.annum)</t>
  </si>
  <si>
    <t>Enter area of farm that the NI fertiliser is applied (ha)</t>
  </si>
  <si>
    <t>Utilisation of the additional pasture (%)</t>
  </si>
  <si>
    <t>Enter % of waste collected in the lagoon for flaring</t>
  </si>
  <si>
    <t>Enter total cost to implement</t>
  </si>
  <si>
    <t>Enter number of years before the equipment/cover etc needs replacing</t>
  </si>
  <si>
    <r>
      <t>Total GHG emissions (t CO</t>
    </r>
    <r>
      <rPr>
        <b/>
        <vertAlign val="subscript"/>
        <sz val="12"/>
        <color theme="1"/>
        <rFont val="Times New Roman"/>
        <family val="1"/>
      </rPr>
      <t>2</t>
    </r>
    <r>
      <rPr>
        <b/>
        <sz val="12"/>
        <color theme="1"/>
        <rFont val="Times New Roman"/>
        <family val="1"/>
      </rPr>
      <t>e/annum)</t>
    </r>
  </si>
  <si>
    <t>Note: Total GHG and GHG emissions intensity includes any sequestration from tree plantings.  However, for individual sources of GHG, % of total does not include tree plantings</t>
  </si>
  <si>
    <t>Brown Coal-Sth Australia</t>
  </si>
  <si>
    <t>Chose average annual rainfall (mm)</t>
  </si>
  <si>
    <t>None</t>
  </si>
  <si>
    <t>Enter % of waste collected from the dairy and transferred to the lagoon</t>
  </si>
  <si>
    <t>Enter solids removal efficiency (%)</t>
  </si>
  <si>
    <t>Enter hours per day the milekrs spend at the dairy</t>
  </si>
  <si>
    <t>Enter solids removal effficiency</t>
  </si>
  <si>
    <t>Volatile solids (kg/cow.day)</t>
  </si>
  <si>
    <t>Volatile soilds (kg/year to the lagoon)</t>
  </si>
  <si>
    <t>VSDGAS = (I x (1-DMD) x (1-A)</t>
  </si>
  <si>
    <t>Vsa = VSDGAS x SF x Navg x Ta x (1- Sr) x 365</t>
  </si>
  <si>
    <t>Qb = VS x Bo x MCF</t>
  </si>
  <si>
    <r>
      <t xml:space="preserve">Eb = </t>
    </r>
    <r>
      <rPr>
        <sz val="11"/>
        <color theme="1"/>
        <rFont val="Calibri"/>
        <family val="2"/>
      </rPr>
      <t>γ</t>
    </r>
    <r>
      <rPr>
        <sz val="9.9"/>
        <color theme="1"/>
        <rFont val="Calibri"/>
        <family val="2"/>
      </rPr>
      <t>Qb</t>
    </r>
  </si>
  <si>
    <t>Volune of methane (m3 CH4)</t>
  </si>
  <si>
    <t>Total methane emissions (t CO2e/annum)</t>
  </si>
  <si>
    <t>Baseline farm system (using the tier two method in the CFI methodology)</t>
  </si>
  <si>
    <t>Emissions avoided</t>
  </si>
  <si>
    <r>
      <t xml:space="preserve">Ap = </t>
    </r>
    <r>
      <rPr>
        <sz val="11"/>
        <color theme="1"/>
        <rFont val="Calibri"/>
        <family val="2"/>
      </rPr>
      <t>γ</t>
    </r>
    <r>
      <rPr>
        <sz val="9.9"/>
        <color theme="1"/>
        <rFont val="Calibri"/>
        <family val="2"/>
      </rPr>
      <t xml:space="preserve"> ∑ Qcom,h - EN2O</t>
    </r>
  </si>
  <si>
    <r>
      <t xml:space="preserve">where </t>
    </r>
    <r>
      <rPr>
        <sz val="11"/>
        <color theme="1"/>
        <rFont val="Calibri"/>
        <family val="2"/>
      </rPr>
      <t>γ</t>
    </r>
    <r>
      <rPr>
        <sz val="9.9"/>
        <color theme="1"/>
        <rFont val="Calibri"/>
        <family val="2"/>
      </rPr>
      <t xml:space="preserve"> = 6.784 * 10^-4 x 21</t>
    </r>
  </si>
  <si>
    <t>where QCH4,h = Qbiogas,h x WCH4</t>
  </si>
  <si>
    <t>Enter volume of biogas sent to combustion (m3)</t>
  </si>
  <si>
    <t>assumed WCh4 = 0.7 as per CFI meth</t>
  </si>
  <si>
    <t>where Qcom,h = QCH4,h x DEh</t>
  </si>
  <si>
    <t>assumed DEh = 0.98 as per CFI meth</t>
  </si>
  <si>
    <t>Qcom,h = volume methane destoyed by combustion (m3)</t>
  </si>
  <si>
    <t>EN2O = N2O emissions released as a result of CH4 destruction</t>
  </si>
  <si>
    <t>EN2O = (Qcom,h x EC x EFN2O/1000)</t>
  </si>
  <si>
    <t>where EC = energy content of biogas (GJ/m3) as per NGER</t>
  </si>
  <si>
    <t>where EFN2O = emissions factor for N2O emitted during combustion of biogas (kg CO2e/ GJ of energy) as per NGER</t>
  </si>
  <si>
    <t>EFN2O</t>
  </si>
  <si>
    <t>EC</t>
  </si>
  <si>
    <t xml:space="preserve">   </t>
  </si>
  <si>
    <t>Estimated fat content in the abatement strategy diet during the activation period (%)</t>
  </si>
  <si>
    <t>Reduction in emission intensity (kg CO2-e/litre of milk)</t>
  </si>
  <si>
    <t>Average annual diet dry matter digestibility (%)</t>
  </si>
  <si>
    <t>Average lactation length</t>
  </si>
  <si>
    <t>Total baseline milk</t>
  </si>
  <si>
    <t>Milk per cow x number of cows x lactation length</t>
  </si>
  <si>
    <t>Strategy fat concentration (g/ kg DM)</t>
  </si>
  <si>
    <t>Baseline fat concentrations (g/kg DM)</t>
  </si>
  <si>
    <t>Baseline intake (without milk; kg DM/cow.day)</t>
  </si>
  <si>
    <t>Baseline milk (kg DM/cow.day)</t>
  </si>
  <si>
    <t>Strategy intake (without milk; kg DM/cow.day)</t>
  </si>
  <si>
    <t>Strategy milk (kg DM/cow.day)</t>
  </si>
  <si>
    <t>New intake for additional milk production and potential change to DMD of the diet</t>
  </si>
  <si>
    <t xml:space="preserve">Difference between baseline and strategy enteric CH4 </t>
  </si>
  <si>
    <t>Based on this equation: 24.51 - 0.0788 x TF</t>
  </si>
  <si>
    <t>Baseline intake minus supp replaced</t>
  </si>
  <si>
    <t>(DMD% of diet minus altered supp x (intake of baseline diet - intake  of the low fat supplement being replaced)/ baseline intake (kg DM/cow.day)) + (DMD % of new high fat supplement x kg DM of new high fat supplement) / baseline intake (kg DM/cow.day)</t>
  </si>
  <si>
    <t>(CP% of diet minus altered supp x (intake of baseline diet - intake of the low fat supplement being replaced)/ baseline intake (kg DM/cow.day)) + (CP % of new high fat supplement x kg DM of new high fat supplement) / baseline intake (kg DM/cow.day)</t>
  </si>
  <si>
    <t>Strategy enteric methane (g CH4/kg DMI)</t>
  </si>
  <si>
    <t xml:space="preserve">Milk production </t>
  </si>
  <si>
    <t>Milk production</t>
  </si>
  <si>
    <t>Litres per annum</t>
  </si>
  <si>
    <t>MS per annum</t>
  </si>
  <si>
    <t>Fat %</t>
  </si>
  <si>
    <t>Protein %</t>
  </si>
  <si>
    <t>litres per cow per day</t>
  </si>
  <si>
    <t>DGAS estimated litres per annum</t>
  </si>
  <si>
    <t>kg milk per cow per day</t>
  </si>
  <si>
    <t>Average milk production (litres/cow per day)</t>
  </si>
  <si>
    <t>Estimated additional milk produced (litres/farm per annum)</t>
  </si>
  <si>
    <t>kg CH4 per cow per day x number of cows per annum</t>
  </si>
  <si>
    <t>Total additional milk production farm</t>
  </si>
  <si>
    <t>Average additional daily milk</t>
  </si>
  <si>
    <t>Average additional daily milk per cow over the year</t>
  </si>
  <si>
    <t>Additional litres produced per farm per annum</t>
  </si>
  <si>
    <t>Emissions intensity</t>
  </si>
  <si>
    <t>Baseline milk production (litres)</t>
  </si>
  <si>
    <t>Strategy milk production (litres)</t>
  </si>
  <si>
    <t>Strategy GHG emissions intensity (kg CO2e/litre milk)</t>
  </si>
  <si>
    <t>Reduction in GHG emissions intensity over the 12 months (kg CO2e/litre milk)</t>
  </si>
  <si>
    <t>Milk produced over the 12 months (litres)</t>
  </si>
  <si>
    <t>Reduction in GHG emissions (kg CO2e over period of activation)</t>
  </si>
  <si>
    <t>Energy saved per day to be used for milk (MJ/day)</t>
  </si>
  <si>
    <t>Enteric CH4 (t CO2e/herd per annum)</t>
  </si>
  <si>
    <t>Waste CH4 (t CO2e/herd per annum)</t>
  </si>
  <si>
    <t>Waste N2O (t CO2e/herd per annum)</t>
  </si>
  <si>
    <t>Fert N2O (t CO2e/farm per annum)</t>
  </si>
  <si>
    <t>Total (t CO2e/farm per annum)</t>
  </si>
  <si>
    <t>Reduction due to strategy</t>
  </si>
  <si>
    <t>t CO2e/herd for the full 12 months</t>
  </si>
  <si>
    <t>Change in waste N2O emissions (t CO2e/annum)</t>
  </si>
  <si>
    <t>Strategy intake without milk production included</t>
  </si>
  <si>
    <t>Strategy milk intake (kg DM/cow.day)</t>
  </si>
  <si>
    <t>Enter average days non-lactating between each extended lactation (days)</t>
  </si>
  <si>
    <t>Emissions per day</t>
  </si>
  <si>
    <t>Emissions reduction for the duration of activation</t>
  </si>
  <si>
    <t xml:space="preserve">Total reduction in direct urinary N2O emissions (t CO2e/annum) x efficacy of inhibitor (as a percentage) </t>
  </si>
  <si>
    <t>Reduction in direct N2O emissions with this strategy for activation period(t CO2e/annum)</t>
  </si>
  <si>
    <t>Reduction in direct N2O emissions with this strategy for 12 months (t CO2e/annum)</t>
  </si>
  <si>
    <t>Reduction in indirect N2O emissions from leaching with this strategy for 12 months (t CO2e/annum)</t>
  </si>
  <si>
    <t xml:space="preserve">Total reduction in indirect N2O (t CO2e/annum) x efficacy of inhibitor (as a percentage) </t>
  </si>
  <si>
    <t>Reduction in indirect N2O emissions from leaching with this strategy for activation period (t CO2e/annum)</t>
  </si>
  <si>
    <t>Baseline total urinary N emitted (Gg N/herd/annum)</t>
  </si>
  <si>
    <t>Total reduction in N2O emissions for the activation period  (t CO2e/annum)</t>
  </si>
  <si>
    <t>Strategy direct N2O emissions</t>
  </si>
  <si>
    <t>Baseline total N2O emissions  (t CO2/year)</t>
  </si>
  <si>
    <t>Strategy indirect N2O emissions (t CO2e/annum)</t>
  </si>
  <si>
    <t>Total reduction in N2O emissions over the 12 month period</t>
  </si>
  <si>
    <t>litres/cow x herd size x number of days milked per annum</t>
  </si>
  <si>
    <t>Strategy direct and indirect N2O emissions (t CO2e/annum)</t>
  </si>
  <si>
    <t>Reduction in N2O emissions (t CO2e/annum)</t>
  </si>
  <si>
    <t>Reduction in emissions intensity per annum (kg CO2e/litre milk)</t>
  </si>
  <si>
    <t>Enter additional pasture growth achieved with the inhibitor (kg DM/ha per annum)</t>
  </si>
  <si>
    <t>Baseline N2O emissions - change in N2O emissions</t>
  </si>
  <si>
    <t>Baseline GHG emissions (t CO2e/annum from replacements)</t>
  </si>
  <si>
    <t>Strategy GHG emissions (t CO2e/annum from replacements)</t>
  </si>
  <si>
    <t>Enter % of the coated fertiliser applied when inhibitor is reducing N2O emissions</t>
  </si>
  <si>
    <t>Reduction in GHG emissions (kg CO2e per annum)</t>
  </si>
  <si>
    <t>Reduction in GHG emissions (kg CO2e per day active)</t>
  </si>
  <si>
    <t>Number of days active</t>
  </si>
  <si>
    <t>Total reduction in GHG emissions (kg CO2e per annum)</t>
  </si>
  <si>
    <t>Cost to raise heifers to point of joining milking herd ($/hd per annum)</t>
  </si>
  <si>
    <t>((ME = DMD x 0.134 + 1.23 + (0.235 x fat%)) (CSIRO 2007) with ceiling ME of 13.5 MJ/kg DM</t>
  </si>
  <si>
    <t>((ME = DMD x 0.134 + 1.23 + (0.235 x fat%)) (CSIRO 2007) with ceiling of 13.5 MJ/kg DM</t>
  </si>
  <si>
    <t>Enter number of days per year that the abatement strategy is effective for</t>
  </si>
  <si>
    <t>Annual Electricity Use (kWh)</t>
  </si>
  <si>
    <t>Carbon sequestration in tree plantations</t>
  </si>
  <si>
    <t>Amount carbon sequested (t CO2/ha)</t>
  </si>
  <si>
    <t xml:space="preserve">Electricity </t>
  </si>
  <si>
    <t>Diesel and unleaded petrol</t>
  </si>
  <si>
    <t>Methane:</t>
  </si>
  <si>
    <t>Nitrous oxide:</t>
  </si>
  <si>
    <t>Carbon dioxide:</t>
  </si>
  <si>
    <t>Annual Diesel/ unleaded petrol (litres)</t>
  </si>
  <si>
    <t xml:space="preserve">Liveweight gain </t>
  </si>
  <si>
    <t>Methane for each manure management system and MCF associated, for each class of cattle separately</t>
  </si>
  <si>
    <t>Dairy cattle standard reference weight to calculate relative size (Z)</t>
  </si>
  <si>
    <t>Mass of fertiliser applied (M)</t>
  </si>
  <si>
    <t>Intake (kg DM/day)</t>
  </si>
  <si>
    <t>Pastures</t>
  </si>
  <si>
    <t>Concentrates/ grain</t>
  </si>
  <si>
    <t>Silage</t>
  </si>
  <si>
    <t>Hay</t>
  </si>
  <si>
    <t>By-products</t>
  </si>
  <si>
    <t>Other</t>
  </si>
  <si>
    <t>Average DMD</t>
  </si>
  <si>
    <t>Average CP</t>
  </si>
  <si>
    <t>Total (kg DM/day) or average (%)</t>
  </si>
  <si>
    <t>I = (1.185 +(0.00454 x W) - (0.0000026 x (W)^2) + ((0.315 x LWG)))^2 x MR + MI</t>
  </si>
  <si>
    <t>Crops</t>
  </si>
  <si>
    <t>N fertiliser rates</t>
  </si>
  <si>
    <t>Farmer details:</t>
  </si>
  <si>
    <t>Supplier Number</t>
  </si>
  <si>
    <t>Address</t>
  </si>
  <si>
    <t>Choose your state in Australia</t>
  </si>
  <si>
    <t>Lucerne/ legume hay (t DM)</t>
  </si>
  <si>
    <t>Pasture silage (t DM)</t>
  </si>
  <si>
    <t>Cereal/ maize silage (t DM)</t>
  </si>
  <si>
    <t>Grain/ concentrates (t DM)</t>
  </si>
  <si>
    <t xml:space="preserve">Purchased supplementary feed </t>
  </si>
  <si>
    <t>Fertilisers</t>
  </si>
  <si>
    <t>How do you which to enter the fertiliser rates?</t>
  </si>
  <si>
    <t>Product</t>
  </si>
  <si>
    <t>Pasture hay</t>
  </si>
  <si>
    <t>GHG emissions (t CO2e)</t>
  </si>
  <si>
    <t>Lucerne/ legume hay</t>
  </si>
  <si>
    <t>Pasture silage</t>
  </si>
  <si>
    <t>Cereal/ maize silage</t>
  </si>
  <si>
    <t>Grain/concentrates</t>
  </si>
  <si>
    <t>Pre-farm embedded and fertiliser inputs</t>
  </si>
  <si>
    <t>Lime</t>
  </si>
  <si>
    <t>Amount (t DM)</t>
  </si>
  <si>
    <t>N fertiliser (urea Emission factor)</t>
  </si>
  <si>
    <t>P fertiliser (TSP emission factor)</t>
  </si>
  <si>
    <t>K fertiliser (MOP emission factor)</t>
  </si>
  <si>
    <t>S fertiliser (TSP emission factor)</t>
  </si>
  <si>
    <t>Pre-farm embedded</t>
  </si>
  <si>
    <t>Grain/ concentrates</t>
  </si>
  <si>
    <t>Forages</t>
  </si>
  <si>
    <t>Manufacturing of diesel</t>
  </si>
  <si>
    <t>Graphs</t>
  </si>
  <si>
    <t>Enteric methane</t>
  </si>
  <si>
    <t>Waste methane</t>
  </si>
  <si>
    <t>Direct N2O waste</t>
  </si>
  <si>
    <t>Direct N2O N fertiliser</t>
  </si>
  <si>
    <t>Indirect N2O waste</t>
  </si>
  <si>
    <t>Indirect N2O N fertiliser</t>
  </si>
  <si>
    <t>Energy consumption</t>
  </si>
  <si>
    <t>Dry matter digestibility (DMD; %)</t>
  </si>
  <si>
    <t>Crude protein (CP; %)</t>
  </si>
  <si>
    <t>N Fertiliser Crops</t>
  </si>
  <si>
    <t>Gg N/annum</t>
  </si>
  <si>
    <t>Gg N2O/annum</t>
  </si>
  <si>
    <t>Manure management</t>
  </si>
  <si>
    <t>All other stock</t>
  </si>
  <si>
    <t>Choose which option you are using to estimate how animal waste is handled</t>
  </si>
  <si>
    <t>User-defined factors and fractions</t>
  </si>
  <si>
    <t>Default state-based factors and fractions</t>
  </si>
  <si>
    <t>Gippsland</t>
  </si>
  <si>
    <t>Tasmania</t>
  </si>
  <si>
    <t>South Australia</t>
  </si>
  <si>
    <t>Western Australia</t>
  </si>
  <si>
    <t>Choose your region in Australia</t>
  </si>
  <si>
    <t>Hours per day</t>
  </si>
  <si>
    <t>Days per annum</t>
  </si>
  <si>
    <t>Select the option which best describes how this waste from the feedpad or loafing area is best handled</t>
  </si>
  <si>
    <r>
      <t>Carbon sequested based on other calculators (t CO</t>
    </r>
    <r>
      <rPr>
        <vertAlign val="subscript"/>
        <sz val="12"/>
        <rFont val="Times New Roman"/>
        <family val="1"/>
      </rPr>
      <t>2</t>
    </r>
    <r>
      <rPr>
        <sz val="12"/>
        <rFont val="Times New Roman"/>
        <family val="1"/>
      </rPr>
      <t>e/hectare per annum)</t>
    </r>
  </si>
  <si>
    <t>Pre-treat</t>
  </si>
  <si>
    <t>NO</t>
  </si>
  <si>
    <t>YES</t>
  </si>
  <si>
    <t>Heifers</t>
  </si>
  <si>
    <t>Feedpad waste- heifers</t>
  </si>
  <si>
    <t>Hours per day at dairy</t>
  </si>
  <si>
    <t>Days per annum at dairy</t>
  </si>
  <si>
    <t>% spread daily</t>
  </si>
  <si>
    <t>% to lagoon</t>
  </si>
  <si>
    <t>Hours per day on feedpad</t>
  </si>
  <si>
    <t>Days per annum on feedpad</t>
  </si>
  <si>
    <t xml:space="preserve">Hours per day </t>
  </si>
  <si>
    <t>% to grazing</t>
  </si>
  <si>
    <t>% from dairy &amp; spread daily</t>
  </si>
  <si>
    <t>% from dairy &amp; to lagoon (no pre-treatment)</t>
  </si>
  <si>
    <t>% from feedpad wet-lotted (solid storage)</t>
  </si>
  <si>
    <t>% sum solid storage</t>
  </si>
  <si>
    <t>Milkers- dairy</t>
  </si>
  <si>
    <t>Milkers- feedpad</t>
  </si>
  <si>
    <t>Heifers- feedpad</t>
  </si>
  <si>
    <t>% from feedpad spread daily</t>
  </si>
  <si>
    <t>% from feedpad and to lagoon but with pre-treatment to make it solid storage</t>
  </si>
  <si>
    <t>% to lagoon (no pre-treatment)</t>
  </si>
  <si>
    <t>% to lagoon (pre-treated &amp; to solid storage)</t>
  </si>
  <si>
    <t>Voided pasture</t>
  </si>
  <si>
    <t>MCF calculations- milkers</t>
  </si>
  <si>
    <t>Integrated MCF</t>
  </si>
  <si>
    <t>% sum lagoon</t>
  </si>
  <si>
    <t>% from dairy &amp; to lagoon (pre-treated &amp; to solid storage fraction)</t>
  </si>
  <si>
    <t>Default fractions</t>
  </si>
  <si>
    <t>Which fractions and MCF to use for milkers</t>
  </si>
  <si>
    <t>Milker User defined fractions</t>
  </si>
  <si>
    <t>Milker MCF</t>
  </si>
  <si>
    <t>Other stock MCF</t>
  </si>
  <si>
    <t>Other stock User defined fraction</t>
  </si>
  <si>
    <t>Which fractions and MCF to use for other stock</t>
  </si>
  <si>
    <t>% waste to each manure management system</t>
  </si>
  <si>
    <t>Carbon sequestered (t CO2/ha)</t>
  </si>
  <si>
    <t>Year reviewed</t>
  </si>
  <si>
    <t>2012/13</t>
  </si>
  <si>
    <t>Victoria</t>
  </si>
  <si>
    <t>New South Wales</t>
  </si>
  <si>
    <t>Queensland</t>
  </si>
  <si>
    <t>Northern Territory</t>
  </si>
  <si>
    <t>Western Victoria</t>
  </si>
  <si>
    <t>Murray Dairy</t>
  </si>
  <si>
    <t>Northern NSW</t>
  </si>
  <si>
    <t>New.South.Wales</t>
  </si>
  <si>
    <t>South.Australia</t>
  </si>
  <si>
    <t>Western.Australia</t>
  </si>
  <si>
    <t>Northern.Territory</t>
  </si>
  <si>
    <t>Southern &amp; Inland NSW</t>
  </si>
  <si>
    <t>Selected State</t>
  </si>
  <si>
    <t>Selected Region</t>
  </si>
  <si>
    <t>Bill and Wendy Smith</t>
  </si>
  <si>
    <t>1234 Main Rd, Colac, VIC 3250</t>
  </si>
  <si>
    <t>256758T1</t>
  </si>
  <si>
    <t>DGAS estimated kg MS if litres entered</t>
  </si>
  <si>
    <t>Total GHG emissions (kg)</t>
  </si>
  <si>
    <t>EI (litres FPCM)</t>
  </si>
  <si>
    <t>EI (kg MS)</t>
  </si>
  <si>
    <t>Where does your electricity come from?</t>
  </si>
  <si>
    <t>Flushed &amp; spread daily from a sump</t>
  </si>
  <si>
    <t>Integrated MCF %</t>
  </si>
  <si>
    <t>Tree sequestration</t>
  </si>
  <si>
    <t>Based on data entered here</t>
  </si>
  <si>
    <t>Based on results from other sequestration calculators</t>
  </si>
  <si>
    <t>Enter your farm data in the white cells and select from the drop-down boxes (arrow on right hand side will appear once you go into the while cells)</t>
  </si>
  <si>
    <t>tonnes of element per annum</t>
  </si>
  <si>
    <t>kg of element per ha per annum</t>
  </si>
  <si>
    <t>Reduce CH4 through breeding and management</t>
  </si>
  <si>
    <t>Replacing Sup with a source of fat</t>
  </si>
  <si>
    <t>Supp with dietary fats</t>
  </si>
  <si>
    <t>By-products (t DM)</t>
  </si>
  <si>
    <t xml:space="preserve">Only answer the following questions if you which to enter your own farm management practices to estimate the percentage of waste to each of the abovementioned manure management systems.  In addition, you must have selected the User-defined factors and fractions option in the drop-down list at the beginning of this section otherwise the results with still reflect the default state-based fractions and factors.  </t>
  </si>
  <si>
    <r>
      <t>GHG emissions intensity (kg CO</t>
    </r>
    <r>
      <rPr>
        <b/>
        <vertAlign val="subscript"/>
        <sz val="12"/>
        <color theme="1"/>
        <rFont val="Times New Roman"/>
        <family val="1"/>
      </rPr>
      <t>2</t>
    </r>
    <r>
      <rPr>
        <b/>
        <sz val="12"/>
        <color theme="1"/>
        <rFont val="Times New Roman"/>
        <family val="1"/>
      </rPr>
      <t>e/ kg milksolids)</t>
    </r>
  </si>
  <si>
    <r>
      <t>GHG emissions intensity (kg CO</t>
    </r>
    <r>
      <rPr>
        <b/>
        <vertAlign val="subscript"/>
        <sz val="12"/>
        <color theme="1"/>
        <rFont val="Times New Roman"/>
        <family val="1"/>
      </rPr>
      <t>2</t>
    </r>
    <r>
      <rPr>
        <b/>
        <sz val="12"/>
        <color theme="1"/>
        <rFont val="Times New Roman"/>
        <family val="1"/>
      </rPr>
      <t>e/ litre of fat and protein corrected milk)</t>
    </r>
  </si>
  <si>
    <t>% of total GHG emissions</t>
  </si>
  <si>
    <t>Improve diet DMD by supplementation</t>
  </si>
  <si>
    <t>Calculated potential carbon credit ($ per farm)</t>
  </si>
  <si>
    <t>Calculated expense to implement the strategy ($ per farm)</t>
  </si>
  <si>
    <t>Baseline farm system data relevant to this abatement strategy</t>
  </si>
  <si>
    <t>Key variables for the strategy farm</t>
  </si>
  <si>
    <t>Variation in production</t>
  </si>
  <si>
    <t>GHG and economic results</t>
  </si>
  <si>
    <t>Carbon credit total farm benefit income as % of current milk income</t>
  </si>
  <si>
    <t>Calculated potential carbon credit if paid on reduced GHG emissions intensity ($/farm)</t>
  </si>
  <si>
    <t>Implementation expenses</t>
  </si>
  <si>
    <t>Change in income &amp; expenses based on reduction in total farm GHG emissions ($ per annum)</t>
  </si>
  <si>
    <t>Change in income &amp; expenses based on reduction in GHG emissions intensity ($ per annum)</t>
  </si>
  <si>
    <t>Enter cost to implement strategy ($ per cow per annum)</t>
  </si>
  <si>
    <t>Improve diet DMD by management</t>
  </si>
  <si>
    <t>N Inhibitor applied to feed/animal</t>
  </si>
  <si>
    <t>N inhibitor applied to fertiliser</t>
  </si>
  <si>
    <t>Enter feed quality of the additional pasture (MJ ME/kg DM)</t>
  </si>
  <si>
    <t>Extended lactation</t>
  </si>
  <si>
    <t>Extended longevity</t>
  </si>
  <si>
    <t>Number of fewer heifers up to 1 year of age</t>
  </si>
  <si>
    <t>Number of fewer heifers up to 2 year of age</t>
  </si>
  <si>
    <t>Savings to raise heifers from birth to 1 year of age ($ per annum)</t>
  </si>
  <si>
    <t>Savings to raise heifers from 1 year of age to 2 years of age ($ per annum)</t>
  </si>
  <si>
    <t>Savings to raise heifers to joining of calving ($ per annum)</t>
  </si>
  <si>
    <r>
      <t>Total GHG (tonnes CO</t>
    </r>
    <r>
      <rPr>
        <b/>
        <vertAlign val="subscript"/>
        <sz val="12"/>
        <color theme="1"/>
        <rFont val="Times New Roman"/>
        <family val="1"/>
      </rPr>
      <t>2</t>
    </r>
    <r>
      <rPr>
        <b/>
        <sz val="12"/>
        <color theme="1"/>
        <rFont val="Times New Roman"/>
        <family val="1"/>
      </rPr>
      <t>e/annum)</t>
    </r>
  </si>
  <si>
    <t>% GHG of total GHG</t>
  </si>
  <si>
    <t xml:space="preserve">Estimated intake based </t>
  </si>
  <si>
    <t>on data entry</t>
  </si>
  <si>
    <t>Owner or sharefarmer ID</t>
  </si>
  <si>
    <t>Abatement strategy farm system</t>
  </si>
  <si>
    <t>Same as for baseline as no change to liveweight or live weight gain or metabolic rate</t>
  </si>
  <si>
    <t>ME of the  original component of the diet not substituted (MJ/day)</t>
  </si>
  <si>
    <t>ME of the  original component of the diet not substituted plus the new supplement fed (MJ/day)</t>
  </si>
  <si>
    <t>Enter milk price for when increased diet DMD is available ($/ litre)</t>
  </si>
  <si>
    <t>Total strategy N2O emissions (Baseline N2O emissions minus reductions from direct and indirect N2O emissions)</t>
  </si>
  <si>
    <t>Average daily milk production during the 1st lactation (litres/cow.day)</t>
  </si>
  <si>
    <t>Average daily milk production during subsequent lactations (litres/cow.day)</t>
  </si>
  <si>
    <t>Introduction</t>
  </si>
  <si>
    <r>
      <t xml:space="preserve">The </t>
    </r>
    <r>
      <rPr>
        <b/>
        <sz val="11"/>
        <color theme="1"/>
        <rFont val="Calibri"/>
        <family val="2"/>
        <scheme val="minor"/>
      </rPr>
      <t>Introduction</t>
    </r>
    <r>
      <rPr>
        <sz val="11"/>
        <color theme="1"/>
        <rFont val="Calibri"/>
        <family val="2"/>
        <scheme val="minor"/>
      </rPr>
      <t xml:space="preserve"> section (coloured grey) is a brief explanation of what the abatement strategy explores and how to fill in the data.  </t>
    </r>
  </si>
  <si>
    <r>
      <t xml:space="preserve">The fifth </t>
    </r>
    <r>
      <rPr>
        <b/>
        <sz val="11"/>
        <color theme="1"/>
        <rFont val="Calibri"/>
        <family val="2"/>
        <scheme val="minor"/>
      </rPr>
      <t xml:space="preserve">GHG and economic results </t>
    </r>
    <r>
      <rPr>
        <sz val="11"/>
        <color theme="1"/>
        <rFont val="Calibri"/>
        <family val="2"/>
        <scheme val="minor"/>
      </rPr>
      <t>section (coloured blue) contains the reductions in GHG emissions and changes in financial results as a consequence of implementing the abatement strategy.  Unlike all other sections, this section is consistent across all abatement strategies.</t>
    </r>
  </si>
  <si>
    <t>Where applicable, users are informed of what each question is asking for (shown by hovering over the cell) and the factors users need to consider (e.g. indirect expenses associated with implementing an abatement strategy).</t>
  </si>
  <si>
    <t>The funding bodies and developers of the calculator do not guarantee that the calculator is without flaw of any kind and therefore disclaims all liability for any error, loss or other consequence which may arise from reliance on any information contained herein.</t>
  </si>
  <si>
    <t>Users then progress to the Abatement Strategies schematic worksheet and select which abatement strategy they wish to explore.  Abatement options are segmented into four theme areas: Herd and breeding management, Diet manipulation, Waste management and Feedbase management.  Clicking on an abatement strategy box below any of these theme areas will take the user to the relevant worksheet.  Alternatively,  users can click on the relevant tab at the bottom of the workbook.  In addition, by clicking on the Abatement strategy farm system link, users will progress to the Strategy farm where they can alter one or more components of the whole farm system.   When comparing the baseline farm system to the abatement strategy farm system, you are comparing two steady state systems, the change from one farm to the other has been fully completed.  This is especially important with the reproductive strategies which will take many years to fully achieve (e.g. extended lactation for the whole herd).  Therefore the reduction in GHG emissions and/or increase in farm profitability will not reach the results presented here until the abatement strategy has been fully implemented.</t>
  </si>
  <si>
    <t xml:space="preserve">Once the user has clicked on the box representing the abatement strategy they wish to explore, the worksheet is divided into 6 sections.  </t>
  </si>
  <si>
    <t>Entering data for the strategy specific worksheets</t>
  </si>
  <si>
    <r>
      <t xml:space="preserve">The second </t>
    </r>
    <r>
      <rPr>
        <b/>
        <sz val="11"/>
        <color theme="1"/>
        <rFont val="Calibri"/>
        <family val="2"/>
        <scheme val="minor"/>
      </rPr>
      <t xml:space="preserve">Baseline farm system </t>
    </r>
    <r>
      <rPr>
        <sz val="11"/>
        <color theme="1"/>
        <rFont val="Calibri"/>
        <family val="2"/>
        <scheme val="minor"/>
      </rPr>
      <t xml:space="preserve">section (coloured green) is a series of baseline farm data questions.  For most abatement strategies, the baseline data for the herd is already linked to the baseline worksheet and therefore the user does not need to enter any data.  An equation will appear in the green coloured data cell and it will also be protected.  However, if the cells corresponding to the questions relating to the baseline farm system are coloured white, a figure will need to be entered by the user.  For example, with the 'Extended lactation' strategy, the user needs to enter the baseline daily milk production for both the 1st lactation cows and subsequent lactation cows as this distinction is not made with respect to milk production when entering the whole baseline farm system data.  </t>
    </r>
  </si>
  <si>
    <r>
      <t xml:space="preserve">The fourth </t>
    </r>
    <r>
      <rPr>
        <b/>
        <sz val="11"/>
        <color theme="1"/>
        <rFont val="Calibri"/>
        <family val="2"/>
        <scheme val="minor"/>
      </rPr>
      <t xml:space="preserve">Variation in production </t>
    </r>
    <r>
      <rPr>
        <sz val="11"/>
        <color theme="1"/>
        <rFont val="Calibri"/>
        <family val="2"/>
        <scheme val="minor"/>
      </rPr>
      <t>section</t>
    </r>
    <r>
      <rPr>
        <b/>
        <sz val="11"/>
        <color theme="1"/>
        <rFont val="Calibri"/>
        <family val="2"/>
        <scheme val="minor"/>
      </rPr>
      <t xml:space="preserve"> </t>
    </r>
    <r>
      <rPr>
        <sz val="11"/>
        <color theme="1"/>
        <rFont val="Calibri"/>
        <family val="2"/>
        <scheme val="minor"/>
      </rPr>
      <t>(coloured purple) contains production changes (e.g. increase in milk production).</t>
    </r>
  </si>
  <si>
    <t>The Graphics section illustrates the baseline and abatement strategy farms' economic results.  There are four sets of columns and all columns and monetary figures represent an increase in income and expenses relative to the baseline farm system (business as usual; BAU).  Carbon credits represents an additional source of income the farmer would receive if the abatement strategy explored qualified for payment as part of a carbon offset scheme.  Implementation expenses represents the expenses associated with implementing the abatement strategy being explored.  Additional milk income represents any additional income from additional milk production if the strategy resulted in more energy available for milk production.  Total farm benefit represents the sum of income from carbon credits and additional milk production minus the implementation expenses.  Within each set of columns, there is a dark blue column and a red column.  The blue columns represents the increases in income and expenses if there was a reduction in total farm GHG emissions.  The red columns  represents the increases in income and expenses if there was a reduction in GHG emissions intensity.  For example, a strategy might increase total farm GHG emissions and therefore result in no carbon credit.  However, if the abatement strategy resulted in additional milk production to dilute this additional total farm GHG emissions, resulting in a reduction in emissions intensity and if that reduction qualified for a carbon credit, there would be an increase in income from carbon credits.  Implementation expenses and additional milk income will not alter between the blue and red columns, only a potential variation in carbon credits and therefore total farm benefit.</t>
  </si>
  <si>
    <t xml:space="preserve">Carbon credits </t>
  </si>
  <si>
    <t>Entering data for the Abatement strategy whole farm worksheet</t>
  </si>
  <si>
    <r>
      <t>When opening up the Abatement strategy whole farm worksheet for the first time, it looks like a mirror image of the baseline farm system as all data entry cells are linked to the baseline farm system worksheet.  Users then can alter one or more cells by typing in a new figure (e.g. increasing the herd size, reducing N fertiliser inputs etc).  Wherever new data is entered, the cells will change from being coloured white with black text to being coloured red with white text.  This gives the user a visual indication of which cells have been altered between the baseline and strategy farm systems (see image below showing that the milking cow and heifers &gt; 1 numbers have been altered).  If the user has made a mistake and incorrect cells were altered, the link to the baseline farm system has been borken and the user has three options available to re-correct.  If the error is identifed straight away, they can click on the blue undo button generally located at the top left hand of the worksheet (</t>
    </r>
    <r>
      <rPr>
        <sz val="11"/>
        <color theme="1"/>
        <rFont val="Wingdings 3"/>
        <family val="1"/>
        <charset val="2"/>
      </rPr>
      <t>Ï</t>
    </r>
    <r>
      <rPr>
        <sz val="11"/>
        <color theme="1"/>
        <rFont val="Calibri"/>
        <family val="2"/>
      </rPr>
      <t xml:space="preserve">).  However, if many changes have been made, it will take a lot of clicks of the undo button to get the data correct again.  Users can then either re-enter the  correct equation back into the cell (e.g. retyping ='Baseline farm'!D9:F9 in the Strategy farm D9 cell to correct the strategy owner ID) or manually typing in the correct number. Once any one of these three options is completed, the cell will go back to being white with black text to indicate that it is now exactly the same as per the baseline farm system.   </t>
    </r>
    <r>
      <rPr>
        <sz val="11"/>
        <color theme="1"/>
        <rFont val="Calibri"/>
        <family val="2"/>
        <scheme val="minor"/>
      </rPr>
      <t xml:space="preserve"> </t>
    </r>
  </si>
  <si>
    <t xml:space="preserve">Results of the changes to the whole farm system are presented in table form as per the baseline farm system results.  In addition, a reduction in total farm GHG emissions and emissions intensity (per litre of fat and protein corrected milk and per kg milksolids) figure is shown in addition to a strategy farm system pie chart showing the fraction of GHG emissions from each source.  Unlike all other strategy-specific worksheets, with this strategy we do not explore the financial implications of changing one or more components of the farm system.  </t>
  </si>
  <si>
    <t>Enter the cost to implement ($ per cow per lactation)</t>
  </si>
  <si>
    <t xml:space="preserve">Implementation expense </t>
  </si>
  <si>
    <t>Average number of lactations before culling</t>
  </si>
  <si>
    <t xml:space="preserve">For example, if the abatement strategy being explored is the Extended lactation strategy, the milkers spend a greater proportion of their time lactating, it may be that there are larger feed deficits at times of the year, such as autumn, where feed demand is lower with the baseline farm compared to the strategy farm.  Users need to firstly identify if this would be true for the farm system being explored and then decide how best to reduce this feed deficit.  </t>
  </si>
  <si>
    <t>Number of hours per day and days per annum the heifers spend in yards or are housed where the waste is deposited</t>
  </si>
  <si>
    <t>Enter time period of improved diet digestibility (number of days per year)</t>
  </si>
  <si>
    <r>
      <t>Enter the quantity of biogas sent to the combustion device (m</t>
    </r>
    <r>
      <rPr>
        <vertAlign val="superscript"/>
        <sz val="12"/>
        <rFont val="Calibri"/>
        <family val="2"/>
        <scheme val="minor"/>
      </rPr>
      <t>3</t>
    </r>
    <r>
      <rPr>
        <sz val="12"/>
        <rFont val="Calibri"/>
        <family val="2"/>
        <scheme val="minor"/>
      </rPr>
      <t>)</t>
    </r>
  </si>
  <si>
    <t>Volatile solids production (kg per milker per day)</t>
  </si>
  <si>
    <t>Percentage of the herd's waste available for flaring (%)</t>
  </si>
  <si>
    <t>but given DGAS already works out the fraction to lagoon, use this equation</t>
  </si>
  <si>
    <t xml:space="preserve">How do we deal with assuming pre-treatment takes out 20% VS but with this we need ot ask the user how much is taken out.  </t>
  </si>
  <si>
    <t>If we can use the baseline fraction calculations, it removes several questions in here</t>
  </si>
  <si>
    <t>Enter average number of hours per day the milkers spend at the dairy or feedpad</t>
  </si>
  <si>
    <t>Select option for milk production</t>
  </si>
  <si>
    <t>litres per herd per annum</t>
  </si>
  <si>
    <t>kg milksolids per herd per annum</t>
  </si>
  <si>
    <t>Column graph chart</t>
  </si>
  <si>
    <t xml:space="preserve">Baseline </t>
  </si>
  <si>
    <t>Whole farm strategy column graph</t>
  </si>
  <si>
    <t>Methane</t>
  </si>
  <si>
    <t>Nitrous oxide</t>
  </si>
  <si>
    <t>GHG emissions intensity</t>
  </si>
  <si>
    <r>
      <t>GHG emissions intensity  (kg CO</t>
    </r>
    <r>
      <rPr>
        <b/>
        <vertAlign val="subscript"/>
        <sz val="12"/>
        <color theme="1"/>
        <rFont val="Times New Roman"/>
        <family val="1"/>
      </rPr>
      <t>2</t>
    </r>
    <r>
      <rPr>
        <b/>
        <sz val="12"/>
        <color theme="1"/>
        <rFont val="Times New Roman"/>
        <family val="1"/>
      </rPr>
      <t>e/ litre of fat and protein corrected milk)</t>
    </r>
  </si>
  <si>
    <t>Tree plantings (minus)</t>
  </si>
  <si>
    <t>Note:  If trees sequester carbon, this is reported as a positive figure in this graph just for simplification of scaling</t>
  </si>
  <si>
    <t>Area of pastures fertilised with N (ha)</t>
  </si>
  <si>
    <t>Area of crops fertilised with N (ha)</t>
  </si>
  <si>
    <t>Area of pastures fertilised with PKS &amp; Lime (ha)</t>
  </si>
  <si>
    <t>Area of crops fertilised with PKS &amp; Lime (ha)</t>
  </si>
  <si>
    <t>Example baseline farm</t>
  </si>
  <si>
    <t>Immature bulls</t>
  </si>
  <si>
    <t>Mature bulls</t>
  </si>
  <si>
    <t>Rate of N applied to pastures</t>
  </si>
  <si>
    <t>Rate of N applied to crops</t>
  </si>
  <si>
    <t>How are you estimating this?</t>
  </si>
  <si>
    <t>Enter calving date for start of lactation comparison (format dd/mm/yyyy)</t>
  </si>
  <si>
    <t>Economic implications of changing the baseline farm system</t>
  </si>
  <si>
    <t>Milkers average annual diet intakes and quality</t>
  </si>
  <si>
    <t>Average annual dry matter digestibility (DMD) for all other stock (%)</t>
  </si>
  <si>
    <t>Average annual crude protein (CP) for all other stock (%)</t>
  </si>
  <si>
    <t>Results for strategy farm system</t>
  </si>
  <si>
    <t>Enter the cost to implement the change on farm ($ per annum)</t>
  </si>
  <si>
    <t>Enter the milk price when the changes are implemented ($/litre milk)</t>
  </si>
  <si>
    <t>Enter any savings that may occur due to implementing the change on farm ($ per annum)</t>
  </si>
  <si>
    <t>Cost to implement ($ per annum)</t>
  </si>
  <si>
    <t>Savings in expenses ($ per annum)</t>
  </si>
  <si>
    <t>Milk price ($/litre milk)</t>
  </si>
  <si>
    <t>Carbon price ($/t CO2e)</t>
  </si>
  <si>
    <t>Carbon income</t>
  </si>
  <si>
    <t>Expenses to implement</t>
  </si>
  <si>
    <t>Benefit as stand alone</t>
  </si>
  <si>
    <t>Estimated additional milk income</t>
  </si>
  <si>
    <t>Estimated total farm benefit</t>
  </si>
  <si>
    <t>Estimated carbon creidt if paid on reduction in GHG</t>
  </si>
  <si>
    <t>Estimated total farm benefit if paid on reduction in GHG emissions intensity</t>
  </si>
  <si>
    <t>Tree plantings, with negative figures representing amount of carbon sequestered</t>
  </si>
  <si>
    <t>Calculated potential carbon credit if paid on reduced GHG emissions intensity ($ per farm)</t>
  </si>
  <si>
    <t>Estimated total benefit if paid on reduced GHG emissions intensity ($ per farm)</t>
  </si>
  <si>
    <t>Column graphs</t>
  </si>
  <si>
    <t xml:space="preserve">Strategy farm </t>
  </si>
  <si>
    <t>Area of Trees Planted (ha)</t>
  </si>
  <si>
    <t>Non-DGAS estimated</t>
  </si>
  <si>
    <t>Example of a Baseline farm system</t>
  </si>
  <si>
    <t>This is an example of a baseline farm.  However, to retain it's integrity the whole worksheet is protected and therefore no data can be entered herre.</t>
  </si>
  <si>
    <t>No estimate of carbon sequestration</t>
  </si>
  <si>
    <t>Dry matter %</t>
  </si>
  <si>
    <t>Dry Matter Digestibility %</t>
  </si>
  <si>
    <t>Crude protein %</t>
  </si>
  <si>
    <t>Average</t>
  </si>
  <si>
    <t>Range</t>
  </si>
  <si>
    <t>NON-FORAGE SUPPLEMENTS</t>
  </si>
  <si>
    <t>Barley grain</t>
  </si>
  <si>
    <t>Brewer's grain</t>
  </si>
  <si>
    <t>Canola meal</t>
  </si>
  <si>
    <t>Carrot pulp</t>
  </si>
  <si>
    <t>Citrus pulp</t>
  </si>
  <si>
    <t>Cottonseed meal</t>
  </si>
  <si>
    <t>Grape marc</t>
  </si>
  <si>
    <t>Lupin seed</t>
  </si>
  <si>
    <t>Maize grain</t>
  </si>
  <si>
    <t>Molasses</t>
  </si>
  <si>
    <t>Oats</t>
  </si>
  <si>
    <t>Rice bran</t>
  </si>
  <si>
    <t>Sorghum grain</t>
  </si>
  <si>
    <t>Soyabean meal</t>
  </si>
  <si>
    <t>Sunflower meal</t>
  </si>
  <si>
    <t>Tomato pulp</t>
  </si>
  <si>
    <t>Triticale grain</t>
  </si>
  <si>
    <t>Turnip tops*</t>
  </si>
  <si>
    <t>Turnip bulbs*</t>
  </si>
  <si>
    <t>Wheat grain</t>
  </si>
  <si>
    <t>Wheat bran</t>
  </si>
  <si>
    <t>Whey</t>
  </si>
  <si>
    <t>FORAGE SUPPLEMENTS</t>
  </si>
  <si>
    <t>Barley silage</t>
  </si>
  <si>
    <t>Barley hay</t>
  </si>
  <si>
    <t>Barley straw</t>
  </si>
  <si>
    <t>Clover silage generic</t>
  </si>
  <si>
    <t>Clover hay generic</t>
  </si>
  <si>
    <t>Grass silage</t>
  </si>
  <si>
    <t>Grass hay</t>
  </si>
  <si>
    <t xml:space="preserve">Legume/grass silage (legume dom.) </t>
  </si>
  <si>
    <t xml:space="preserve">Legume/grass silage (grass dom.) </t>
  </si>
  <si>
    <t>Lucerne silage</t>
  </si>
  <si>
    <t>Lucerne hay</t>
  </si>
  <si>
    <t>Lucerne straw</t>
  </si>
  <si>
    <t>Maize silage</t>
  </si>
  <si>
    <t>Oaten silage</t>
  </si>
  <si>
    <t>Oaten hay</t>
  </si>
  <si>
    <t>Oaten straw</t>
  </si>
  <si>
    <t>Persian clover silage</t>
  </si>
  <si>
    <t>Persian clover hay</t>
  </si>
  <si>
    <t>Rice straw</t>
  </si>
  <si>
    <t>Subclover silage</t>
  </si>
  <si>
    <t>Subclover hay</t>
  </si>
  <si>
    <t>Triticale silage</t>
  </si>
  <si>
    <t>Triticale hay</t>
  </si>
  <si>
    <t>Triticale straw</t>
  </si>
  <si>
    <t>Wheat silage</t>
  </si>
  <si>
    <t>Wheat hay</t>
  </si>
  <si>
    <t>Data Source: FEEDTEST, DPI, Victoria</t>
  </si>
  <si>
    <t xml:space="preserve">Click here to return to baseline farm </t>
  </si>
  <si>
    <t>Area of PKS &amp; Lime fertiliser (ha)</t>
  </si>
  <si>
    <t>Area of N fertiliser (ha)</t>
  </si>
  <si>
    <t>Pasture or cereal hay (t DM)</t>
  </si>
  <si>
    <t>Rate of N fert.</t>
  </si>
  <si>
    <t>Amount of N applied to pastures</t>
  </si>
  <si>
    <t>Rate of PKS&amp;Lime</t>
  </si>
  <si>
    <t>Rate of P fert.</t>
  </si>
  <si>
    <t>Rate of K fert.</t>
  </si>
  <si>
    <t>Rate of S fert.</t>
  </si>
  <si>
    <t>Rate of Lime</t>
  </si>
  <si>
    <t>Converting ME to DMD</t>
  </si>
  <si>
    <t>To convert ME to DMD, we use the equation:</t>
  </si>
  <si>
    <t>Enter ME (MJ/kg DM)</t>
  </si>
  <si>
    <t>Estimated DMD (%)</t>
  </si>
  <si>
    <t xml:space="preserve">Sometimes you may know the Metabolisable Energy (ME; MJ/kg DM) concentration </t>
  </si>
  <si>
    <t>of a feed source but not it's Dry Matter Digestibility (DMD %)</t>
  </si>
  <si>
    <t>DMD = (ME +1.037) / 0.1604 (Source: Aust. NGGI methodology)</t>
  </si>
  <si>
    <t>Reduction in emission intensity (kg CO2-e/litre of fat &amp; protein-corrected milk)</t>
  </si>
  <si>
    <t>Total additional milk production farm (litres of fat &amp; protein corrected milk)</t>
  </si>
  <si>
    <t>Reduction in GHG emissions intensity over the 12 months (kg CO2e/litre of fat &amp; protein-corrected milk)</t>
  </si>
  <si>
    <t>Baseline GHG emissions intensity (kg CO2e/litre FPCM)</t>
  </si>
  <si>
    <t>Strategy GHG emissions intensity (kg CO2e/litre FPCM)</t>
  </si>
  <si>
    <t>Total additional milk production farm (litres of FPCM)</t>
  </si>
  <si>
    <t>Baseline Milk production (litres FPCM during the activation period per annum)</t>
  </si>
  <si>
    <t>Strategy Milk production during the activation period (litres FPCM)</t>
  </si>
  <si>
    <t>Reduction in emissions intensity (kg CO2e/litre FPCM) over the 12 month period</t>
  </si>
  <si>
    <t>Reduction in GHG emissions intensity over the 12 months (kg CO2e/litre FPCM)</t>
  </si>
  <si>
    <t>Strategy milk production (litres FPCM/annum)</t>
  </si>
  <si>
    <t>Baseline GHG emissions intensity per annum (kg CO2e/litre FPCM)</t>
  </si>
  <si>
    <t>Emissions intensity (kg CO2 per litre FPCM)</t>
  </si>
  <si>
    <t>Strategy milk production (litres FPCM per annum)</t>
  </si>
  <si>
    <t xml:space="preserve">Baseline GHG emissions intensity (kg CO2e/litre FPCM) </t>
  </si>
  <si>
    <t>Reduction in GHG emissions intensity (kg CO2e/ litre FPCM)</t>
  </si>
  <si>
    <t>Amount of N applied to crops</t>
  </si>
  <si>
    <t>Click here to work out fertiliser rates</t>
  </si>
  <si>
    <t>Fertiliser rates</t>
  </si>
  <si>
    <t>Brand</t>
  </si>
  <si>
    <t>N</t>
  </si>
  <si>
    <t>P</t>
  </si>
  <si>
    <t>K</t>
  </si>
  <si>
    <t>S</t>
  </si>
  <si>
    <t>Pasture Gold</t>
  </si>
  <si>
    <t>Urea</t>
  </si>
  <si>
    <t>Muriate of Potash</t>
  </si>
  <si>
    <t>Pastursul</t>
  </si>
  <si>
    <t>Pasture Booster</t>
  </si>
  <si>
    <t>Pasture Gold 3:1</t>
  </si>
  <si>
    <t>Pasture Gold 4:1</t>
  </si>
  <si>
    <t>Super Potash 1 &amp; 1</t>
  </si>
  <si>
    <t>Super Potash 2 &amp; 1</t>
  </si>
  <si>
    <t>Super Potash 3 &amp; 1</t>
  </si>
  <si>
    <t>Super Potash 4 &amp; 1</t>
  </si>
  <si>
    <t>Super Potash 5 &amp; 1</t>
  </si>
  <si>
    <t>Hi-Fert 0:20:0</t>
  </si>
  <si>
    <t>Gold Phos 10</t>
  </si>
  <si>
    <t>Gold Phos 20</t>
  </si>
  <si>
    <t>Pasture Phos</t>
  </si>
  <si>
    <t>Pasture Builder</t>
  </si>
  <si>
    <t>Dynamic Lifter</t>
  </si>
  <si>
    <t>Single Superphosphate</t>
  </si>
  <si>
    <t>Double Superphosphate</t>
  </si>
  <si>
    <t>P &amp; K</t>
  </si>
  <si>
    <t>P &amp; S</t>
  </si>
  <si>
    <t>K &amp; S</t>
  </si>
  <si>
    <t>Primary element (s)</t>
  </si>
  <si>
    <t>Many farms use a blend of different fertilisers and it's not always easy to work out how much N ,P, K and S is applied</t>
  </si>
  <si>
    <t>Example table</t>
  </si>
  <si>
    <t>Blend</t>
  </si>
  <si>
    <t>Own blends</t>
  </si>
  <si>
    <t>Enter the rate of N:P:K:S in columns D to G</t>
  </si>
  <si>
    <t>Enter the amount applied (tonnes) in column H</t>
  </si>
  <si>
    <t>Farmer mix</t>
  </si>
  <si>
    <t>0.62 t S was applied.</t>
  </si>
  <si>
    <t xml:space="preserve">In this example, 15 tonnes of Urea, 2 tonnes of Single superphosphate and 4 tonnes of a blend </t>
  </si>
  <si>
    <t>Potassium chloride</t>
  </si>
  <si>
    <t xml:space="preserve">Single Superphosphate </t>
  </si>
  <si>
    <t xml:space="preserve">Triple Superphosphate </t>
  </si>
  <si>
    <t>Di-ammonium phosphate</t>
  </si>
  <si>
    <t>Mono-ammonium phosphate</t>
  </si>
  <si>
    <t>N &amp; P</t>
  </si>
  <si>
    <t>Use this table to estimate the amount of N, P, K and S applied by entering either the tonnes applied of each fertiliser in the yellow boxes for known fertilisers or the N:P:K:S ratio and amount of fertiliser in the own blends section at the bottom of the table</t>
  </si>
  <si>
    <t>Note that there can be a small variation in the N:P:K:S of even well known fertilisers.  For example</t>
  </si>
  <si>
    <t>Triple superphospate has between 18 and 20% P depending on the manufacturer.  Over-write the P ratio if required</t>
  </si>
  <si>
    <t xml:space="preserve">Click here to return to the baseline farm </t>
  </si>
  <si>
    <t>Amount of milk produced</t>
  </si>
  <si>
    <t>litres</t>
  </si>
  <si>
    <t>t DM</t>
  </si>
  <si>
    <r>
      <t>t CO</t>
    </r>
    <r>
      <rPr>
        <vertAlign val="subscript"/>
        <sz val="12"/>
        <rFont val="Times New Roman"/>
        <family val="1"/>
      </rPr>
      <t>2</t>
    </r>
    <r>
      <rPr>
        <sz val="12"/>
        <rFont val="Times New Roman"/>
        <family val="1"/>
      </rPr>
      <t>e/ha per annum</t>
    </r>
  </si>
  <si>
    <t>days</t>
  </si>
  <si>
    <t xml:space="preserve">days </t>
  </si>
  <si>
    <t>Averaging feed inputs and concentrations</t>
  </si>
  <si>
    <t>Amount (kg DM/cow.day)</t>
  </si>
  <si>
    <t>Dry matter digestibility (%)</t>
  </si>
  <si>
    <t>Crude protein (%)</t>
  </si>
  <si>
    <t>Grain/concentrate 1</t>
  </si>
  <si>
    <t>Grain/concentrate 2</t>
  </si>
  <si>
    <t>Grain/concentrate 3</t>
  </si>
  <si>
    <t>Grain/concentrate 4</t>
  </si>
  <si>
    <t>Grain/concentrate 5</t>
  </si>
  <si>
    <t>Grain/concentrate 6</t>
  </si>
  <si>
    <t>Total or average</t>
  </si>
  <si>
    <t>Description</t>
  </si>
  <si>
    <t>Wheat</t>
  </si>
  <si>
    <t>Lupins</t>
  </si>
  <si>
    <t>Barley</t>
  </si>
  <si>
    <t xml:space="preserve">Example table </t>
  </si>
  <si>
    <t>Silage 1</t>
  </si>
  <si>
    <t>Silage 2</t>
  </si>
  <si>
    <t>Silage 3</t>
  </si>
  <si>
    <t>Silage 4</t>
  </si>
  <si>
    <t>Silage 5</t>
  </si>
  <si>
    <t>Silage 6</t>
  </si>
  <si>
    <t>Hay 1</t>
  </si>
  <si>
    <t>Hay 2</t>
  </si>
  <si>
    <t>Hay 3</t>
  </si>
  <si>
    <t>Hay 4</t>
  </si>
  <si>
    <t>Hay 5</t>
  </si>
  <si>
    <t>Hay 6</t>
  </si>
  <si>
    <t>Total and average</t>
  </si>
  <si>
    <t>By-product 1</t>
  </si>
  <si>
    <t>By-product 2</t>
  </si>
  <si>
    <t>By-product 3</t>
  </si>
  <si>
    <t>By-product 4</t>
  </si>
  <si>
    <t>By-product 5</t>
  </si>
  <si>
    <t>By-product 6</t>
  </si>
  <si>
    <t xml:space="preserve"> MJ/kg DM</t>
  </si>
  <si>
    <t>Enter your farm data here</t>
  </si>
  <si>
    <t>Click here to return to the baseline farm</t>
  </si>
  <si>
    <t>This information then needs to be entered on the baseline worksheet; it is not automatically transferred.</t>
  </si>
  <si>
    <t xml:space="preserve">The first table below is an example of estimating intake and concentrations for grains.  </t>
  </si>
  <si>
    <t>Click here for help regarding feed quality</t>
  </si>
  <si>
    <t>Click here for help with feed quality</t>
  </si>
  <si>
    <t>If you have no other information on dry matter digestbility and crude protein for the farm's feed sources, data in the table below could be used</t>
  </si>
  <si>
    <t>Feed quality information</t>
  </si>
  <si>
    <t xml:space="preserve">Enter your farm's data in the yellow cells in the tables below the example farm.  </t>
  </si>
  <si>
    <t>Blends of all elements</t>
  </si>
  <si>
    <t>Poultry litter*</t>
  </si>
  <si>
    <t>Note: * Poultry litter can vary widely depending on many factors.  If your farm is applying poultry litter,</t>
  </si>
  <si>
    <t xml:space="preserve">we suggest you asking the farmer if they have any records of what the percentage of elements were </t>
  </si>
  <si>
    <t>Total (tonnes)</t>
  </si>
  <si>
    <t>tonnes applied</t>
  </si>
  <si>
    <t xml:space="preserve">       Composition (%)</t>
  </si>
  <si>
    <t>Select the option which best describes how the majority of this waste from the feedpad or loafing area is best handled</t>
  </si>
  <si>
    <t>% of spread daily to SS</t>
  </si>
  <si>
    <t>Do you pre-treat the waste prior to spreading daily or entering the lagoon (e.g. weeping wall,solids trap, mechanical separator to remove a fraction of the solids)?</t>
  </si>
  <si>
    <t>% from dairy &amp; spread daily &amp; treated so its solid storage</t>
  </si>
  <si>
    <t>% of feedpad spread daily going to SS</t>
  </si>
  <si>
    <t>% from feedpad to lagoon without treatment</t>
  </si>
  <si>
    <t>Changes between version 3.3 and 3.4</t>
  </si>
  <si>
    <t>1. Included this section so that users can have a clear understanding of the changes between versions</t>
  </si>
  <si>
    <t>2. Re-organised the manure management section so that if the waste is spread daily but there is some form of solids separation (e.g. weeping wall, solids trap etc), 20% of this waste is now assumed to be of solid storage consistency</t>
  </si>
  <si>
    <t>3. Fixed a cell protection issue with the annual milk production for the strategy farm not being able to be altered</t>
  </si>
  <si>
    <t>4. Clarified the wording around waste management for the feedlot so that it is clear that we are asking users to select how the majority of the waste is handled.  This is particularly important when rainfall results on runoff entering a pond but that the majority of the manure stays on the feedpad area</t>
  </si>
  <si>
    <t>Average intake required</t>
  </si>
  <si>
    <t>Additional information for individual questions will appear if the question as a red triangle in the top right corner.  Hover over the heading/ question and a comment will appear</t>
  </si>
  <si>
    <t>Generic softwoods</t>
  </si>
  <si>
    <t>FPCM (kg per annum)</t>
  </si>
  <si>
    <t>Average annual milk fat (%)</t>
  </si>
  <si>
    <t>Average annual milk protein (%)</t>
  </si>
  <si>
    <t>Changes between version 3.4 and 3.5</t>
  </si>
  <si>
    <t xml:space="preserve">Volatile solids </t>
  </si>
  <si>
    <r>
      <t xml:space="preserve">2. Included the volatile solids (kg VS/head.day) for the milkers in the manure management section.  This figure is used as part of the </t>
    </r>
    <r>
      <rPr>
        <i/>
        <sz val="11"/>
        <color theme="1"/>
        <rFont val="Calibri"/>
        <family val="2"/>
        <scheme val="minor"/>
      </rPr>
      <t xml:space="preserve">Destruction of methane generated from dairy manure in covered anaerobic ponds </t>
    </r>
    <r>
      <rPr>
        <sz val="11"/>
        <color theme="1"/>
        <rFont val="Calibri"/>
        <family val="2"/>
        <scheme val="minor"/>
      </rPr>
      <t>methodology.</t>
    </r>
  </si>
  <si>
    <t>1. If no milk fat and protein % were entered, the volume of milk production per cow was inaccurate.  A default of 4.0% fat and 3.3% protein has been entered to overcome this if the user doesn't enter known values.</t>
  </si>
  <si>
    <t>Typical averages</t>
  </si>
  <si>
    <t>Number of hours per day and days per annum a milker spends at the dairy and adjacent yards where the waste is flushed with water</t>
  </si>
  <si>
    <t xml:space="preserve">Number of hours per day and days per annum a milker spend on a feedpad or loafing area or are housed (TMR farm) </t>
  </si>
  <si>
    <t>Percentage change in total GHG emissions (Positive number in a green cell means a positive outcome, negative number in a red cell means a negative outcome)</t>
  </si>
  <si>
    <t>Percentage change in GHG emissions intensity (Positive number in a green cell means a positive outcome, negative number in a red cell means a negative outcome)</t>
  </si>
  <si>
    <t>Saved costs of raising heifers</t>
  </si>
  <si>
    <r>
      <t>t CO</t>
    </r>
    <r>
      <rPr>
        <b/>
        <vertAlign val="subscript"/>
        <sz val="12"/>
        <color theme="1"/>
        <rFont val="Times New Roman"/>
        <family val="1"/>
      </rPr>
      <t>2</t>
    </r>
    <r>
      <rPr>
        <b/>
        <sz val="12"/>
        <color theme="1"/>
        <rFont val="Times New Roman"/>
        <family val="1"/>
      </rPr>
      <t>e/annum</t>
    </r>
  </si>
  <si>
    <r>
      <t>kg CO</t>
    </r>
    <r>
      <rPr>
        <b/>
        <vertAlign val="subscript"/>
        <sz val="12"/>
        <color theme="1"/>
        <rFont val="Times New Roman"/>
        <family val="1"/>
      </rPr>
      <t>2</t>
    </r>
    <r>
      <rPr>
        <b/>
        <sz val="12"/>
        <color theme="1"/>
        <rFont val="Times New Roman"/>
        <family val="1"/>
      </rPr>
      <t>e/kg FPCM</t>
    </r>
  </si>
  <si>
    <r>
      <t>kg CO</t>
    </r>
    <r>
      <rPr>
        <b/>
        <vertAlign val="subscript"/>
        <sz val="12"/>
        <color theme="1"/>
        <rFont val="Times New Roman"/>
        <family val="1"/>
      </rPr>
      <t>2</t>
    </r>
    <r>
      <rPr>
        <b/>
        <sz val="12"/>
        <color theme="1"/>
        <rFont val="Times New Roman"/>
        <family val="1"/>
      </rPr>
      <t>e/kg milksolids</t>
    </r>
  </si>
  <si>
    <r>
      <t>Change in total GHG emissions (t CO</t>
    </r>
    <r>
      <rPr>
        <b/>
        <vertAlign val="subscript"/>
        <sz val="12"/>
        <color theme="1"/>
        <rFont val="Times New Roman"/>
        <family val="1"/>
      </rPr>
      <t>2</t>
    </r>
    <r>
      <rPr>
        <b/>
        <sz val="12"/>
        <color theme="1"/>
        <rFont val="Times New Roman"/>
        <family val="1"/>
      </rPr>
      <t>e/annum)</t>
    </r>
  </si>
  <si>
    <r>
      <t>Change in GHG emissions intensity (kg CO</t>
    </r>
    <r>
      <rPr>
        <b/>
        <vertAlign val="subscript"/>
        <sz val="12"/>
        <color theme="1"/>
        <rFont val="Times New Roman"/>
        <family val="1"/>
      </rPr>
      <t>2</t>
    </r>
    <r>
      <rPr>
        <b/>
        <sz val="12"/>
        <color theme="1"/>
        <rFont val="Times New Roman"/>
        <family val="1"/>
      </rPr>
      <t>e/ litre of fat and protein corrected milk)</t>
    </r>
  </si>
  <si>
    <r>
      <t>Change in GHG emissions intensity (kg CO</t>
    </r>
    <r>
      <rPr>
        <b/>
        <vertAlign val="subscript"/>
        <sz val="12"/>
        <color theme="1"/>
        <rFont val="Times New Roman"/>
        <family val="1"/>
      </rPr>
      <t>2</t>
    </r>
    <r>
      <rPr>
        <b/>
        <sz val="12"/>
        <color theme="1"/>
        <rFont val="Times New Roman"/>
        <family val="1"/>
      </rPr>
      <t>e/ kg milksolids)</t>
    </r>
  </si>
  <si>
    <t xml:space="preserve">On first opening this strategy worksheet, all data will appear exactly the same as per the baseline farm system as each cell is referenced back to its corresponding baseline farm system cell.  You will see this by clicking any of the data entry cells that it is referenced to the corresponding cells from the Baseline farm worksheet.  </t>
  </si>
  <si>
    <t xml:space="preserve">Economic data can be entered below the Bar graph to explore the implications of a carbon price on reducing GHG emissions and any additional income associated with altered expenses and incomes, including additional milk production income.    </t>
  </si>
  <si>
    <t xml:space="preserve">For example, the baseline milk production was 150,000 kg milksolids/annum but you want to add an additional 10,000 kg milksolids/annum.  In the corresponding cell, just put "+ 10,000" behind the reference to the baseline worksheet.  </t>
  </si>
  <si>
    <t>When the user changes any particular data entry to reflect the abatement strategy being explored (e.g. change in stock numbers, N fertiliser inputs, diet quality etc), the cell will change from white to red and the text will change from black to white to indicate that the data here is different to the baseline figure. The best way to change the data entry is not to over-write the baseline figure with a new figure but to either put a plus (+) or minus (-) and the amount you want to add or subtract.  This retains the baseline equation and can then be easily reverted back to the original baselien figure or further altered.</t>
  </si>
  <si>
    <t>This change will alter results for any targetted strategies explored as the link was to the non-milker DMD and CP figures, not the milkers.</t>
  </si>
  <si>
    <t>Unweaned heifers</t>
  </si>
  <si>
    <t>Unweaned bulls</t>
  </si>
  <si>
    <t>MP x 1.03 (convert litres to kg milk) x 3.054 (MJ net energy/kg milk) / 0.6 / (0.00795 x DMD - 0.0014) / 18.4</t>
  </si>
  <si>
    <t>3A.1a_1</t>
  </si>
  <si>
    <t>3A.1a_2</t>
  </si>
  <si>
    <t>3A.1a_3</t>
  </si>
  <si>
    <t>3A.1a_4</t>
  </si>
  <si>
    <t>Anaerobic lagoon</t>
  </si>
  <si>
    <t>Sump dispersal</t>
  </si>
  <si>
    <t>Drain to paddock</t>
  </si>
  <si>
    <t>Sump/dispersal</t>
  </si>
  <si>
    <t>Balance assumed to be flushed and then enter a pond/lagoon system</t>
  </si>
  <si>
    <t xml:space="preserve">Percentage of waste that is flushed and then drains to the paddock with no treatment/ removal of solids </t>
  </si>
  <si>
    <t>Percentage of waste that is flushed and then spread daily from a sump/disperal system (with or without removal of solids)</t>
  </si>
  <si>
    <t xml:space="preserve">Scrapped &amp; stockpiled </t>
  </si>
  <si>
    <t>Flushed &amp; drains daily to the paddock</t>
  </si>
  <si>
    <t>Flushed to a pond/lagoon system</t>
  </si>
  <si>
    <t>% spread daily from sump</t>
  </si>
  <si>
    <t>% drained daily from sump</t>
  </si>
  <si>
    <t>% from dairy &amp; drains to paddock</t>
  </si>
  <si>
    <t>% from feedpad and drains to paddock</t>
  </si>
  <si>
    <t>% drains to paddock</t>
  </si>
  <si>
    <t>Sump and dispersal</t>
  </si>
  <si>
    <t>Drains to paddock</t>
  </si>
  <si>
    <t>% sum sump and dispersal</t>
  </si>
  <si>
    <t>% spread sump/dispersal system</t>
  </si>
  <si>
    <t>% to solid storage</t>
  </si>
  <si>
    <t>Default other stock fractions</t>
  </si>
  <si>
    <t>L intake relative that that needed for maintenance</t>
  </si>
  <si>
    <t>E =(365 x N x M) x 10^-6 for &gt; 1, (281 x N x M) x 10^-6 for weaned 0-1 years and (84 x N x M) x 10^-6 for unweaned</t>
  </si>
  <si>
    <t>Total = (365 x N x M) x 10^-6 for &gt; 1 yr olds, (281 x N x M) x 10^-6 for 0 to 1 yr olds and (84 x N x M) x 10^-6 for unweaned</t>
  </si>
  <si>
    <t>3B.1a_1</t>
  </si>
  <si>
    <t>3B.1a_2</t>
  </si>
  <si>
    <t>3B.1a_3</t>
  </si>
  <si>
    <t>AF = ∑ (365 x N x F) x 10^-6 for &gt; 1 yr olds, (281 x N X F) x 10^-6 for 0 to 1 yr olds and (84 x N x F) x 10^-6 for unweaned</t>
  </si>
  <si>
    <t>AU = ∑ (365 x N x U) x 10^-6 for &gt; 1 yr olds, (281 x N X U) x 10^-6 for 0 to 1 yr olds and (84 x N x U) x 10^-6 for unweaned</t>
  </si>
  <si>
    <t xml:space="preserve">Indirect N waste </t>
  </si>
  <si>
    <t>Indirect storage waste volatilised</t>
  </si>
  <si>
    <t>MNATMOS = (FN + UN) x FracGASM</t>
  </si>
  <si>
    <t>3B.5a_1</t>
  </si>
  <si>
    <t>3B.1a_4</t>
  </si>
  <si>
    <t>3B.1a_5</t>
  </si>
  <si>
    <t>3B.1a_6</t>
  </si>
  <si>
    <t>Table 5.A.3</t>
  </si>
  <si>
    <t>3B.1a_7</t>
  </si>
  <si>
    <t>3B.1a_8a</t>
  </si>
  <si>
    <t>3B.1a_8b</t>
  </si>
  <si>
    <t>3B.1a_10c</t>
  </si>
  <si>
    <t>Annual faecal and urinary nitrogen in the different manure management systems</t>
  </si>
  <si>
    <t>Sum of faecal and urine N</t>
  </si>
  <si>
    <r>
      <t xml:space="preserve">Total emissions (FN + UN) </t>
    </r>
    <r>
      <rPr>
        <b/>
        <vertAlign val="subscript"/>
        <sz val="12"/>
        <rFont val="Times New Roman"/>
        <family val="1"/>
      </rPr>
      <t>MMS</t>
    </r>
  </si>
  <si>
    <t>3B.1a_9a &amp; 9b</t>
  </si>
  <si>
    <t>Gg N2O-Nkg/N excreted)</t>
  </si>
  <si>
    <t>FracGASM (kg N2O-N/kg N excreted)</t>
  </si>
  <si>
    <t>Table 5.A.9</t>
  </si>
  <si>
    <t>Total N lost through volatilisation of manure management systems</t>
  </si>
  <si>
    <t>MNATMOS x EF x C</t>
  </si>
  <si>
    <t>EF (Gg N2O-N/Gg N)</t>
  </si>
  <si>
    <t>3B.5a_2</t>
  </si>
  <si>
    <t>Indirect storage waste lost through leaching/runoff</t>
  </si>
  <si>
    <t>Total indirect N2O lost through volatilisation of maure in storage</t>
  </si>
  <si>
    <t>MMS 3a= Sump and dispersal</t>
  </si>
  <si>
    <t>MMS 1 = Anaerobic lagoon</t>
  </si>
  <si>
    <t>MMS 3b= Drain to padddock</t>
  </si>
  <si>
    <t xml:space="preserve">MMS 4= Solid storage </t>
  </si>
  <si>
    <t>MMS 14= Pasture range and paddock</t>
  </si>
  <si>
    <t xml:space="preserve">FracWET </t>
  </si>
  <si>
    <t>FracLEACH</t>
  </si>
  <si>
    <t>t CO2e/annum</t>
  </si>
  <si>
    <t>Total indirect N2O lost through leaching/runoff from solid storage system</t>
  </si>
  <si>
    <t>Table 5.23</t>
  </si>
  <si>
    <t>3D1_2</t>
  </si>
  <si>
    <t>3D1_1</t>
  </si>
  <si>
    <t xml:space="preserve">FracGASF </t>
  </si>
  <si>
    <t xml:space="preserve">EF </t>
  </si>
  <si>
    <t>EF</t>
  </si>
  <si>
    <t>3DA_3</t>
  </si>
  <si>
    <r>
      <t>MN soil = (((AE</t>
    </r>
    <r>
      <rPr>
        <b/>
        <vertAlign val="subscript"/>
        <sz val="12"/>
        <rFont val="Times New Roman"/>
        <family val="1"/>
      </rPr>
      <t>MMS=1-13</t>
    </r>
    <r>
      <rPr>
        <b/>
        <sz val="12"/>
        <rFont val="Times New Roman"/>
        <family val="1"/>
      </rPr>
      <t>) - EF</t>
    </r>
    <r>
      <rPr>
        <b/>
        <vertAlign val="subscript"/>
        <sz val="12"/>
        <rFont val="Times New Roman"/>
        <family val="1"/>
      </rPr>
      <t>MSS=1-13</t>
    </r>
    <r>
      <rPr>
        <b/>
        <sz val="12"/>
        <rFont val="Times New Roman"/>
        <family val="1"/>
      </rPr>
      <t>-FracGASM</t>
    </r>
    <r>
      <rPr>
        <b/>
        <vertAlign val="subscript"/>
        <sz val="12"/>
        <rFont val="Times New Roman"/>
        <family val="1"/>
      </rPr>
      <t xml:space="preserve">MMS=1-13 </t>
    </r>
    <r>
      <rPr>
        <b/>
        <sz val="12"/>
        <rFont val="Times New Roman"/>
        <family val="1"/>
      </rPr>
      <t>-MNLeach</t>
    </r>
    <r>
      <rPr>
        <b/>
        <vertAlign val="subscript"/>
        <sz val="12"/>
        <rFont val="Times New Roman"/>
        <family val="1"/>
      </rPr>
      <t>MMS=1-13</t>
    </r>
  </si>
  <si>
    <t>FracGASM = fraction of animal waste N volatilised from the different manure management systems</t>
  </si>
  <si>
    <t>MNLeach = mass of animal waste N leached/ runoff from the solids storage system only</t>
  </si>
  <si>
    <r>
      <t xml:space="preserve">Total emissions (FN + UN) </t>
    </r>
    <r>
      <rPr>
        <b/>
        <vertAlign val="subscript"/>
        <sz val="12"/>
        <rFont val="Times New Roman"/>
        <family val="1"/>
      </rPr>
      <t>MMS without voided onto pastures</t>
    </r>
  </si>
  <si>
    <t>3DA_4</t>
  </si>
  <si>
    <t>3.D.A.3</t>
  </si>
  <si>
    <t>3DA_6</t>
  </si>
  <si>
    <t>M = (MNsoil + UNsoil + FNsoil) x FracGASMsoil</t>
  </si>
  <si>
    <t xml:space="preserve">FracGASM = </t>
  </si>
  <si>
    <t>3DB_1</t>
  </si>
  <si>
    <t>3DB_2</t>
  </si>
  <si>
    <t>3DB_5</t>
  </si>
  <si>
    <t>Appendix 5.J.1</t>
  </si>
  <si>
    <t>3DB_4</t>
  </si>
  <si>
    <t>3DB_6</t>
  </si>
  <si>
    <t>3DB_10</t>
  </si>
  <si>
    <t>MI = MP x 1.03 x NE / k / qm / 18.4</t>
  </si>
  <si>
    <t>kg CH4/head.day</t>
  </si>
  <si>
    <t>.</t>
  </si>
  <si>
    <t>Voided onto Pastures</t>
  </si>
  <si>
    <t>% from feedpad to solid storage</t>
  </si>
  <si>
    <t>% of spread daily going to SS</t>
  </si>
  <si>
    <t>Gg N2O-N/kg N excreted)</t>
  </si>
  <si>
    <t>3B.5a_3</t>
  </si>
  <si>
    <t>3B.5a_4</t>
  </si>
  <si>
    <r>
      <t>MN soil =AE</t>
    </r>
    <r>
      <rPr>
        <b/>
        <vertAlign val="subscript"/>
        <sz val="12"/>
        <rFont val="Times New Roman"/>
        <family val="1"/>
      </rPr>
      <t>MMS=1-13</t>
    </r>
    <r>
      <rPr>
        <b/>
        <sz val="12"/>
        <rFont val="Times New Roman"/>
        <family val="1"/>
      </rPr>
      <t xml:space="preserve"> - EF</t>
    </r>
    <r>
      <rPr>
        <b/>
        <vertAlign val="subscript"/>
        <sz val="12"/>
        <rFont val="Times New Roman"/>
        <family val="1"/>
      </rPr>
      <t>MSS=1-13</t>
    </r>
    <r>
      <rPr>
        <b/>
        <sz val="12"/>
        <rFont val="Times New Roman"/>
        <family val="1"/>
      </rPr>
      <t>-FracGASM</t>
    </r>
    <r>
      <rPr>
        <b/>
        <vertAlign val="subscript"/>
        <sz val="12"/>
        <rFont val="Times New Roman"/>
        <family val="1"/>
      </rPr>
      <t xml:space="preserve">MMS=1-13 </t>
    </r>
    <r>
      <rPr>
        <b/>
        <sz val="12"/>
        <rFont val="Times New Roman"/>
        <family val="1"/>
      </rPr>
      <t>-MNLeach</t>
    </r>
    <r>
      <rPr>
        <b/>
        <vertAlign val="subscript"/>
        <sz val="12"/>
        <rFont val="Times New Roman"/>
        <family val="1"/>
      </rPr>
      <t>MMS=1-13</t>
    </r>
  </si>
  <si>
    <t>AE = mass of nitrogen excreted to maure management systems</t>
  </si>
  <si>
    <t>EF = direct emissions of N2O from different manure management systems (total MMS)</t>
  </si>
  <si>
    <t>Direct from dung &amp; urine voided onto pastures</t>
  </si>
  <si>
    <t>Direct N2O animal waste</t>
  </si>
  <si>
    <t>Indirect N2O animal waste</t>
  </si>
  <si>
    <r>
      <t>Total GHG emissions (t CO</t>
    </r>
    <r>
      <rPr>
        <b/>
        <vertAlign val="subscript"/>
        <sz val="12"/>
        <color theme="1"/>
        <rFont val="Times New Roman"/>
        <family val="1"/>
      </rPr>
      <t>2</t>
    </r>
    <r>
      <rPr>
        <b/>
        <sz val="12"/>
        <color theme="1"/>
        <rFont val="Times New Roman"/>
        <family val="1"/>
      </rPr>
      <t xml:space="preserve">e/annum) </t>
    </r>
  </si>
  <si>
    <t>Direct from manure (storage &amp; spread)</t>
  </si>
  <si>
    <r>
      <t>MNLeach = (FN</t>
    </r>
    <r>
      <rPr>
        <b/>
        <vertAlign val="subscript"/>
        <sz val="12"/>
        <rFont val="Times New Roman"/>
        <family val="1"/>
      </rPr>
      <t>MMS=4</t>
    </r>
    <r>
      <rPr>
        <b/>
        <sz val="12"/>
        <rFont val="Times New Roman"/>
        <family val="1"/>
      </rPr>
      <t xml:space="preserve"> + UNM</t>
    </r>
    <r>
      <rPr>
        <b/>
        <vertAlign val="subscript"/>
        <sz val="12"/>
        <rFont val="Times New Roman"/>
        <family val="1"/>
      </rPr>
      <t>MS = 4</t>
    </r>
    <r>
      <rPr>
        <b/>
        <sz val="12"/>
        <rFont val="Times New Roman"/>
        <family val="1"/>
      </rPr>
      <t>) x FracWET x FracLEACH</t>
    </r>
  </si>
  <si>
    <t>3B.51_3</t>
  </si>
  <si>
    <t>3B.51_4</t>
  </si>
  <si>
    <t>E = MNLeach x EF x C</t>
  </si>
  <si>
    <t>Milkers-dairy</t>
  </si>
  <si>
    <t>Direct from manure (storage and spread)</t>
  </si>
  <si>
    <t>MP x 1.03 x 3.054 (MJ net energy/kg milk) / 0.6 / (0.00795 x DMD - 0.0014) / 18.4</t>
  </si>
  <si>
    <t>Used for waste CH4 esimations</t>
  </si>
  <si>
    <t>Uneaned heifers</t>
  </si>
  <si>
    <t>VS = (I x (1 - DMD) x (0.04 x I)) x (1 - A)</t>
  </si>
  <si>
    <t>VS = (I x (1 - DMD) + (0.04 x I)) x (1 - A)</t>
  </si>
  <si>
    <r>
      <t>NR = {(0.032 x MP x 1.03)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/6.38</t>
    </r>
  </si>
  <si>
    <t>Solid storage only leached</t>
  </si>
  <si>
    <t>Manure during storage and spread</t>
  </si>
  <si>
    <r>
      <t>NR = {(0.032 x MP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</si>
  <si>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MN Soil for lagoon</t>
  </si>
  <si>
    <t>MN Soil for sump and dispersal</t>
  </si>
  <si>
    <t>MN Soil for drains to paddock</t>
  </si>
  <si>
    <t>MN Soil to solid storage</t>
  </si>
  <si>
    <t>Total for MN Soil</t>
  </si>
  <si>
    <t>Sum of faecal and urine N (AF and AU only)</t>
  </si>
  <si>
    <r>
      <t>FN</t>
    </r>
    <r>
      <rPr>
        <b/>
        <vertAlign val="subscript"/>
        <sz val="12"/>
        <rFont val="Times New Roman"/>
        <family val="1"/>
      </rPr>
      <t xml:space="preserve">MMS </t>
    </r>
    <r>
      <rPr>
        <b/>
        <sz val="12"/>
        <rFont val="Times New Roman"/>
        <family val="1"/>
      </rPr>
      <t>= (AF x MMS) +</t>
    </r>
    <r>
      <rPr>
        <b/>
        <sz val="12"/>
        <rFont val="Times New Roman"/>
        <family val="1"/>
      </rPr>
      <t>(AU x MMS)</t>
    </r>
  </si>
  <si>
    <t>M = 21.5 x I / 1000</t>
  </si>
  <si>
    <t>kg methane x 25 to convert to CO2e / 1000 to convert into t CO2e/annum</t>
  </si>
  <si>
    <t xml:space="preserve">kg CH4 per cow per day x number of cows per annum </t>
  </si>
  <si>
    <t>Methane produced x (100- percentage reduction)%</t>
  </si>
  <si>
    <t>3DA.3</t>
  </si>
  <si>
    <t>VS = (I x (1 - DMD) +(0.004xI))x (1 - A)</t>
  </si>
  <si>
    <t>Manure during storage and spreading</t>
  </si>
  <si>
    <r>
      <t>NR = {(0.032 x MP x 1.03 / 6.38)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</si>
  <si>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Total CO2e emissions from atmospheric deposition (indirect ammonia)</t>
  </si>
  <si>
    <t>ERF Income</t>
  </si>
  <si>
    <t>ERF benefit as % of milk income</t>
  </si>
  <si>
    <t>Enteric Methane Calculations based on ERF methodology</t>
  </si>
  <si>
    <t>Change in milk production based on high fat supplementation equations and ERF calculations</t>
  </si>
  <si>
    <t>ERF payment based on GHG emissions intensity reduction</t>
  </si>
  <si>
    <t>ERF payment based on GHG emissions intensity reduction ($/annum)</t>
  </si>
  <si>
    <t>ERF credited reduction in enteric CH4</t>
  </si>
  <si>
    <t>ERF credited reduction in waste CH4</t>
  </si>
  <si>
    <t>ERF credited reduction in waste N2O</t>
  </si>
  <si>
    <t>Reduction in ERF accredited GHG emissions</t>
  </si>
  <si>
    <r>
      <t>NR = {(0.032 x MP x 1.03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</si>
  <si>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r>
      <t>MI = MP x 1.03 xNE / k / q</t>
    </r>
    <r>
      <rPr>
        <i/>
        <vertAlign val="subscript"/>
        <sz val="10"/>
        <rFont val="Times New Roman"/>
        <family val="1"/>
      </rPr>
      <t xml:space="preserve">m </t>
    </r>
    <r>
      <rPr>
        <i/>
        <sz val="10"/>
        <rFont val="Times New Roman"/>
        <family val="1"/>
      </rPr>
      <t>/ 18.4</t>
    </r>
  </si>
  <si>
    <t>VS =(I x (1 - DMD) +(0.04 x I))x (1 - A)</t>
  </si>
  <si>
    <t>N2O emissions from animal waste in storage</t>
  </si>
  <si>
    <t>VS = (I x (1 - DMD) + (0.04 x I))x (1 - A)</t>
  </si>
  <si>
    <r>
      <t>NR = {(0.032 x MP x 1.03 / 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</si>
  <si>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 Milk Production x 1.03 x 3.054 MJ Net Energy/kg milk / 0.6 / (0.00795 DMD - 0.0014)/18.4</t>
  </si>
  <si>
    <t>M = 21.5 x I /1000</t>
  </si>
  <si>
    <t>NR = {(0.032 x MP x 1.03 / 6.38) + ({0.212-0.008(L - 2) - [(0.140-0.008(L - 2)) / (1+exp (-6(Z - 0.4)))]} x (LWG x 0.92)})/6.25 x 1000</t>
  </si>
  <si>
    <t>(Herd annual urinary N x % time spent on pastures) x 0.4% (emission factor for direct N2O emissions from urine) x 1.57 (to convert elemental N2O to molecular N2O) x 298 (GWP) x 1000 (t convert to t)</t>
  </si>
  <si>
    <t>Total urinary N x % time spent on pastures x 0.3 (fraction of N available for leaching) x 0.0075 (Gg N2O-N/Gg N) x 1.57 (convert elemental N2O to molecular N2O) x 298 (GWP) x 1000 (convert to t)</t>
  </si>
  <si>
    <r>
      <t>NR = {(0.032 x MP x 1.03/6.38)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</si>
  <si>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Baseline milk production (kgs FPCM/annum)</t>
  </si>
  <si>
    <t>Additional milk produced (kg FPCM/herd per annum)</t>
  </si>
  <si>
    <t>kg additional grass per ha x ha x ME of the pasture x utilisation of the pasture (as a % so why divided by 100) divided 5.5 (MJ/litre milk) *1.03 to get kg milk for the FPCM equation to follow</t>
  </si>
  <si>
    <t>t Fert N x 0.4% (emission factor for pastures) x 1.57 (convert from elemental to molecular N2O) x 298 (convert to CO2e)</t>
  </si>
  <si>
    <t>t Fert N x 0.3 (FracLEACH constant for Gg N/Gg applied) x 0.0075 (constant for Gg N2O-N/Gg N) x 1.57 (constant to convert from elemental to molecular N2O) x 298 (convert to CO2e)</t>
  </si>
  <si>
    <t>x 25 to convert from kg CH4 to t CO2e</t>
  </si>
  <si>
    <t>Total Milk production over the lifetime (kg FPCM)</t>
  </si>
  <si>
    <t>Lifetime milk (kg milk)</t>
  </si>
  <si>
    <t>Baseline milk production (kg FPCM per annum)</t>
  </si>
  <si>
    <r>
      <t>MI = MP x 1.03 x NE / k / q</t>
    </r>
    <r>
      <rPr>
        <i/>
        <vertAlign val="subscript"/>
        <sz val="10"/>
        <rFont val="Times New Roman"/>
        <family val="1"/>
      </rPr>
      <t xml:space="preserve">m </t>
    </r>
    <r>
      <rPr>
        <i/>
        <sz val="10"/>
        <rFont val="Times New Roman"/>
        <family val="1"/>
      </rPr>
      <t>/ 18.4</t>
    </r>
  </si>
  <si>
    <t>ERF credited reduction in fertiliser N2O</t>
  </si>
  <si>
    <t>Gross Energy Intake (GEI)</t>
  </si>
  <si>
    <t>GEI = I x 18.4</t>
  </si>
  <si>
    <t>4A.1a_3</t>
  </si>
  <si>
    <t>MJ/head/day</t>
  </si>
  <si>
    <t>4A.1a_4</t>
  </si>
  <si>
    <t>% of GEI that is yielded as methane (Y)</t>
  </si>
  <si>
    <t xml:space="preserve">Y = 1.3 + 0.112 x DMD + L x (2.37 - 0.050 x DMD) </t>
  </si>
  <si>
    <t>4A.1a_5</t>
  </si>
  <si>
    <t>Liquid/Slurry</t>
  </si>
  <si>
    <t>Daily spread</t>
  </si>
  <si>
    <t>Drylot</t>
  </si>
  <si>
    <t>Digester</t>
  </si>
  <si>
    <t>Manure during storage</t>
  </si>
  <si>
    <t>Spreading stored manure</t>
  </si>
  <si>
    <t>% wet-lotted (to solid storage)</t>
  </si>
  <si>
    <t>% liquid/ slurry</t>
  </si>
  <si>
    <t>% from feedpad dry-lotted</t>
  </si>
  <si>
    <t>% sum spread daily</t>
  </si>
  <si>
    <t>Voided onto pastures</t>
  </si>
  <si>
    <t>Liquid/slurry</t>
  </si>
  <si>
    <t>4A.1a_1</t>
  </si>
  <si>
    <t>MI = MP x NE / k / qm / 18.4</t>
  </si>
  <si>
    <t>4A.1a_2</t>
  </si>
  <si>
    <t>M = Y / 100 x GEI / F</t>
  </si>
  <si>
    <t>4A.1a_6</t>
  </si>
  <si>
    <t>Y / 100 x GEI / 55.22 (MJ/kg CH4)</t>
  </si>
  <si>
    <t>E =(365 x N x M) x 10^-6</t>
  </si>
  <si>
    <t>Total = (365 x N x M) x 10^-6</t>
  </si>
  <si>
    <r>
      <t>NR = {(0.032 x MP)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</si>
  <si>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4B.1a_9c</t>
  </si>
  <si>
    <t>Table 6.12</t>
  </si>
  <si>
    <t>Total emissions</t>
  </si>
  <si>
    <t>MMS = 1 Anaerobic lagoon</t>
  </si>
  <si>
    <t>MMS = 2 Liquid systems</t>
  </si>
  <si>
    <t>MMS = 3 Daily spread</t>
  </si>
  <si>
    <t>MMS = 4 Solid storage and drylot</t>
  </si>
  <si>
    <t>MMS = 5 Digester</t>
  </si>
  <si>
    <t>Total emissions (E)</t>
  </si>
  <si>
    <t>Total emissions (exc pasture)</t>
  </si>
  <si>
    <t>MN soil = ((AE x MMS) - (E / Cg) - MNatm</t>
  </si>
  <si>
    <t>E = total emissions of N2O from different manure management systems (total MMS)</t>
  </si>
  <si>
    <t>MNatm = mass of animal wastes N volatilised</t>
  </si>
  <si>
    <t>AE x MMS</t>
  </si>
  <si>
    <t>E / Cg</t>
  </si>
  <si>
    <t>Mnatm (Total stored animal waste volatilised)</t>
  </si>
  <si>
    <t>Subtotal (MN soil)</t>
  </si>
  <si>
    <t>FracGASF =0.1</t>
  </si>
  <si>
    <t>Mass of animal waste volatilised</t>
  </si>
  <si>
    <t>MMS</t>
  </si>
  <si>
    <t>Lagoon (%)</t>
  </si>
  <si>
    <t>Liquid/Slurry (%)</t>
  </si>
  <si>
    <t>Daily Spread (%)</t>
  </si>
  <si>
    <t>Solid storage (%)</t>
  </si>
  <si>
    <t>Drylot (%)</t>
  </si>
  <si>
    <t>Digester (%)</t>
  </si>
  <si>
    <t>Pasture range and paddock (%)</t>
  </si>
  <si>
    <t>Animal waste fraction volatilised</t>
  </si>
  <si>
    <t>Animal waste produced (milker)</t>
  </si>
  <si>
    <t>Animal waste produced (heifers &gt;1)</t>
  </si>
  <si>
    <t>M = AE x MMS x FracGASM</t>
  </si>
  <si>
    <t>Animal waste produced (heifers &lt;1)</t>
  </si>
  <si>
    <t>Animal waste produced (bulls &gt; 1)</t>
  </si>
  <si>
    <t>Animal waste produced (bulls &lt; 1)</t>
  </si>
  <si>
    <t>Animal waste volatilised (milker)</t>
  </si>
  <si>
    <t>Animal waste volatilised (heifers &gt;1)</t>
  </si>
  <si>
    <t>Animal waste volatilised (heifers &lt;1)</t>
  </si>
  <si>
    <t>EF = 0.01</t>
  </si>
  <si>
    <t>Animal waste volatilised (bulls &gt; 1)</t>
  </si>
  <si>
    <t>Animal waste volatilised (bulls &lt; 1)</t>
  </si>
  <si>
    <t xml:space="preserve"> fraction of N available for leaching and runoff</t>
  </si>
  <si>
    <t xml:space="preserve">EF = 0.0125 </t>
  </si>
  <si>
    <t>Total CO2-e emissions from ammonia and nitrate</t>
  </si>
  <si>
    <t>Old National Greenhouse Gas Inventory (NGGI) methodology</t>
  </si>
  <si>
    <t>This spreadsheet is protected and linked back to the baseline farm.  It is used to compare the old NGGI methodolgoy from 1990 to the current NGGI methodology</t>
  </si>
  <si>
    <t>from 2015 onwards.</t>
  </si>
  <si>
    <t>% drain to paddock</t>
  </si>
  <si>
    <t>% liquid/slurry (comparative to drain to paddock)</t>
  </si>
  <si>
    <r>
      <t>Total GHG emissions (t CO</t>
    </r>
    <r>
      <rPr>
        <b/>
        <vertAlign val="subscript"/>
        <sz val="12"/>
        <color theme="1"/>
        <rFont val="Times New Roman"/>
        <family val="1"/>
      </rPr>
      <t>2</t>
    </r>
    <r>
      <rPr>
        <b/>
        <sz val="12"/>
        <color theme="1"/>
        <rFont val="Times New Roman"/>
        <family val="1"/>
      </rPr>
      <t>e/annum) with old NGGI</t>
    </r>
  </si>
  <si>
    <r>
      <t>Total GHG emissions (t CO</t>
    </r>
    <r>
      <rPr>
        <b/>
        <vertAlign val="subscript"/>
        <sz val="12"/>
        <color theme="1"/>
        <rFont val="Times New Roman"/>
        <family val="1"/>
      </rPr>
      <t>2</t>
    </r>
    <r>
      <rPr>
        <b/>
        <sz val="12"/>
        <color theme="1"/>
        <rFont val="Times New Roman"/>
        <family val="1"/>
      </rPr>
      <t>e/annum) with current NGGI</t>
    </r>
  </si>
  <si>
    <t>New NGGI</t>
  </si>
  <si>
    <t>Old NGGI</t>
  </si>
  <si>
    <t>Change in GHG emissions with the new NGGI methodology.  Red box indicating an increase in GHG emissions and green box indicates a decrease in GHG emissions with the new NGGI methodology</t>
  </si>
  <si>
    <t>% change in GHG emissions with the new NGGI methodology.  Red box indicating an increase in GHG emissions and green box indicates a decrease in GHG emissions with the new NGGI methodology</t>
  </si>
  <si>
    <t>Changes between version 3.5 and 4.1</t>
  </si>
  <si>
    <t xml:space="preserve">1. Biggest change has been the rebuild of equations and emission factors to reflect the 2015 National Greenhouse Gas Inventory.  This has included changes to the </t>
  </si>
  <si>
    <t>2. Error identified and fixed with the transfer of the baseline milker DMD and CP values to the relevant abatement strategies.</t>
  </si>
  <si>
    <r>
      <t xml:space="preserve">3. Fixed the results in the </t>
    </r>
    <r>
      <rPr>
        <i/>
        <sz val="11"/>
        <color theme="1"/>
        <rFont val="Calibri"/>
        <family val="2"/>
        <scheme val="minor"/>
      </rPr>
      <t>Extended longevity</t>
    </r>
    <r>
      <rPr>
        <sz val="11"/>
        <color theme="1"/>
        <rFont val="Calibri"/>
        <family val="2"/>
        <scheme val="minor"/>
      </rPr>
      <t xml:space="preserve"> abatement strategy as there is no additional milk production and altered the heading to </t>
    </r>
    <r>
      <rPr>
        <i/>
        <sz val="11"/>
        <color theme="1"/>
        <rFont val="Calibri"/>
        <family val="2"/>
        <scheme val="minor"/>
      </rPr>
      <t>Saved costs to raising heifers</t>
    </r>
  </si>
  <si>
    <t xml:space="preserve">4. Added a pie chart to the baseline and example baseline farms showing the typical fraction of GHG emissions from each source.  This should identify </t>
  </si>
  <si>
    <t xml:space="preserve">7. Enlarged/ tidied up some of the comments </t>
  </si>
  <si>
    <t>8. Fixed the missing down-down list for on the whole-of-farm strategy for any form of solids separating for the milking herd's dairy waste</t>
  </si>
  <si>
    <t>where major errors occur if your farm system result is vastly different to the typical farm</t>
  </si>
  <si>
    <t>Direct N2O from animal waste</t>
  </si>
  <si>
    <t>Direct N2O from N fertiliser</t>
  </si>
  <si>
    <t>Indirect N2O from animal waste</t>
  </si>
  <si>
    <t>Indirect N2O from N fertiliser</t>
  </si>
  <si>
    <t>linked to the baseline farm system, but containing the old NGGI methodology and thus shows how the changes to NGGI have altered total farm GHG emissions</t>
  </si>
  <si>
    <t>5. Added the percentage change in total farm GHG emissions and emissions intensity for the strategy farm scenario.  This is colour-coded so if</t>
  </si>
  <si>
    <t xml:space="preserve">emissions intensity goes down, the result is in a green cell to indicate a positive change </t>
  </si>
  <si>
    <t>either total farm and/or emissions intensity goes up, the result is in a red cell to indicate a negative change.  Alternatively, if either total farm and/or</t>
  </si>
  <si>
    <t xml:space="preserve">6. Added a comment to suggest a default DMD and CP of 75 and 20% for all non-milking stock.  This is the Nationa lnventory default values </t>
  </si>
  <si>
    <t>https://www.environment.gov.au/system/files/resources/7d7f7ef6-e028-462e-b15c-ede14e222e65/files/national-inventory-report-2013-vol1.pdf</t>
  </si>
  <si>
    <t>Typical GHG emissions intensity should range between 0.8 and 1.4 kg CO2e/ kg FPCM or between 12 and 22 kg CO2e/kg milksolids.  If your emissions intensity is outside these ranges, review your data entry for potential errors</t>
  </si>
  <si>
    <t>Changes between version 4.1 and 4.2</t>
  </si>
  <si>
    <t>Pre-farm gate embedded</t>
  </si>
  <si>
    <t xml:space="preserve">but this also included C sequestration from trees.  So now it is total class emissions divided by total farm emissions exc any Csequestration.  Total farm GHG </t>
  </si>
  <si>
    <t>emissions and emissions intensity will remain inclusive of any C sequestration.</t>
  </si>
  <si>
    <t>M = 20.7 x I/1000</t>
  </si>
  <si>
    <t>2. Fixed the number of decimal points that results for each source of GHG emissions is reported for the baseline farm system</t>
  </si>
  <si>
    <t>3. Fixed an error with how the percentage of total emissions from each stock class was calculated.  It was previously their emissions divided by total emissions</t>
  </si>
  <si>
    <r>
      <t xml:space="preserve">1. The emission factor for enteric methane was reduced from 21.5 to 20.7 g CH4/kg DM intake to align with published work by Charmley </t>
    </r>
    <r>
      <rPr>
        <b/>
        <i/>
        <sz val="11"/>
        <color theme="1"/>
        <rFont val="Calibri"/>
        <family val="2"/>
        <scheme val="minor"/>
      </rPr>
      <t>et al. (2016)</t>
    </r>
  </si>
  <si>
    <t>Vic data mislabelled in NGGI meth documentation</t>
  </si>
  <si>
    <t>Changes between version 4.2 and 4.3</t>
  </si>
  <si>
    <t>the strategy farm worksheet for comparison</t>
  </si>
  <si>
    <t>Australian Dairy Carbon Calculator</t>
  </si>
  <si>
    <t xml:space="preserve">The first step in using the carbon calculator is to enter data on the baseline farm sheet.  This is the farm system prior to exploring any mitigation options or strategies.  The accuracy of the baseline farm system is important, both in terms of an accurate assessment of it's GHG emissions and the ramifications for when an abatement strategy is implemented.  An example of a baseline farm can be viewed on the Example worksheet.  There are comments attached to many of the cells to assist with additional information regarding what the question is asking for.  </t>
  </si>
  <si>
    <r>
      <t xml:space="preserve">The third </t>
    </r>
    <r>
      <rPr>
        <b/>
        <sz val="11"/>
        <color theme="1"/>
        <rFont val="Calibri"/>
        <family val="2"/>
        <scheme val="minor"/>
      </rPr>
      <t xml:space="preserve">Key variables </t>
    </r>
    <r>
      <rPr>
        <sz val="11"/>
        <color theme="1"/>
        <rFont val="Calibri"/>
        <family val="2"/>
        <scheme val="minor"/>
      </rPr>
      <t xml:space="preserve">section (coloured pink)  is a series of key questions relevant to the abatement strategy being explored (e.g. percentage reduction in enteric methane as a result of breeding or management).  Data is entered either by using the up/down arrows or entering data (e.g. calving date for the extended lactation strategy).  All the cells that require numbers will begin at zero when teh carbon calculator is opened for the first time.     </t>
    </r>
  </si>
  <si>
    <t>What the Australian Dairy Carbon Calculator can't do</t>
  </si>
  <si>
    <t xml:space="preserve">The carbon calculator is built using a static approach, it is not dynamic and therefore can't inform the users if the abatement strategy being explored can be achieved on farm.  </t>
  </si>
  <si>
    <t>The Australian Dairy Carbon Calculator development and disclaimers</t>
  </si>
  <si>
    <t>The Australian Dairy Carbon Calculator was developed by staff from the University of Tasmania, University of Melbourne and the Victorian Department of Environment and Primary Industries and was funded by the Australian Department of Agriculture, Dairy Australia, Meat and Livestock Australia and Australian Wool Innovation as part of the WFSAM project.</t>
  </si>
  <si>
    <t xml:space="preserve">The calculator is subject to development at all times and the methodology for estimating GHG emissions alters over time so we take no responsibility for the calculator being current.  If required, professional advice should be sought when entering the baseline farm systems, deciding on the degree of change possible when implementing an abatement strategy and interpretation of the results.  The carbon calculator can be used as a first review of the potential changes in GHG emissions associated with implementing any of the intervention strategies currently available.  However, the marginal economic analysis is only a guide and therefore a full farm systems and economic analysis is recommended to better inform the productivity and profitability implications on farm, especially if capital investment is required to implement a strategy.         </t>
  </si>
  <si>
    <t>1. The renaming of DGAS into the Australian Dairy Carbon Calculator</t>
  </si>
  <si>
    <t xml:space="preserve">global warming potential of methane and nitrous oxide to 25 and 298, respectively.  The carbon calculator now contains a protected worksheet ("Old NGGI methodology"), </t>
  </si>
  <si>
    <t>Australian Dairy Carbon Calculator Baseline farm system</t>
  </si>
  <si>
    <t>FPCM (kg per annum; IDF equation)</t>
  </si>
  <si>
    <t xml:space="preserve">Unlike all other abatement strategies in the carbon calculator where only a component of the farm system is reviewed, with this strategy the user has the ability to change any or all aspects of the baseline farm system and see the effect of this change on total farm GHG emissions and the emissions intensity of milk production.  </t>
  </si>
  <si>
    <t xml:space="preserve">Sometimes 2 or more feeds of the same type (e.g. silage or a day and night paddock for grazing) are fed.  The carbon calculator </t>
  </si>
  <si>
    <t>needs to know the total amount fed and the average dry matter digestibility (%) and crude protein (%) of each feed type.</t>
  </si>
  <si>
    <t xml:space="preserve">containing 20% N, 16% K  and 10% S was applied.  In total, 7.7 t of N, 0.18 t of P, 0.64 t of K and </t>
  </si>
  <si>
    <t xml:space="preserve">3. Corrected a couple of factors on the example baseline farm and Strategy farm worksheets.  Unlikely to affect results for majority of users unless reliant on using </t>
  </si>
  <si>
    <t xml:space="preserve"> https://www.fil-idf.org/wp-content/uploads/2016/09/Bulletin479-2015_A-common-carbon-footprint-approach-for-the-dairy-sector.CAT.pdf</t>
  </si>
  <si>
    <t>This change will make very little difference to emissions intensity and thus not a reason to repeat calculations</t>
  </si>
  <si>
    <t>2. Re-calculation of Fat and Protein Corrected Milk (FPCM) to align with the International Dairy Federation equation (pg 19;</t>
  </si>
  <si>
    <t xml:space="preserve">The Australian Dairy Carbon Calculator (previously known as DGAS) was developed to explore the implications of a range of diet, herd or feedbase management options on the greenhouse gas (GHG) emissions for a dairy enterprise.  In addition, a replication of the baseline farm is provided to users to give them the ability to alter one or more components of the whole farm system.  </t>
  </si>
  <si>
    <t xml:space="preserve">The GHG emissions are estimated based on Australia's current National Greenhouse Gas Inventory (NGGI) methodology that changed in 2015.  They estimate the carbon dioxide, methane and nitrous oxide emissions of an Australian dairy enterprise based on carbon dioxide equivalents.  More information on the NGGI methodology can be found at: </t>
  </si>
  <si>
    <t>How to enter data into the Australian Dairy Carbon Calculator</t>
  </si>
  <si>
    <t>4. Fixed an equation error in the example baseline farm for heifers &lt; 1 and bulls &lt; 1.  Unlikely to be an issue for anyone unless they are copying this data to their baseline farm</t>
  </si>
  <si>
    <t>Version 4.4, October 2021</t>
  </si>
  <si>
    <t>Changes between version 4.3 and 4.4</t>
  </si>
  <si>
    <t>1. Removed 'incorrect' protection on cells related to energy and fertiliser inputs</t>
  </si>
  <si>
    <t>Enter cost of implementing the abatement strategy  ($ per cow per annum)</t>
  </si>
  <si>
    <t>Password</t>
  </si>
  <si>
    <t>The worksheets are password protected to remove any risk of inadvertently changing the equations and emission factors.</t>
  </si>
  <si>
    <t>The password is Dairy_DGAS (case-sensitive) so if you wish to unprotect one or more sheets, you are undertaking this at your own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</si>
</sst>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0.0"/>
    <numFmt numFmtId="166" formatCode="0.00000"/>
    <numFmt numFmtId="167" formatCode="_-* #,##0.0000_-;\-* #,##0.0000_-;_-* &quot;-&quot;??_-;_-@_-"/>
    <numFmt numFmtId="168" formatCode="&quot;$&quot;#,##0.00"/>
    <numFmt numFmtId="169" formatCode="&quot;$&quot;#,##0"/>
    <numFmt numFmtId="170" formatCode="0.0%"/>
    <numFmt numFmtId="171" formatCode="&quot;$&quot;#,##0.000"/>
    <numFmt numFmtId="172" formatCode="0.0000"/>
    <numFmt numFmtId="173" formatCode="0.0000000"/>
    <numFmt numFmtId="174" formatCode="0.00000000"/>
    <numFmt numFmtId="175" formatCode="0.000000"/>
    <numFmt numFmtId="176" formatCode="0.000000000"/>
    <numFmt numFmtId="177" formatCode="0.00000000000"/>
    <numFmt numFmtId="178" formatCode="0.0000000000"/>
    <numFmt numFmtId="179" formatCode="0.0000000000000"/>
    <numFmt numFmtId="180" formatCode="&quot; &quot;#,##0.00&quot; &quot;;&quot;-&quot;#,##0.00&quot; &quot;;&quot; -&quot;00&quot; &quot;;&quot; &quot;@&quot; &quot;"/>
    <numFmt numFmtId="181" formatCode="yyyy/yy"/>
    <numFmt numFmtId="182" formatCode="_(&quot;$&quot;* #,##0.00_);_(&quot;$&quot;* \(#,##0.00\);_(&quot;$&quot;* &quot;-&quot;??_);_(@_)"/>
    <numFmt numFmtId="183" formatCode="_(* #,##0.00_);_(* \(#,##0.00\);_(* &quot;-&quot;??_);_(@_)"/>
    <numFmt numFmtId="184" formatCode="0.00000E+00"/>
    <numFmt numFmtId="185" formatCode="0.000000E+00"/>
    <numFmt numFmtId="186" formatCode="0.0000000E+00"/>
    <numFmt numFmtId="187" formatCode="0.00000000E+00"/>
    <numFmt numFmtId="188" formatCode="#,##0.000000000"/>
    <numFmt numFmtId="189" formatCode="#,##0.000000"/>
    <numFmt numFmtId="190" formatCode="#,##0.00000"/>
    <numFmt numFmtId="191" formatCode="0.000000000000"/>
    <numFmt numFmtId="192" formatCode="0.00000000000E+00"/>
    <numFmt numFmtId="193" formatCode="#,##0.0"/>
  </numFmts>
  <fonts count="109" x14ac:knownFonts="1">
    <font>
      <sz val="11"/>
      <color theme="1"/>
      <name val="Calibri"/>
      <family val="2"/>
      <scheme val="minor"/>
    </font>
    <font>
      <sz val="10"/>
      <name val="Times New Roman"/>
      <family val="1"/>
    </font>
    <font>
      <b/>
      <sz val="10"/>
      <name val="Times New Roman"/>
      <family val="1"/>
    </font>
    <font>
      <b/>
      <i/>
      <sz val="10"/>
      <name val="Times New Roman"/>
      <family val="1"/>
    </font>
    <font>
      <sz val="8"/>
      <color indexed="81"/>
      <name val="Tahoma"/>
      <family val="2"/>
    </font>
    <font>
      <b/>
      <sz val="8"/>
      <color indexed="81"/>
      <name val="Tahoma"/>
      <family val="2"/>
    </font>
    <font>
      <sz val="24"/>
      <name val="Times New Roman"/>
      <family val="1"/>
    </font>
    <font>
      <sz val="18"/>
      <name val="Times New Roman"/>
      <family val="1"/>
    </font>
    <font>
      <sz val="11"/>
      <color theme="1"/>
      <name val="Calibri"/>
      <family val="2"/>
      <scheme val="minor"/>
    </font>
    <font>
      <u/>
      <sz val="14.3"/>
      <color theme="10"/>
      <name val="Calibri"/>
      <family val="2"/>
    </font>
    <font>
      <b/>
      <sz val="11"/>
      <color theme="1"/>
      <name val="Calibri"/>
      <family val="2"/>
      <scheme val="minor"/>
    </font>
    <font>
      <sz val="11"/>
      <color rgb="FF000000"/>
      <name val="Calibri"/>
      <family val="2"/>
      <scheme val="minor"/>
    </font>
    <font>
      <sz val="11"/>
      <name val="Calibri"/>
      <family val="2"/>
      <scheme val="minor"/>
    </font>
    <font>
      <sz val="12"/>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0"/>
      <color theme="1"/>
      <name val="Times New Roman"/>
      <family val="1"/>
    </font>
    <font>
      <i/>
      <sz val="10"/>
      <name val="Times New Roman"/>
      <family val="1"/>
    </font>
    <font>
      <i/>
      <vertAlign val="superscript"/>
      <sz val="10"/>
      <name val="Times New Roman"/>
      <family val="1"/>
    </font>
    <font>
      <i/>
      <vertAlign val="subscript"/>
      <sz val="10"/>
      <name val="Times New Roman"/>
      <family val="1"/>
    </font>
    <font>
      <b/>
      <sz val="10"/>
      <color theme="1"/>
      <name val="Times New Roman"/>
      <family val="1"/>
    </font>
    <font>
      <sz val="11"/>
      <color theme="1"/>
      <name val="Times New Roman"/>
      <family val="1"/>
    </font>
    <font>
      <b/>
      <sz val="11"/>
      <name val="Times New Roman"/>
      <family val="1"/>
    </font>
    <font>
      <i/>
      <sz val="10"/>
      <color theme="1"/>
      <name val="Times New Roman"/>
      <family val="1"/>
    </font>
    <font>
      <sz val="10"/>
      <color theme="1"/>
      <name val="Calibri"/>
      <family val="2"/>
      <scheme val="minor"/>
    </font>
    <font>
      <b/>
      <sz val="14"/>
      <name val="Times New Roman"/>
      <family val="1"/>
    </font>
    <font>
      <sz val="12"/>
      <name val="Times New Roman"/>
      <family val="1"/>
    </font>
    <font>
      <b/>
      <sz val="12"/>
      <name val="Times New Roman"/>
      <family val="1"/>
    </font>
    <font>
      <b/>
      <sz val="12"/>
      <color theme="1"/>
      <name val="Times New Roman"/>
      <family val="1"/>
    </font>
    <font>
      <sz val="12"/>
      <color theme="1"/>
      <name val="Times New Roman"/>
      <family val="1"/>
    </font>
    <font>
      <b/>
      <vertAlign val="subscript"/>
      <sz val="12"/>
      <name val="Times New Roman"/>
      <family val="1"/>
    </font>
    <font>
      <b/>
      <i/>
      <sz val="12"/>
      <name val="Times New Roman"/>
      <family val="1"/>
    </font>
    <font>
      <b/>
      <vertAlign val="superscript"/>
      <sz val="12"/>
      <name val="Times New Roman"/>
      <family val="1"/>
    </font>
    <font>
      <b/>
      <vertAlign val="subscript"/>
      <sz val="12"/>
      <color theme="1"/>
      <name val="Times New Roman"/>
      <family val="1"/>
    </font>
    <font>
      <sz val="10"/>
      <name val="Calibri"/>
      <family val="2"/>
      <scheme val="minor"/>
    </font>
    <font>
      <b/>
      <sz val="11"/>
      <name val="Calibri"/>
      <family val="2"/>
      <scheme val="minor"/>
    </font>
    <font>
      <sz val="11"/>
      <color theme="1"/>
      <name val="Cambria"/>
      <family val="1"/>
      <scheme val="major"/>
    </font>
    <font>
      <sz val="14"/>
      <name val="Times New Roman"/>
      <family val="1"/>
    </font>
    <font>
      <b/>
      <sz val="14"/>
      <color theme="1"/>
      <name val="Times New Roman"/>
      <family val="1"/>
    </font>
    <font>
      <sz val="12"/>
      <color theme="7" tint="0.59999389629810485"/>
      <name val="Times New Roman"/>
      <family val="1"/>
    </font>
    <font>
      <sz val="11"/>
      <color indexed="81"/>
      <name val="Tahoma"/>
      <family val="2"/>
    </font>
    <font>
      <sz val="12"/>
      <color indexed="81"/>
      <name val="Tahoma"/>
      <family val="2"/>
    </font>
    <font>
      <sz val="28"/>
      <color theme="1"/>
      <name val="Calibri"/>
      <family val="2"/>
      <scheme val="minor"/>
    </font>
    <font>
      <sz val="11"/>
      <color theme="1"/>
      <name val="Calibri"/>
      <family val="2"/>
    </font>
    <font>
      <sz val="9.9"/>
      <color theme="1"/>
      <name val="Calibri"/>
      <family val="2"/>
    </font>
    <font>
      <vertAlign val="superscript"/>
      <sz val="12"/>
      <name val="Calibri"/>
      <family val="2"/>
      <scheme val="minor"/>
    </font>
    <font>
      <sz val="9"/>
      <color indexed="81"/>
      <name val="Tahoma"/>
      <family val="2"/>
    </font>
    <font>
      <sz val="10"/>
      <color rgb="FF000000"/>
      <name val="Arial"/>
      <family val="2"/>
    </font>
    <font>
      <sz val="12"/>
      <color rgb="FF000000"/>
      <name val="Times New Roman"/>
      <family val="1"/>
    </font>
    <font>
      <b/>
      <sz val="12"/>
      <color rgb="FF000000"/>
      <name val="Times New Roman"/>
      <family val="1"/>
    </font>
    <font>
      <u/>
      <sz val="11"/>
      <color theme="10"/>
      <name val="Calibri"/>
      <family val="2"/>
      <scheme val="minor"/>
    </font>
    <font>
      <i/>
      <sz val="12"/>
      <name val="Times New Roman"/>
      <family val="1"/>
    </font>
    <font>
      <sz val="12"/>
      <color rgb="FFFF0000"/>
      <name val="Times New Roman"/>
      <family val="1"/>
    </font>
    <font>
      <vertAlign val="subscript"/>
      <sz val="12"/>
      <name val="Times New Roman"/>
      <family val="1"/>
    </font>
    <font>
      <sz val="11"/>
      <name val="Times New Roman"/>
      <family val="1"/>
    </font>
    <font>
      <b/>
      <sz val="11"/>
      <color indexed="81"/>
      <name val="Tahoma"/>
      <family val="2"/>
    </font>
    <font>
      <sz val="28"/>
      <color rgb="FFFF0000"/>
      <name val="Calibri"/>
      <family val="2"/>
      <scheme val="minor"/>
    </font>
    <font>
      <sz val="14"/>
      <color theme="1"/>
      <name val="Calibri"/>
      <family val="2"/>
      <scheme val="minor"/>
    </font>
    <font>
      <sz val="36"/>
      <color theme="1"/>
      <name val="Calibri"/>
      <family val="2"/>
      <scheme val="minor"/>
    </font>
    <font>
      <sz val="11"/>
      <color theme="1"/>
      <name val="Wingdings 3"/>
      <family val="1"/>
      <charset val="2"/>
    </font>
    <font>
      <b/>
      <sz val="10"/>
      <color indexed="81"/>
      <name val="Tahoma"/>
      <family val="2"/>
    </font>
    <font>
      <b/>
      <sz val="13"/>
      <color theme="1"/>
      <name val="Times New Roman"/>
      <family val="1"/>
    </font>
    <font>
      <b/>
      <sz val="11"/>
      <color theme="1"/>
      <name val="Times New Roman"/>
      <family val="1"/>
    </font>
    <font>
      <sz val="16"/>
      <color theme="1"/>
      <name val="Times New Roman"/>
      <family val="1"/>
    </font>
    <font>
      <b/>
      <u/>
      <sz val="14"/>
      <color theme="1"/>
      <name val="Times New Roman"/>
      <family val="1"/>
    </font>
    <font>
      <sz val="13"/>
      <color theme="1"/>
      <name val="Calibri"/>
      <family val="2"/>
      <scheme val="minor"/>
    </font>
    <font>
      <u/>
      <sz val="13"/>
      <color theme="10"/>
      <name val="Calibri"/>
      <family val="2"/>
    </font>
    <font>
      <u/>
      <sz val="13"/>
      <color theme="3"/>
      <name val="Calibri"/>
      <family val="2"/>
      <scheme val="minor"/>
    </font>
    <font>
      <sz val="13"/>
      <color theme="3"/>
      <name val="Calibri"/>
      <family val="2"/>
      <scheme val="minor"/>
    </font>
    <font>
      <u/>
      <sz val="14.3"/>
      <color theme="10"/>
      <name val="Times New Roman"/>
      <family val="1"/>
    </font>
    <font>
      <b/>
      <sz val="18"/>
      <color theme="1"/>
      <name val="Calibri"/>
      <family val="2"/>
      <scheme val="minor"/>
    </font>
    <font>
      <sz val="10"/>
      <name val="MS Serif"/>
      <family val="1"/>
    </font>
    <font>
      <sz val="1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0"/>
      <color indexed="8"/>
      <name val="Arial"/>
      <family val="2"/>
    </font>
    <font>
      <sz val="10"/>
      <color indexed="48"/>
      <name val="Arial"/>
      <family val="2"/>
    </font>
    <font>
      <sz val="10"/>
      <color theme="1"/>
      <name val="Arial"/>
      <family val="2"/>
    </font>
    <font>
      <sz val="11"/>
      <color rgb="FFFF0000"/>
      <name val="Calibri"/>
      <family val="2"/>
      <scheme val="minor"/>
    </font>
    <font>
      <u/>
      <sz val="13"/>
      <color theme="10"/>
      <name val="Times New Roman"/>
      <family val="1"/>
    </font>
    <font>
      <sz val="14.5"/>
      <color theme="1"/>
      <name val="Times New Roman"/>
      <family val="1"/>
    </font>
    <font>
      <sz val="13"/>
      <color theme="1"/>
      <name val="Times New Roman"/>
      <family val="1"/>
    </font>
    <font>
      <u/>
      <sz val="13"/>
      <color theme="10"/>
      <name val="Calibri"/>
      <family val="2"/>
      <scheme val="minor"/>
    </font>
    <font>
      <b/>
      <sz val="9"/>
      <color indexed="81"/>
      <name val="Tahoma"/>
      <family val="2"/>
    </font>
    <font>
      <b/>
      <sz val="11"/>
      <color indexed="81"/>
      <name val="Times New Roman"/>
      <family val="1"/>
    </font>
    <font>
      <i/>
      <sz val="11"/>
      <color theme="1"/>
      <name val="Calibri"/>
      <family val="2"/>
      <scheme val="minor"/>
    </font>
    <font>
      <i/>
      <sz val="11"/>
      <color indexed="81"/>
      <name val="Tahoma"/>
      <family val="2"/>
    </font>
    <font>
      <sz val="10"/>
      <name val="Arial"/>
      <family val="2"/>
    </font>
    <font>
      <u/>
      <sz val="10"/>
      <color indexed="12"/>
      <name val="Arial"/>
      <family val="2"/>
    </font>
    <font>
      <sz val="10"/>
      <name val="Arial"/>
      <family val="2"/>
    </font>
    <font>
      <b/>
      <sz val="10"/>
      <color theme="1"/>
      <name val="Calibri"/>
      <family val="2"/>
      <scheme val="minor"/>
    </font>
    <font>
      <u/>
      <sz val="11"/>
      <color theme="10"/>
      <name val="Calibri"/>
      <family val="2"/>
    </font>
    <font>
      <b/>
      <i/>
      <sz val="11"/>
      <color theme="1"/>
      <name val="Calibri"/>
      <family val="2"/>
      <scheme val="minor"/>
    </font>
  </fonts>
  <fills count="4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59999389629810485"/>
        <bgColor indexed="65"/>
      </patternFill>
    </fill>
    <fill>
      <patternFill patternType="solid">
        <fgColor theme="7" tint="0.59999389629810485"/>
        <bgColor indexed="65"/>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AFDD1"/>
        <bgColor indexed="64"/>
      </patternFill>
    </fill>
    <fill>
      <patternFill patternType="solid">
        <fgColor rgb="FFFFFF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59996337778862885"/>
        <bgColor indexed="64"/>
      </patternFill>
    </fill>
    <fill>
      <patternFill patternType="solid">
        <fgColor rgb="FFCCC0DA"/>
        <bgColor rgb="FFCCC0DA"/>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theme="4" tint="0.79998168889431442"/>
        <bgColor rgb="FFCCC0DA"/>
      </patternFill>
    </fill>
    <fill>
      <patternFill patternType="solid">
        <fgColor indexed="11"/>
      </patternFill>
    </fill>
    <fill>
      <patternFill patternType="solid">
        <fgColor theme="0" tint="-0.24994659260841701"/>
        <bgColor indexed="64"/>
      </patternFill>
    </fill>
  </fills>
  <borders count="94">
    <border>
      <left/>
      <right/>
      <top/>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right/>
      <top style="thin">
        <color indexed="64"/>
      </top>
      <bottom/>
      <diagonal/>
    </border>
    <border>
      <left style="thin">
        <color auto="1"/>
      </left>
      <right style="thin">
        <color auto="1"/>
      </right>
      <top style="thin">
        <color auto="1"/>
      </top>
      <bottom/>
      <diagonal/>
    </border>
    <border>
      <left style="thin">
        <color auto="1"/>
      </left>
      <right/>
      <top style="thin">
        <color indexed="8"/>
      </top>
      <bottom/>
      <diagonal/>
    </border>
    <border>
      <left style="thin">
        <color auto="1"/>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auto="1"/>
      </bottom>
      <diagonal/>
    </border>
    <border>
      <left/>
      <right style="thin">
        <color auto="1"/>
      </right>
      <top/>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200">
    <xf numFmtId="0" fontId="0" fillId="0" borderId="0"/>
    <xf numFmtId="44" fontId="8" fillId="0" borderId="0" applyFont="0" applyFill="0" applyBorder="0" applyAlignment="0" applyProtection="0"/>
    <xf numFmtId="0" fontId="9" fillId="0" borderId="0" applyNumberFormat="0" applyFill="0" applyBorder="0" applyAlignment="0" applyProtection="0">
      <alignment vertical="top"/>
      <protection locked="0"/>
    </xf>
    <xf numFmtId="9" fontId="8" fillId="0" borderId="0" applyFont="0" applyFill="0" applyBorder="0" applyAlignment="0" applyProtection="0"/>
    <xf numFmtId="0" fontId="8" fillId="7" borderId="0" applyNumberFormat="0" applyBorder="0" applyAlignment="0" applyProtection="0"/>
    <xf numFmtId="0" fontId="8" fillId="8" borderId="0" applyNumberFormat="0" applyBorder="0" applyAlignment="0" applyProtection="0"/>
    <xf numFmtId="43" fontId="8" fillId="0" borderId="0" applyFont="0" applyFill="0" applyBorder="0" applyAlignment="0" applyProtection="0"/>
    <xf numFmtId="0" fontId="48" fillId="0" borderId="0"/>
    <xf numFmtId="0" fontId="48" fillId="0" borderId="0" applyNumberFormat="0" applyFont="0" applyFill="0" applyBorder="0" applyAlignment="0" applyProtection="0"/>
    <xf numFmtId="180" fontId="48" fillId="0" borderId="0" applyFont="0" applyFill="0" applyBorder="0" applyAlignment="0" applyProtection="0"/>
    <xf numFmtId="0" fontId="51" fillId="0" borderId="0" applyNumberFormat="0" applyFill="0" applyBorder="0" applyAlignment="0" applyProtection="0"/>
    <xf numFmtId="0" fontId="72" fillId="0" borderId="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1" borderId="0" applyNumberFormat="0" applyBorder="0" applyAlignment="0" applyProtection="0"/>
    <xf numFmtId="0" fontId="75" fillId="33" borderId="0" applyNumberFormat="0" applyBorder="0" applyAlignment="0" applyProtection="0"/>
    <xf numFmtId="0" fontId="75" fillId="30"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3" borderId="0" applyNumberFormat="0" applyBorder="0" applyAlignment="0" applyProtection="0"/>
    <xf numFmtId="0" fontId="75" fillId="31" borderId="0" applyNumberFormat="0" applyBorder="0" applyAlignment="0" applyProtection="0"/>
    <xf numFmtId="0" fontId="76" fillId="33"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5" borderId="0" applyNumberFormat="0" applyBorder="0" applyAlignment="0" applyProtection="0"/>
    <xf numFmtId="0" fontId="76" fillId="33" borderId="0" applyNumberFormat="0" applyBorder="0" applyAlignment="0" applyProtection="0"/>
    <xf numFmtId="0" fontId="76" fillId="30" borderId="0" applyNumberFormat="0" applyBorder="0" applyAlignment="0" applyProtection="0"/>
    <xf numFmtId="0" fontId="76" fillId="38"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7" fillId="42" borderId="0" applyNumberFormat="0" applyBorder="0" applyAlignment="0" applyProtection="0"/>
    <xf numFmtId="0" fontId="78" fillId="43" borderId="35" applyNumberFormat="0" applyAlignment="0" applyProtection="0"/>
    <xf numFmtId="0" fontId="79" fillId="44" borderId="36" applyNumberFormat="0" applyAlignment="0" applyProtection="0"/>
    <xf numFmtId="183" fontId="72" fillId="0" borderId="0" applyFont="0" applyFill="0" applyBorder="0" applyAlignment="0" applyProtection="0"/>
    <xf numFmtId="43" fontId="73" fillId="0" borderId="0" applyFont="0" applyFill="0" applyBorder="0" applyAlignment="0" applyProtection="0"/>
    <xf numFmtId="182" fontId="72" fillId="0" borderId="0" applyFont="0" applyFill="0" applyBorder="0" applyAlignment="0" applyProtection="0"/>
    <xf numFmtId="0" fontId="80" fillId="0" borderId="0" applyNumberFormat="0" applyFill="0" applyBorder="0" applyAlignment="0" applyProtection="0"/>
    <xf numFmtId="0" fontId="81" fillId="33" borderId="0" applyNumberFormat="0" applyBorder="0" applyAlignment="0" applyProtection="0"/>
    <xf numFmtId="0" fontId="82" fillId="0" borderId="37" applyNumberFormat="0" applyFill="0" applyAlignment="0" applyProtection="0"/>
    <xf numFmtId="0" fontId="83" fillId="0" borderId="38" applyNumberFormat="0" applyFill="0" applyAlignment="0" applyProtection="0"/>
    <xf numFmtId="0" fontId="84" fillId="0" borderId="39" applyNumberFormat="0" applyFill="0" applyAlignment="0" applyProtection="0"/>
    <xf numFmtId="0" fontId="84" fillId="0" borderId="0" applyNumberFormat="0" applyFill="0" applyBorder="0" applyAlignment="0" applyProtection="0"/>
    <xf numFmtId="0" fontId="85" fillId="34" borderId="35" applyNumberFormat="0" applyAlignment="0" applyProtection="0"/>
    <xf numFmtId="0" fontId="86" fillId="0" borderId="40" applyNumberFormat="0" applyFill="0" applyAlignment="0" applyProtection="0"/>
    <xf numFmtId="0" fontId="87" fillId="34" borderId="0" applyNumberFormat="0" applyBorder="0" applyAlignment="0" applyProtection="0"/>
    <xf numFmtId="0" fontId="73" fillId="0" borderId="0"/>
    <xf numFmtId="0" fontId="72" fillId="0" borderId="0"/>
    <xf numFmtId="0" fontId="72" fillId="31" borderId="41" applyNumberFormat="0" applyFont="0" applyAlignment="0" applyProtection="0"/>
    <xf numFmtId="0" fontId="88" fillId="43" borderId="42" applyNumberFormat="0" applyAlignment="0" applyProtection="0"/>
    <xf numFmtId="9" fontId="72" fillId="0" borderId="0" applyFont="0" applyFill="0" applyBorder="0" applyAlignment="0" applyProtection="0"/>
    <xf numFmtId="0" fontId="89" fillId="0" borderId="0" applyNumberFormat="0" applyFill="0" applyBorder="0" applyAlignment="0" applyProtection="0"/>
    <xf numFmtId="0" fontId="90" fillId="0" borderId="43" applyNumberFormat="0" applyFill="0" applyAlignment="0" applyProtection="0"/>
    <xf numFmtId="0" fontId="86" fillId="0" borderId="0" applyNumberFormat="0" applyFill="0" applyBorder="0" applyAlignment="0" applyProtection="0"/>
    <xf numFmtId="0" fontId="78" fillId="43" borderId="49" applyNumberFormat="0" applyAlignment="0" applyProtection="0"/>
    <xf numFmtId="0" fontId="85" fillId="34" borderId="49" applyNumberFormat="0" applyAlignment="0" applyProtection="0"/>
    <xf numFmtId="0" fontId="72" fillId="31" borderId="50" applyNumberFormat="0" applyFont="0" applyAlignment="0" applyProtection="0"/>
    <xf numFmtId="0" fontId="88" fillId="43" borderId="51" applyNumberFormat="0" applyAlignment="0" applyProtection="0"/>
    <xf numFmtId="0" fontId="90" fillId="0" borderId="52" applyNumberFormat="0" applyFill="0" applyAlignment="0" applyProtection="0"/>
    <xf numFmtId="0" fontId="72" fillId="31" borderId="41" applyNumberFormat="0" applyFont="0" applyAlignment="0" applyProtection="0"/>
    <xf numFmtId="0" fontId="72" fillId="31" borderId="41" applyNumberFormat="0" applyFont="0" applyAlignment="0" applyProtection="0"/>
    <xf numFmtId="0" fontId="103" fillId="0" borderId="0"/>
    <xf numFmtId="0" fontId="8" fillId="47" borderId="0" applyNumberFormat="0" applyBorder="0" applyAlignment="0" applyProtection="0"/>
    <xf numFmtId="0" fontId="8" fillId="7" borderId="0" applyNumberFormat="0" applyBorder="0" applyAlignment="0" applyProtection="0"/>
    <xf numFmtId="43" fontId="8" fillId="0" borderId="0" applyFont="0" applyFill="0" applyBorder="0" applyAlignment="0" applyProtection="0"/>
    <xf numFmtId="44" fontId="73" fillId="0" borderId="0" applyFont="0" applyFill="0" applyBorder="0" applyAlignment="0" applyProtection="0"/>
    <xf numFmtId="44" fontId="8" fillId="0" borderId="0" applyFont="0" applyFill="0" applyBorder="0" applyAlignment="0" applyProtection="0"/>
    <xf numFmtId="0" fontId="10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xf numFmtId="0" fontId="72" fillId="31" borderId="50" applyNumberFormat="0" applyFont="0" applyAlignment="0" applyProtection="0"/>
    <xf numFmtId="0" fontId="72" fillId="31" borderId="50" applyNumberFormat="0" applyFont="0" applyAlignment="0" applyProtection="0"/>
    <xf numFmtId="9" fontId="73" fillId="0" borderId="0" applyFont="0" applyFill="0" applyBorder="0" applyAlignment="0" applyProtection="0"/>
    <xf numFmtId="9" fontId="8" fillId="0" borderId="0" applyFont="0" applyFill="0" applyBorder="0" applyAlignment="0" applyProtection="0"/>
    <xf numFmtId="0" fontId="73" fillId="0" borderId="0"/>
    <xf numFmtId="180" fontId="74"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4" fillId="0" borderId="0" applyNumberFormat="0" applyFont="0" applyFill="0" applyBorder="0" applyAlignment="0" applyProtection="0"/>
    <xf numFmtId="9" fontId="75"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48" fillId="0" borderId="0" applyNumberFormat="0" applyFont="0" applyFill="0" applyBorder="0" applyAlignment="0" applyProtection="0"/>
    <xf numFmtId="180" fontId="48" fillId="0" borderId="0" applyFont="0" applyFill="0" applyBorder="0" applyAlignment="0" applyProtection="0"/>
    <xf numFmtId="0" fontId="103"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05" fillId="0" borderId="0"/>
    <xf numFmtId="0" fontId="105" fillId="0" borderId="0"/>
    <xf numFmtId="0" fontId="73" fillId="0" borderId="0"/>
    <xf numFmtId="0" fontId="78" fillId="43" borderId="63" applyNumberFormat="0" applyAlignment="0" applyProtection="0"/>
    <xf numFmtId="0" fontId="85" fillId="34" borderId="63" applyNumberFormat="0" applyAlignment="0" applyProtection="0"/>
    <xf numFmtId="0" fontId="72" fillId="31" borderId="64" applyNumberFormat="0" applyFont="0" applyAlignment="0" applyProtection="0"/>
    <xf numFmtId="0" fontId="88" fillId="43" borderId="65" applyNumberFormat="0" applyAlignment="0" applyProtection="0"/>
    <xf numFmtId="0" fontId="90" fillId="0" borderId="66" applyNumberFormat="0" applyFill="0" applyAlignment="0" applyProtection="0"/>
    <xf numFmtId="0" fontId="78" fillId="43" borderId="67" applyNumberFormat="0" applyAlignment="0" applyProtection="0"/>
    <xf numFmtId="0" fontId="85" fillId="34" borderId="67" applyNumberFormat="0" applyAlignment="0" applyProtection="0"/>
    <xf numFmtId="0" fontId="72" fillId="31" borderId="68" applyNumberFormat="0" applyFont="0" applyAlignment="0" applyProtection="0"/>
    <xf numFmtId="0" fontId="88" fillId="43" borderId="69" applyNumberFormat="0" applyAlignment="0" applyProtection="0"/>
    <xf numFmtId="0" fontId="90" fillId="0" borderId="70" applyNumberFormat="0" applyFill="0" applyAlignment="0" applyProtection="0"/>
    <xf numFmtId="0" fontId="72" fillId="31" borderId="64" applyNumberFormat="0" applyFont="0" applyAlignment="0" applyProtection="0"/>
    <xf numFmtId="0" fontId="72" fillId="31" borderId="64" applyNumberFormat="0" applyFont="0" applyAlignment="0" applyProtection="0"/>
    <xf numFmtId="0" fontId="78" fillId="43" borderId="73" applyNumberFormat="0" applyAlignment="0" applyProtection="0"/>
    <xf numFmtId="0" fontId="85" fillId="34" borderId="73" applyNumberFormat="0" applyAlignment="0" applyProtection="0"/>
    <xf numFmtId="0" fontId="72" fillId="31" borderId="74" applyNumberFormat="0" applyFont="0" applyAlignment="0" applyProtection="0"/>
    <xf numFmtId="0" fontId="88" fillId="43" borderId="75" applyNumberFormat="0" applyAlignment="0" applyProtection="0"/>
    <xf numFmtId="0" fontId="90" fillId="0" borderId="76" applyNumberFormat="0" applyFill="0" applyAlignment="0" applyProtection="0"/>
    <xf numFmtId="0" fontId="78" fillId="43" borderId="73" applyNumberFormat="0" applyAlignment="0" applyProtection="0"/>
    <xf numFmtId="0" fontId="85" fillId="34" borderId="73" applyNumberFormat="0" applyAlignment="0" applyProtection="0"/>
    <xf numFmtId="0" fontId="72" fillId="31" borderId="74" applyNumberFormat="0" applyFont="0" applyAlignment="0" applyProtection="0"/>
    <xf numFmtId="0" fontId="88" fillId="43" borderId="75" applyNumberFormat="0" applyAlignment="0" applyProtection="0"/>
    <xf numFmtId="0" fontId="90" fillId="0" borderId="76" applyNumberFormat="0" applyFill="0" applyAlignment="0" applyProtection="0"/>
    <xf numFmtId="44" fontId="8" fillId="0" borderId="0" applyFont="0" applyFill="0" applyBorder="0" applyAlignment="0" applyProtection="0"/>
    <xf numFmtId="43" fontId="8" fillId="0" borderId="0" applyFont="0" applyFill="0" applyBorder="0" applyAlignment="0" applyProtection="0"/>
    <xf numFmtId="0" fontId="88" fillId="43" borderId="92" applyNumberFormat="0" applyAlignment="0" applyProtection="0"/>
    <xf numFmtId="0" fontId="78" fillId="43" borderId="90" applyNumberFormat="0" applyAlignment="0" applyProtection="0"/>
    <xf numFmtId="0" fontId="78" fillId="43" borderId="82" applyNumberFormat="0" applyAlignment="0" applyProtection="0"/>
    <xf numFmtId="43" fontId="72" fillId="0" borderId="0" applyFont="0" applyFill="0" applyBorder="0" applyAlignment="0" applyProtection="0"/>
    <xf numFmtId="43" fontId="73" fillId="0" borderId="0" applyFont="0" applyFill="0" applyBorder="0" applyAlignment="0" applyProtection="0"/>
    <xf numFmtId="44" fontId="72" fillId="0" borderId="0" applyFont="0" applyFill="0" applyBorder="0" applyAlignment="0" applyProtection="0"/>
    <xf numFmtId="0" fontId="85" fillId="34" borderId="82" applyNumberFormat="0" applyAlignment="0" applyProtection="0"/>
    <xf numFmtId="0" fontId="72" fillId="31" borderId="83" applyNumberFormat="0" applyFont="0" applyAlignment="0" applyProtection="0"/>
    <xf numFmtId="0" fontId="88" fillId="43" borderId="84" applyNumberFormat="0" applyAlignment="0" applyProtection="0"/>
    <xf numFmtId="0" fontId="90" fillId="0" borderId="85" applyNumberFormat="0" applyFill="0" applyAlignment="0" applyProtection="0"/>
    <xf numFmtId="0" fontId="78" fillId="43" borderId="86" applyNumberFormat="0" applyAlignment="0" applyProtection="0"/>
    <xf numFmtId="0" fontId="85" fillId="34" borderId="86" applyNumberFormat="0" applyAlignment="0" applyProtection="0"/>
    <xf numFmtId="0" fontId="72" fillId="31" borderId="87" applyNumberFormat="0" applyFont="0" applyAlignment="0" applyProtection="0"/>
    <xf numFmtId="0" fontId="88" fillId="43" borderId="88" applyNumberFormat="0" applyAlignment="0" applyProtection="0"/>
    <xf numFmtId="0" fontId="90" fillId="0" borderId="89" applyNumberFormat="0" applyFill="0" applyAlignment="0" applyProtection="0"/>
    <xf numFmtId="0" fontId="72" fillId="31" borderId="83" applyNumberFormat="0" applyFont="0" applyAlignment="0" applyProtection="0"/>
    <xf numFmtId="0" fontId="72" fillId="31" borderId="83" applyNumberFormat="0" applyFont="0" applyAlignment="0" applyProtection="0"/>
    <xf numFmtId="43" fontId="8" fillId="0" borderId="0" applyFont="0" applyFill="0" applyBorder="0" applyAlignment="0" applyProtection="0"/>
    <xf numFmtId="44" fontId="73" fillId="0" borderId="0" applyFont="0" applyFill="0" applyBorder="0" applyAlignment="0" applyProtection="0"/>
    <xf numFmtId="44" fontId="8" fillId="0" borderId="0" applyFont="0" applyFill="0" applyBorder="0" applyAlignment="0" applyProtection="0"/>
    <xf numFmtId="0" fontId="72" fillId="31" borderId="87" applyNumberFormat="0" applyFont="0" applyAlignment="0" applyProtection="0"/>
    <xf numFmtId="0" fontId="72" fillId="31" borderId="87" applyNumberFormat="0" applyFont="0" applyAlignment="0" applyProtection="0"/>
    <xf numFmtId="43" fontId="75" fillId="0" borderId="0" applyFont="0" applyFill="0" applyBorder="0" applyAlignment="0" applyProtection="0"/>
    <xf numFmtId="44" fontId="75" fillId="0" borderId="0" applyFont="0" applyFill="0" applyBorder="0" applyAlignment="0" applyProtection="0"/>
    <xf numFmtId="0" fontId="72" fillId="31" borderId="91" applyNumberFormat="0" applyFont="0" applyAlignment="0" applyProtection="0"/>
    <xf numFmtId="44" fontId="8" fillId="0" borderId="0" applyFont="0" applyFill="0" applyBorder="0" applyAlignment="0" applyProtection="0"/>
    <xf numFmtId="43" fontId="8" fillId="0" borderId="0" applyFont="0" applyFill="0" applyBorder="0" applyAlignment="0" applyProtection="0"/>
    <xf numFmtId="0" fontId="72" fillId="31" borderId="91" applyNumberFormat="0" applyFont="0" applyAlignment="0" applyProtection="0"/>
    <xf numFmtId="0" fontId="90" fillId="0" borderId="93" applyNumberFormat="0" applyFill="0" applyAlignment="0" applyProtection="0"/>
    <xf numFmtId="43" fontId="8" fillId="0" borderId="0" applyFont="0" applyFill="0" applyBorder="0" applyAlignment="0" applyProtection="0"/>
    <xf numFmtId="44" fontId="8" fillId="0" borderId="0" applyFont="0" applyFill="0" applyBorder="0" applyAlignment="0" applyProtection="0"/>
    <xf numFmtId="0" fontId="73" fillId="0" borderId="0"/>
    <xf numFmtId="0" fontId="73" fillId="0" borderId="0"/>
    <xf numFmtId="0" fontId="78" fillId="43" borderId="82" applyNumberFormat="0" applyAlignment="0" applyProtection="0"/>
    <xf numFmtId="0" fontId="85" fillId="34" borderId="82" applyNumberFormat="0" applyAlignment="0" applyProtection="0"/>
    <xf numFmtId="0" fontId="72" fillId="31" borderId="83" applyNumberFormat="0" applyFont="0" applyAlignment="0" applyProtection="0"/>
    <xf numFmtId="0" fontId="88" fillId="43" borderId="84" applyNumberFormat="0" applyAlignment="0" applyProtection="0"/>
    <xf numFmtId="0" fontId="90" fillId="0" borderId="85" applyNumberFormat="0" applyFill="0" applyAlignment="0" applyProtection="0"/>
    <xf numFmtId="0" fontId="78" fillId="43" borderId="82" applyNumberFormat="0" applyAlignment="0" applyProtection="0"/>
    <xf numFmtId="0" fontId="85" fillId="34" borderId="82" applyNumberFormat="0" applyAlignment="0" applyProtection="0"/>
    <xf numFmtId="0" fontId="72" fillId="31" borderId="83" applyNumberFormat="0" applyFont="0" applyAlignment="0" applyProtection="0"/>
    <xf numFmtId="0" fontId="88" fillId="43" borderId="84" applyNumberFormat="0" applyAlignment="0" applyProtection="0"/>
    <xf numFmtId="0" fontId="90" fillId="0" borderId="85" applyNumberFormat="0" applyFill="0" applyAlignment="0" applyProtection="0"/>
    <xf numFmtId="0" fontId="72" fillId="31" borderId="83" applyNumberFormat="0" applyFont="0" applyAlignment="0" applyProtection="0"/>
    <xf numFmtId="0" fontId="72" fillId="31" borderId="83" applyNumberFormat="0" applyFont="0" applyAlignment="0" applyProtection="0"/>
    <xf numFmtId="0" fontId="78" fillId="43" borderId="82" applyNumberFormat="0" applyAlignment="0" applyProtection="0"/>
    <xf numFmtId="0" fontId="85" fillId="34" borderId="82" applyNumberFormat="0" applyAlignment="0" applyProtection="0"/>
    <xf numFmtId="0" fontId="72" fillId="31" borderId="83" applyNumberFormat="0" applyFont="0" applyAlignment="0" applyProtection="0"/>
    <xf numFmtId="0" fontId="88" fillId="43" borderId="84" applyNumberFormat="0" applyAlignment="0" applyProtection="0"/>
    <xf numFmtId="0" fontId="90" fillId="0" borderId="85" applyNumberFormat="0" applyFill="0" applyAlignment="0" applyProtection="0"/>
    <xf numFmtId="0" fontId="78" fillId="43" borderId="82" applyNumberFormat="0" applyAlignment="0" applyProtection="0"/>
    <xf numFmtId="0" fontId="85" fillId="34" borderId="82" applyNumberFormat="0" applyAlignment="0" applyProtection="0"/>
    <xf numFmtId="0" fontId="72" fillId="31" borderId="83" applyNumberFormat="0" applyFont="0" applyAlignment="0" applyProtection="0"/>
    <xf numFmtId="0" fontId="88" fillId="43" borderId="84" applyNumberFormat="0" applyAlignment="0" applyProtection="0"/>
    <xf numFmtId="0" fontId="90" fillId="0" borderId="85" applyNumberFormat="0" applyFill="0" applyAlignment="0" applyProtection="0"/>
    <xf numFmtId="0" fontId="85" fillId="34" borderId="90" applyNumberFormat="0" applyAlignment="0" applyProtection="0"/>
    <xf numFmtId="0" fontId="72" fillId="31" borderId="91" applyNumberFormat="0" applyFont="0" applyAlignment="0" applyProtection="0"/>
    <xf numFmtId="0" fontId="78" fillId="43" borderId="86" applyNumberFormat="0" applyAlignment="0" applyProtection="0"/>
    <xf numFmtId="0" fontId="85" fillId="34" borderId="86" applyNumberFormat="0" applyAlignment="0" applyProtection="0"/>
    <xf numFmtId="0" fontId="72" fillId="31" borderId="87" applyNumberFormat="0" applyFont="0" applyAlignment="0" applyProtection="0"/>
    <xf numFmtId="0" fontId="88" fillId="43" borderId="88" applyNumberFormat="0" applyAlignment="0" applyProtection="0"/>
    <xf numFmtId="0" fontId="90" fillId="0" borderId="89" applyNumberFormat="0" applyFill="0" applyAlignment="0" applyProtection="0"/>
    <xf numFmtId="0" fontId="78" fillId="43" borderId="86" applyNumberFormat="0" applyAlignment="0" applyProtection="0"/>
    <xf numFmtId="0" fontId="85" fillId="34" borderId="86" applyNumberFormat="0" applyAlignment="0" applyProtection="0"/>
    <xf numFmtId="0" fontId="72" fillId="31" borderId="87" applyNumberFormat="0" applyFont="0" applyAlignment="0" applyProtection="0"/>
    <xf numFmtId="0" fontId="88" fillId="43" borderId="88" applyNumberFormat="0" applyAlignment="0" applyProtection="0"/>
    <xf numFmtId="0" fontId="90" fillId="0" borderId="89" applyNumberFormat="0" applyFill="0" applyAlignment="0" applyProtection="0"/>
    <xf numFmtId="0" fontId="72" fillId="31" borderId="87" applyNumberFormat="0" applyFont="0" applyAlignment="0" applyProtection="0"/>
    <xf numFmtId="0" fontId="72" fillId="31" borderId="87" applyNumberFormat="0" applyFont="0" applyAlignment="0" applyProtection="0"/>
    <xf numFmtId="0" fontId="78" fillId="43" borderId="86" applyNumberFormat="0" applyAlignment="0" applyProtection="0"/>
    <xf numFmtId="0" fontId="85" fillId="34" borderId="86" applyNumberFormat="0" applyAlignment="0" applyProtection="0"/>
    <xf numFmtId="0" fontId="72" fillId="31" borderId="87" applyNumberFormat="0" applyFont="0" applyAlignment="0" applyProtection="0"/>
    <xf numFmtId="0" fontId="88" fillId="43" borderId="88" applyNumberFormat="0" applyAlignment="0" applyProtection="0"/>
    <xf numFmtId="0" fontId="90" fillId="0" borderId="89" applyNumberFormat="0" applyFill="0" applyAlignment="0" applyProtection="0"/>
    <xf numFmtId="0" fontId="78" fillId="43" borderId="86" applyNumberFormat="0" applyAlignment="0" applyProtection="0"/>
    <xf numFmtId="0" fontId="85" fillId="34" borderId="86" applyNumberFormat="0" applyAlignment="0" applyProtection="0"/>
    <xf numFmtId="0" fontId="72" fillId="31" borderId="87" applyNumberFormat="0" applyFont="0" applyAlignment="0" applyProtection="0"/>
    <xf numFmtId="0" fontId="88" fillId="43" borderId="88" applyNumberFormat="0" applyAlignment="0" applyProtection="0"/>
    <xf numFmtId="0" fontId="90" fillId="0" borderId="89" applyNumberFormat="0" applyFill="0" applyAlignment="0" applyProtection="0"/>
  </cellStyleXfs>
  <cellXfs count="2257">
    <xf numFmtId="0" fontId="0" fillId="0" borderId="0" xfId="0"/>
    <xf numFmtId="0" fontId="0" fillId="2" borderId="0" xfId="0" applyFill="1"/>
    <xf numFmtId="0" fontId="9" fillId="2" borderId="0" xfId="2" applyFill="1" applyAlignment="1" applyProtection="1"/>
    <xf numFmtId="0" fontId="11" fillId="0" borderId="0" xfId="0" applyFont="1"/>
    <xf numFmtId="0" fontId="13" fillId="4" borderId="3" xfId="0" applyFont="1" applyFill="1" applyBorder="1" applyAlignment="1" applyProtection="1">
      <alignment horizontal="center" wrapText="1"/>
      <protection locked="0"/>
    </xf>
    <xf numFmtId="0" fontId="0" fillId="2" borderId="0" xfId="0" applyFill="1" applyProtection="1"/>
    <xf numFmtId="0" fontId="0" fillId="0" borderId="0" xfId="0" applyFill="1" applyProtection="1"/>
    <xf numFmtId="1" fontId="13" fillId="3" borderId="5" xfId="0" applyNumberFormat="1" applyFont="1" applyFill="1" applyBorder="1" applyAlignment="1" applyProtection="1">
      <alignment horizontal="center" wrapText="1"/>
    </xf>
    <xf numFmtId="165" fontId="13" fillId="3" borderId="5" xfId="0" applyNumberFormat="1" applyFont="1" applyFill="1" applyBorder="1" applyAlignment="1" applyProtection="1">
      <alignment horizontal="center" wrapText="1"/>
    </xf>
    <xf numFmtId="0" fontId="0" fillId="0" borderId="0" xfId="0" applyProtection="1"/>
    <xf numFmtId="3" fontId="13" fillId="5" borderId="7" xfId="0" applyNumberFormat="1" applyFont="1" applyFill="1" applyBorder="1" applyAlignment="1" applyProtection="1">
      <alignment horizontal="center" wrapText="1"/>
    </xf>
    <xf numFmtId="2" fontId="15" fillId="6" borderId="3" xfId="0" applyNumberFormat="1" applyFont="1" applyFill="1" applyBorder="1" applyAlignment="1" applyProtection="1">
      <alignment horizontal="center" wrapText="1"/>
    </xf>
    <xf numFmtId="0" fontId="2" fillId="0" borderId="0" xfId="0" applyFont="1" applyFill="1" applyBorder="1" applyProtection="1"/>
    <xf numFmtId="0" fontId="17" fillId="0" borderId="0" xfId="0" applyFont="1" applyFill="1" applyProtection="1"/>
    <xf numFmtId="2" fontId="17" fillId="0" borderId="0" xfId="0" applyNumberFormat="1" applyFont="1" applyFill="1" applyAlignment="1" applyProtection="1">
      <alignment horizontal="center"/>
    </xf>
    <xf numFmtId="2" fontId="2" fillId="0" borderId="0" xfId="0" applyNumberFormat="1" applyFont="1" applyFill="1" applyBorder="1" applyAlignment="1" applyProtection="1">
      <alignment horizontal="center"/>
    </xf>
    <xf numFmtId="164" fontId="17" fillId="0" borderId="0" xfId="0" applyNumberFormat="1" applyFont="1" applyFill="1" applyAlignment="1" applyProtection="1">
      <alignment horizontal="center"/>
    </xf>
    <xf numFmtId="0" fontId="0" fillId="2" borderId="0" xfId="0" applyFill="1" applyProtection="1">
      <protection locked="0"/>
    </xf>
    <xf numFmtId="0" fontId="0" fillId="0" borderId="0" xfId="0" applyFill="1" applyProtection="1">
      <protection locked="0"/>
    </xf>
    <xf numFmtId="165" fontId="13" fillId="4" borderId="5" xfId="0" applyNumberFormat="1" applyFont="1" applyFill="1" applyBorder="1" applyAlignment="1" applyProtection="1">
      <alignment horizontal="center" wrapText="1"/>
      <protection locked="0"/>
    </xf>
    <xf numFmtId="0" fontId="0" fillId="0" borderId="0" xfId="0" applyProtection="1">
      <protection locked="0"/>
    </xf>
    <xf numFmtId="2" fontId="13" fillId="4" borderId="5" xfId="0" applyNumberFormat="1" applyFont="1" applyFill="1" applyBorder="1" applyAlignment="1" applyProtection="1">
      <alignment horizontal="center" wrapText="1"/>
      <protection locked="0"/>
    </xf>
    <xf numFmtId="168" fontId="13" fillId="4" borderId="5" xfId="0" applyNumberFormat="1" applyFont="1" applyFill="1" applyBorder="1" applyAlignment="1" applyProtection="1">
      <alignment horizontal="center" wrapText="1"/>
      <protection locked="0"/>
    </xf>
    <xf numFmtId="1" fontId="13" fillId="4" borderId="5" xfId="0" applyNumberFormat="1" applyFont="1" applyFill="1" applyBorder="1" applyAlignment="1" applyProtection="1">
      <alignment horizontal="center" wrapText="1"/>
      <protection locked="0"/>
    </xf>
    <xf numFmtId="0" fontId="1" fillId="0" borderId="0" xfId="0" applyFont="1" applyFill="1" applyBorder="1" applyProtection="1">
      <protection locked="0"/>
    </xf>
    <xf numFmtId="2" fontId="0" fillId="0" borderId="0" xfId="0" applyNumberFormat="1" applyFill="1" applyBorder="1" applyProtection="1">
      <protection locked="0"/>
    </xf>
    <xf numFmtId="0" fontId="7" fillId="0" borderId="0" xfId="0" applyFont="1" applyFill="1" applyBorder="1" applyProtection="1">
      <protection locked="0"/>
    </xf>
    <xf numFmtId="0" fontId="2" fillId="0" borderId="0" xfId="0" applyFont="1" applyFill="1" applyBorder="1" applyProtection="1">
      <protection locked="0"/>
    </xf>
    <xf numFmtId="2" fontId="17" fillId="0" borderId="0" xfId="0" applyNumberFormat="1" applyFont="1" applyFill="1" applyBorder="1" applyProtection="1">
      <protection locked="0"/>
    </xf>
    <xf numFmtId="0" fontId="17" fillId="0" borderId="0" xfId="0" applyFont="1" applyFill="1" applyProtection="1">
      <protection locked="0"/>
    </xf>
    <xf numFmtId="2" fontId="17" fillId="0" borderId="0" xfId="0" applyNumberFormat="1" applyFont="1" applyFill="1" applyBorder="1" applyAlignment="1" applyProtection="1">
      <alignment horizontal="center"/>
      <protection locked="0"/>
    </xf>
    <xf numFmtId="2" fontId="17" fillId="0" borderId="0" xfId="0" applyNumberFormat="1" applyFont="1" applyFill="1" applyAlignment="1" applyProtection="1">
      <alignment horizontal="center"/>
      <protection locked="0"/>
    </xf>
    <xf numFmtId="1" fontId="1" fillId="0" borderId="0" xfId="0" applyNumberFormat="1" applyFont="1" applyFill="1" applyBorder="1" applyAlignment="1" applyProtection="1">
      <alignment horizontal="center"/>
      <protection locked="0"/>
    </xf>
    <xf numFmtId="1" fontId="17" fillId="0" borderId="0" xfId="1" applyNumberFormat="1" applyFont="1" applyFill="1" applyAlignment="1" applyProtection="1">
      <alignment horizontal="center"/>
      <protection locked="0"/>
    </xf>
    <xf numFmtId="1" fontId="1" fillId="0" borderId="0" xfId="1" applyNumberFormat="1" applyFont="1" applyFill="1" applyBorder="1" applyAlignment="1" applyProtection="1">
      <alignment horizontal="center"/>
      <protection locked="0"/>
    </xf>
    <xf numFmtId="10" fontId="17" fillId="0" borderId="0" xfId="3" applyNumberFormat="1" applyFont="1" applyFill="1" applyAlignment="1" applyProtection="1">
      <alignment horizontal="center"/>
      <protection locked="0"/>
    </xf>
    <xf numFmtId="169" fontId="17" fillId="0" borderId="0" xfId="1" applyNumberFormat="1" applyFont="1" applyFill="1" applyAlignment="1" applyProtection="1">
      <alignment horizontal="center"/>
      <protection locked="0"/>
    </xf>
    <xf numFmtId="0" fontId="17" fillId="0" borderId="0" xfId="0" applyFont="1" applyFill="1" applyAlignment="1" applyProtection="1">
      <alignment horizontal="center"/>
      <protection locked="0"/>
    </xf>
    <xf numFmtId="0" fontId="1" fillId="0" borderId="0" xfId="0" applyFont="1" applyFill="1" applyBorder="1" applyAlignment="1" applyProtection="1">
      <alignment horizontal="center"/>
      <protection locked="0"/>
    </xf>
    <xf numFmtId="0" fontId="18" fillId="0" borderId="0" xfId="0" applyFont="1" applyFill="1" applyBorder="1" applyAlignment="1" applyProtection="1">
      <alignment horizontal="left"/>
      <protection locked="0"/>
    </xf>
    <xf numFmtId="164" fontId="1" fillId="0" borderId="0" xfId="0" applyNumberFormat="1" applyFont="1" applyFill="1" applyBorder="1" applyAlignment="1" applyProtection="1">
      <alignment horizontal="center"/>
      <protection locked="0"/>
    </xf>
    <xf numFmtId="0" fontId="1" fillId="0" borderId="0" xfId="0" quotePrefix="1" applyFont="1" applyFill="1" applyBorder="1" applyProtection="1">
      <protection locked="0"/>
    </xf>
    <xf numFmtId="2" fontId="1" fillId="0" borderId="0" xfId="0" applyNumberFormat="1" applyFont="1" applyFill="1" applyBorder="1" applyAlignment="1" applyProtection="1">
      <alignment horizontal="center"/>
      <protection locked="0"/>
    </xf>
    <xf numFmtId="164" fontId="2" fillId="0" borderId="0" xfId="0" applyNumberFormat="1" applyFont="1" applyFill="1" applyBorder="1" applyAlignment="1" applyProtection="1">
      <alignment horizontal="center"/>
      <protection locked="0"/>
    </xf>
    <xf numFmtId="166" fontId="1" fillId="0" borderId="0" xfId="0" applyNumberFormat="1" applyFont="1" applyFill="1" applyBorder="1" applyAlignment="1" applyProtection="1">
      <alignment horizontal="center"/>
      <protection locked="0"/>
    </xf>
    <xf numFmtId="2" fontId="2" fillId="0" borderId="0" xfId="0" applyNumberFormat="1" applyFont="1" applyFill="1" applyBorder="1" applyAlignment="1" applyProtection="1">
      <alignment horizontal="center"/>
      <protection locked="0"/>
    </xf>
    <xf numFmtId="0" fontId="17" fillId="0" borderId="0" xfId="0" applyFont="1" applyFill="1" applyBorder="1" applyProtection="1">
      <protection locked="0"/>
    </xf>
    <xf numFmtId="0" fontId="1" fillId="0" borderId="0" xfId="0" applyFont="1" applyFill="1" applyProtection="1">
      <protection locked="0"/>
    </xf>
    <xf numFmtId="0" fontId="21" fillId="0" borderId="0" xfId="0" applyFont="1" applyFill="1" applyProtection="1">
      <protection locked="0"/>
    </xf>
    <xf numFmtId="164" fontId="17" fillId="0" borderId="0" xfId="0" applyNumberFormat="1" applyFont="1" applyFill="1" applyAlignment="1" applyProtection="1">
      <alignment horizontal="center"/>
      <protection locked="0"/>
    </xf>
    <xf numFmtId="165" fontId="17" fillId="0" borderId="0" xfId="0" applyNumberFormat="1" applyFont="1" applyFill="1" applyAlignment="1" applyProtection="1">
      <alignment horizontal="center"/>
      <protection locked="0"/>
    </xf>
    <xf numFmtId="1" fontId="17" fillId="0" borderId="0" xfId="0" applyNumberFormat="1" applyFont="1" applyFill="1" applyAlignment="1" applyProtection="1">
      <alignment horizontal="center"/>
      <protection locked="0"/>
    </xf>
    <xf numFmtId="2" fontId="17" fillId="0" borderId="0" xfId="0" applyNumberFormat="1" applyFont="1" applyFill="1" applyProtection="1">
      <protection locked="0"/>
    </xf>
    <xf numFmtId="168" fontId="17" fillId="0" borderId="0" xfId="0" applyNumberFormat="1" applyFont="1" applyFill="1" applyAlignment="1" applyProtection="1">
      <alignment horizontal="center"/>
      <protection locked="0"/>
    </xf>
    <xf numFmtId="169" fontId="17" fillId="0" borderId="0" xfId="0" applyNumberFormat="1" applyFont="1" applyFill="1" applyAlignment="1" applyProtection="1">
      <alignment horizontal="center"/>
      <protection locked="0"/>
    </xf>
    <xf numFmtId="0" fontId="26" fillId="2" borderId="0" xfId="0" applyFont="1" applyFill="1" applyProtection="1">
      <protection locked="0"/>
    </xf>
    <xf numFmtId="0" fontId="27" fillId="2" borderId="0" xfId="0" applyFont="1" applyFill="1" applyProtection="1">
      <protection locked="0"/>
    </xf>
    <xf numFmtId="0" fontId="27" fillId="2" borderId="0" xfId="0" applyFont="1" applyFill="1" applyBorder="1" applyProtection="1">
      <protection locked="0"/>
    </xf>
    <xf numFmtId="0" fontId="30" fillId="18" borderId="0" xfId="0" applyFont="1" applyFill="1" applyBorder="1" applyProtection="1"/>
    <xf numFmtId="165" fontId="30" fillId="18" borderId="0" xfId="0" applyNumberFormat="1" applyFont="1" applyFill="1" applyBorder="1" applyAlignment="1" applyProtection="1">
      <alignment horizontal="center"/>
    </xf>
    <xf numFmtId="0" fontId="29" fillId="18" borderId="0" xfId="0" applyFont="1" applyFill="1" applyBorder="1" applyProtection="1"/>
    <xf numFmtId="0" fontId="27" fillId="2" borderId="0" xfId="0" applyFont="1" applyFill="1" applyBorder="1" applyProtection="1"/>
    <xf numFmtId="0" fontId="27" fillId="2" borderId="0" xfId="0" applyFont="1" applyFill="1" applyProtection="1"/>
    <xf numFmtId="0" fontId="28" fillId="4" borderId="11" xfId="0" applyFont="1" applyFill="1" applyBorder="1" applyProtection="1"/>
    <xf numFmtId="0" fontId="29" fillId="4" borderId="11" xfId="4" applyFont="1" applyFill="1" applyBorder="1" applyAlignment="1" applyProtection="1">
      <alignment horizontal="center" vertical="top" wrapText="1"/>
    </xf>
    <xf numFmtId="0" fontId="28" fillId="11" borderId="11" xfId="0" applyFont="1" applyFill="1" applyBorder="1" applyAlignment="1" applyProtection="1">
      <alignment horizontal="center"/>
    </xf>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0" fontId="30" fillId="4" borderId="0" xfId="4" applyFont="1" applyFill="1" applyBorder="1" applyAlignment="1" applyProtection="1">
      <alignment horizontal="center" vertical="top" wrapText="1"/>
    </xf>
    <xf numFmtId="0" fontId="30" fillId="4" borderId="0" xfId="4" applyFont="1" applyFill="1" applyBorder="1" applyProtection="1"/>
    <xf numFmtId="0" fontId="27" fillId="4" borderId="0" xfId="0" applyFont="1" applyFill="1" applyAlignment="1" applyProtection="1">
      <alignment horizontal="right"/>
    </xf>
    <xf numFmtId="2" fontId="27" fillId="4" borderId="0" xfId="0" applyNumberFormat="1" applyFont="1" applyFill="1" applyProtection="1"/>
    <xf numFmtId="1" fontId="30" fillId="4" borderId="0" xfId="4" applyNumberFormat="1" applyFont="1" applyFill="1" applyBorder="1" applyAlignment="1" applyProtection="1">
      <alignment horizontal="center" vertical="top" wrapText="1"/>
    </xf>
    <xf numFmtId="2" fontId="30" fillId="4" borderId="0" xfId="4" applyNumberFormat="1" applyFont="1" applyFill="1" applyBorder="1" applyAlignment="1" applyProtection="1">
      <alignment horizontal="left" vertical="top" wrapText="1"/>
    </xf>
    <xf numFmtId="2" fontId="30" fillId="4" borderId="0" xfId="4" applyNumberFormat="1" applyFont="1" applyFill="1" applyBorder="1" applyAlignment="1" applyProtection="1">
      <alignment horizontal="center" vertical="top" wrapText="1"/>
    </xf>
    <xf numFmtId="0" fontId="28" fillId="4" borderId="0" xfId="0" applyFont="1" applyFill="1" applyAlignment="1" applyProtection="1">
      <alignment horizontal="left"/>
    </xf>
    <xf numFmtId="0" fontId="32" fillId="4" borderId="0" xfId="0" applyFont="1" applyFill="1" applyProtection="1"/>
    <xf numFmtId="0" fontId="27" fillId="4" borderId="0" xfId="0" applyFont="1" applyFill="1" applyAlignment="1" applyProtection="1"/>
    <xf numFmtId="0" fontId="27" fillId="4" borderId="17" xfId="0" applyFont="1" applyFill="1" applyBorder="1" applyAlignment="1" applyProtection="1"/>
    <xf numFmtId="0" fontId="27" fillId="4" borderId="18" xfId="0" applyFont="1" applyFill="1" applyBorder="1" applyAlignment="1" applyProtection="1"/>
    <xf numFmtId="0" fontId="27" fillId="4" borderId="19" xfId="0" applyFont="1" applyFill="1" applyBorder="1" applyAlignment="1" applyProtection="1"/>
    <xf numFmtId="0" fontId="27" fillId="4" borderId="0" xfId="0" applyFont="1" applyFill="1" applyBorder="1" applyAlignment="1" applyProtection="1"/>
    <xf numFmtId="0" fontId="27" fillId="4" borderId="15" xfId="0" applyFont="1" applyFill="1" applyBorder="1" applyAlignment="1" applyProtection="1"/>
    <xf numFmtId="0" fontId="27" fillId="4" borderId="13" xfId="0" applyFont="1" applyFill="1" applyBorder="1" applyProtection="1"/>
    <xf numFmtId="0" fontId="27" fillId="4" borderId="20" xfId="0" applyFont="1" applyFill="1" applyBorder="1" applyProtection="1"/>
    <xf numFmtId="2" fontId="27" fillId="4" borderId="20" xfId="0" applyNumberFormat="1" applyFont="1" applyFill="1" applyBorder="1" applyProtection="1"/>
    <xf numFmtId="2" fontId="27" fillId="4" borderId="14" xfId="0" applyNumberFormat="1" applyFont="1" applyFill="1" applyBorder="1" applyProtection="1"/>
    <xf numFmtId="2" fontId="27" fillId="4" borderId="0" xfId="0" applyNumberFormat="1" applyFont="1" applyFill="1" applyBorder="1" applyProtection="1"/>
    <xf numFmtId="0" fontId="27" fillId="4" borderId="0" xfId="0" applyFont="1" applyFill="1" applyBorder="1" applyProtection="1"/>
    <xf numFmtId="0" fontId="28" fillId="4" borderId="0" xfId="0" applyFont="1" applyFill="1" applyAlignment="1" applyProtection="1"/>
    <xf numFmtId="172" fontId="27" fillId="4" borderId="0" xfId="0" applyNumberFormat="1" applyFont="1" applyFill="1" applyBorder="1" applyProtection="1"/>
    <xf numFmtId="165" fontId="27" fillId="4" borderId="0" xfId="0" applyNumberFormat="1" applyFont="1" applyFill="1" applyProtection="1"/>
    <xf numFmtId="0" fontId="27" fillId="11" borderId="0" xfId="0" applyFont="1" applyFill="1" applyProtection="1"/>
    <xf numFmtId="0" fontId="28" fillId="4" borderId="0" xfId="0" applyFont="1" applyFill="1" applyBorder="1" applyProtection="1"/>
    <xf numFmtId="173" fontId="27" fillId="4" borderId="0" xfId="0" applyNumberFormat="1" applyFont="1" applyFill="1" applyProtection="1"/>
    <xf numFmtId="164" fontId="27" fillId="4" borderId="0" xfId="0" applyNumberFormat="1" applyFont="1" applyFill="1" applyProtection="1"/>
    <xf numFmtId="0" fontId="28" fillId="4" borderId="8" xfId="0" applyFont="1" applyFill="1" applyBorder="1" applyProtection="1"/>
    <xf numFmtId="0" fontId="27" fillId="4" borderId="8" xfId="0" applyFont="1" applyFill="1" applyBorder="1" applyProtection="1"/>
    <xf numFmtId="0" fontId="28" fillId="11" borderId="8" xfId="0" applyFont="1" applyFill="1" applyBorder="1" applyAlignment="1" applyProtection="1">
      <alignment horizontal="center"/>
    </xf>
    <xf numFmtId="0" fontId="29" fillId="15" borderId="11" xfId="4" applyFont="1" applyFill="1" applyBorder="1" applyProtection="1"/>
    <xf numFmtId="0" fontId="28" fillId="15" borderId="11" xfId="0" applyFont="1" applyFill="1" applyBorder="1" applyAlignment="1" applyProtection="1">
      <alignment horizontal="right"/>
    </xf>
    <xf numFmtId="0" fontId="29" fillId="15" borderId="11" xfId="4" applyFont="1" applyFill="1" applyBorder="1" applyAlignment="1" applyProtection="1">
      <alignment horizontal="center" wrapText="1"/>
    </xf>
    <xf numFmtId="0" fontId="28" fillId="15" borderId="11" xfId="0" applyFont="1" applyFill="1" applyBorder="1" applyAlignment="1" applyProtection="1"/>
    <xf numFmtId="0" fontId="29" fillId="16" borderId="11" xfId="4" applyFont="1" applyFill="1" applyBorder="1" applyAlignment="1" applyProtection="1">
      <alignment horizontal="center" wrapText="1"/>
    </xf>
    <xf numFmtId="0" fontId="28" fillId="2" borderId="0" xfId="0" applyFont="1" applyFill="1" applyAlignment="1" applyProtection="1">
      <alignment horizontal="center"/>
    </xf>
    <xf numFmtId="0" fontId="28" fillId="15" borderId="0" xfId="0" applyFont="1" applyFill="1" applyProtection="1"/>
    <xf numFmtId="0" fontId="27" fillId="15" borderId="0" xfId="0" applyFont="1" applyFill="1" applyProtection="1"/>
    <xf numFmtId="0" fontId="28" fillId="16" borderId="0" xfId="0" applyFont="1" applyFill="1" applyAlignment="1" applyProtection="1">
      <alignment horizontal="center"/>
    </xf>
    <xf numFmtId="0" fontId="27" fillId="15" borderId="0" xfId="0" applyFont="1" applyFill="1" applyBorder="1" applyProtection="1"/>
    <xf numFmtId="0" fontId="27" fillId="15" borderId="0" xfId="0" applyFont="1" applyFill="1" applyAlignment="1" applyProtection="1">
      <alignment horizontal="right"/>
    </xf>
    <xf numFmtId="166" fontId="27" fillId="15" borderId="0" xfId="0" applyNumberFormat="1" applyFont="1" applyFill="1" applyProtection="1"/>
    <xf numFmtId="0" fontId="28" fillId="15" borderId="0" xfId="0" applyFont="1" applyFill="1" applyBorder="1" applyProtection="1"/>
    <xf numFmtId="166" fontId="27" fillId="15" borderId="0" xfId="0" applyNumberFormat="1" applyFont="1" applyFill="1" applyBorder="1" applyProtection="1"/>
    <xf numFmtId="165" fontId="27" fillId="15" borderId="0" xfId="0" applyNumberFormat="1" applyFont="1" applyFill="1" applyProtection="1"/>
    <xf numFmtId="0" fontId="27" fillId="15" borderId="0" xfId="0" applyFont="1" applyFill="1" applyBorder="1" applyAlignment="1" applyProtection="1">
      <alignment horizontal="right"/>
    </xf>
    <xf numFmtId="173" fontId="27" fillId="15" borderId="0" xfId="0" applyNumberFormat="1" applyFont="1" applyFill="1" applyBorder="1" applyProtection="1"/>
    <xf numFmtId="0" fontId="29" fillId="15" borderId="11" xfId="4" applyFont="1" applyFill="1" applyBorder="1" applyAlignment="1" applyProtection="1">
      <alignment horizontal="center" vertical="top" wrapText="1"/>
    </xf>
    <xf numFmtId="164" fontId="27" fillId="15" borderId="0" xfId="0" applyNumberFormat="1" applyFont="1" applyFill="1" applyProtection="1"/>
    <xf numFmtId="166" fontId="27" fillId="2" borderId="0" xfId="0" applyNumberFormat="1" applyFont="1" applyFill="1" applyBorder="1" applyProtection="1"/>
    <xf numFmtId="1" fontId="27" fillId="2" borderId="0" xfId="0" applyNumberFormat="1" applyFont="1" applyFill="1" applyBorder="1" applyProtection="1"/>
    <xf numFmtId="172" fontId="27" fillId="2" borderId="0" xfId="0" applyNumberFormat="1" applyFont="1" applyFill="1" applyBorder="1" applyAlignment="1" applyProtection="1">
      <alignment horizontal="center"/>
    </xf>
    <xf numFmtId="175" fontId="27" fillId="15" borderId="0" xfId="0" applyNumberFormat="1" applyFont="1" applyFill="1" applyProtection="1"/>
    <xf numFmtId="0" fontId="27" fillId="16" borderId="0" xfId="0" applyFont="1" applyFill="1" applyProtection="1"/>
    <xf numFmtId="0" fontId="28" fillId="2" borderId="0" xfId="0" applyFont="1" applyFill="1" applyProtection="1"/>
    <xf numFmtId="0" fontId="27" fillId="2" borderId="0" xfId="0" applyFont="1" applyFill="1" applyBorder="1" applyAlignment="1" applyProtection="1">
      <alignment horizontal="center"/>
    </xf>
    <xf numFmtId="2" fontId="27" fillId="15" borderId="0" xfId="0" applyNumberFormat="1" applyFont="1" applyFill="1" applyBorder="1" applyProtection="1"/>
    <xf numFmtId="166" fontId="27" fillId="2" borderId="0" xfId="0" applyNumberFormat="1" applyFont="1" applyFill="1" applyBorder="1" applyAlignment="1" applyProtection="1">
      <alignment horizontal="center"/>
    </xf>
    <xf numFmtId="0" fontId="28" fillId="2" borderId="0" xfId="0" applyFont="1" applyFill="1" applyBorder="1" applyAlignment="1" applyProtection="1">
      <alignment horizontal="center"/>
    </xf>
    <xf numFmtId="0" fontId="27" fillId="2" borderId="0" xfId="0" applyFont="1" applyFill="1" applyAlignment="1" applyProtection="1">
      <alignment horizontal="right"/>
    </xf>
    <xf numFmtId="175" fontId="27" fillId="2" borderId="0" xfId="0" applyNumberFormat="1" applyFont="1" applyFill="1" applyProtection="1"/>
    <xf numFmtId="175" fontId="27" fillId="2" borderId="0" xfId="0" applyNumberFormat="1" applyFont="1" applyFill="1" applyAlignment="1" applyProtection="1">
      <alignment horizontal="right"/>
    </xf>
    <xf numFmtId="173" fontId="27" fillId="2" borderId="0" xfId="0" applyNumberFormat="1" applyFont="1" applyFill="1" applyBorder="1" applyProtection="1"/>
    <xf numFmtId="173" fontId="27" fillId="15" borderId="0" xfId="0" applyNumberFormat="1" applyFont="1" applyFill="1" applyProtection="1"/>
    <xf numFmtId="11" fontId="27" fillId="2" borderId="0" xfId="0" applyNumberFormat="1" applyFont="1" applyFill="1" applyProtection="1"/>
    <xf numFmtId="177" fontId="27" fillId="15" borderId="0" xfId="0" applyNumberFormat="1" applyFont="1" applyFill="1" applyProtection="1"/>
    <xf numFmtId="0" fontId="27" fillId="16" borderId="0" xfId="0" applyFont="1" applyFill="1" applyAlignment="1" applyProtection="1">
      <alignment horizontal="center"/>
    </xf>
    <xf numFmtId="165" fontId="27" fillId="15" borderId="0" xfId="0" applyNumberFormat="1" applyFont="1" applyFill="1" applyAlignment="1" applyProtection="1">
      <alignment horizontal="right"/>
    </xf>
    <xf numFmtId="166" fontId="27" fillId="2" borderId="0" xfId="0" applyNumberFormat="1" applyFont="1" applyFill="1" applyProtection="1"/>
    <xf numFmtId="11" fontId="27" fillId="15" borderId="0" xfId="0" applyNumberFormat="1" applyFont="1" applyFill="1" applyProtection="1"/>
    <xf numFmtId="2" fontId="27" fillId="2" borderId="0" xfId="0" applyNumberFormat="1" applyFont="1" applyFill="1" applyProtection="1"/>
    <xf numFmtId="0" fontId="27" fillId="15" borderId="0" xfId="0" applyFont="1" applyFill="1" applyAlignment="1" applyProtection="1">
      <alignment horizontal="left"/>
    </xf>
    <xf numFmtId="0" fontId="27" fillId="17" borderId="0" xfId="0" applyFont="1" applyFill="1" applyProtection="1"/>
    <xf numFmtId="173" fontId="27" fillId="2" borderId="0" xfId="0" applyNumberFormat="1" applyFont="1" applyFill="1" applyProtection="1"/>
    <xf numFmtId="2" fontId="27" fillId="15" borderId="0" xfId="0" applyNumberFormat="1" applyFont="1" applyFill="1" applyProtection="1"/>
    <xf numFmtId="164" fontId="27" fillId="15" borderId="0" xfId="0" applyNumberFormat="1" applyFont="1" applyFill="1" applyAlignment="1" applyProtection="1">
      <alignment horizontal="right"/>
    </xf>
    <xf numFmtId="165" fontId="16" fillId="3" borderId="7" xfId="0" applyNumberFormat="1" applyFont="1" applyFill="1" applyBorder="1" applyAlignment="1" applyProtection="1">
      <alignment horizontal="center"/>
    </xf>
    <xf numFmtId="0" fontId="27" fillId="4" borderId="18" xfId="0" applyFont="1" applyFill="1" applyBorder="1" applyAlignment="1" applyProtection="1">
      <alignment horizontal="right"/>
    </xf>
    <xf numFmtId="0" fontId="27" fillId="4" borderId="0" xfId="0" applyFont="1" applyFill="1" applyBorder="1" applyAlignment="1" applyProtection="1">
      <alignment horizontal="right"/>
    </xf>
    <xf numFmtId="0" fontId="27" fillId="4" borderId="20" xfId="0" applyFont="1" applyFill="1" applyBorder="1" applyAlignment="1" applyProtection="1">
      <alignment horizontal="right"/>
    </xf>
    <xf numFmtId="2" fontId="27" fillId="4" borderId="20" xfId="0" applyNumberFormat="1" applyFont="1" applyFill="1" applyBorder="1" applyAlignment="1" applyProtection="1">
      <alignment horizontal="right"/>
    </xf>
    <xf numFmtId="0" fontId="29" fillId="0" borderId="0" xfId="0" applyFont="1" applyFill="1" applyBorder="1" applyProtection="1"/>
    <xf numFmtId="0" fontId="0" fillId="0" borderId="0" xfId="0" applyAlignment="1" applyProtection="1">
      <alignment horizontal="center"/>
    </xf>
    <xf numFmtId="0" fontId="10" fillId="0" borderId="0" xfId="0" applyFont="1" applyProtection="1"/>
    <xf numFmtId="2" fontId="10" fillId="0" borderId="0" xfId="0" applyNumberFormat="1" applyFont="1" applyAlignment="1" applyProtection="1">
      <alignment horizontal="center"/>
    </xf>
    <xf numFmtId="0" fontId="10" fillId="0" borderId="0" xfId="0" applyFont="1" applyAlignment="1" applyProtection="1">
      <alignment horizontal="center"/>
    </xf>
    <xf numFmtId="169" fontId="1" fillId="0" borderId="0" xfId="0" applyNumberFormat="1" applyFont="1" applyFill="1" applyBorder="1" applyAlignment="1" applyProtection="1">
      <alignment horizontal="center"/>
      <protection locked="0"/>
    </xf>
    <xf numFmtId="0" fontId="0" fillId="0" borderId="0" xfId="0" applyFill="1" applyAlignment="1" applyProtection="1">
      <alignment horizontal="center"/>
      <protection locked="0"/>
    </xf>
    <xf numFmtId="0" fontId="21" fillId="0" borderId="0" xfId="0" applyFont="1" applyFill="1" applyAlignment="1" applyProtection="1">
      <alignment horizontal="center"/>
      <protection locked="0"/>
    </xf>
    <xf numFmtId="0" fontId="17" fillId="0" borderId="0" xfId="0" applyFont="1" applyFill="1" applyBorder="1" applyAlignment="1" applyProtection="1">
      <alignment horizontal="center"/>
      <protection locked="0"/>
    </xf>
    <xf numFmtId="167" fontId="2" fillId="0" borderId="0" xfId="0" applyNumberFormat="1" applyFont="1" applyFill="1" applyBorder="1" applyProtection="1">
      <protection locked="0"/>
    </xf>
    <xf numFmtId="0" fontId="17" fillId="0" borderId="0" xfId="0" applyFont="1" applyFill="1" applyAlignment="1" applyProtection="1">
      <protection locked="0"/>
    </xf>
    <xf numFmtId="165" fontId="1" fillId="0" borderId="0" xfId="0" applyNumberFormat="1" applyFont="1" applyFill="1" applyBorder="1" applyAlignment="1" applyProtection="1">
      <alignment horizontal="center"/>
      <protection locked="0"/>
    </xf>
    <xf numFmtId="0" fontId="1" fillId="0" borderId="0" xfId="0" applyFont="1" applyFill="1" applyBorder="1" applyAlignment="1" applyProtection="1">
      <alignment horizontal="left"/>
      <protection locked="0"/>
    </xf>
    <xf numFmtId="0" fontId="17" fillId="0" borderId="0" xfId="0" applyFont="1" applyProtection="1">
      <protection locked="0"/>
    </xf>
    <xf numFmtId="0" fontId="21" fillId="0" borderId="0" xfId="0" applyFont="1" applyProtection="1">
      <protection locked="0"/>
    </xf>
    <xf numFmtId="0" fontId="21" fillId="0" borderId="0" xfId="0" applyFont="1" applyFill="1" applyBorder="1" applyProtection="1">
      <protection locked="0"/>
    </xf>
    <xf numFmtId="0" fontId="0" fillId="2" borderId="0" xfId="0" applyFill="1" applyBorder="1" applyProtection="1">
      <protection locked="0"/>
    </xf>
    <xf numFmtId="0" fontId="0" fillId="0" borderId="0" xfId="0" applyFill="1" applyBorder="1" applyProtection="1">
      <protection locked="0"/>
    </xf>
    <xf numFmtId="0" fontId="1" fillId="2" borderId="0" xfId="0" applyFont="1" applyFill="1" applyBorder="1" applyProtection="1">
      <protection locked="0"/>
    </xf>
    <xf numFmtId="2" fontId="0" fillId="2" borderId="0" xfId="0" applyNumberFormat="1" applyFill="1" applyBorder="1" applyProtection="1">
      <protection locked="0"/>
    </xf>
    <xf numFmtId="0" fontId="13" fillId="3" borderId="5" xfId="0" applyFont="1" applyFill="1" applyBorder="1" applyAlignment="1" applyProtection="1">
      <alignment horizontal="center" wrapText="1"/>
    </xf>
    <xf numFmtId="165" fontId="16" fillId="3" borderId="8" xfId="0" applyNumberFormat="1" applyFont="1" applyFill="1" applyBorder="1" applyAlignment="1" applyProtection="1">
      <alignment horizontal="center"/>
    </xf>
    <xf numFmtId="0" fontId="17" fillId="2" borderId="0" xfId="0" applyFont="1" applyFill="1" applyProtection="1">
      <protection locked="0"/>
    </xf>
    <xf numFmtId="165" fontId="17" fillId="0" borderId="0" xfId="0" applyNumberFormat="1" applyFont="1" applyFill="1" applyBorder="1" applyAlignment="1" applyProtection="1">
      <alignment horizontal="right"/>
      <protection locked="0"/>
    </xf>
    <xf numFmtId="165" fontId="17" fillId="0" borderId="0" xfId="0" applyNumberFormat="1" applyFont="1" applyFill="1" applyAlignment="1" applyProtection="1">
      <alignment horizontal="right"/>
      <protection locked="0"/>
    </xf>
    <xf numFmtId="165" fontId="16" fillId="3" borderId="5" xfId="0" applyNumberFormat="1" applyFont="1" applyFill="1" applyBorder="1" applyAlignment="1" applyProtection="1">
      <alignment horizontal="center" wrapText="1"/>
    </xf>
    <xf numFmtId="2" fontId="16" fillId="5" borderId="5" xfId="0" applyNumberFormat="1" applyFont="1" applyFill="1" applyBorder="1" applyAlignment="1" applyProtection="1">
      <alignment horizontal="center" wrapText="1"/>
    </xf>
    <xf numFmtId="165" fontId="17" fillId="0" borderId="0" xfId="0" applyNumberFormat="1" applyFont="1" applyFill="1" applyProtection="1">
      <protection locked="0"/>
    </xf>
    <xf numFmtId="10" fontId="17" fillId="0" borderId="0" xfId="3" applyNumberFormat="1" applyFont="1" applyFill="1" applyBorder="1" applyAlignment="1" applyProtection="1">
      <alignment horizontal="center"/>
      <protection locked="0"/>
    </xf>
    <xf numFmtId="0" fontId="21" fillId="0" borderId="0" xfId="0" applyFont="1" applyFill="1" applyAlignment="1" applyProtection="1">
      <protection locked="0"/>
    </xf>
    <xf numFmtId="0" fontId="18" fillId="0" borderId="0" xfId="0" applyFont="1" applyFill="1" applyAlignment="1" applyProtection="1">
      <alignment horizontal="left"/>
      <protection locked="0"/>
    </xf>
    <xf numFmtId="0" fontId="24" fillId="0" borderId="0" xfId="0" applyFont="1" applyFill="1" applyBorder="1" applyAlignment="1" applyProtection="1">
      <alignment horizontal="left"/>
      <protection locked="0"/>
    </xf>
    <xf numFmtId="0" fontId="24" fillId="0" borderId="0" xfId="0" applyFont="1" applyFill="1" applyBorder="1" applyAlignment="1" applyProtection="1">
      <alignment horizontal="center"/>
      <protection locked="0"/>
    </xf>
    <xf numFmtId="0" fontId="24" fillId="0" borderId="0" xfId="0" applyFont="1" applyFill="1" applyBorder="1" applyProtection="1">
      <protection locked="0"/>
    </xf>
    <xf numFmtId="0" fontId="21" fillId="0" borderId="0" xfId="0" applyFont="1" applyFill="1" applyBorder="1" applyAlignment="1" applyProtection="1">
      <alignment horizontal="center"/>
      <protection locked="0"/>
    </xf>
    <xf numFmtId="164" fontId="17" fillId="0" borderId="0" xfId="0" applyNumberFormat="1" applyFont="1" applyProtection="1">
      <protection locked="0"/>
    </xf>
    <xf numFmtId="164" fontId="17" fillId="0" borderId="0" xfId="0" applyNumberFormat="1" applyFont="1" applyFill="1" applyBorder="1" applyAlignment="1" applyProtection="1">
      <alignment horizontal="center"/>
      <protection locked="0"/>
    </xf>
    <xf numFmtId="164" fontId="17" fillId="0" borderId="0" xfId="0" applyNumberFormat="1" applyFont="1" applyAlignment="1" applyProtection="1">
      <alignment horizontal="center"/>
      <protection locked="0"/>
    </xf>
    <xf numFmtId="164" fontId="21" fillId="0" borderId="0" xfId="0" applyNumberFormat="1" applyFont="1" applyAlignment="1" applyProtection="1">
      <alignment horizontal="center"/>
      <protection locked="0"/>
    </xf>
    <xf numFmtId="164" fontId="17" fillId="0" borderId="0" xfId="0" applyNumberFormat="1" applyFont="1" applyFill="1" applyProtection="1">
      <protection locked="0"/>
    </xf>
    <xf numFmtId="0" fontId="17" fillId="0" borderId="0" xfId="0" applyFont="1" applyFill="1" applyAlignment="1" applyProtection="1">
      <alignment horizontal="left"/>
      <protection locked="0"/>
    </xf>
    <xf numFmtId="9" fontId="17" fillId="0" borderId="0" xfId="3" applyFont="1" applyFill="1" applyProtection="1">
      <protection locked="0"/>
    </xf>
    <xf numFmtId="170" fontId="17" fillId="0" borderId="0" xfId="3" applyNumberFormat="1" applyFont="1" applyFill="1" applyAlignment="1" applyProtection="1">
      <alignment horizontal="center"/>
      <protection locked="0"/>
    </xf>
    <xf numFmtId="170" fontId="17" fillId="0" borderId="0" xfId="3" applyNumberFormat="1" applyFont="1" applyFill="1" applyAlignment="1" applyProtection="1">
      <alignment horizontal="left"/>
      <protection locked="0"/>
    </xf>
    <xf numFmtId="0" fontId="1" fillId="0" borderId="0" xfId="0" applyFont="1" applyFill="1" applyBorder="1" applyAlignment="1" applyProtection="1">
      <protection locked="0"/>
    </xf>
    <xf numFmtId="0" fontId="3" fillId="0" borderId="0" xfId="0" applyFont="1" applyFill="1" applyBorder="1" applyAlignment="1" applyProtection="1">
      <alignment horizontal="center"/>
      <protection locked="0"/>
    </xf>
    <xf numFmtId="0" fontId="3" fillId="0" borderId="0" xfId="0" applyFont="1" applyFill="1" applyBorder="1" applyAlignment="1" applyProtection="1">
      <alignment horizontal="left"/>
      <protection locked="0"/>
    </xf>
    <xf numFmtId="2" fontId="30" fillId="0" borderId="0" xfId="0" applyNumberFormat="1" applyFont="1" applyFill="1" applyAlignment="1">
      <alignment horizontal="left"/>
    </xf>
    <xf numFmtId="0" fontId="30" fillId="0" borderId="0" xfId="0" applyFont="1" applyFill="1"/>
    <xf numFmtId="2" fontId="30" fillId="0" borderId="0" xfId="0" applyNumberFormat="1" applyFont="1" applyFill="1" applyAlignment="1" applyProtection="1">
      <alignment horizontal="left"/>
      <protection locked="0"/>
    </xf>
    <xf numFmtId="0" fontId="30" fillId="0" borderId="0" xfId="0" applyFont="1" applyFill="1" applyProtection="1">
      <protection locked="0"/>
    </xf>
    <xf numFmtId="2" fontId="10" fillId="0" borderId="0" xfId="0" applyNumberFormat="1" applyFont="1" applyAlignment="1" applyProtection="1">
      <alignment horizontal="center"/>
      <protection locked="0"/>
    </xf>
    <xf numFmtId="0" fontId="13" fillId="3" borderId="4" xfId="0" applyFont="1" applyFill="1" applyBorder="1" applyProtection="1"/>
    <xf numFmtId="0" fontId="13" fillId="4" borderId="3" xfId="0" applyFont="1" applyFill="1" applyBorder="1" applyAlignment="1" applyProtection="1">
      <alignment horizontal="center" wrapText="1"/>
    </xf>
    <xf numFmtId="0" fontId="13" fillId="4" borderId="4" xfId="0" applyFont="1" applyFill="1" applyBorder="1" applyProtection="1"/>
    <xf numFmtId="168" fontId="13" fillId="4" borderId="5" xfId="0" applyNumberFormat="1" applyFont="1" applyFill="1" applyBorder="1" applyAlignment="1" applyProtection="1">
      <alignment horizontal="center" wrapText="1"/>
    </xf>
    <xf numFmtId="0" fontId="13" fillId="5" borderId="6" xfId="0" applyFont="1" applyFill="1" applyBorder="1" applyProtection="1"/>
    <xf numFmtId="0" fontId="14" fillId="6" borderId="2" xfId="0" applyFont="1" applyFill="1" applyBorder="1" applyProtection="1"/>
    <xf numFmtId="0" fontId="17" fillId="0" borderId="0" xfId="0" applyFont="1" applyBorder="1" applyProtection="1">
      <protection locked="0"/>
    </xf>
    <xf numFmtId="0" fontId="2" fillId="0" borderId="0" xfId="0" applyFont="1" applyFill="1" applyProtection="1">
      <protection locked="0"/>
    </xf>
    <xf numFmtId="0" fontId="18" fillId="0" borderId="0" xfId="0" applyFont="1" applyFill="1" applyBorder="1" applyProtection="1">
      <protection locked="0"/>
    </xf>
    <xf numFmtId="164" fontId="0" fillId="0" borderId="0" xfId="0" applyNumberFormat="1" applyFill="1" applyProtection="1">
      <protection locked="0"/>
    </xf>
    <xf numFmtId="2" fontId="0" fillId="0" borderId="0" xfId="0" applyNumberFormat="1" applyFill="1" applyProtection="1">
      <protection locked="0"/>
    </xf>
    <xf numFmtId="167" fontId="0" fillId="0" borderId="0" xfId="0" applyNumberFormat="1" applyFill="1" applyProtection="1">
      <protection locked="0"/>
    </xf>
    <xf numFmtId="9" fontId="17" fillId="0" borderId="0" xfId="3" applyFont="1" applyFill="1" applyAlignment="1" applyProtection="1">
      <alignment horizontal="center"/>
      <protection locked="0"/>
    </xf>
    <xf numFmtId="168" fontId="17" fillId="0" borderId="0" xfId="1" applyNumberFormat="1" applyFont="1" applyFill="1" applyAlignment="1" applyProtection="1">
      <alignment horizontal="center"/>
      <protection locked="0"/>
    </xf>
    <xf numFmtId="0" fontId="0" fillId="0" borderId="0" xfId="0" applyFill="1" applyAlignment="1" applyProtection="1">
      <protection locked="0"/>
    </xf>
    <xf numFmtId="0" fontId="17" fillId="0" borderId="0" xfId="0" applyFont="1" applyAlignment="1" applyProtection="1">
      <alignment horizontal="center"/>
      <protection locked="0"/>
    </xf>
    <xf numFmtId="0" fontId="17" fillId="0" borderId="0" xfId="4" applyFont="1" applyFill="1" applyBorder="1" applyProtection="1">
      <protection locked="0"/>
    </xf>
    <xf numFmtId="2" fontId="21" fillId="0" borderId="0" xfId="0" applyNumberFormat="1" applyFont="1" applyAlignment="1" applyProtection="1">
      <alignment horizontal="center"/>
      <protection locked="0"/>
    </xf>
    <xf numFmtId="0" fontId="28" fillId="4" borderId="11" xfId="0" applyFont="1" applyFill="1" applyBorder="1" applyProtection="1">
      <protection locked="0"/>
    </xf>
    <xf numFmtId="0" fontId="29" fillId="4" borderId="11" xfId="4" applyFont="1" applyFill="1" applyBorder="1" applyAlignment="1" applyProtection="1">
      <alignment horizontal="center" vertical="top" wrapText="1"/>
      <protection locked="0"/>
    </xf>
    <xf numFmtId="0" fontId="28" fillId="11" borderId="11" xfId="0" applyFont="1" applyFill="1" applyBorder="1" applyAlignment="1" applyProtection="1">
      <alignment horizontal="center"/>
      <protection locked="0"/>
    </xf>
    <xf numFmtId="0" fontId="27" fillId="4" borderId="0" xfId="0" applyFont="1" applyFill="1" applyProtection="1">
      <protection locked="0"/>
    </xf>
    <xf numFmtId="0" fontId="28" fillId="11" borderId="0" xfId="0" applyFont="1" applyFill="1" applyAlignment="1" applyProtection="1">
      <alignment horizontal="center"/>
      <protection locked="0"/>
    </xf>
    <xf numFmtId="0" fontId="28" fillId="4" borderId="0" xfId="0" applyFont="1" applyFill="1" applyProtection="1">
      <protection locked="0"/>
    </xf>
    <xf numFmtId="0" fontId="30" fillId="4" borderId="0" xfId="4" applyFont="1" applyFill="1" applyBorder="1" applyAlignment="1" applyProtection="1">
      <alignment horizontal="center" vertical="top" wrapText="1"/>
      <protection locked="0"/>
    </xf>
    <xf numFmtId="0" fontId="30" fillId="4" borderId="0" xfId="4" applyFont="1" applyFill="1" applyBorder="1" applyProtection="1">
      <protection locked="0"/>
    </xf>
    <xf numFmtId="0" fontId="27" fillId="4" borderId="0" xfId="0" applyFont="1" applyFill="1" applyAlignment="1" applyProtection="1">
      <alignment horizontal="right"/>
      <protection locked="0"/>
    </xf>
    <xf numFmtId="2" fontId="27" fillId="4" borderId="0" xfId="0" applyNumberFormat="1" applyFont="1" applyFill="1" applyProtection="1">
      <protection locked="0"/>
    </xf>
    <xf numFmtId="1" fontId="30" fillId="4" borderId="0" xfId="4" applyNumberFormat="1" applyFont="1" applyFill="1" applyBorder="1" applyAlignment="1" applyProtection="1">
      <alignment horizontal="center" vertical="top" wrapText="1"/>
      <protection locked="0"/>
    </xf>
    <xf numFmtId="2" fontId="30" fillId="4" borderId="0" xfId="4" applyNumberFormat="1" applyFont="1" applyFill="1" applyBorder="1" applyAlignment="1" applyProtection="1">
      <alignment horizontal="left" vertical="top" wrapText="1"/>
      <protection locked="0"/>
    </xf>
    <xf numFmtId="2" fontId="30" fillId="4" borderId="0" xfId="4" applyNumberFormat="1" applyFont="1" applyFill="1" applyBorder="1" applyAlignment="1" applyProtection="1">
      <alignment horizontal="center" vertical="top" wrapText="1"/>
      <protection locked="0"/>
    </xf>
    <xf numFmtId="0" fontId="28" fillId="4" borderId="0" xfId="0" applyFont="1" applyFill="1" applyAlignment="1" applyProtection="1">
      <alignment horizontal="left"/>
      <protection locked="0"/>
    </xf>
    <xf numFmtId="0" fontId="32" fillId="4" borderId="0" xfId="0" applyFont="1" applyFill="1" applyProtection="1">
      <protection locked="0"/>
    </xf>
    <xf numFmtId="0" fontId="27" fillId="4" borderId="0" xfId="0" applyFont="1" applyFill="1" applyAlignment="1" applyProtection="1">
      <protection locked="0"/>
    </xf>
    <xf numFmtId="0" fontId="27" fillId="4" borderId="17" xfId="0" applyFont="1" applyFill="1" applyBorder="1" applyAlignment="1" applyProtection="1">
      <protection locked="0"/>
    </xf>
    <xf numFmtId="0" fontId="27" fillId="4" borderId="18" xfId="0" applyFont="1" applyFill="1" applyBorder="1" applyAlignment="1" applyProtection="1">
      <protection locked="0"/>
    </xf>
    <xf numFmtId="0" fontId="27" fillId="4" borderId="19" xfId="0" applyFont="1" applyFill="1" applyBorder="1" applyAlignment="1" applyProtection="1">
      <protection locked="0"/>
    </xf>
    <xf numFmtId="0" fontId="27" fillId="4" borderId="18" xfId="0" applyFont="1" applyFill="1" applyBorder="1" applyAlignment="1" applyProtection="1">
      <alignment horizontal="right"/>
      <protection locked="0"/>
    </xf>
    <xf numFmtId="0" fontId="27" fillId="4" borderId="0" xfId="0" applyFont="1" applyFill="1" applyBorder="1" applyAlignment="1" applyProtection="1">
      <alignment horizontal="right"/>
      <protection locked="0"/>
    </xf>
    <xf numFmtId="0" fontId="27" fillId="4" borderId="0" xfId="0" applyFont="1" applyFill="1" applyBorder="1" applyAlignment="1" applyProtection="1">
      <protection locked="0"/>
    </xf>
    <xf numFmtId="0" fontId="27" fillId="4" borderId="15" xfId="0" applyFont="1" applyFill="1" applyBorder="1" applyAlignment="1" applyProtection="1">
      <protection locked="0"/>
    </xf>
    <xf numFmtId="0" fontId="27" fillId="4" borderId="13" xfId="0" applyFont="1" applyFill="1" applyBorder="1" applyProtection="1">
      <protection locked="0"/>
    </xf>
    <xf numFmtId="0" fontId="27" fillId="4" borderId="20" xfId="0" applyFont="1" applyFill="1" applyBorder="1" applyAlignment="1" applyProtection="1">
      <alignment horizontal="right"/>
      <protection locked="0"/>
    </xf>
    <xf numFmtId="0" fontId="27" fillId="4" borderId="20" xfId="0" applyFont="1" applyFill="1" applyBorder="1" applyProtection="1">
      <protection locked="0"/>
    </xf>
    <xf numFmtId="2" fontId="27" fillId="4" borderId="20" xfId="0" applyNumberFormat="1" applyFont="1" applyFill="1" applyBorder="1" applyAlignment="1" applyProtection="1">
      <alignment horizontal="right"/>
      <protection locked="0"/>
    </xf>
    <xf numFmtId="2" fontId="27" fillId="4" borderId="20" xfId="0" applyNumberFormat="1" applyFont="1" applyFill="1" applyBorder="1" applyProtection="1">
      <protection locked="0"/>
    </xf>
    <xf numFmtId="2" fontId="27" fillId="4" borderId="14" xfId="0" applyNumberFormat="1" applyFont="1" applyFill="1" applyBorder="1" applyProtection="1">
      <protection locked="0"/>
    </xf>
    <xf numFmtId="2" fontId="27" fillId="4" borderId="0" xfId="0" applyNumberFormat="1" applyFont="1" applyFill="1" applyBorder="1" applyProtection="1">
      <protection locked="0"/>
    </xf>
    <xf numFmtId="0" fontId="27" fillId="4" borderId="0" xfId="0" applyFont="1" applyFill="1" applyBorder="1" applyProtection="1">
      <protection locked="0"/>
    </xf>
    <xf numFmtId="0" fontId="28" fillId="4" borderId="0" xfId="0" applyFont="1" applyFill="1" applyAlignment="1" applyProtection="1">
      <protection locked="0"/>
    </xf>
    <xf numFmtId="172" fontId="27" fillId="4" borderId="0" xfId="0" applyNumberFormat="1" applyFont="1" applyFill="1" applyBorder="1" applyProtection="1">
      <protection locked="0"/>
    </xf>
    <xf numFmtId="165" fontId="27" fillId="4" borderId="0" xfId="0" applyNumberFormat="1" applyFont="1" applyFill="1" applyProtection="1">
      <protection locked="0"/>
    </xf>
    <xf numFmtId="0" fontId="27" fillId="11" borderId="0" xfId="0" applyFont="1" applyFill="1" applyProtection="1">
      <protection locked="0"/>
    </xf>
    <xf numFmtId="0" fontId="28" fillId="4" borderId="0" xfId="0" applyFont="1" applyFill="1" applyBorder="1" applyProtection="1">
      <protection locked="0"/>
    </xf>
    <xf numFmtId="173" fontId="27" fillId="4" borderId="0" xfId="0" applyNumberFormat="1" applyFont="1" applyFill="1" applyProtection="1">
      <protection locked="0"/>
    </xf>
    <xf numFmtId="0" fontId="29" fillId="15" borderId="11" xfId="4" applyFont="1" applyFill="1" applyBorder="1" applyProtection="1">
      <protection locked="0"/>
    </xf>
    <xf numFmtId="0" fontId="28" fillId="15" borderId="11" xfId="0" applyFont="1" applyFill="1" applyBorder="1" applyAlignment="1" applyProtection="1">
      <alignment horizontal="right"/>
      <protection locked="0"/>
    </xf>
    <xf numFmtId="0" fontId="29" fillId="15" borderId="11" xfId="4" applyFont="1" applyFill="1" applyBorder="1" applyAlignment="1" applyProtection="1">
      <alignment horizontal="center" wrapText="1"/>
      <protection locked="0"/>
    </xf>
    <xf numFmtId="0" fontId="28" fillId="2" borderId="0" xfId="0" applyFont="1" applyFill="1" applyAlignment="1" applyProtection="1">
      <alignment horizontal="center"/>
      <protection locked="0"/>
    </xf>
    <xf numFmtId="0" fontId="27" fillId="15" borderId="0" xfId="0" applyFont="1" applyFill="1" applyProtection="1">
      <protection locked="0"/>
    </xf>
    <xf numFmtId="0" fontId="27" fillId="15" borderId="0" xfId="0" applyFont="1" applyFill="1" applyBorder="1" applyProtection="1">
      <protection locked="0"/>
    </xf>
    <xf numFmtId="0" fontId="28" fillId="16" borderId="0" xfId="0" applyFont="1" applyFill="1" applyAlignment="1" applyProtection="1">
      <alignment horizontal="center"/>
      <protection locked="0"/>
    </xf>
    <xf numFmtId="0" fontId="28" fillId="15" borderId="0" xfId="0" applyFont="1" applyFill="1" applyProtection="1">
      <protection locked="0"/>
    </xf>
    <xf numFmtId="0" fontId="27" fillId="15" borderId="0" xfId="0" applyFont="1" applyFill="1" applyBorder="1" applyAlignment="1" applyProtection="1">
      <alignment horizontal="right"/>
      <protection locked="0"/>
    </xf>
    <xf numFmtId="173" fontId="27" fillId="15" borderId="0" xfId="0" applyNumberFormat="1" applyFont="1" applyFill="1" applyBorder="1" applyProtection="1">
      <protection locked="0"/>
    </xf>
    <xf numFmtId="0" fontId="29" fillId="15" borderId="11" xfId="4" applyFont="1" applyFill="1" applyBorder="1" applyAlignment="1" applyProtection="1">
      <alignment horizontal="center" vertical="top" wrapText="1"/>
      <protection locked="0"/>
    </xf>
    <xf numFmtId="0" fontId="27" fillId="15" borderId="0" xfId="0" applyFont="1" applyFill="1" applyAlignment="1" applyProtection="1">
      <alignment horizontal="right"/>
      <protection locked="0"/>
    </xf>
    <xf numFmtId="164" fontId="27" fillId="15" borderId="0" xfId="0" applyNumberFormat="1" applyFont="1" applyFill="1" applyProtection="1">
      <protection locked="0"/>
    </xf>
    <xf numFmtId="166" fontId="27" fillId="2" borderId="0" xfId="0" applyNumberFormat="1" applyFont="1" applyFill="1" applyBorder="1" applyProtection="1">
      <protection locked="0"/>
    </xf>
    <xf numFmtId="1" fontId="27" fillId="2" borderId="0" xfId="0" applyNumberFormat="1" applyFont="1" applyFill="1" applyBorder="1" applyProtection="1">
      <protection locked="0"/>
    </xf>
    <xf numFmtId="172" fontId="27" fillId="2" borderId="0" xfId="0" applyNumberFormat="1" applyFont="1" applyFill="1" applyBorder="1" applyAlignment="1" applyProtection="1">
      <alignment horizontal="center"/>
      <protection locked="0"/>
    </xf>
    <xf numFmtId="175" fontId="27" fillId="15" borderId="0" xfId="0" applyNumberFormat="1" applyFont="1" applyFill="1" applyProtection="1">
      <protection locked="0"/>
    </xf>
    <xf numFmtId="0" fontId="27" fillId="16" borderId="0" xfId="0" applyFont="1" applyFill="1" applyProtection="1">
      <protection locked="0"/>
    </xf>
    <xf numFmtId="0" fontId="28" fillId="2" borderId="0" xfId="0" applyFont="1" applyFill="1" applyProtection="1">
      <protection locked="0"/>
    </xf>
    <xf numFmtId="164" fontId="27" fillId="15" borderId="0" xfId="0" applyNumberFormat="1" applyFont="1" applyFill="1" applyBorder="1" applyAlignment="1" applyProtection="1">
      <protection locked="0"/>
    </xf>
    <xf numFmtId="164" fontId="27" fillId="15" borderId="0" xfId="0" applyNumberFormat="1" applyFont="1" applyFill="1" applyAlignment="1" applyProtection="1">
      <protection locked="0"/>
    </xf>
    <xf numFmtId="0" fontId="27" fillId="2" borderId="0" xfId="0" applyFont="1" applyFill="1" applyBorder="1" applyAlignment="1" applyProtection="1">
      <alignment horizontal="center"/>
      <protection locked="0"/>
    </xf>
    <xf numFmtId="166" fontId="27" fillId="2" borderId="0" xfId="0" applyNumberFormat="1" applyFont="1" applyFill="1" applyBorder="1" applyAlignment="1" applyProtection="1">
      <alignment horizontal="center"/>
      <protection locked="0"/>
    </xf>
    <xf numFmtId="166" fontId="27" fillId="15" borderId="0" xfId="0" applyNumberFormat="1" applyFont="1" applyFill="1" applyBorder="1" applyProtection="1">
      <protection locked="0"/>
    </xf>
    <xf numFmtId="0" fontId="28" fillId="2" borderId="0" xfId="0" applyFont="1" applyFill="1" applyBorder="1" applyAlignment="1" applyProtection="1">
      <alignment horizontal="center"/>
      <protection locked="0"/>
    </xf>
    <xf numFmtId="0" fontId="27" fillId="2" borderId="0" xfId="0" applyFont="1" applyFill="1" applyAlignment="1" applyProtection="1">
      <alignment horizontal="right"/>
      <protection locked="0"/>
    </xf>
    <xf numFmtId="166" fontId="27" fillId="15" borderId="0" xfId="0" applyNumberFormat="1" applyFont="1" applyFill="1" applyProtection="1">
      <protection locked="0"/>
    </xf>
    <xf numFmtId="175" fontId="27" fillId="2" borderId="0" xfId="0" applyNumberFormat="1" applyFont="1" applyFill="1" applyProtection="1">
      <protection locked="0"/>
    </xf>
    <xf numFmtId="175" fontId="27" fillId="2" borderId="0" xfId="0" applyNumberFormat="1" applyFont="1" applyFill="1" applyAlignment="1" applyProtection="1">
      <alignment horizontal="right"/>
      <protection locked="0"/>
    </xf>
    <xf numFmtId="173" fontId="27" fillId="2" borderId="0" xfId="0" applyNumberFormat="1" applyFont="1" applyFill="1" applyBorder="1" applyProtection="1">
      <protection locked="0"/>
    </xf>
    <xf numFmtId="173" fontId="27" fillId="15" borderId="0" xfId="0" applyNumberFormat="1" applyFont="1" applyFill="1" applyProtection="1">
      <protection locked="0"/>
    </xf>
    <xf numFmtId="11" fontId="27" fillId="2" borderId="0" xfId="0" applyNumberFormat="1" applyFont="1" applyFill="1" applyProtection="1">
      <protection locked="0"/>
    </xf>
    <xf numFmtId="0" fontId="27" fillId="16" borderId="0" xfId="0" applyFont="1" applyFill="1" applyAlignment="1" applyProtection="1">
      <alignment horizontal="center"/>
      <protection locked="0"/>
    </xf>
    <xf numFmtId="166" fontId="27" fillId="2" borderId="0" xfId="0" applyNumberFormat="1" applyFont="1" applyFill="1" applyProtection="1">
      <protection locked="0"/>
    </xf>
    <xf numFmtId="2" fontId="27" fillId="2" borderId="0" xfId="0" applyNumberFormat="1" applyFont="1" applyFill="1" applyProtection="1">
      <protection locked="0"/>
    </xf>
    <xf numFmtId="0" fontId="27" fillId="15" borderId="0" xfId="0" applyFont="1" applyFill="1" applyAlignment="1" applyProtection="1">
      <alignment horizontal="left"/>
      <protection locked="0"/>
    </xf>
    <xf numFmtId="0" fontId="27" fillId="15" borderId="0" xfId="0" applyFont="1" applyFill="1" applyBorder="1" applyAlignment="1" applyProtection="1">
      <alignment horizontal="center"/>
      <protection locked="0"/>
    </xf>
    <xf numFmtId="172" fontId="27" fillId="15" borderId="0" xfId="0" applyNumberFormat="1" applyFont="1" applyFill="1" applyProtection="1">
      <protection locked="0"/>
    </xf>
    <xf numFmtId="173" fontId="27" fillId="2" borderId="0" xfId="0" applyNumberFormat="1" applyFont="1" applyFill="1" applyProtection="1">
      <protection locked="0"/>
    </xf>
    <xf numFmtId="0" fontId="29" fillId="0" borderId="0" xfId="0" applyFont="1" applyFill="1" applyBorder="1" applyProtection="1">
      <protection locked="0"/>
    </xf>
    <xf numFmtId="0" fontId="0" fillId="0" borderId="0" xfId="0" applyAlignment="1" applyProtection="1">
      <alignment horizontal="center"/>
      <protection locked="0"/>
    </xf>
    <xf numFmtId="0" fontId="10" fillId="0" borderId="0" xfId="0" applyFont="1" applyProtection="1">
      <protection locked="0"/>
    </xf>
    <xf numFmtId="0" fontId="10" fillId="0" borderId="0" xfId="0" applyFont="1" applyAlignment="1" applyProtection="1">
      <alignment horizontal="center"/>
      <protection locked="0"/>
    </xf>
    <xf numFmtId="2" fontId="0" fillId="0" borderId="0" xfId="0" applyNumberFormat="1" applyFill="1" applyAlignment="1" applyProtection="1">
      <alignment horizontal="center"/>
      <protection locked="0"/>
    </xf>
    <xf numFmtId="9" fontId="0" fillId="0" borderId="0" xfId="0" applyNumberFormat="1" applyProtection="1">
      <protection locked="0"/>
    </xf>
    <xf numFmtId="0" fontId="16" fillId="3" borderId="4" xfId="0" applyFont="1" applyFill="1" applyBorder="1" applyProtection="1"/>
    <xf numFmtId="0" fontId="16" fillId="3" borderId="6" xfId="0" applyFont="1" applyFill="1" applyBorder="1" applyProtection="1"/>
    <xf numFmtId="0" fontId="16" fillId="4" borderId="4" xfId="0" applyFont="1" applyFill="1" applyBorder="1" applyProtection="1"/>
    <xf numFmtId="0" fontId="13" fillId="5" borderId="4" xfId="0" applyFont="1" applyFill="1" applyBorder="1" applyProtection="1"/>
    <xf numFmtId="0" fontId="0" fillId="4" borderId="4" xfId="0" applyFill="1" applyBorder="1" applyProtection="1"/>
    <xf numFmtId="0" fontId="16" fillId="4" borderId="3" xfId="0" applyFont="1" applyFill="1" applyBorder="1" applyAlignment="1" applyProtection="1">
      <alignment horizontal="center" wrapText="1"/>
    </xf>
    <xf numFmtId="0" fontId="13" fillId="4" borderId="6" xfId="0" applyFont="1" applyFill="1" applyBorder="1" applyProtection="1"/>
    <xf numFmtId="0" fontId="13" fillId="4" borderId="5" xfId="0" applyFont="1" applyFill="1" applyBorder="1" applyAlignment="1" applyProtection="1">
      <alignment horizontal="center" wrapText="1"/>
    </xf>
    <xf numFmtId="169" fontId="13" fillId="4" borderId="7" xfId="0" applyNumberFormat="1" applyFont="1" applyFill="1" applyBorder="1" applyAlignment="1" applyProtection="1">
      <alignment horizontal="center" wrapText="1"/>
    </xf>
    <xf numFmtId="0" fontId="16" fillId="5" borderId="4" xfId="0" applyFont="1" applyFill="1" applyBorder="1" applyProtection="1"/>
    <xf numFmtId="165" fontId="16" fillId="3" borderId="5" xfId="3" applyNumberFormat="1" applyFont="1" applyFill="1" applyBorder="1" applyAlignment="1" applyProtection="1">
      <alignment horizontal="center" wrapText="1"/>
    </xf>
    <xf numFmtId="165" fontId="16" fillId="3" borderId="7" xfId="3" applyNumberFormat="1" applyFont="1" applyFill="1" applyBorder="1" applyAlignment="1" applyProtection="1">
      <alignment horizontal="center" wrapText="1"/>
    </xf>
    <xf numFmtId="1" fontId="16" fillId="4" borderId="3" xfId="3" applyNumberFormat="1" applyFont="1" applyFill="1" applyBorder="1" applyAlignment="1" applyProtection="1">
      <alignment horizontal="center" wrapText="1"/>
    </xf>
    <xf numFmtId="0" fontId="13" fillId="3" borderId="6" xfId="0" applyFont="1" applyFill="1" applyBorder="1" applyProtection="1"/>
    <xf numFmtId="165" fontId="13" fillId="3" borderId="7" xfId="0" applyNumberFormat="1" applyFont="1" applyFill="1" applyBorder="1" applyAlignment="1" applyProtection="1">
      <alignment horizontal="center"/>
    </xf>
    <xf numFmtId="0" fontId="13" fillId="4" borderId="3" xfId="0" applyFont="1" applyFill="1" applyBorder="1" applyAlignment="1" applyProtection="1">
      <alignment horizontal="center"/>
    </xf>
    <xf numFmtId="9" fontId="30" fillId="18" borderId="0" xfId="3" applyFont="1" applyFill="1" applyAlignment="1" applyProtection="1">
      <alignment horizontal="center"/>
    </xf>
    <xf numFmtId="164" fontId="30" fillId="18" borderId="0" xfId="0" applyNumberFormat="1" applyFont="1" applyFill="1" applyBorder="1" applyAlignment="1" applyProtection="1">
      <alignment horizontal="center"/>
    </xf>
    <xf numFmtId="165" fontId="29" fillId="18" borderId="0" xfId="0" applyNumberFormat="1" applyFont="1" applyFill="1" applyBorder="1" applyAlignment="1" applyProtection="1">
      <alignment horizontal="center"/>
    </xf>
    <xf numFmtId="0" fontId="27" fillId="9" borderId="8" xfId="0" applyFont="1" applyFill="1" applyBorder="1" applyAlignment="1" applyProtection="1">
      <alignment horizontal="center"/>
    </xf>
    <xf numFmtId="0" fontId="11" fillId="2" borderId="0" xfId="0" applyFont="1" applyFill="1"/>
    <xf numFmtId="2" fontId="29" fillId="18" borderId="0" xfId="0" applyNumberFormat="1" applyFont="1" applyFill="1" applyBorder="1" applyAlignment="1" applyProtection="1">
      <alignment horizontal="center"/>
    </xf>
    <xf numFmtId="0" fontId="13" fillId="4" borderId="4" xfId="0" applyFont="1" applyFill="1" applyBorder="1" applyProtection="1">
      <protection locked="0"/>
    </xf>
    <xf numFmtId="14" fontId="0" fillId="0" borderId="0" xfId="0" applyNumberFormat="1" applyProtection="1">
      <protection locked="0"/>
    </xf>
    <xf numFmtId="2" fontId="0" fillId="0" borderId="0" xfId="0" applyNumberFormat="1" applyProtection="1">
      <protection locked="0"/>
    </xf>
    <xf numFmtId="0" fontId="10" fillId="0" borderId="0" xfId="0" applyFont="1" applyFill="1" applyProtection="1">
      <protection locked="0"/>
    </xf>
    <xf numFmtId="0" fontId="0" fillId="0" borderId="0" xfId="0" applyFont="1" applyFill="1" applyProtection="1">
      <protection locked="0"/>
    </xf>
    <xf numFmtId="0" fontId="25" fillId="0" borderId="0" xfId="0" applyFont="1" applyFill="1" applyProtection="1">
      <protection locked="0"/>
    </xf>
    <xf numFmtId="2" fontId="18" fillId="0" borderId="0" xfId="0" applyNumberFormat="1" applyFont="1" applyFill="1" applyBorder="1" applyAlignment="1" applyProtection="1">
      <alignment horizontal="left"/>
      <protection locked="0"/>
    </xf>
    <xf numFmtId="2" fontId="25" fillId="0" borderId="0" xfId="0" applyNumberFormat="1" applyFont="1" applyFill="1" applyBorder="1" applyProtection="1">
      <protection locked="0"/>
    </xf>
    <xf numFmtId="0" fontId="10" fillId="0" borderId="0" xfId="0" applyFont="1" applyFill="1" applyBorder="1" applyAlignment="1" applyProtection="1">
      <protection locked="0"/>
    </xf>
    <xf numFmtId="0" fontId="10" fillId="0" borderId="0" xfId="0"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0" fontId="1" fillId="0" borderId="0" xfId="0" quotePrefix="1" applyFont="1" applyFill="1" applyBorder="1" applyAlignment="1" applyProtection="1">
      <alignment horizontal="center"/>
      <protection locked="0"/>
    </xf>
    <xf numFmtId="169" fontId="17" fillId="0" borderId="0" xfId="0" applyNumberFormat="1" applyFont="1" applyFill="1" applyProtection="1">
      <protection locked="0"/>
    </xf>
    <xf numFmtId="1" fontId="22" fillId="0" borderId="0" xfId="0" applyNumberFormat="1" applyFont="1" applyFill="1" applyAlignment="1" applyProtection="1">
      <alignment horizontal="center"/>
      <protection locked="0"/>
    </xf>
    <xf numFmtId="0" fontId="22" fillId="0" borderId="0" xfId="0" applyFont="1" applyFill="1" applyProtection="1">
      <protection locked="0"/>
    </xf>
    <xf numFmtId="0" fontId="22" fillId="0" borderId="0" xfId="0" applyFont="1" applyFill="1" applyAlignment="1" applyProtection="1">
      <alignment horizontal="center"/>
      <protection locked="0"/>
    </xf>
    <xf numFmtId="165" fontId="13" fillId="4" borderId="5" xfId="0" applyNumberFormat="1" applyFont="1" applyFill="1" applyBorder="1" applyAlignment="1" applyProtection="1">
      <alignment horizontal="center" wrapText="1"/>
    </xf>
    <xf numFmtId="2" fontId="13" fillId="4" borderId="5" xfId="0" applyNumberFormat="1" applyFont="1" applyFill="1" applyBorder="1" applyAlignment="1" applyProtection="1">
      <alignment horizontal="center" wrapText="1"/>
    </xf>
    <xf numFmtId="1" fontId="13" fillId="4" borderId="5" xfId="0" applyNumberFormat="1" applyFont="1" applyFill="1" applyBorder="1" applyAlignment="1" applyProtection="1">
      <alignment horizontal="center" wrapText="1"/>
    </xf>
    <xf numFmtId="0" fontId="16" fillId="4" borderId="5" xfId="0" applyFont="1" applyFill="1" applyBorder="1" applyAlignment="1" applyProtection="1">
      <alignment horizontal="center" wrapText="1"/>
    </xf>
    <xf numFmtId="165" fontId="16" fillId="4" borderId="5" xfId="0" applyNumberFormat="1" applyFont="1" applyFill="1" applyBorder="1" applyAlignment="1" applyProtection="1">
      <alignment horizontal="center" wrapText="1"/>
    </xf>
    <xf numFmtId="168" fontId="16" fillId="4" borderId="5" xfId="0" applyNumberFormat="1" applyFont="1" applyFill="1" applyBorder="1" applyAlignment="1" applyProtection="1">
      <alignment horizontal="center" wrapText="1"/>
    </xf>
    <xf numFmtId="8" fontId="16" fillId="4" borderId="5" xfId="0" applyNumberFormat="1" applyFont="1" applyFill="1" applyBorder="1" applyAlignment="1" applyProtection="1">
      <alignment horizontal="center" wrapText="1"/>
    </xf>
    <xf numFmtId="0" fontId="0" fillId="4" borderId="0" xfId="0" applyFill="1" applyProtection="1"/>
    <xf numFmtId="168" fontId="16" fillId="4" borderId="5" xfId="1" applyNumberFormat="1" applyFont="1" applyFill="1" applyBorder="1" applyAlignment="1" applyProtection="1">
      <alignment horizontal="center" wrapText="1"/>
    </xf>
    <xf numFmtId="169" fontId="13" fillId="4" borderId="5" xfId="0" applyNumberFormat="1" applyFont="1" applyFill="1" applyBorder="1" applyAlignment="1" applyProtection="1">
      <alignment horizontal="center" wrapText="1"/>
    </xf>
    <xf numFmtId="1" fontId="16" fillId="4" borderId="5" xfId="3" applyNumberFormat="1" applyFont="1" applyFill="1" applyBorder="1" applyAlignment="1" applyProtection="1">
      <alignment horizontal="center" wrapText="1"/>
    </xf>
    <xf numFmtId="9" fontId="16" fillId="4" borderId="5" xfId="3" applyFont="1" applyFill="1" applyBorder="1" applyAlignment="1" applyProtection="1">
      <alignment horizontal="center" wrapText="1"/>
    </xf>
    <xf numFmtId="6" fontId="16" fillId="4" borderId="5" xfId="0" applyNumberFormat="1" applyFont="1" applyFill="1" applyBorder="1" applyAlignment="1" applyProtection="1">
      <alignment horizontal="center" wrapText="1"/>
    </xf>
    <xf numFmtId="6" fontId="16" fillId="4" borderId="7" xfId="0" applyNumberFormat="1" applyFont="1" applyFill="1" applyBorder="1" applyAlignment="1" applyProtection="1">
      <alignment horizontal="center" wrapText="1"/>
    </xf>
    <xf numFmtId="0" fontId="29" fillId="2" borderId="0" xfId="0" applyFont="1" applyFill="1" applyProtection="1">
      <protection locked="0"/>
    </xf>
    <xf numFmtId="2" fontId="0" fillId="2" borderId="0" xfId="0" applyNumberFormat="1" applyFill="1" applyProtection="1">
      <protection locked="0"/>
    </xf>
    <xf numFmtId="11" fontId="0" fillId="2" borderId="0" xfId="0" applyNumberFormat="1" applyFill="1" applyProtection="1">
      <protection locked="0"/>
    </xf>
    <xf numFmtId="0" fontId="30" fillId="2" borderId="0" xfId="0" applyFont="1" applyFill="1" applyProtection="1">
      <protection locked="0"/>
    </xf>
    <xf numFmtId="165" fontId="30" fillId="2" borderId="0" xfId="0" applyNumberFormat="1" applyFont="1" applyFill="1" applyAlignment="1" applyProtection="1">
      <alignment horizontal="center"/>
      <protection locked="0"/>
    </xf>
    <xf numFmtId="0" fontId="30" fillId="2" borderId="0" xfId="0" applyFont="1" applyFill="1" applyAlignment="1" applyProtection="1">
      <alignment horizontal="center"/>
      <protection locked="0"/>
    </xf>
    <xf numFmtId="0" fontId="39" fillId="2" borderId="0" xfId="0" applyFont="1" applyFill="1" applyProtection="1">
      <protection locked="0"/>
    </xf>
    <xf numFmtId="0" fontId="27" fillId="9" borderId="3" xfId="0" applyFont="1" applyFill="1" applyBorder="1" applyAlignment="1" applyProtection="1">
      <alignment horizontal="right"/>
    </xf>
    <xf numFmtId="0" fontId="27" fillId="9" borderId="0" xfId="0" applyFont="1" applyFill="1" applyProtection="1"/>
    <xf numFmtId="0" fontId="27" fillId="9" borderId="5" xfId="0" applyFont="1" applyFill="1" applyBorder="1" applyAlignment="1" applyProtection="1">
      <alignment horizontal="right"/>
    </xf>
    <xf numFmtId="0" fontId="27" fillId="9" borderId="8" xfId="0" applyFont="1" applyFill="1" applyBorder="1" applyProtection="1"/>
    <xf numFmtId="0" fontId="30" fillId="9" borderId="9" xfId="5" applyFont="1" applyFill="1" applyBorder="1" applyProtection="1"/>
    <xf numFmtId="0" fontId="40" fillId="9" borderId="9" xfId="5" applyFont="1" applyFill="1" applyBorder="1" applyProtection="1"/>
    <xf numFmtId="0" fontId="30" fillId="9" borderId="3" xfId="5" applyFont="1" applyFill="1" applyBorder="1" applyProtection="1"/>
    <xf numFmtId="0" fontId="29" fillId="9" borderId="4" xfId="5" applyFont="1" applyFill="1" applyBorder="1" applyProtection="1"/>
    <xf numFmtId="0" fontId="30" fillId="9" borderId="0" xfId="5" applyFont="1" applyFill="1" applyBorder="1" applyProtection="1"/>
    <xf numFmtId="0" fontId="40" fillId="9" borderId="0" xfId="5" applyFont="1" applyFill="1" applyBorder="1" applyProtection="1"/>
    <xf numFmtId="0" fontId="30" fillId="9" borderId="5" xfId="5" applyFont="1" applyFill="1" applyBorder="1" applyProtection="1"/>
    <xf numFmtId="0" fontId="30" fillId="9" borderId="7" xfId="5" applyFont="1" applyFill="1" applyBorder="1" applyProtection="1"/>
    <xf numFmtId="0" fontId="13" fillId="4" borderId="5" xfId="0" applyFont="1" applyFill="1" applyBorder="1" applyAlignment="1" applyProtection="1">
      <alignment horizontal="center" wrapText="1"/>
      <protection locked="0"/>
    </xf>
    <xf numFmtId="165" fontId="13" fillId="4" borderId="3" xfId="0" applyNumberFormat="1" applyFont="1" applyFill="1" applyBorder="1" applyAlignment="1" applyProtection="1">
      <alignment horizontal="center" wrapText="1"/>
    </xf>
    <xf numFmtId="165" fontId="16" fillId="4" borderId="9" xfId="0" applyNumberFormat="1" applyFont="1" applyFill="1" applyBorder="1" applyAlignment="1" applyProtection="1">
      <alignment horizontal="center"/>
    </xf>
    <xf numFmtId="0" fontId="43" fillId="2" borderId="0" xfId="0" applyFont="1" applyFill="1" applyAlignment="1" applyProtection="1">
      <alignment vertical="center"/>
      <protection locked="0"/>
    </xf>
    <xf numFmtId="0" fontId="29" fillId="13" borderId="11" xfId="5" applyFont="1" applyFill="1" applyBorder="1" applyProtection="1"/>
    <xf numFmtId="0" fontId="29" fillId="13" borderId="11" xfId="5" applyFont="1" applyFill="1" applyBorder="1" applyAlignment="1" applyProtection="1">
      <alignment horizontal="center" vertical="top" wrapText="1"/>
    </xf>
    <xf numFmtId="0" fontId="28" fillId="14" borderId="11" xfId="0" applyFont="1" applyFill="1" applyBorder="1" applyAlignment="1" applyProtection="1">
      <alignment horizontal="center"/>
    </xf>
    <xf numFmtId="0" fontId="27" fillId="13" borderId="0" xfId="0" applyFont="1" applyFill="1" applyProtection="1"/>
    <xf numFmtId="0" fontId="27" fillId="14" borderId="0" xfId="0" applyFont="1" applyFill="1" applyAlignment="1" applyProtection="1">
      <alignment horizontal="center"/>
    </xf>
    <xf numFmtId="0" fontId="29" fillId="13" borderId="0" xfId="5" applyFont="1" applyFill="1" applyBorder="1" applyProtection="1"/>
    <xf numFmtId="0" fontId="28" fillId="14" borderId="0" xfId="0" applyFont="1" applyFill="1" applyAlignment="1" applyProtection="1">
      <alignment horizontal="center"/>
    </xf>
    <xf numFmtId="165" fontId="30" fillId="13" borderId="0" xfId="5" applyNumberFormat="1" applyFont="1" applyFill="1" applyBorder="1" applyProtection="1"/>
    <xf numFmtId="0" fontId="30" fillId="13" borderId="0" xfId="5" applyFont="1" applyFill="1" applyBorder="1" applyProtection="1"/>
    <xf numFmtId="0" fontId="29" fillId="13" borderId="0" xfId="5" applyFont="1" applyFill="1" applyBorder="1" applyAlignment="1" applyProtection="1"/>
    <xf numFmtId="2" fontId="30" fillId="13" borderId="0" xfId="5" applyNumberFormat="1" applyFont="1" applyFill="1" applyBorder="1" applyProtection="1"/>
    <xf numFmtId="0" fontId="28" fillId="13" borderId="0" xfId="0" applyFont="1" applyFill="1" applyBorder="1" applyProtection="1"/>
    <xf numFmtId="1" fontId="28" fillId="13" borderId="0" xfId="0" applyNumberFormat="1" applyFont="1" applyFill="1" applyBorder="1" applyProtection="1"/>
    <xf numFmtId="1" fontId="27" fillId="13" borderId="0" xfId="0" applyNumberFormat="1" applyFont="1" applyFill="1" applyProtection="1"/>
    <xf numFmtId="172" fontId="27" fillId="13" borderId="0" xfId="0" applyNumberFormat="1" applyFont="1" applyFill="1" applyProtection="1"/>
    <xf numFmtId="0" fontId="27" fillId="13" borderId="0" xfId="0" applyFont="1" applyFill="1" applyBorder="1" applyProtection="1"/>
    <xf numFmtId="0" fontId="28" fillId="13" borderId="8" xfId="0" applyFont="1" applyFill="1" applyBorder="1" applyProtection="1"/>
    <xf numFmtId="164" fontId="27" fillId="13" borderId="8" xfId="0" applyNumberFormat="1" applyFont="1" applyFill="1" applyBorder="1" applyProtection="1"/>
    <xf numFmtId="172" fontId="27" fillId="13" borderId="8" xfId="0" applyNumberFormat="1" applyFont="1" applyFill="1" applyBorder="1" applyProtection="1"/>
    <xf numFmtId="0" fontId="27" fillId="13" borderId="8" xfId="0" applyFont="1" applyFill="1" applyBorder="1" applyProtection="1"/>
    <xf numFmtId="0" fontId="27" fillId="14" borderId="8" xfId="0" applyFont="1" applyFill="1" applyBorder="1" applyAlignment="1" applyProtection="1">
      <alignment horizontal="center"/>
    </xf>
    <xf numFmtId="0" fontId="29" fillId="10" borderId="11" xfId="4" applyFont="1" applyFill="1" applyBorder="1" applyProtection="1"/>
    <xf numFmtId="0" fontId="29" fillId="10" borderId="11" xfId="4" applyFont="1" applyFill="1" applyBorder="1" applyAlignment="1" applyProtection="1">
      <alignment horizontal="center" vertical="top"/>
    </xf>
    <xf numFmtId="0" fontId="28" fillId="12" borderId="11" xfId="0" applyFont="1" applyFill="1" applyBorder="1" applyAlignment="1" applyProtection="1">
      <alignment horizontal="center"/>
    </xf>
    <xf numFmtId="0" fontId="29" fillId="10" borderId="0" xfId="4" applyFont="1" applyFill="1" applyBorder="1" applyProtection="1"/>
    <xf numFmtId="0" fontId="30" fillId="10" borderId="0" xfId="4" applyFont="1" applyFill="1" applyBorder="1" applyProtection="1"/>
    <xf numFmtId="0" fontId="27" fillId="10" borderId="0" xfId="0" applyFont="1" applyFill="1" applyProtection="1"/>
    <xf numFmtId="0" fontId="27" fillId="12" borderId="0" xfId="0" applyFont="1" applyFill="1" applyAlignment="1" applyProtection="1">
      <alignment horizontal="center"/>
    </xf>
    <xf numFmtId="0" fontId="29" fillId="10" borderId="8" xfId="4" applyFont="1" applyFill="1" applyBorder="1" applyProtection="1"/>
    <xf numFmtId="0" fontId="30" fillId="10" borderId="8" xfId="4" applyFont="1" applyFill="1" applyBorder="1" applyProtection="1"/>
    <xf numFmtId="0" fontId="27" fillId="10" borderId="8" xfId="0" applyFont="1" applyFill="1" applyBorder="1" applyProtection="1"/>
    <xf numFmtId="0" fontId="27" fillId="12" borderId="8" xfId="0" applyFont="1" applyFill="1" applyBorder="1" applyAlignment="1" applyProtection="1">
      <alignment horizontal="center"/>
    </xf>
    <xf numFmtId="0" fontId="27" fillId="10" borderId="0" xfId="0" applyFont="1" applyFill="1" applyAlignment="1" applyProtection="1">
      <alignment horizontal="right"/>
    </xf>
    <xf numFmtId="0" fontId="28" fillId="12" borderId="0" xfId="0" applyFont="1" applyFill="1" applyAlignment="1" applyProtection="1">
      <alignment horizontal="center"/>
    </xf>
    <xf numFmtId="164" fontId="30" fillId="10" borderId="0" xfId="4" applyNumberFormat="1" applyFont="1" applyFill="1" applyBorder="1" applyProtection="1"/>
    <xf numFmtId="1" fontId="30" fillId="10" borderId="0" xfId="4" applyNumberFormat="1" applyFont="1" applyFill="1" applyBorder="1" applyProtection="1"/>
    <xf numFmtId="0" fontId="27" fillId="12" borderId="0" xfId="0" applyFont="1" applyFill="1" applyBorder="1" applyProtection="1"/>
    <xf numFmtId="0" fontId="30" fillId="12" borderId="0" xfId="4" applyFont="1" applyFill="1" applyBorder="1" applyProtection="1"/>
    <xf numFmtId="0" fontId="27" fillId="12" borderId="0" xfId="0" applyFont="1" applyFill="1" applyBorder="1" applyAlignment="1" applyProtection="1">
      <alignment horizontal="center"/>
    </xf>
    <xf numFmtId="172" fontId="30" fillId="10" borderId="0" xfId="4" applyNumberFormat="1" applyFont="1" applyFill="1" applyBorder="1" applyProtection="1"/>
    <xf numFmtId="0" fontId="27" fillId="10" borderId="0" xfId="0" applyFont="1" applyFill="1" applyBorder="1" applyProtection="1"/>
    <xf numFmtId="165" fontId="27" fillId="10" borderId="0" xfId="0" applyNumberFormat="1" applyFont="1" applyFill="1" applyBorder="1" applyProtection="1"/>
    <xf numFmtId="165" fontId="30" fillId="10" borderId="0" xfId="4" applyNumberFormat="1" applyFont="1" applyFill="1" applyBorder="1" applyProtection="1"/>
    <xf numFmtId="164" fontId="27" fillId="10" borderId="8" xfId="0" applyNumberFormat="1" applyFont="1" applyFill="1" applyBorder="1" applyProtection="1"/>
    <xf numFmtId="0" fontId="28" fillId="15" borderId="10" xfId="0" applyFont="1" applyFill="1" applyBorder="1" applyProtection="1"/>
    <xf numFmtId="0" fontId="28" fillId="15" borderId="12" xfId="0" applyFont="1" applyFill="1" applyBorder="1" applyProtection="1"/>
    <xf numFmtId="176" fontId="27" fillId="15" borderId="0" xfId="0" applyNumberFormat="1" applyFont="1" applyFill="1" applyProtection="1"/>
    <xf numFmtId="0" fontId="27" fillId="15" borderId="4" xfId="0" applyFont="1" applyFill="1" applyBorder="1" applyProtection="1"/>
    <xf numFmtId="0" fontId="28" fillId="15" borderId="4" xfId="0" applyFont="1" applyFill="1" applyBorder="1" applyProtection="1"/>
    <xf numFmtId="174" fontId="27" fillId="15" borderId="0" xfId="0" applyNumberFormat="1" applyFont="1" applyFill="1" applyBorder="1" applyProtection="1"/>
    <xf numFmtId="0" fontId="27" fillId="15" borderId="6" xfId="0" applyFont="1" applyFill="1" applyBorder="1" applyProtection="1"/>
    <xf numFmtId="0" fontId="27" fillId="15" borderId="7" xfId="0" applyFont="1" applyFill="1" applyBorder="1" applyProtection="1"/>
    <xf numFmtId="174" fontId="27" fillId="15" borderId="0" xfId="0" applyNumberFormat="1" applyFont="1" applyFill="1" applyProtection="1"/>
    <xf numFmtId="0" fontId="28" fillId="16" borderId="0" xfId="0" applyFont="1" applyFill="1" applyAlignment="1" applyProtection="1">
      <alignment horizontal="left"/>
    </xf>
    <xf numFmtId="0" fontId="29" fillId="2" borderId="0" xfId="4" applyFont="1" applyFill="1" applyBorder="1" applyAlignment="1" applyProtection="1">
      <alignment horizontal="center" vertical="top" wrapText="1"/>
    </xf>
    <xf numFmtId="172" fontId="27" fillId="2" borderId="0" xfId="0" applyNumberFormat="1" applyFont="1" applyFill="1" applyProtection="1"/>
    <xf numFmtId="0" fontId="28" fillId="16" borderId="0" xfId="0" applyFont="1" applyFill="1" applyBorder="1" applyProtection="1"/>
    <xf numFmtId="0" fontId="27" fillId="17" borderId="0" xfId="0" applyFont="1" applyFill="1" applyBorder="1" applyProtection="1"/>
    <xf numFmtId="0" fontId="26" fillId="2" borderId="0" xfId="0" applyFont="1" applyFill="1" applyBorder="1" applyProtection="1"/>
    <xf numFmtId="0" fontId="38" fillId="2" borderId="0" xfId="0" applyFont="1" applyFill="1" applyBorder="1" applyProtection="1"/>
    <xf numFmtId="0" fontId="28" fillId="20" borderId="11" xfId="0" applyFont="1" applyFill="1" applyBorder="1" applyProtection="1"/>
    <xf numFmtId="0" fontId="27" fillId="20" borderId="0" xfId="0" applyFont="1" applyFill="1" applyBorder="1" applyProtection="1"/>
    <xf numFmtId="0" fontId="27" fillId="20" borderId="8" xfId="0" applyFont="1" applyFill="1" applyBorder="1" applyProtection="1"/>
    <xf numFmtId="0" fontId="28" fillId="20" borderId="9" xfId="0" applyFont="1" applyFill="1" applyBorder="1" applyProtection="1"/>
    <xf numFmtId="0" fontId="28" fillId="20" borderId="9" xfId="0" applyFont="1" applyFill="1" applyBorder="1" applyAlignment="1" applyProtection="1">
      <alignment horizontal="center"/>
    </xf>
    <xf numFmtId="0" fontId="28" fillId="20" borderId="8" xfId="0" applyFont="1" applyFill="1" applyBorder="1" applyProtection="1"/>
    <xf numFmtId="0" fontId="28" fillId="20" borderId="8" xfId="0" applyFont="1" applyFill="1" applyBorder="1" applyAlignment="1" applyProtection="1">
      <alignment horizontal="center"/>
    </xf>
    <xf numFmtId="0" fontId="28" fillId="20" borderId="0" xfId="0" applyFont="1" applyFill="1" applyBorder="1" applyProtection="1"/>
    <xf numFmtId="9" fontId="28" fillId="20" borderId="0" xfId="0" applyNumberFormat="1" applyFont="1" applyFill="1" applyBorder="1" applyProtection="1"/>
    <xf numFmtId="165" fontId="28" fillId="20" borderId="0" xfId="0" applyNumberFormat="1" applyFont="1" applyFill="1" applyBorder="1" applyProtection="1"/>
    <xf numFmtId="9" fontId="27" fillId="20" borderId="0" xfId="0" applyNumberFormat="1" applyFont="1" applyFill="1" applyBorder="1" applyProtection="1"/>
    <xf numFmtId="165" fontId="27" fillId="20" borderId="0" xfId="0" applyNumberFormat="1" applyFont="1" applyFill="1" applyBorder="1" applyProtection="1"/>
    <xf numFmtId="0" fontId="27" fillId="20" borderId="0" xfId="0" applyFont="1" applyFill="1" applyBorder="1" applyAlignment="1" applyProtection="1">
      <alignment horizontal="center"/>
    </xf>
    <xf numFmtId="0" fontId="0" fillId="20" borderId="8" xfId="0" applyFill="1" applyBorder="1" applyProtection="1"/>
    <xf numFmtId="0" fontId="27" fillId="2" borderId="0" xfId="0" applyFont="1" applyFill="1" applyBorder="1" applyAlignment="1" applyProtection="1">
      <alignment vertical="top" wrapText="1"/>
    </xf>
    <xf numFmtId="0" fontId="26" fillId="2" borderId="0" xfId="0" applyFont="1" applyFill="1" applyProtection="1"/>
    <xf numFmtId="0" fontId="28" fillId="21" borderId="11" xfId="0" applyFont="1" applyFill="1" applyBorder="1" applyProtection="1"/>
    <xf numFmtId="0" fontId="27" fillId="21" borderId="11" xfId="0" applyFont="1" applyFill="1" applyBorder="1" applyProtection="1"/>
    <xf numFmtId="0" fontId="27" fillId="21" borderId="0" xfId="0" applyFont="1" applyFill="1" applyProtection="1"/>
    <xf numFmtId="0" fontId="27" fillId="21" borderId="0" xfId="0" applyFont="1" applyFill="1" applyBorder="1" applyProtection="1"/>
    <xf numFmtId="0" fontId="27" fillId="21" borderId="9" xfId="0" applyFont="1" applyFill="1" applyBorder="1" applyProtection="1"/>
    <xf numFmtId="0" fontId="27" fillId="21" borderId="8" xfId="0" applyFont="1" applyFill="1" applyBorder="1" applyProtection="1"/>
    <xf numFmtId="0" fontId="28" fillId="21" borderId="0" xfId="0" applyFont="1" applyFill="1" applyProtection="1"/>
    <xf numFmtId="2" fontId="27" fillId="21" borderId="0" xfId="0" applyNumberFormat="1" applyFont="1" applyFill="1" applyProtection="1"/>
    <xf numFmtId="0" fontId="27" fillId="21" borderId="10" xfId="0" applyFont="1" applyFill="1" applyBorder="1" applyProtection="1"/>
    <xf numFmtId="0" fontId="27" fillId="21" borderId="12" xfId="0" applyFont="1" applyFill="1" applyBorder="1" applyProtection="1"/>
    <xf numFmtId="0" fontId="27" fillId="21" borderId="4" xfId="0" applyFont="1" applyFill="1" applyBorder="1" applyProtection="1"/>
    <xf numFmtId="0" fontId="27" fillId="21" borderId="0" xfId="0" applyFont="1" applyFill="1" applyBorder="1" applyAlignment="1" applyProtection="1">
      <alignment horizontal="right"/>
    </xf>
    <xf numFmtId="0" fontId="27" fillId="21" borderId="5" xfId="0" applyFont="1" applyFill="1" applyBorder="1" applyAlignment="1" applyProtection="1">
      <alignment horizontal="right"/>
    </xf>
    <xf numFmtId="0" fontId="27" fillId="21" borderId="6" xfId="0" applyFont="1" applyFill="1" applyBorder="1" applyProtection="1"/>
    <xf numFmtId="0" fontId="27" fillId="21" borderId="8" xfId="0" applyFont="1" applyFill="1" applyBorder="1" applyAlignment="1" applyProtection="1">
      <alignment horizontal="right"/>
    </xf>
    <xf numFmtId="0" fontId="27" fillId="21" borderId="7" xfId="0" applyFont="1" applyFill="1" applyBorder="1" applyAlignment="1" applyProtection="1">
      <alignment horizontal="right"/>
    </xf>
    <xf numFmtId="172" fontId="27" fillId="21" borderId="0" xfId="0" applyNumberFormat="1" applyFont="1" applyFill="1" applyProtection="1"/>
    <xf numFmtId="172" fontId="28" fillId="21" borderId="0" xfId="0" applyNumberFormat="1" applyFont="1" applyFill="1" applyProtection="1"/>
    <xf numFmtId="172" fontId="27" fillId="21" borderId="0" xfId="0" applyNumberFormat="1" applyFont="1" applyFill="1" applyBorder="1" applyProtection="1"/>
    <xf numFmtId="0" fontId="28" fillId="21" borderId="0" xfId="0" applyFont="1" applyFill="1" applyBorder="1" applyAlignment="1" applyProtection="1">
      <alignment vertical="top" wrapText="1"/>
    </xf>
    <xf numFmtId="0" fontId="28" fillId="21" borderId="10" xfId="0" applyFont="1" applyFill="1" applyBorder="1" applyProtection="1"/>
    <xf numFmtId="0" fontId="28" fillId="21" borderId="6" xfId="0" applyFont="1" applyFill="1" applyBorder="1" applyProtection="1"/>
    <xf numFmtId="0" fontId="28" fillId="21" borderId="8" xfId="0" applyFont="1" applyFill="1" applyBorder="1" applyProtection="1"/>
    <xf numFmtId="0" fontId="28" fillId="21" borderId="7" xfId="0" applyFont="1" applyFill="1" applyBorder="1" applyProtection="1"/>
    <xf numFmtId="0" fontId="27" fillId="21" borderId="4" xfId="0" applyFont="1" applyFill="1" applyBorder="1" applyAlignment="1" applyProtection="1">
      <alignment horizontal="left" vertical="top" wrapText="1"/>
    </xf>
    <xf numFmtId="0" fontId="27" fillId="21" borderId="0" xfId="0" applyFont="1" applyFill="1" applyBorder="1" applyAlignment="1" applyProtection="1">
      <alignment horizontal="right" vertical="top" wrapText="1"/>
    </xf>
    <xf numFmtId="0" fontId="27" fillId="21" borderId="5" xfId="0" applyFont="1" applyFill="1" applyBorder="1" applyAlignment="1" applyProtection="1">
      <alignment horizontal="right" vertical="top" wrapText="1"/>
    </xf>
    <xf numFmtId="0" fontId="27" fillId="21" borderId="0" xfId="0" applyFont="1" applyFill="1" applyBorder="1" applyAlignment="1" applyProtection="1">
      <alignment vertical="top" wrapText="1"/>
    </xf>
    <xf numFmtId="0" fontId="27" fillId="21" borderId="5" xfId="0" applyFont="1" applyFill="1" applyBorder="1" applyAlignment="1" applyProtection="1">
      <alignment vertical="top" wrapText="1"/>
    </xf>
    <xf numFmtId="0" fontId="30" fillId="21" borderId="6" xfId="0" applyFont="1" applyFill="1" applyBorder="1" applyProtection="1"/>
    <xf numFmtId="0" fontId="30" fillId="21" borderId="8" xfId="0" applyFont="1" applyFill="1" applyBorder="1" applyProtection="1"/>
    <xf numFmtId="0" fontId="30" fillId="21" borderId="7" xfId="0" applyFont="1" applyFill="1" applyBorder="1" applyProtection="1"/>
    <xf numFmtId="0" fontId="0" fillId="21" borderId="8" xfId="0" applyFill="1" applyBorder="1" applyProtection="1"/>
    <xf numFmtId="1" fontId="28" fillId="9" borderId="0" xfId="0" applyNumberFormat="1" applyFont="1" applyFill="1" applyBorder="1" applyProtection="1">
      <protection locked="0"/>
    </xf>
    <xf numFmtId="0" fontId="27" fillId="9" borderId="0" xfId="0" applyFont="1" applyFill="1" applyProtection="1">
      <protection locked="0"/>
    </xf>
    <xf numFmtId="0" fontId="0" fillId="9" borderId="0" xfId="0" applyFill="1" applyProtection="1">
      <protection locked="0"/>
    </xf>
    <xf numFmtId="0" fontId="28" fillId="20" borderId="0" xfId="0" applyFont="1" applyFill="1" applyBorder="1" applyAlignment="1" applyProtection="1">
      <alignment horizontal="right"/>
    </xf>
    <xf numFmtId="1" fontId="17" fillId="0" borderId="0" xfId="0" applyNumberFormat="1" applyFont="1" applyFill="1" applyBorder="1" applyAlignment="1" applyProtection="1">
      <alignment horizontal="right"/>
      <protection locked="0"/>
    </xf>
    <xf numFmtId="168" fontId="0" fillId="0" borderId="0" xfId="0" applyNumberFormat="1" applyFill="1" applyProtection="1">
      <protection locked="0"/>
    </xf>
    <xf numFmtId="0" fontId="0" fillId="0" borderId="0" xfId="0" applyFont="1" applyFill="1" applyAlignment="1" applyProtection="1">
      <alignment horizontal="center"/>
      <protection locked="0"/>
    </xf>
    <xf numFmtId="11" fontId="17" fillId="0" borderId="0" xfId="0" applyNumberFormat="1" applyFont="1" applyFill="1" applyAlignment="1" applyProtection="1">
      <alignment horizontal="center"/>
      <protection locked="0"/>
    </xf>
    <xf numFmtId="171" fontId="17" fillId="0" borderId="0" xfId="1" applyNumberFormat="1" applyFont="1" applyFill="1" applyAlignment="1" applyProtection="1">
      <alignment horizontal="center"/>
      <protection locked="0"/>
    </xf>
    <xf numFmtId="169" fontId="0" fillId="0" borderId="0" xfId="0" applyNumberFormat="1" applyFill="1" applyProtection="1">
      <protection locked="0"/>
    </xf>
    <xf numFmtId="0" fontId="22" fillId="0" borderId="0" xfId="0" applyFont="1" applyProtection="1">
      <protection locked="0"/>
    </xf>
    <xf numFmtId="0" fontId="22" fillId="0" borderId="0" xfId="0" applyFont="1" applyAlignment="1" applyProtection="1">
      <alignment horizontal="center"/>
      <protection locked="0"/>
    </xf>
    <xf numFmtId="2" fontId="22" fillId="0" borderId="0" xfId="0" applyNumberFormat="1" applyFont="1" applyFill="1" applyAlignment="1" applyProtection="1">
      <alignment horizontal="center"/>
      <protection locked="0"/>
    </xf>
    <xf numFmtId="0" fontId="22" fillId="0" borderId="0" xfId="0" applyFont="1"/>
    <xf numFmtId="2" fontId="22" fillId="0" borderId="0" xfId="0" applyNumberFormat="1" applyFont="1" applyAlignment="1" applyProtection="1">
      <alignment horizontal="center"/>
      <protection locked="0"/>
    </xf>
    <xf numFmtId="165" fontId="22" fillId="0" borderId="0" xfId="0" applyNumberFormat="1" applyFont="1" applyAlignment="1">
      <alignment horizontal="center"/>
    </xf>
    <xf numFmtId="1" fontId="22" fillId="0" borderId="0" xfId="0" applyNumberFormat="1" applyFont="1" applyAlignment="1" applyProtection="1">
      <alignment horizontal="center"/>
      <protection locked="0"/>
    </xf>
    <xf numFmtId="2" fontId="22" fillId="0" borderId="0" xfId="0" applyNumberFormat="1" applyFont="1" applyAlignment="1">
      <alignment horizontal="center"/>
    </xf>
    <xf numFmtId="8" fontId="22" fillId="0" borderId="0" xfId="0" applyNumberFormat="1" applyFont="1" applyAlignment="1" applyProtection="1">
      <alignment horizontal="center"/>
      <protection locked="0"/>
    </xf>
    <xf numFmtId="165" fontId="0" fillId="2" borderId="0" xfId="0" applyNumberFormat="1" applyFill="1" applyProtection="1">
      <protection locked="0"/>
    </xf>
    <xf numFmtId="165" fontId="0" fillId="0" borderId="0" xfId="0" applyNumberFormat="1" applyProtection="1">
      <protection locked="0"/>
    </xf>
    <xf numFmtId="0" fontId="27" fillId="22" borderId="0" xfId="0" applyFont="1" applyFill="1" applyBorder="1" applyAlignment="1" applyProtection="1">
      <alignment vertical="center"/>
    </xf>
    <xf numFmtId="0" fontId="27" fillId="9" borderId="0" xfId="0" applyFont="1" applyFill="1" applyBorder="1" applyAlignment="1" applyProtection="1">
      <alignment vertical="center"/>
    </xf>
    <xf numFmtId="1" fontId="27" fillId="0" borderId="0" xfId="0" applyNumberFormat="1" applyFont="1" applyFill="1" applyBorder="1" applyAlignment="1" applyProtection="1">
      <alignment horizontal="center" vertical="center"/>
      <protection locked="0"/>
    </xf>
    <xf numFmtId="165" fontId="27" fillId="9" borderId="0" xfId="0" applyNumberFormat="1" applyFont="1" applyFill="1" applyBorder="1" applyAlignment="1" applyProtection="1">
      <alignment horizontal="center" vertical="center"/>
    </xf>
    <xf numFmtId="0" fontId="30" fillId="18" borderId="0" xfId="0" applyFont="1" applyFill="1" applyBorder="1" applyAlignment="1" applyProtection="1">
      <alignment horizontal="center"/>
    </xf>
    <xf numFmtId="0" fontId="1" fillId="9" borderId="0" xfId="0" applyFont="1" applyFill="1" applyBorder="1" applyProtection="1"/>
    <xf numFmtId="0" fontId="22" fillId="9" borderId="5" xfId="5" applyFont="1" applyFill="1" applyBorder="1" applyAlignment="1" applyProtection="1">
      <alignment horizontal="right"/>
    </xf>
    <xf numFmtId="3" fontId="17" fillId="0" borderId="0" xfId="0" applyNumberFormat="1" applyFont="1" applyFill="1" applyAlignment="1" applyProtection="1">
      <alignment horizontal="center"/>
      <protection locked="0"/>
    </xf>
    <xf numFmtId="0" fontId="0" fillId="0" borderId="0" xfId="0" applyAlignment="1" applyProtection="1">
      <alignment horizontal="center"/>
      <protection locked="0"/>
    </xf>
    <xf numFmtId="1" fontId="17" fillId="0" borderId="0" xfId="3" applyNumberFormat="1" applyFont="1" applyFill="1" applyAlignment="1" applyProtection="1">
      <alignment horizontal="center"/>
      <protection locked="0"/>
    </xf>
    <xf numFmtId="3" fontId="16" fillId="5" borderId="8" xfId="6" applyNumberFormat="1" applyFont="1" applyFill="1" applyBorder="1" applyAlignment="1" applyProtection="1">
      <alignment horizontal="center"/>
    </xf>
    <xf numFmtId="3" fontId="16" fillId="5" borderId="7" xfId="0" applyNumberFormat="1" applyFont="1" applyFill="1" applyBorder="1" applyAlignment="1" applyProtection="1">
      <alignment horizontal="center" wrapText="1"/>
    </xf>
    <xf numFmtId="164" fontId="22" fillId="0" borderId="0" xfId="0" applyNumberFormat="1" applyFont="1" applyFill="1" applyAlignment="1" applyProtection="1">
      <alignment horizontal="center"/>
      <protection locked="0"/>
    </xf>
    <xf numFmtId="164" fontId="22" fillId="0" borderId="0" xfId="0" applyNumberFormat="1" applyFont="1" applyProtection="1">
      <protection locked="0"/>
    </xf>
    <xf numFmtId="164" fontId="0" fillId="0" borderId="0" xfId="0" applyNumberFormat="1" applyFill="1" applyAlignment="1" applyProtection="1">
      <alignment horizontal="center"/>
      <protection locked="0"/>
    </xf>
    <xf numFmtId="0" fontId="16" fillId="6" borderId="4" xfId="0" applyFont="1" applyFill="1" applyBorder="1" applyProtection="1"/>
    <xf numFmtId="165" fontId="16" fillId="6" borderId="5" xfId="0" applyNumberFormat="1" applyFont="1" applyFill="1" applyBorder="1" applyAlignment="1" applyProtection="1">
      <alignment horizontal="center" wrapText="1"/>
    </xf>
    <xf numFmtId="0" fontId="13" fillId="6" borderId="4" xfId="0" applyFont="1" applyFill="1" applyBorder="1" applyProtection="1"/>
    <xf numFmtId="169" fontId="13" fillId="6" borderId="5" xfId="0" applyNumberFormat="1" applyFont="1" applyFill="1" applyBorder="1" applyAlignment="1" applyProtection="1">
      <alignment horizontal="center" wrapText="1"/>
    </xf>
    <xf numFmtId="169" fontId="16" fillId="6" borderId="5" xfId="0" applyNumberFormat="1" applyFont="1" applyFill="1" applyBorder="1" applyAlignment="1" applyProtection="1">
      <alignment horizontal="center" wrapText="1"/>
    </xf>
    <xf numFmtId="10" fontId="13" fillId="6" borderId="5" xfId="3" applyNumberFormat="1" applyFont="1" applyFill="1" applyBorder="1" applyAlignment="1" applyProtection="1">
      <alignment horizontal="center" wrapText="1"/>
    </xf>
    <xf numFmtId="0" fontId="13" fillId="6" borderId="6" xfId="0" applyFont="1" applyFill="1" applyBorder="1" applyProtection="1"/>
    <xf numFmtId="2" fontId="16" fillId="6" borderId="7" xfId="0" applyNumberFormat="1" applyFont="1" applyFill="1" applyBorder="1" applyAlignment="1" applyProtection="1">
      <alignment horizontal="center" wrapText="1"/>
    </xf>
    <xf numFmtId="169" fontId="13" fillId="6" borderId="5" xfId="3" applyNumberFormat="1" applyFont="1" applyFill="1" applyBorder="1" applyAlignment="1" applyProtection="1">
      <alignment horizontal="center" wrapText="1"/>
    </xf>
    <xf numFmtId="0" fontId="16" fillId="6" borderId="6" xfId="0" applyFont="1" applyFill="1" applyBorder="1" applyProtection="1"/>
    <xf numFmtId="169" fontId="16" fillId="6" borderId="7" xfId="0" applyNumberFormat="1" applyFont="1" applyFill="1" applyBorder="1" applyAlignment="1" applyProtection="1">
      <alignment horizontal="center"/>
    </xf>
    <xf numFmtId="170" fontId="13" fillId="6" borderId="5" xfId="3" applyNumberFormat="1" applyFont="1" applyFill="1" applyBorder="1" applyAlignment="1" applyProtection="1">
      <alignment horizontal="center" wrapText="1"/>
    </xf>
    <xf numFmtId="165" fontId="13" fillId="6" borderId="5" xfId="0" applyNumberFormat="1" applyFont="1" applyFill="1" applyBorder="1" applyAlignment="1" applyProtection="1">
      <alignment horizontal="center" wrapText="1"/>
    </xf>
    <xf numFmtId="169" fontId="13" fillId="6" borderId="5" xfId="1" applyNumberFormat="1" applyFont="1" applyFill="1" applyBorder="1" applyAlignment="1" applyProtection="1">
      <alignment horizontal="center" wrapText="1"/>
    </xf>
    <xf numFmtId="164" fontId="13" fillId="6" borderId="7" xfId="0" applyNumberFormat="1" applyFont="1" applyFill="1" applyBorder="1" applyAlignment="1" applyProtection="1">
      <alignment horizontal="center" wrapText="1"/>
    </xf>
    <xf numFmtId="164" fontId="16" fillId="6" borderId="7" xfId="0" applyNumberFormat="1" applyFont="1" applyFill="1" applyBorder="1" applyAlignment="1" applyProtection="1">
      <alignment horizontal="center" wrapText="1"/>
    </xf>
    <xf numFmtId="168" fontId="16" fillId="6" borderId="7" xfId="0" applyNumberFormat="1" applyFont="1" applyFill="1" applyBorder="1" applyAlignment="1" applyProtection="1">
      <alignment horizontal="center"/>
    </xf>
    <xf numFmtId="9" fontId="13" fillId="5" borderId="5" xfId="3" applyFont="1" applyFill="1" applyBorder="1" applyAlignment="1" applyProtection="1">
      <alignment horizontal="center" wrapText="1"/>
    </xf>
    <xf numFmtId="0" fontId="30" fillId="9" borderId="0" xfId="5" applyFont="1" applyFill="1" applyBorder="1" applyAlignment="1" applyProtection="1">
      <alignment horizontal="center"/>
      <protection locked="0"/>
    </xf>
    <xf numFmtId="0" fontId="27" fillId="9" borderId="8" xfId="0" applyFont="1" applyFill="1" applyBorder="1" applyProtection="1">
      <protection locked="0"/>
    </xf>
    <xf numFmtId="0" fontId="27" fillId="9" borderId="0" xfId="0" applyFont="1" applyFill="1" applyBorder="1" applyProtection="1">
      <protection locked="0"/>
    </xf>
    <xf numFmtId="0" fontId="28" fillId="9" borderId="2" xfId="0" applyFont="1" applyFill="1" applyBorder="1" applyProtection="1">
      <protection locked="0"/>
    </xf>
    <xf numFmtId="0" fontId="27" fillId="9" borderId="9" xfId="0" applyFont="1" applyFill="1" applyBorder="1" applyProtection="1">
      <protection locked="0"/>
    </xf>
    <xf numFmtId="0" fontId="27" fillId="9" borderId="4" xfId="0" applyFont="1" applyFill="1" applyBorder="1" applyProtection="1">
      <protection locked="0"/>
    </xf>
    <xf numFmtId="0" fontId="27" fillId="9" borderId="6" xfId="0" applyFont="1" applyFill="1" applyBorder="1" applyProtection="1">
      <protection locked="0"/>
    </xf>
    <xf numFmtId="0" fontId="27" fillId="20" borderId="0" xfId="0" applyFont="1" applyFill="1" applyBorder="1" applyAlignment="1" applyProtection="1">
      <alignment horizontal="right"/>
    </xf>
    <xf numFmtId="0" fontId="29" fillId="20" borderId="8" xfId="0" applyFont="1" applyFill="1" applyBorder="1" applyAlignment="1" applyProtection="1">
      <alignment horizontal="left"/>
    </xf>
    <xf numFmtId="0" fontId="22" fillId="2" borderId="0" xfId="0" applyFont="1" applyFill="1" applyProtection="1">
      <protection locked="0"/>
    </xf>
    <xf numFmtId="0" fontId="30" fillId="2" borderId="0" xfId="0" applyFont="1" applyFill="1" applyAlignment="1" applyProtection="1">
      <alignment vertical="center"/>
      <protection locked="0"/>
    </xf>
    <xf numFmtId="0" fontId="27" fillId="2" borderId="0" xfId="0" applyNumberFormat="1" applyFont="1" applyFill="1" applyBorder="1" applyAlignment="1" applyProtection="1">
      <alignment vertical="center"/>
      <protection locked="0"/>
    </xf>
    <xf numFmtId="0" fontId="27" fillId="2" borderId="0" xfId="0" applyNumberFormat="1" applyFont="1" applyFill="1" applyBorder="1" applyAlignment="1" applyProtection="1">
      <protection locked="0"/>
    </xf>
    <xf numFmtId="0" fontId="30" fillId="2" borderId="0" xfId="0" applyFont="1" applyFill="1" applyAlignment="1" applyProtection="1">
      <alignment horizontal="right" vertical="center"/>
      <protection locked="0"/>
    </xf>
    <xf numFmtId="3" fontId="30" fillId="2" borderId="0" xfId="0" applyNumberFormat="1" applyFont="1" applyFill="1" applyProtection="1">
      <protection locked="0"/>
    </xf>
    <xf numFmtId="165" fontId="30" fillId="2" borderId="0" xfId="0" applyNumberFormat="1" applyFont="1" applyFill="1" applyProtection="1">
      <protection locked="0"/>
    </xf>
    <xf numFmtId="0" fontId="28" fillId="9" borderId="8" xfId="0" applyFont="1" applyFill="1" applyBorder="1" applyProtection="1"/>
    <xf numFmtId="0" fontId="0" fillId="2" borderId="0" xfId="0" applyFill="1"/>
    <xf numFmtId="0" fontId="0" fillId="2" borderId="0" xfId="0" applyFill="1" applyProtection="1">
      <protection locked="0"/>
    </xf>
    <xf numFmtId="0" fontId="50" fillId="23" borderId="2" xfId="7" applyFont="1" applyFill="1" applyBorder="1" applyProtection="1"/>
    <xf numFmtId="0" fontId="49" fillId="23" borderId="9" xfId="7" applyFont="1" applyFill="1" applyBorder="1" applyProtection="1"/>
    <xf numFmtId="0" fontId="27" fillId="9" borderId="0" xfId="0" applyFont="1" applyFill="1" applyBorder="1" applyProtection="1"/>
    <xf numFmtId="0" fontId="27" fillId="9" borderId="9" xfId="0" applyFont="1" applyFill="1" applyBorder="1" applyProtection="1"/>
    <xf numFmtId="0" fontId="49" fillId="22" borderId="9" xfId="7" applyFont="1" applyFill="1" applyBorder="1" applyProtection="1"/>
    <xf numFmtId="0" fontId="28" fillId="9" borderId="2" xfId="0" applyFont="1" applyFill="1" applyBorder="1" applyProtection="1"/>
    <xf numFmtId="0" fontId="27" fillId="9" borderId="4" xfId="0" applyFont="1" applyFill="1" applyBorder="1" applyProtection="1"/>
    <xf numFmtId="0" fontId="28" fillId="9" borderId="4" xfId="0" applyFont="1" applyFill="1" applyBorder="1" applyProtection="1"/>
    <xf numFmtId="0" fontId="27" fillId="2" borderId="0" xfId="0" applyFont="1" applyFill="1" applyBorder="1" applyProtection="1">
      <protection locked="0"/>
    </xf>
    <xf numFmtId="0" fontId="30" fillId="9" borderId="4" xfId="5" applyFont="1" applyFill="1" applyBorder="1" applyProtection="1"/>
    <xf numFmtId="0" fontId="27" fillId="9" borderId="5" xfId="0" applyFont="1" applyFill="1" applyBorder="1" applyAlignment="1" applyProtection="1">
      <alignment horizontal="center"/>
    </xf>
    <xf numFmtId="0" fontId="28" fillId="9" borderId="9" xfId="0" applyFont="1" applyFill="1" applyBorder="1" applyAlignment="1" applyProtection="1">
      <alignment horizontal="center"/>
    </xf>
    <xf numFmtId="0" fontId="52" fillId="9" borderId="4" xfId="0" applyNumberFormat="1" applyFont="1" applyFill="1" applyBorder="1" applyAlignment="1" applyProtection="1">
      <alignment horizontal="left" vertical="top"/>
    </xf>
    <xf numFmtId="0" fontId="27" fillId="9" borderId="0" xfId="0" applyFont="1" applyFill="1" applyBorder="1" applyAlignment="1" applyProtection="1"/>
    <xf numFmtId="0" fontId="28" fillId="9" borderId="0" xfId="0" applyFont="1" applyFill="1" applyBorder="1" applyAlignment="1" applyProtection="1">
      <alignment horizontal="center"/>
    </xf>
    <xf numFmtId="0" fontId="27" fillId="9" borderId="6" xfId="0" applyFont="1" applyFill="1" applyBorder="1" applyAlignment="1" applyProtection="1">
      <alignment horizontal="left"/>
    </xf>
    <xf numFmtId="0" fontId="29" fillId="9" borderId="0" xfId="0" applyFont="1" applyFill="1" applyAlignment="1">
      <alignment horizontal="center"/>
    </xf>
    <xf numFmtId="0" fontId="30" fillId="24" borderId="0" xfId="0" applyFont="1" applyFill="1" applyProtection="1">
      <protection locked="0"/>
    </xf>
    <xf numFmtId="0" fontId="30" fillId="24" borderId="0" xfId="0" applyFont="1" applyFill="1" applyProtection="1"/>
    <xf numFmtId="165" fontId="30" fillId="24" borderId="0" xfId="0" applyNumberFormat="1" applyFont="1" applyFill="1" applyProtection="1">
      <protection locked="0"/>
    </xf>
    <xf numFmtId="9" fontId="30" fillId="2" borderId="0" xfId="0" applyNumberFormat="1" applyFont="1" applyFill="1" applyProtection="1">
      <protection locked="0"/>
    </xf>
    <xf numFmtId="0" fontId="28" fillId="9" borderId="3" xfId="0" applyFont="1" applyFill="1" applyBorder="1" applyAlignment="1" applyProtection="1">
      <alignment horizontal="right"/>
    </xf>
    <xf numFmtId="0" fontId="27" fillId="9" borderId="7" xfId="0" applyFont="1" applyFill="1" applyBorder="1" applyAlignment="1" applyProtection="1">
      <alignment horizontal="right"/>
    </xf>
    <xf numFmtId="175" fontId="27" fillId="15" borderId="0" xfId="0" applyNumberFormat="1" applyFont="1" applyFill="1" applyBorder="1" applyProtection="1"/>
    <xf numFmtId="11" fontId="27" fillId="15" borderId="0" xfId="0" applyNumberFormat="1" applyFont="1" applyFill="1" applyBorder="1" applyProtection="1"/>
    <xf numFmtId="0" fontId="27" fillId="9" borderId="9" xfId="0" applyFont="1" applyFill="1" applyBorder="1" applyAlignment="1" applyProtection="1">
      <alignment horizontal="center"/>
    </xf>
    <xf numFmtId="0" fontId="28" fillId="9" borderId="5" xfId="0" applyFont="1" applyFill="1" applyBorder="1" applyAlignment="1" applyProtection="1">
      <alignment horizontal="center"/>
    </xf>
    <xf numFmtId="0" fontId="0" fillId="9" borderId="9" xfId="0" applyFill="1" applyBorder="1" applyProtection="1">
      <protection locked="0"/>
    </xf>
    <xf numFmtId="0" fontId="0" fillId="9" borderId="0" xfId="0" applyFill="1" applyBorder="1" applyProtection="1">
      <protection locked="0"/>
    </xf>
    <xf numFmtId="0" fontId="0" fillId="9" borderId="0" xfId="0" applyFill="1"/>
    <xf numFmtId="0" fontId="27" fillId="9" borderId="4" xfId="0" applyFont="1" applyFill="1" applyBorder="1" applyAlignment="1" applyProtection="1">
      <alignment horizontal="left" vertical="center"/>
      <protection locked="0"/>
    </xf>
    <xf numFmtId="0" fontId="22" fillId="9" borderId="0" xfId="0" applyFont="1" applyFill="1" applyBorder="1" applyProtection="1">
      <protection locked="0"/>
    </xf>
    <xf numFmtId="0" fontId="0" fillId="9" borderId="3" xfId="0" applyFill="1" applyBorder="1" applyProtection="1">
      <protection locked="0"/>
    </xf>
    <xf numFmtId="0" fontId="0" fillId="9" borderId="5" xfId="0" applyFill="1" applyBorder="1" applyProtection="1">
      <protection locked="0"/>
    </xf>
    <xf numFmtId="0" fontId="27" fillId="9" borderId="5" xfId="0" applyFont="1" applyFill="1" applyBorder="1" applyProtection="1">
      <protection locked="0"/>
    </xf>
    <xf numFmtId="0" fontId="53" fillId="9" borderId="0" xfId="0" applyFont="1" applyFill="1" applyBorder="1" applyAlignment="1" applyProtection="1">
      <alignment horizontal="center"/>
      <protection locked="0"/>
    </xf>
    <xf numFmtId="0" fontId="22" fillId="9" borderId="4" xfId="0" applyFont="1" applyFill="1" applyBorder="1" applyProtection="1">
      <protection locked="0"/>
    </xf>
    <xf numFmtId="0" fontId="22" fillId="9" borderId="8" xfId="0" applyFont="1" applyFill="1" applyBorder="1" applyProtection="1">
      <protection locked="0"/>
    </xf>
    <xf numFmtId="0" fontId="28" fillId="9" borderId="0" xfId="0" applyFont="1" applyFill="1" applyBorder="1" applyAlignment="1" applyProtection="1">
      <alignment horizontal="center"/>
      <protection locked="0"/>
    </xf>
    <xf numFmtId="0" fontId="26" fillId="9" borderId="2" xfId="0" applyFont="1" applyFill="1" applyBorder="1" applyProtection="1">
      <protection locked="0"/>
    </xf>
    <xf numFmtId="0" fontId="27" fillId="9" borderId="9" xfId="0" applyFont="1" applyFill="1" applyBorder="1" applyAlignment="1" applyProtection="1">
      <alignment horizontal="center"/>
      <protection locked="0"/>
    </xf>
    <xf numFmtId="0" fontId="27" fillId="9" borderId="3" xfId="0" applyFont="1" applyFill="1" applyBorder="1" applyProtection="1">
      <protection locked="0"/>
    </xf>
    <xf numFmtId="0" fontId="26" fillId="9" borderId="4" xfId="0" applyFont="1" applyFill="1" applyBorder="1" applyProtection="1">
      <protection locked="0"/>
    </xf>
    <xf numFmtId="0" fontId="28" fillId="9" borderId="0" xfId="0" applyFont="1" applyFill="1" applyBorder="1" applyProtection="1">
      <protection locked="0"/>
    </xf>
    <xf numFmtId="0" fontId="0" fillId="9" borderId="4" xfId="0" applyFill="1" applyBorder="1" applyProtection="1">
      <protection locked="0"/>
    </xf>
    <xf numFmtId="0" fontId="26" fillId="9" borderId="6" xfId="0" applyFont="1" applyFill="1" applyBorder="1" applyProtection="1">
      <protection locked="0"/>
    </xf>
    <xf numFmtId="0" fontId="27" fillId="9" borderId="7" xfId="0" applyFont="1" applyFill="1" applyBorder="1" applyProtection="1">
      <protection locked="0"/>
    </xf>
    <xf numFmtId="1" fontId="22" fillId="2" borderId="0" xfId="0" applyNumberFormat="1" applyFont="1" applyFill="1" applyProtection="1">
      <protection locked="0"/>
    </xf>
    <xf numFmtId="0" fontId="22" fillId="2" borderId="0" xfId="0" applyFont="1" applyFill="1"/>
    <xf numFmtId="0" fontId="55" fillId="2" borderId="0" xfId="0" applyFont="1" applyFill="1"/>
    <xf numFmtId="170" fontId="22" fillId="2" borderId="0" xfId="0" applyNumberFormat="1" applyFont="1" applyFill="1" applyProtection="1">
      <protection locked="0"/>
    </xf>
    <xf numFmtId="0" fontId="22" fillId="2" borderId="0" xfId="0" applyFont="1" applyFill="1" applyProtection="1"/>
    <xf numFmtId="2" fontId="30" fillId="2" borderId="0" xfId="0" applyNumberFormat="1" applyFont="1" applyFill="1" applyAlignment="1" applyProtection="1">
      <alignment horizontal="center"/>
      <protection locked="0"/>
    </xf>
    <xf numFmtId="2" fontId="22" fillId="2" borderId="0" xfId="0" applyNumberFormat="1" applyFont="1" applyFill="1" applyProtection="1">
      <protection locked="0"/>
    </xf>
    <xf numFmtId="165" fontId="27" fillId="9" borderId="0" xfId="0" applyNumberFormat="1" applyFont="1" applyFill="1" applyBorder="1" applyAlignment="1" applyProtection="1">
      <alignment horizontal="center"/>
    </xf>
    <xf numFmtId="165" fontId="27" fillId="9" borderId="5" xfId="0" applyNumberFormat="1" applyFont="1" applyFill="1" applyBorder="1" applyAlignment="1" applyProtection="1">
      <alignment horizontal="center"/>
    </xf>
    <xf numFmtId="174" fontId="30" fillId="13" borderId="0" xfId="5" applyNumberFormat="1" applyFont="1" applyFill="1" applyBorder="1" applyProtection="1"/>
    <xf numFmtId="175" fontId="27" fillId="15" borderId="0" xfId="0" applyNumberFormat="1" applyFont="1" applyFill="1" applyAlignment="1" applyProtection="1"/>
    <xf numFmtId="2" fontId="27" fillId="4" borderId="8" xfId="0" applyNumberFormat="1" applyFont="1" applyFill="1" applyBorder="1" applyProtection="1"/>
    <xf numFmtId="181" fontId="27" fillId="2" borderId="0" xfId="0" applyNumberFormat="1" applyFont="1" applyFill="1" applyBorder="1" applyAlignment="1" applyProtection="1">
      <alignment horizontal="center"/>
      <protection locked="0"/>
    </xf>
    <xf numFmtId="0" fontId="30" fillId="2" borderId="0" xfId="0" applyFont="1" applyFill="1" applyAlignment="1" applyProtection="1">
      <alignment horizontal="left"/>
      <protection locked="0"/>
    </xf>
    <xf numFmtId="0" fontId="27" fillId="4" borderId="1" xfId="0" applyNumberFormat="1" applyFont="1" applyFill="1" applyBorder="1" applyAlignment="1" applyProtection="1">
      <alignment vertical="center"/>
      <protection locked="0"/>
    </xf>
    <xf numFmtId="0" fontId="27" fillId="4" borderId="1" xfId="0" applyNumberFormat="1" applyFont="1" applyFill="1" applyBorder="1" applyAlignment="1" applyProtection="1">
      <protection locked="0"/>
    </xf>
    <xf numFmtId="0" fontId="27" fillId="4" borderId="16" xfId="0" applyNumberFormat="1" applyFont="1" applyFill="1" applyBorder="1" applyAlignment="1" applyProtection="1">
      <alignment vertical="center"/>
      <protection locked="0"/>
    </xf>
    <xf numFmtId="3" fontId="27"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xf>
    <xf numFmtId="0" fontId="28" fillId="21" borderId="0" xfId="0" applyFont="1" applyFill="1" applyBorder="1" applyAlignment="1" applyProtection="1">
      <alignment vertical="top" wrapText="1"/>
    </xf>
    <xf numFmtId="0" fontId="28" fillId="20" borderId="8" xfId="0" applyFont="1" applyFill="1" applyBorder="1" applyAlignment="1" applyProtection="1">
      <alignment horizontal="center"/>
    </xf>
    <xf numFmtId="0" fontId="30" fillId="2" borderId="0" xfId="0" applyFont="1" applyFill="1" applyAlignment="1" applyProtection="1">
      <alignment horizontal="center"/>
      <protection locked="0"/>
    </xf>
    <xf numFmtId="9" fontId="30" fillId="18" borderId="0" xfId="3" applyFont="1" applyFill="1" applyBorder="1" applyAlignment="1" applyProtection="1">
      <alignment horizontal="center"/>
    </xf>
    <xf numFmtId="2" fontId="30" fillId="2" borderId="0" xfId="0" applyNumberFormat="1" applyFont="1" applyFill="1" applyProtection="1">
      <protection locked="0"/>
    </xf>
    <xf numFmtId="0" fontId="30" fillId="2" borderId="0" xfId="0" applyFont="1" applyFill="1" applyAlignment="1" applyProtection="1">
      <alignment horizontal="center"/>
      <protection locked="0"/>
    </xf>
    <xf numFmtId="0" fontId="30" fillId="9" borderId="5" xfId="0" applyFont="1" applyFill="1" applyBorder="1"/>
    <xf numFmtId="0" fontId="28" fillId="9" borderId="8" xfId="0" applyFont="1" applyFill="1" applyBorder="1" applyAlignment="1" applyProtection="1">
      <protection locked="0"/>
    </xf>
    <xf numFmtId="0" fontId="0" fillId="9" borderId="8" xfId="0" applyFill="1" applyBorder="1" applyProtection="1">
      <protection locked="0"/>
    </xf>
    <xf numFmtId="0" fontId="27" fillId="9" borderId="4" xfId="0" applyFont="1" applyFill="1" applyBorder="1" applyAlignment="1" applyProtection="1">
      <alignment horizontal="left"/>
    </xf>
    <xf numFmtId="0" fontId="30" fillId="9" borderId="6" xfId="5" applyFont="1" applyFill="1" applyBorder="1" applyProtection="1"/>
    <xf numFmtId="3" fontId="30" fillId="2" borderId="0" xfId="5" applyNumberFormat="1" applyFont="1" applyFill="1" applyBorder="1" applyAlignment="1" applyProtection="1">
      <alignment horizontal="center"/>
      <protection locked="0"/>
    </xf>
    <xf numFmtId="0" fontId="28" fillId="9" borderId="2" xfId="0" applyFont="1" applyFill="1" applyBorder="1" applyAlignment="1" applyProtection="1">
      <alignment horizontal="left"/>
    </xf>
    <xf numFmtId="0" fontId="27" fillId="2" borderId="0" xfId="0" applyFont="1" applyFill="1" applyBorder="1" applyAlignment="1" applyProtection="1">
      <alignment horizontal="center"/>
      <protection locked="0"/>
    </xf>
    <xf numFmtId="0" fontId="7" fillId="2" borderId="0" xfId="0" applyFont="1" applyFill="1" applyBorder="1" applyProtection="1">
      <protection locked="0"/>
    </xf>
    <xf numFmtId="168" fontId="0" fillId="2" borderId="0" xfId="0" applyNumberFormat="1" applyFill="1" applyProtection="1">
      <protection locked="0"/>
    </xf>
    <xf numFmtId="164" fontId="1" fillId="2" borderId="0" xfId="0" applyNumberFormat="1" applyFont="1" applyFill="1" applyBorder="1" applyAlignment="1" applyProtection="1">
      <alignment horizontal="center"/>
      <protection locked="0"/>
    </xf>
    <xf numFmtId="0" fontId="1" fillId="2" borderId="0" xfId="0" applyFont="1" applyFill="1" applyProtection="1">
      <protection locked="0"/>
    </xf>
    <xf numFmtId="0" fontId="18" fillId="2" borderId="0" xfId="0" applyFont="1" applyFill="1" applyBorder="1" applyProtection="1">
      <protection locked="0"/>
    </xf>
    <xf numFmtId="164" fontId="0" fillId="2" borderId="0" xfId="0" applyNumberFormat="1" applyFill="1" applyProtection="1">
      <protection locked="0"/>
    </xf>
    <xf numFmtId="0" fontId="0" fillId="2" borderId="0" xfId="0" applyFont="1" applyFill="1" applyProtection="1">
      <protection locked="0"/>
    </xf>
    <xf numFmtId="179" fontId="0" fillId="2" borderId="0" xfId="0" applyNumberFormat="1" applyFill="1" applyProtection="1">
      <protection locked="0"/>
    </xf>
    <xf numFmtId="0" fontId="12" fillId="2" borderId="0" xfId="0" applyFont="1" applyFill="1" applyProtection="1">
      <protection locked="0"/>
    </xf>
    <xf numFmtId="0" fontId="29" fillId="2" borderId="11" xfId="4" applyFont="1" applyFill="1" applyBorder="1" applyAlignment="1" applyProtection="1">
      <alignment horizontal="center" vertical="top" wrapText="1"/>
      <protection locked="0"/>
    </xf>
    <xf numFmtId="0" fontId="28" fillId="2" borderId="11" xfId="0" applyFont="1" applyFill="1" applyBorder="1" applyAlignment="1" applyProtection="1">
      <alignment horizontal="center"/>
      <protection locked="0"/>
    </xf>
    <xf numFmtId="0" fontId="27" fillId="2" borderId="0" xfId="0" applyFont="1" applyFill="1" applyAlignment="1" applyProtection="1">
      <protection locked="0"/>
    </xf>
    <xf numFmtId="0" fontId="28" fillId="2" borderId="0" xfId="0" applyFont="1" applyFill="1" applyBorder="1" applyProtection="1">
      <protection locked="0"/>
    </xf>
    <xf numFmtId="165" fontId="27" fillId="2" borderId="0" xfId="0" applyNumberFormat="1" applyFont="1" applyFill="1" applyProtection="1">
      <protection locked="0"/>
    </xf>
    <xf numFmtId="0" fontId="28" fillId="2" borderId="11" xfId="0" applyFont="1" applyFill="1" applyBorder="1" applyAlignment="1" applyProtection="1">
      <protection locked="0"/>
    </xf>
    <xf numFmtId="0" fontId="29" fillId="2" borderId="11" xfId="4" applyFont="1" applyFill="1" applyBorder="1" applyAlignment="1" applyProtection="1">
      <alignment horizontal="center" wrapText="1"/>
      <protection locked="0"/>
    </xf>
    <xf numFmtId="164" fontId="27" fillId="2" borderId="0" xfId="0" applyNumberFormat="1" applyFont="1" applyFill="1" applyProtection="1">
      <protection locked="0"/>
    </xf>
    <xf numFmtId="0" fontId="27" fillId="2" borderId="0" xfId="0" applyFont="1" applyFill="1" applyAlignment="1" applyProtection="1">
      <alignment horizontal="center"/>
      <protection locked="0"/>
    </xf>
    <xf numFmtId="0" fontId="27" fillId="2" borderId="0" xfId="0" applyFont="1" applyFill="1" applyAlignment="1" applyProtection="1">
      <alignment horizontal="left"/>
      <protection locked="0"/>
    </xf>
    <xf numFmtId="0" fontId="6" fillId="2" borderId="0" xfId="0" applyFont="1" applyFill="1" applyBorder="1" applyProtection="1">
      <protection locked="0"/>
    </xf>
    <xf numFmtId="0" fontId="28" fillId="9" borderId="4" xfId="0" applyFont="1" applyFill="1" applyBorder="1" applyAlignment="1" applyProtection="1">
      <alignment horizontal="left" vertical="top"/>
    </xf>
    <xf numFmtId="0" fontId="28" fillId="9" borderId="2" xfId="0" applyFont="1" applyFill="1" applyBorder="1" applyAlignment="1" applyProtection="1">
      <alignment horizontal="left" vertical="center"/>
    </xf>
    <xf numFmtId="0" fontId="28" fillId="9" borderId="4" xfId="0" applyFont="1" applyFill="1" applyBorder="1" applyAlignment="1" applyProtection="1">
      <alignment horizontal="left" vertical="center"/>
    </xf>
    <xf numFmtId="0" fontId="27" fillId="9" borderId="0" xfId="0" applyFont="1" applyFill="1" applyBorder="1" applyAlignment="1" applyProtection="1">
      <alignment horizontal="center" vertical="center"/>
    </xf>
    <xf numFmtId="0" fontId="27" fillId="9" borderId="8" xfId="0" applyFont="1" applyFill="1" applyBorder="1" applyAlignment="1" applyProtection="1">
      <alignment horizontal="center" vertical="center"/>
    </xf>
    <xf numFmtId="0" fontId="27" fillId="9" borderId="0" xfId="0" applyFont="1" applyFill="1" applyBorder="1" applyAlignment="1" applyProtection="1">
      <alignment horizontal="center"/>
    </xf>
    <xf numFmtId="0" fontId="27" fillId="0" borderId="0" xfId="0" applyFont="1" applyFill="1" applyBorder="1" applyAlignment="1" applyProtection="1">
      <alignment horizontal="center" vertical="center"/>
      <protection locked="0"/>
    </xf>
    <xf numFmtId="0" fontId="27" fillId="22" borderId="0" xfId="0" applyFont="1" applyFill="1" applyBorder="1" applyAlignment="1" applyProtection="1">
      <alignment horizontal="center" vertical="center"/>
    </xf>
    <xf numFmtId="1" fontId="27" fillId="9" borderId="0" xfId="0" applyNumberFormat="1" applyFont="1" applyFill="1" applyBorder="1" applyAlignment="1" applyProtection="1">
      <alignment horizontal="center" vertical="center"/>
    </xf>
    <xf numFmtId="0" fontId="0" fillId="3" borderId="3" xfId="0" applyFill="1" applyBorder="1" applyProtection="1">
      <protection locked="0"/>
    </xf>
    <xf numFmtId="0" fontId="15" fillId="3" borderId="2" xfId="0" applyFont="1" applyFill="1" applyBorder="1"/>
    <xf numFmtId="0" fontId="14" fillId="4" borderId="2" xfId="0" applyFont="1" applyFill="1" applyBorder="1" applyProtection="1"/>
    <xf numFmtId="0" fontId="14" fillId="5" borderId="2" xfId="0" applyFont="1" applyFill="1" applyBorder="1" applyProtection="1"/>
    <xf numFmtId="168" fontId="13" fillId="5" borderId="3" xfId="0" applyNumberFormat="1" applyFont="1" applyFill="1" applyBorder="1" applyAlignment="1" applyProtection="1">
      <alignment horizontal="center" wrapText="1"/>
    </xf>
    <xf numFmtId="2" fontId="16" fillId="5" borderId="5" xfId="3" applyNumberFormat="1" applyFont="1" applyFill="1" applyBorder="1" applyAlignment="1" applyProtection="1">
      <alignment horizontal="center" wrapText="1"/>
    </xf>
    <xf numFmtId="165" fontId="16" fillId="5" borderId="5" xfId="0" applyNumberFormat="1" applyFont="1" applyFill="1" applyBorder="1" applyAlignment="1" applyProtection="1">
      <alignment horizontal="center" wrapText="1"/>
    </xf>
    <xf numFmtId="3" fontId="13" fillId="5" borderId="5" xfId="0" applyNumberFormat="1" applyFont="1" applyFill="1" applyBorder="1" applyAlignment="1" applyProtection="1">
      <alignment horizontal="center" wrapText="1"/>
    </xf>
    <xf numFmtId="2" fontId="17" fillId="2" borderId="0" xfId="0" applyNumberFormat="1" applyFont="1" applyFill="1" applyBorder="1" applyProtection="1">
      <protection locked="0"/>
    </xf>
    <xf numFmtId="0" fontId="2" fillId="2" borderId="0" xfId="0" applyFont="1" applyFill="1" applyBorder="1" applyProtection="1">
      <protection locked="0"/>
    </xf>
    <xf numFmtId="0" fontId="17" fillId="2" borderId="0" xfId="0" applyFont="1" applyFill="1" applyBorder="1" applyProtection="1">
      <protection locked="0"/>
    </xf>
    <xf numFmtId="165" fontId="17" fillId="2" borderId="0" xfId="0" applyNumberFormat="1" applyFont="1" applyFill="1" applyBorder="1" applyAlignment="1" applyProtection="1">
      <alignment horizontal="right"/>
      <protection locked="0"/>
    </xf>
    <xf numFmtId="2" fontId="17" fillId="2" borderId="0" xfId="0" applyNumberFormat="1" applyFont="1" applyFill="1" applyProtection="1">
      <protection locked="0"/>
    </xf>
    <xf numFmtId="0" fontId="2" fillId="2" borderId="0" xfId="0" applyFont="1" applyFill="1" applyBorder="1" applyProtection="1"/>
    <xf numFmtId="2" fontId="30" fillId="2" borderId="0" xfId="0" applyNumberFormat="1" applyFont="1" applyFill="1" applyAlignment="1">
      <alignment horizontal="left"/>
    </xf>
    <xf numFmtId="0" fontId="30" fillId="2" borderId="0" xfId="0" applyFont="1" applyFill="1"/>
    <xf numFmtId="0" fontId="17" fillId="2" borderId="0" xfId="0" applyFont="1" applyFill="1" applyProtection="1"/>
    <xf numFmtId="0" fontId="1" fillId="2" borderId="0" xfId="0" applyFont="1" applyFill="1" applyBorder="1" applyProtection="1"/>
    <xf numFmtId="169" fontId="1" fillId="2" borderId="0" xfId="0" applyNumberFormat="1" applyFont="1" applyFill="1" applyBorder="1" applyAlignment="1" applyProtection="1">
      <alignment horizontal="center"/>
    </xf>
    <xf numFmtId="169" fontId="17" fillId="2" borderId="0" xfId="0" applyNumberFormat="1" applyFont="1" applyFill="1" applyAlignment="1" applyProtection="1">
      <alignment horizontal="center"/>
    </xf>
    <xf numFmtId="2" fontId="17" fillId="2" borderId="0" xfId="0" applyNumberFormat="1" applyFont="1" applyFill="1" applyAlignment="1" applyProtection="1">
      <alignment horizontal="center"/>
    </xf>
    <xf numFmtId="10" fontId="17" fillId="2" borderId="0" xfId="3" applyNumberFormat="1" applyFont="1" applyFill="1" applyAlignment="1" applyProtection="1">
      <alignment horizontal="center"/>
    </xf>
    <xf numFmtId="0" fontId="17" fillId="2" borderId="0" xfId="0" applyFont="1" applyFill="1" applyAlignment="1" applyProtection="1">
      <alignment horizontal="center"/>
    </xf>
    <xf numFmtId="2" fontId="17" fillId="2" borderId="0" xfId="0" applyNumberFormat="1" applyFont="1" applyFill="1" applyProtection="1"/>
    <xf numFmtId="0" fontId="21" fillId="2" borderId="0" xfId="0" applyFont="1" applyFill="1" applyProtection="1"/>
    <xf numFmtId="0" fontId="18" fillId="2" borderId="0" xfId="0" applyFont="1" applyFill="1" applyBorder="1" applyAlignment="1" applyProtection="1">
      <alignment horizontal="left"/>
    </xf>
    <xf numFmtId="164"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center"/>
    </xf>
    <xf numFmtId="0" fontId="1" fillId="2" borderId="0" xfId="0" quotePrefix="1" applyFont="1" applyFill="1" applyBorder="1" applyProtection="1"/>
    <xf numFmtId="0" fontId="0" fillId="2" borderId="0" xfId="0" applyFill="1" applyAlignment="1" applyProtection="1">
      <alignment horizontal="center"/>
    </xf>
    <xf numFmtId="0" fontId="21" fillId="2" borderId="0" xfId="0" applyFont="1" applyFill="1" applyAlignment="1" applyProtection="1">
      <alignment horizontal="center"/>
    </xf>
    <xf numFmtId="164" fontId="2" fillId="2" borderId="0" xfId="0" applyNumberFormat="1" applyFont="1" applyFill="1" applyBorder="1" applyAlignment="1" applyProtection="1">
      <alignment horizontal="center"/>
    </xf>
    <xf numFmtId="0" fontId="17" fillId="2" borderId="0" xfId="0" applyFont="1" applyFill="1" applyBorder="1" applyAlignment="1" applyProtection="1">
      <alignment horizontal="center"/>
    </xf>
    <xf numFmtId="0" fontId="17" fillId="2" borderId="0" xfId="0" applyFont="1" applyFill="1" applyBorder="1" applyProtection="1"/>
    <xf numFmtId="1" fontId="1" fillId="2" borderId="0" xfId="0" applyNumberFormat="1" applyFont="1" applyFill="1" applyBorder="1" applyAlignment="1" applyProtection="1">
      <alignment horizontal="center"/>
    </xf>
    <xf numFmtId="166" fontId="1" fillId="2" borderId="0" xfId="0" applyNumberFormat="1" applyFont="1" applyFill="1" applyBorder="1" applyAlignment="1" applyProtection="1">
      <alignment horizontal="center"/>
    </xf>
    <xf numFmtId="2" fontId="2" fillId="2" borderId="0" xfId="0" applyNumberFormat="1" applyFont="1" applyFill="1" applyBorder="1" applyAlignment="1" applyProtection="1">
      <alignment horizontal="center"/>
    </xf>
    <xf numFmtId="0" fontId="17" fillId="2" borderId="0" xfId="0" applyFont="1" applyFill="1" applyAlignment="1" applyProtection="1"/>
    <xf numFmtId="0" fontId="1" fillId="2" borderId="0" xfId="0" applyFont="1" applyFill="1" applyProtection="1"/>
    <xf numFmtId="165" fontId="1" fillId="2" borderId="0" xfId="0" applyNumberFormat="1" applyFont="1" applyFill="1" applyBorder="1" applyAlignment="1" applyProtection="1">
      <alignment horizontal="center"/>
    </xf>
    <xf numFmtId="2"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left"/>
    </xf>
    <xf numFmtId="2" fontId="21" fillId="2" borderId="0" xfId="0" applyNumberFormat="1" applyFont="1" applyFill="1" applyAlignment="1" applyProtection="1">
      <alignment horizontal="center"/>
    </xf>
    <xf numFmtId="2" fontId="17" fillId="2" borderId="0" xfId="3" applyNumberFormat="1" applyFont="1" applyFill="1" applyAlignment="1" applyProtection="1">
      <alignment horizontal="center"/>
    </xf>
    <xf numFmtId="2" fontId="0" fillId="2" borderId="0" xfId="0" applyNumberFormat="1" applyFill="1" applyAlignment="1" applyProtection="1">
      <alignment horizontal="center"/>
    </xf>
    <xf numFmtId="9" fontId="17" fillId="2" borderId="0" xfId="3" applyFont="1" applyFill="1" applyAlignment="1" applyProtection="1">
      <alignment horizontal="center"/>
    </xf>
    <xf numFmtId="3" fontId="17" fillId="2" borderId="0" xfId="0" applyNumberFormat="1" applyFont="1" applyFill="1" applyAlignment="1" applyProtection="1">
      <alignment horizontal="center"/>
      <protection locked="0"/>
    </xf>
    <xf numFmtId="168" fontId="17" fillId="2" borderId="0" xfId="0" applyNumberFormat="1" applyFont="1" applyFill="1" applyAlignment="1" applyProtection="1">
      <alignment horizontal="center"/>
      <protection locked="0"/>
    </xf>
    <xf numFmtId="169" fontId="17" fillId="2" borderId="0" xfId="0" applyNumberFormat="1" applyFont="1" applyFill="1" applyAlignment="1" applyProtection="1">
      <alignment horizontal="center"/>
      <protection locked="0"/>
    </xf>
    <xf numFmtId="0" fontId="17" fillId="2" borderId="0" xfId="0" applyFont="1" applyFill="1" applyAlignment="1" applyProtection="1">
      <alignment horizontal="right"/>
    </xf>
    <xf numFmtId="0" fontId="17" fillId="2" borderId="0" xfId="4" applyFont="1" applyFill="1" applyBorder="1" applyProtection="1"/>
    <xf numFmtId="0" fontId="21" fillId="2" borderId="0" xfId="0" applyFont="1" applyFill="1" applyBorder="1" applyProtection="1"/>
    <xf numFmtId="2" fontId="17" fillId="2" borderId="0" xfId="0" applyNumberFormat="1" applyFont="1" applyFill="1" applyAlignment="1" applyProtection="1">
      <alignment horizontal="center"/>
      <protection locked="0"/>
    </xf>
    <xf numFmtId="2" fontId="1" fillId="2" borderId="0" xfId="0" applyNumberFormat="1" applyFont="1" applyFill="1" applyBorder="1" applyAlignment="1" applyProtection="1">
      <alignment horizontal="center"/>
      <protection locked="0"/>
    </xf>
    <xf numFmtId="0" fontId="17" fillId="2" borderId="0" xfId="0" applyFont="1" applyFill="1" applyAlignment="1" applyProtection="1">
      <alignment horizontal="center"/>
      <protection locked="0"/>
    </xf>
    <xf numFmtId="2" fontId="3" fillId="2" borderId="0" xfId="0" applyNumberFormat="1" applyFont="1" applyFill="1" applyBorder="1" applyAlignment="1" applyProtection="1">
      <alignment horizontal="left"/>
      <protection locked="0"/>
    </xf>
    <xf numFmtId="0" fontId="1"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164" fontId="2" fillId="2" borderId="0" xfId="0" applyNumberFormat="1" applyFont="1" applyFill="1" applyBorder="1" applyAlignment="1" applyProtection="1">
      <alignment horizontal="center"/>
      <protection locked="0"/>
    </xf>
    <xf numFmtId="0" fontId="17" fillId="2" borderId="0" xfId="0" applyFont="1" applyFill="1" applyBorder="1" applyAlignment="1" applyProtection="1">
      <alignment horizontal="center"/>
      <protection locked="0"/>
    </xf>
    <xf numFmtId="1" fontId="1" fillId="2" borderId="0" xfId="0" applyNumberFormat="1" applyFont="1" applyFill="1" applyBorder="1" applyAlignment="1" applyProtection="1">
      <alignment horizontal="center"/>
      <protection locked="0"/>
    </xf>
    <xf numFmtId="166" fontId="1" fillId="2" borderId="0" xfId="0" applyNumberFormat="1" applyFont="1" applyFill="1" applyBorder="1" applyAlignment="1" applyProtection="1">
      <alignment horizontal="center"/>
      <protection locked="0"/>
    </xf>
    <xf numFmtId="2" fontId="2" fillId="2" borderId="0" xfId="0" applyNumberFormat="1" applyFont="1" applyFill="1" applyBorder="1" applyAlignment="1" applyProtection="1">
      <alignment horizontal="center"/>
      <protection locked="0"/>
    </xf>
    <xf numFmtId="167" fontId="2" fillId="2" borderId="0" xfId="0" applyNumberFormat="1" applyFont="1" applyFill="1" applyBorder="1" applyProtection="1">
      <protection locked="0"/>
    </xf>
    <xf numFmtId="0" fontId="17" fillId="2" borderId="0" xfId="0" applyFont="1" applyFill="1" applyAlignment="1" applyProtection="1">
      <protection locked="0"/>
    </xf>
    <xf numFmtId="0" fontId="3" fillId="2" borderId="0" xfId="0" applyFont="1" applyFill="1" applyBorder="1" applyProtection="1">
      <protection locked="0"/>
    </xf>
    <xf numFmtId="165" fontId="1" fillId="2" borderId="0" xfId="0" applyNumberFormat="1" applyFont="1" applyFill="1" applyBorder="1" applyAlignment="1" applyProtection="1">
      <alignment horizontal="center"/>
      <protection locked="0"/>
    </xf>
    <xf numFmtId="0" fontId="1" fillId="2" borderId="0" xfId="0" quotePrefix="1" applyFont="1" applyFill="1" applyBorder="1" applyProtection="1">
      <protection locked="0"/>
    </xf>
    <xf numFmtId="2" fontId="21" fillId="2" borderId="0" xfId="0" applyNumberFormat="1" applyFont="1" applyFill="1" applyAlignment="1" applyProtection="1">
      <alignment horizontal="center"/>
      <protection locked="0"/>
    </xf>
    <xf numFmtId="2" fontId="25" fillId="2" borderId="0" xfId="0" applyNumberFormat="1" applyFont="1" applyFill="1" applyBorder="1" applyProtection="1">
      <protection locked="0"/>
    </xf>
    <xf numFmtId="0" fontId="25" fillId="2" borderId="0" xfId="0" applyFont="1" applyFill="1" applyProtection="1">
      <protection locked="0"/>
    </xf>
    <xf numFmtId="0" fontId="0" fillId="2" borderId="0" xfId="0" applyFill="1" applyAlignment="1" applyProtection="1">
      <alignment horizontal="center"/>
      <protection locked="0"/>
    </xf>
    <xf numFmtId="0" fontId="22"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 fillId="2" borderId="0" xfId="0" applyFont="1" applyFill="1" applyProtection="1">
      <protection locked="0"/>
    </xf>
    <xf numFmtId="0" fontId="22" fillId="2" borderId="0" xfId="0" applyFont="1" applyFill="1" applyAlignment="1" applyProtection="1">
      <alignment horizontal="center"/>
      <protection locked="0"/>
    </xf>
    <xf numFmtId="0" fontId="0" fillId="2" borderId="0" xfId="0" applyFill="1" applyAlignment="1" applyProtection="1">
      <protection locked="0"/>
    </xf>
    <xf numFmtId="0" fontId="23" fillId="2" borderId="0" xfId="0" applyFont="1" applyFill="1" applyProtection="1">
      <protection locked="0"/>
    </xf>
    <xf numFmtId="0" fontId="0" fillId="2" borderId="0" xfId="0" applyFill="1" applyBorder="1" applyAlignment="1" applyProtection="1">
      <alignment horizontal="center"/>
      <protection locked="0"/>
    </xf>
    <xf numFmtId="2" fontId="10" fillId="2" borderId="0" xfId="0" applyNumberFormat="1" applyFont="1" applyFill="1" applyAlignment="1" applyProtection="1">
      <alignment horizontal="center"/>
      <protection locked="0"/>
    </xf>
    <xf numFmtId="2" fontId="17" fillId="2" borderId="0" xfId="0" applyNumberFormat="1" applyFont="1" applyFill="1" applyBorder="1" applyAlignment="1" applyProtection="1">
      <alignment horizontal="center"/>
      <protection locked="0"/>
    </xf>
    <xf numFmtId="165" fontId="17" fillId="2" borderId="0" xfId="0" applyNumberFormat="1" applyFont="1" applyFill="1" applyBorder="1" applyAlignment="1" applyProtection="1">
      <alignment horizontal="center"/>
      <protection locked="0"/>
    </xf>
    <xf numFmtId="2" fontId="30" fillId="2" borderId="0" xfId="0" applyNumberFormat="1" applyFont="1" applyFill="1" applyAlignment="1" applyProtection="1">
      <alignment horizontal="left"/>
      <protection locked="0"/>
    </xf>
    <xf numFmtId="1" fontId="17" fillId="2" borderId="0" xfId="1" applyNumberFormat="1" applyFont="1" applyFill="1" applyAlignment="1" applyProtection="1">
      <alignment horizontal="center"/>
      <protection locked="0"/>
    </xf>
    <xf numFmtId="1" fontId="1" fillId="2" borderId="0" xfId="1" applyNumberFormat="1" applyFont="1" applyFill="1" applyBorder="1" applyAlignment="1" applyProtection="1">
      <alignment horizontal="center"/>
      <protection locked="0"/>
    </xf>
    <xf numFmtId="10" fontId="17" fillId="2" borderId="0" xfId="3" applyNumberFormat="1" applyFont="1" applyFill="1" applyAlignment="1" applyProtection="1">
      <alignment horizontal="center"/>
      <protection locked="0"/>
    </xf>
    <xf numFmtId="169" fontId="17" fillId="2" borderId="0" xfId="1" applyNumberFormat="1" applyFont="1" applyFill="1" applyAlignment="1" applyProtection="1">
      <alignment horizontal="center"/>
      <protection locked="0"/>
    </xf>
    <xf numFmtId="0" fontId="0" fillId="2" borderId="0" xfId="0" applyFill="1" applyAlignment="1" applyProtection="1">
      <alignment horizontal="right"/>
      <protection locked="0"/>
    </xf>
    <xf numFmtId="14" fontId="0" fillId="2" borderId="0" xfId="0" applyNumberFormat="1" applyFill="1" applyProtection="1">
      <protection locked="0"/>
    </xf>
    <xf numFmtId="1" fontId="0" fillId="2" borderId="0" xfId="0" applyNumberFormat="1" applyFill="1" applyProtection="1">
      <protection locked="0"/>
    </xf>
    <xf numFmtId="0" fontId="0" fillId="2" borderId="0" xfId="0" applyNumberFormat="1" applyFill="1" applyProtection="1">
      <protection locked="0"/>
    </xf>
    <xf numFmtId="0" fontId="10" fillId="2" borderId="0" xfId="0" applyFont="1" applyFill="1" applyProtection="1">
      <protection locked="0"/>
    </xf>
    <xf numFmtId="2" fontId="10" fillId="2" borderId="0" xfId="0" applyNumberFormat="1" applyFont="1" applyFill="1" applyProtection="1">
      <protection locked="0"/>
    </xf>
    <xf numFmtId="168" fontId="10" fillId="2" borderId="0" xfId="0" applyNumberFormat="1" applyFont="1" applyFill="1" applyProtection="1">
      <protection locked="0"/>
    </xf>
    <xf numFmtId="0" fontId="18" fillId="2" borderId="0" xfId="0" applyFont="1" applyFill="1" applyBorder="1" applyAlignment="1" applyProtection="1">
      <alignment horizontal="left"/>
      <protection locked="0"/>
    </xf>
    <xf numFmtId="0" fontId="12" fillId="2" borderId="0" xfId="0" applyFont="1" applyFill="1" applyBorder="1" applyAlignment="1" applyProtection="1">
      <alignment horizontal="left"/>
      <protection locked="0"/>
    </xf>
    <xf numFmtId="0" fontId="0" fillId="2" borderId="0" xfId="0" applyFont="1" applyFill="1" applyAlignment="1" applyProtection="1">
      <alignment horizontal="right"/>
      <protection locked="0"/>
    </xf>
    <xf numFmtId="2" fontId="0" fillId="2" borderId="0" xfId="0" applyNumberFormat="1" applyFont="1" applyFill="1" applyAlignment="1" applyProtection="1">
      <alignment horizontal="right"/>
      <protection locked="0"/>
    </xf>
    <xf numFmtId="164" fontId="12" fillId="2" borderId="0" xfId="0" applyNumberFormat="1" applyFont="1" applyFill="1" applyBorder="1" applyAlignment="1" applyProtection="1">
      <alignment horizontal="right"/>
      <protection locked="0"/>
    </xf>
    <xf numFmtId="165" fontId="0" fillId="2" borderId="0" xfId="0" applyNumberFormat="1" applyFont="1" applyFill="1" applyAlignment="1" applyProtection="1">
      <alignment horizontal="right"/>
      <protection locked="0"/>
    </xf>
    <xf numFmtId="0" fontId="36" fillId="2" borderId="0" xfId="0" applyFont="1" applyFill="1" applyBorder="1" applyAlignment="1" applyProtection="1">
      <alignment horizontal="left"/>
      <protection locked="0"/>
    </xf>
    <xf numFmtId="164" fontId="36" fillId="2" borderId="0" xfId="0" applyNumberFormat="1" applyFont="1" applyFill="1" applyBorder="1" applyAlignment="1" applyProtection="1">
      <alignment horizontal="right"/>
      <protection locked="0"/>
    </xf>
    <xf numFmtId="0" fontId="12" fillId="2" borderId="0" xfId="0" applyFont="1" applyFill="1" applyBorder="1" applyProtection="1">
      <protection locked="0"/>
    </xf>
    <xf numFmtId="0" fontId="12" fillId="2" borderId="0" xfId="0" applyFont="1" applyFill="1" applyBorder="1" applyAlignment="1" applyProtection="1">
      <protection locked="0"/>
    </xf>
    <xf numFmtId="0" fontId="37" fillId="2" borderId="0" xfId="0" applyFont="1" applyFill="1" applyProtection="1">
      <protection locked="0"/>
    </xf>
    <xf numFmtId="0" fontId="36" fillId="2" borderId="0" xfId="0" applyFont="1" applyFill="1" applyBorder="1" applyProtection="1">
      <protection locked="0"/>
    </xf>
    <xf numFmtId="3" fontId="17" fillId="2" borderId="0" xfId="0" applyNumberFormat="1" applyFont="1" applyFill="1" applyAlignment="1" applyProtection="1">
      <alignment horizontal="right"/>
      <protection locked="0"/>
    </xf>
    <xf numFmtId="0" fontId="35" fillId="2" borderId="0" xfId="0" applyFont="1" applyFill="1" applyBorder="1" applyAlignment="1" applyProtection="1">
      <alignment horizontal="left"/>
      <protection locked="0"/>
    </xf>
    <xf numFmtId="168" fontId="17" fillId="2" borderId="0" xfId="0" applyNumberFormat="1" applyFont="1" applyFill="1" applyAlignment="1" applyProtection="1">
      <alignment horizontal="right"/>
      <protection locked="0"/>
    </xf>
    <xf numFmtId="169" fontId="17" fillId="2" borderId="0" xfId="0" applyNumberFormat="1" applyFont="1" applyFill="1" applyAlignment="1" applyProtection="1">
      <alignment horizontal="right"/>
      <protection locked="0"/>
    </xf>
    <xf numFmtId="0" fontId="35" fillId="2" borderId="0" xfId="0" applyFont="1" applyFill="1" applyBorder="1" applyProtection="1">
      <protection locked="0"/>
    </xf>
    <xf numFmtId="0" fontId="35" fillId="2" borderId="0" xfId="0" quotePrefix="1" applyFont="1" applyFill="1" applyBorder="1" applyProtection="1">
      <protection locked="0"/>
    </xf>
    <xf numFmtId="0" fontId="35" fillId="2" borderId="0" xfId="0" applyFont="1" applyFill="1" applyBorder="1" applyAlignment="1" applyProtection="1">
      <alignment horizontal="center"/>
      <protection locked="0"/>
    </xf>
    <xf numFmtId="0" fontId="17" fillId="2" borderId="0" xfId="3" applyNumberFormat="1" applyFont="1" applyFill="1" applyAlignment="1" applyProtection="1">
      <alignment horizontal="center"/>
      <protection locked="0"/>
    </xf>
    <xf numFmtId="166" fontId="17" fillId="2" borderId="0" xfId="0" applyNumberFormat="1" applyFont="1" applyFill="1" applyAlignment="1" applyProtection="1">
      <alignment horizontal="center"/>
      <protection locked="0"/>
    </xf>
    <xf numFmtId="175" fontId="17" fillId="2" borderId="0" xfId="0" applyNumberFormat="1" applyFont="1" applyFill="1" applyAlignment="1" applyProtection="1">
      <alignment horizontal="center"/>
      <protection locked="0"/>
    </xf>
    <xf numFmtId="166" fontId="0" fillId="2" borderId="0" xfId="0" applyNumberFormat="1" applyFill="1" applyAlignment="1">
      <alignment horizontal="center"/>
    </xf>
    <xf numFmtId="0" fontId="0" fillId="2" borderId="0" xfId="0" applyFill="1" applyAlignment="1">
      <alignment horizontal="center"/>
    </xf>
    <xf numFmtId="1" fontId="17" fillId="2" borderId="0" xfId="0" applyNumberFormat="1" applyFont="1" applyFill="1" applyAlignment="1" applyProtection="1">
      <alignment horizontal="center"/>
      <protection locked="0"/>
    </xf>
    <xf numFmtId="0" fontId="21" fillId="2" borderId="0" xfId="0" applyFont="1" applyFill="1" applyAlignment="1" applyProtection="1">
      <alignment horizontal="center"/>
      <protection locked="0"/>
    </xf>
    <xf numFmtId="0" fontId="21" fillId="2" borderId="0" xfId="0" applyFont="1" applyFill="1" applyProtection="1">
      <protection locked="0"/>
    </xf>
    <xf numFmtId="0" fontId="21" fillId="2" borderId="0" xfId="0" applyFont="1" applyFill="1" applyBorder="1" applyProtection="1">
      <protection locked="0"/>
    </xf>
    <xf numFmtId="178" fontId="17" fillId="2" borderId="0" xfId="0" applyNumberFormat="1" applyFont="1" applyFill="1" applyAlignment="1" applyProtection="1">
      <alignment horizontal="center"/>
      <protection locked="0"/>
    </xf>
    <xf numFmtId="178" fontId="0" fillId="2" borderId="0" xfId="0" applyNumberFormat="1" applyFill="1" applyAlignment="1" applyProtection="1">
      <alignment horizontal="center"/>
      <protection locked="0"/>
    </xf>
    <xf numFmtId="0" fontId="10" fillId="2" borderId="0" xfId="0" applyFont="1" applyFill="1" applyAlignment="1" applyProtection="1">
      <alignment horizontal="center"/>
      <protection locked="0"/>
    </xf>
    <xf numFmtId="0" fontId="30" fillId="18" borderId="0" xfId="0" applyFont="1" applyFill="1" applyBorder="1" applyAlignment="1" applyProtection="1"/>
    <xf numFmtId="0" fontId="0" fillId="18" borderId="8" xfId="0" applyFill="1" applyBorder="1" applyAlignment="1" applyProtection="1">
      <alignment horizontal="center"/>
    </xf>
    <xf numFmtId="0" fontId="28" fillId="9" borderId="4" xfId="0" applyFont="1" applyFill="1" applyBorder="1" applyAlignment="1" applyProtection="1">
      <alignment vertical="center"/>
    </xf>
    <xf numFmtId="0" fontId="28" fillId="9" borderId="6" xfId="0" applyFont="1" applyFill="1" applyBorder="1" applyAlignment="1" applyProtection="1">
      <alignment vertical="center"/>
    </xf>
    <xf numFmtId="1" fontId="27" fillId="9" borderId="8" xfId="0" applyNumberFormat="1" applyFont="1" applyFill="1" applyBorder="1" applyAlignment="1" applyProtection="1">
      <alignment vertical="center"/>
    </xf>
    <xf numFmtId="0" fontId="27" fillId="9" borderId="8" xfId="0" applyFont="1" applyFill="1" applyBorder="1" applyAlignment="1" applyProtection="1">
      <alignment vertical="center"/>
    </xf>
    <xf numFmtId="0" fontId="27" fillId="9" borderId="8" xfId="0" applyFont="1" applyFill="1" applyBorder="1" applyAlignment="1" applyProtection="1">
      <alignment vertical="center"/>
      <protection locked="0"/>
    </xf>
    <xf numFmtId="0" fontId="52" fillId="9" borderId="4" xfId="0" applyFont="1" applyFill="1" applyBorder="1" applyAlignment="1" applyProtection="1">
      <alignment vertical="top" wrapText="1"/>
    </xf>
    <xf numFmtId="0" fontId="28" fillId="9" borderId="8" xfId="0" applyFont="1" applyFill="1" applyBorder="1" applyAlignment="1" applyProtection="1">
      <alignment vertical="center"/>
    </xf>
    <xf numFmtId="0" fontId="28" fillId="9" borderId="0" xfId="0" applyFont="1" applyFill="1" applyBorder="1" applyProtection="1"/>
    <xf numFmtId="165" fontId="27" fillId="9" borderId="0" xfId="0" applyNumberFormat="1" applyFont="1" applyFill="1" applyBorder="1" applyAlignment="1" applyProtection="1">
      <alignment horizontal="center" vertical="center"/>
      <protection locked="0"/>
    </xf>
    <xf numFmtId="165" fontId="27" fillId="9" borderId="5" xfId="0" applyNumberFormat="1" applyFont="1" applyFill="1" applyBorder="1" applyAlignment="1" applyProtection="1">
      <alignment horizontal="center" vertical="center"/>
      <protection locked="0"/>
    </xf>
    <xf numFmtId="165" fontId="27" fillId="9" borderId="8" xfId="0" applyNumberFormat="1" applyFont="1" applyFill="1" applyBorder="1" applyAlignment="1" applyProtection="1">
      <alignment vertical="center"/>
      <protection locked="0"/>
    </xf>
    <xf numFmtId="0" fontId="27"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xf>
    <xf numFmtId="165" fontId="27" fillId="9" borderId="0" xfId="0" applyNumberFormat="1" applyFont="1" applyFill="1" applyBorder="1" applyAlignment="1" applyProtection="1">
      <alignment vertical="center"/>
      <protection locked="0"/>
    </xf>
    <xf numFmtId="1" fontId="27" fillId="9" borderId="8" xfId="0" applyNumberFormat="1" applyFont="1" applyFill="1" applyBorder="1" applyAlignment="1" applyProtection="1">
      <alignment horizontal="center" vertical="center"/>
    </xf>
    <xf numFmtId="0" fontId="58" fillId="2" borderId="0" xfId="0" applyFont="1" applyFill="1" applyProtection="1">
      <protection locked="0"/>
    </xf>
    <xf numFmtId="0" fontId="26" fillId="9" borderId="2" xfId="0" applyFont="1" applyFill="1" applyBorder="1" applyProtection="1"/>
    <xf numFmtId="0" fontId="0" fillId="9" borderId="9" xfId="0" applyFill="1" applyBorder="1" applyProtection="1"/>
    <xf numFmtId="0" fontId="27" fillId="9" borderId="3" xfId="0" applyFont="1" applyFill="1" applyBorder="1" applyProtection="1"/>
    <xf numFmtId="0" fontId="26" fillId="9" borderId="4" xfId="0" applyFont="1" applyFill="1" applyBorder="1" applyProtection="1"/>
    <xf numFmtId="0" fontId="27" fillId="9" borderId="5" xfId="0" applyFont="1" applyFill="1" applyBorder="1" applyProtection="1"/>
    <xf numFmtId="0" fontId="0" fillId="9" borderId="0" xfId="0" applyFill="1" applyBorder="1" applyProtection="1"/>
    <xf numFmtId="0" fontId="0" fillId="9" borderId="5" xfId="0" applyFill="1" applyBorder="1" applyProtection="1"/>
    <xf numFmtId="0" fontId="0" fillId="9" borderId="4" xfId="0" applyFill="1" applyBorder="1" applyProtection="1"/>
    <xf numFmtId="0" fontId="0" fillId="9" borderId="5" xfId="0" applyFill="1" applyBorder="1" applyAlignment="1" applyProtection="1"/>
    <xf numFmtId="0" fontId="26" fillId="9" borderId="6" xfId="0" applyFont="1" applyFill="1" applyBorder="1" applyProtection="1"/>
    <xf numFmtId="0" fontId="27" fillId="9" borderId="7" xfId="0" applyFont="1" applyFill="1" applyBorder="1" applyProtection="1"/>
    <xf numFmtId="0" fontId="0" fillId="9" borderId="2" xfId="0" applyFill="1" applyBorder="1" applyProtection="1"/>
    <xf numFmtId="165" fontId="27" fillId="9" borderId="8" xfId="0" applyNumberFormat="1" applyFont="1" applyFill="1" applyBorder="1" applyAlignment="1" applyProtection="1">
      <alignment vertical="center"/>
    </xf>
    <xf numFmtId="0" fontId="0" fillId="9" borderId="0" xfId="0" applyFill="1" applyProtection="1"/>
    <xf numFmtId="0" fontId="30" fillId="9" borderId="5" xfId="0" applyFont="1" applyFill="1" applyBorder="1" applyProtection="1"/>
    <xf numFmtId="0" fontId="0" fillId="9" borderId="8" xfId="0" applyFill="1" applyBorder="1" applyProtection="1"/>
    <xf numFmtId="0" fontId="0" fillId="9" borderId="7" xfId="0" applyFill="1" applyBorder="1" applyProtection="1"/>
    <xf numFmtId="0" fontId="0" fillId="9" borderId="3" xfId="0" applyFill="1" applyBorder="1" applyProtection="1"/>
    <xf numFmtId="0" fontId="30" fillId="9" borderId="4" xfId="0" applyFont="1" applyFill="1" applyBorder="1" applyProtection="1"/>
    <xf numFmtId="0" fontId="27" fillId="9" borderId="6" xfId="0" applyFont="1" applyFill="1" applyBorder="1" applyProtection="1"/>
    <xf numFmtId="0" fontId="30" fillId="9" borderId="0" xfId="5" applyFont="1" applyFill="1" applyBorder="1" applyAlignment="1" applyProtection="1">
      <alignment horizontal="center"/>
    </xf>
    <xf numFmtId="0" fontId="53" fillId="9" borderId="0" xfId="0" applyFont="1" applyFill="1" applyBorder="1" applyAlignment="1" applyProtection="1">
      <alignment horizontal="center"/>
    </xf>
    <xf numFmtId="0" fontId="22" fillId="9" borderId="0" xfId="0" applyFont="1" applyFill="1" applyBorder="1" applyProtection="1"/>
    <xf numFmtId="0" fontId="22" fillId="9" borderId="5" xfId="0" applyFont="1" applyFill="1" applyBorder="1" applyProtection="1"/>
    <xf numFmtId="2" fontId="30" fillId="9" borderId="5" xfId="0" applyNumberFormat="1" applyFont="1" applyFill="1" applyBorder="1" applyAlignment="1" applyProtection="1">
      <alignment horizontal="center"/>
    </xf>
    <xf numFmtId="0" fontId="22" fillId="9" borderId="6" xfId="0" applyFont="1" applyFill="1" applyBorder="1" applyProtection="1"/>
    <xf numFmtId="0" fontId="22" fillId="9" borderId="8" xfId="0" applyFont="1" applyFill="1" applyBorder="1" applyProtection="1"/>
    <xf numFmtId="0" fontId="22" fillId="9" borderId="7" xfId="0" applyFont="1" applyFill="1" applyBorder="1" applyProtection="1"/>
    <xf numFmtId="0" fontId="29" fillId="2" borderId="0" xfId="0" applyFont="1" applyFill="1" applyProtection="1"/>
    <xf numFmtId="0" fontId="29" fillId="18" borderId="0" xfId="0" applyFont="1" applyFill="1" applyProtection="1"/>
    <xf numFmtId="0" fontId="0" fillId="18" borderId="0" xfId="0" applyFill="1" applyProtection="1"/>
    <xf numFmtId="0" fontId="30" fillId="0" borderId="0" xfId="0" applyFont="1" applyAlignment="1" applyProtection="1">
      <alignment horizontal="center"/>
      <protection locked="0"/>
    </xf>
    <xf numFmtId="165" fontId="13" fillId="2" borderId="5" xfId="0" applyNumberFormat="1" applyFont="1" applyFill="1" applyBorder="1" applyAlignment="1" applyProtection="1">
      <alignment horizontal="center" wrapText="1"/>
    </xf>
    <xf numFmtId="168" fontId="13" fillId="2" borderId="5" xfId="0" applyNumberFormat="1" applyFont="1" applyFill="1" applyBorder="1" applyAlignment="1" applyProtection="1">
      <alignment horizontal="center" wrapText="1"/>
    </xf>
    <xf numFmtId="1" fontId="13" fillId="2" borderId="5" xfId="0" applyNumberFormat="1" applyFont="1" applyFill="1" applyBorder="1" applyAlignment="1" applyProtection="1">
      <alignment horizontal="center" wrapText="1"/>
    </xf>
    <xf numFmtId="165" fontId="16" fillId="2" borderId="5" xfId="0" applyNumberFormat="1" applyFont="1" applyFill="1" applyBorder="1" applyAlignment="1" applyProtection="1">
      <alignment horizontal="center" wrapText="1"/>
    </xf>
    <xf numFmtId="165" fontId="16" fillId="2" borderId="5" xfId="0" applyNumberFormat="1" applyFont="1" applyFill="1" applyBorder="1" applyAlignment="1" applyProtection="1">
      <alignment horizontal="center"/>
    </xf>
    <xf numFmtId="0" fontId="16" fillId="2" borderId="5" xfId="0" applyFont="1" applyFill="1" applyBorder="1" applyAlignment="1" applyProtection="1">
      <alignment horizontal="center" wrapText="1"/>
    </xf>
    <xf numFmtId="171" fontId="16" fillId="2" borderId="5" xfId="0" applyNumberFormat="1" applyFont="1" applyFill="1" applyBorder="1" applyAlignment="1" applyProtection="1">
      <alignment horizontal="center" wrapText="1"/>
    </xf>
    <xf numFmtId="8" fontId="16" fillId="2" borderId="5" xfId="0" applyNumberFormat="1" applyFont="1" applyFill="1" applyBorder="1" applyAlignment="1" applyProtection="1">
      <alignment horizontal="center" wrapText="1"/>
    </xf>
    <xf numFmtId="2" fontId="16" fillId="2" borderId="5" xfId="3" applyNumberFormat="1" applyFont="1" applyFill="1" applyBorder="1" applyAlignment="1" applyProtection="1">
      <alignment horizontal="center" wrapText="1"/>
    </xf>
    <xf numFmtId="171" fontId="16" fillId="2" borderId="5" xfId="1" applyNumberFormat="1" applyFont="1" applyFill="1" applyBorder="1" applyAlignment="1" applyProtection="1">
      <alignment horizontal="center" wrapText="1"/>
    </xf>
    <xf numFmtId="169" fontId="13" fillId="2" borderId="5" xfId="0" applyNumberFormat="1" applyFont="1" applyFill="1" applyBorder="1" applyAlignment="1" applyProtection="1">
      <alignment horizontal="center" wrapText="1"/>
    </xf>
    <xf numFmtId="171" fontId="13" fillId="2" borderId="5" xfId="0" applyNumberFormat="1" applyFont="1" applyFill="1" applyBorder="1" applyAlignment="1" applyProtection="1">
      <alignment horizontal="center" wrapText="1"/>
    </xf>
    <xf numFmtId="1" fontId="16" fillId="2" borderId="5" xfId="3" applyNumberFormat="1" applyFont="1" applyFill="1" applyBorder="1" applyAlignment="1" applyProtection="1">
      <alignment horizontal="center" wrapText="1"/>
    </xf>
    <xf numFmtId="9" fontId="16" fillId="2" borderId="5" xfId="3" applyFont="1" applyFill="1" applyBorder="1" applyAlignment="1" applyProtection="1">
      <alignment horizontal="center" wrapText="1"/>
    </xf>
    <xf numFmtId="165" fontId="13" fillId="2" borderId="5" xfId="0" applyNumberFormat="1" applyFont="1" applyFill="1" applyBorder="1" applyAlignment="1" applyProtection="1">
      <alignment horizontal="center" wrapText="1"/>
      <protection locked="0"/>
    </xf>
    <xf numFmtId="14" fontId="13" fillId="2" borderId="5" xfId="0" applyNumberFormat="1" applyFont="1" applyFill="1" applyBorder="1" applyAlignment="1" applyProtection="1">
      <alignment horizontal="center" wrapText="1"/>
      <protection locked="0"/>
    </xf>
    <xf numFmtId="1" fontId="13" fillId="2" borderId="5" xfId="0" applyNumberFormat="1" applyFont="1" applyFill="1" applyBorder="1" applyAlignment="1" applyProtection="1">
      <alignment horizontal="center" wrapText="1"/>
      <protection locked="0"/>
    </xf>
    <xf numFmtId="168" fontId="13" fillId="2" borderId="5" xfId="0" applyNumberFormat="1" applyFont="1" applyFill="1" applyBorder="1" applyAlignment="1" applyProtection="1">
      <alignment horizontal="center" wrapText="1"/>
      <protection locked="0"/>
    </xf>
    <xf numFmtId="0" fontId="10" fillId="2" borderId="0" xfId="0" applyFont="1" applyFill="1"/>
    <xf numFmtId="0" fontId="0" fillId="2" borderId="0" xfId="0" applyFill="1" applyAlignment="1"/>
    <xf numFmtId="0" fontId="0" fillId="2" borderId="0" xfId="0" applyFont="1" applyFill="1" applyAlignment="1"/>
    <xf numFmtId="0" fontId="0" fillId="2" borderId="0" xfId="0" applyFill="1" applyAlignment="1">
      <alignment horizontal="left" wrapText="1"/>
    </xf>
    <xf numFmtId="0" fontId="0" fillId="2" borderId="0" xfId="0" applyFill="1" applyAlignment="1">
      <alignment wrapText="1"/>
    </xf>
    <xf numFmtId="0" fontId="0" fillId="2" borderId="0" xfId="0" applyFont="1" applyFill="1"/>
    <xf numFmtId="0" fontId="0" fillId="2" borderId="0" xfId="0" applyFill="1" applyAlignment="1">
      <alignment wrapText="1"/>
    </xf>
    <xf numFmtId="169" fontId="13" fillId="5" borderId="7" xfId="0" applyNumberFormat="1" applyFont="1" applyFill="1" applyBorder="1" applyAlignment="1" applyProtection="1">
      <alignment horizontal="center" wrapText="1"/>
    </xf>
    <xf numFmtId="0" fontId="13" fillId="2" borderId="5" xfId="0" applyFont="1" applyFill="1" applyBorder="1" applyAlignment="1" applyProtection="1">
      <alignment horizontal="center" wrapText="1"/>
    </xf>
    <xf numFmtId="0" fontId="30" fillId="2" borderId="0" xfId="0" applyFont="1" applyFill="1" applyAlignment="1" applyProtection="1">
      <alignment horizontal="left"/>
      <protection locked="0"/>
    </xf>
    <xf numFmtId="0" fontId="16" fillId="2" borderId="0" xfId="0" applyFont="1" applyFill="1" applyAlignment="1">
      <alignment horizontal="center"/>
    </xf>
    <xf numFmtId="0" fontId="28" fillId="9" borderId="2" xfId="0" applyFont="1" applyFill="1" applyBorder="1" applyAlignment="1" applyProtection="1">
      <alignment vertical="top"/>
    </xf>
    <xf numFmtId="0" fontId="28" fillId="9" borderId="4" xfId="0" applyFont="1" applyFill="1" applyBorder="1" applyAlignment="1" applyProtection="1">
      <alignment vertical="top"/>
    </xf>
    <xf numFmtId="0" fontId="27" fillId="9" borderId="4" xfId="0" applyFont="1" applyFill="1" applyBorder="1" applyAlignment="1" applyProtection="1">
      <alignment vertical="top"/>
    </xf>
    <xf numFmtId="0" fontId="30" fillId="0" borderId="0" xfId="0" applyFont="1" applyFill="1" applyBorder="1" applyAlignment="1" applyProtection="1"/>
    <xf numFmtId="0" fontId="30" fillId="0" borderId="0" xfId="0" applyFont="1" applyFill="1" applyBorder="1" applyProtection="1"/>
    <xf numFmtId="9" fontId="22" fillId="0" borderId="0" xfId="0" applyNumberFormat="1" applyFont="1"/>
    <xf numFmtId="169" fontId="22" fillId="0" borderId="0" xfId="0" applyNumberFormat="1" applyFont="1"/>
    <xf numFmtId="0" fontId="63" fillId="0" borderId="0" xfId="0" applyFont="1" applyFill="1" applyBorder="1" applyProtection="1"/>
    <xf numFmtId="0" fontId="22" fillId="0" borderId="0" xfId="0" applyFont="1" applyFill="1" applyBorder="1" applyAlignment="1" applyProtection="1"/>
    <xf numFmtId="0" fontId="22" fillId="0" borderId="0" xfId="0" applyFont="1" applyFill="1" applyBorder="1" applyProtection="1"/>
    <xf numFmtId="0" fontId="30" fillId="9" borderId="0" xfId="0" applyFont="1" applyFill="1" applyBorder="1"/>
    <xf numFmtId="0" fontId="50" fillId="23" borderId="4" xfId="7" applyFont="1" applyFill="1" applyBorder="1" applyProtection="1"/>
    <xf numFmtId="0" fontId="49" fillId="23" borderId="0" xfId="7" applyFont="1" applyFill="1" applyBorder="1" applyAlignment="1" applyProtection="1">
      <alignment horizontal="center" wrapText="1"/>
    </xf>
    <xf numFmtId="0" fontId="49" fillId="23" borderId="0" xfId="7" applyFont="1" applyFill="1" applyBorder="1" applyProtection="1"/>
    <xf numFmtId="0" fontId="49" fillId="22" borderId="0" xfId="7" applyFont="1" applyFill="1" applyBorder="1" applyProtection="1"/>
    <xf numFmtId="0" fontId="49" fillId="23" borderId="5" xfId="7" applyFont="1" applyFill="1" applyBorder="1" applyAlignment="1" applyProtection="1">
      <alignment horizontal="center" wrapText="1"/>
    </xf>
    <xf numFmtId="0" fontId="30" fillId="9" borderId="0" xfId="0" applyFont="1" applyFill="1" applyBorder="1" applyAlignment="1">
      <alignment horizontal="right"/>
    </xf>
    <xf numFmtId="0" fontId="30" fillId="9" borderId="0" xfId="0" applyFont="1" applyFill="1" applyProtection="1"/>
    <xf numFmtId="0" fontId="64" fillId="2" borderId="0" xfId="0" applyFont="1" applyFill="1" applyProtection="1">
      <protection locked="0"/>
    </xf>
    <xf numFmtId="0" fontId="13" fillId="4" borderId="0" xfId="0" applyFont="1" applyFill="1" applyBorder="1" applyProtection="1"/>
    <xf numFmtId="0" fontId="39" fillId="4" borderId="2" xfId="0" applyFont="1" applyFill="1" applyBorder="1" applyProtection="1">
      <protection locked="0"/>
    </xf>
    <xf numFmtId="0" fontId="13" fillId="4" borderId="9" xfId="0" applyFont="1" applyFill="1" applyBorder="1" applyProtection="1"/>
    <xf numFmtId="0" fontId="0" fillId="4" borderId="3" xfId="0" applyFill="1" applyBorder="1" applyProtection="1">
      <protection locked="0"/>
    </xf>
    <xf numFmtId="0" fontId="0" fillId="4" borderId="5" xfId="0" applyFill="1" applyBorder="1" applyProtection="1">
      <protection locked="0"/>
    </xf>
    <xf numFmtId="169" fontId="16" fillId="6" borderId="3" xfId="0" applyNumberFormat="1" applyFont="1" applyFill="1" applyBorder="1" applyAlignment="1" applyProtection="1">
      <alignment horizontal="center"/>
      <protection locked="0"/>
    </xf>
    <xf numFmtId="169" fontId="16" fillId="6" borderId="5" xfId="0" applyNumberFormat="1" applyFont="1" applyFill="1" applyBorder="1" applyAlignment="1" applyProtection="1">
      <alignment horizontal="center"/>
      <protection locked="0"/>
    </xf>
    <xf numFmtId="169" fontId="16" fillId="6" borderId="7" xfId="0" applyNumberFormat="1" applyFont="1" applyFill="1" applyBorder="1" applyAlignment="1" applyProtection="1">
      <alignment horizontal="center"/>
      <protection locked="0"/>
    </xf>
    <xf numFmtId="169" fontId="16" fillId="2" borderId="5" xfId="0" applyNumberFormat="1" applyFont="1" applyFill="1" applyBorder="1" applyAlignment="1" applyProtection="1">
      <alignment horizontal="center"/>
      <protection locked="0"/>
    </xf>
    <xf numFmtId="0" fontId="16" fillId="4" borderId="5" xfId="0" applyFont="1" applyFill="1" applyBorder="1" applyProtection="1">
      <protection locked="0"/>
    </xf>
    <xf numFmtId="171" fontId="16" fillId="2" borderId="5" xfId="0" applyNumberFormat="1" applyFont="1" applyFill="1" applyBorder="1" applyAlignment="1" applyProtection="1">
      <alignment horizontal="center"/>
      <protection locked="0"/>
    </xf>
    <xf numFmtId="168" fontId="16" fillId="2" borderId="5" xfId="0" applyNumberFormat="1" applyFont="1" applyFill="1" applyBorder="1" applyAlignment="1" applyProtection="1">
      <alignment horizontal="center"/>
      <protection locked="0"/>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center"/>
    </xf>
    <xf numFmtId="0" fontId="28" fillId="21" borderId="0" xfId="0" applyFont="1" applyFill="1" applyBorder="1" applyAlignment="1" applyProtection="1">
      <alignment vertical="top" wrapText="1"/>
    </xf>
    <xf numFmtId="0" fontId="28" fillId="20" borderId="8" xfId="0" applyFont="1" applyFill="1" applyBorder="1" applyAlignment="1" applyProtection="1">
      <alignment horizontal="center"/>
    </xf>
    <xf numFmtId="165" fontId="27" fillId="2" borderId="0" xfId="0" applyNumberFormat="1" applyFont="1" applyFill="1" applyBorder="1" applyAlignment="1" applyProtection="1">
      <alignment horizontal="center" vertical="center"/>
    </xf>
    <xf numFmtId="0" fontId="28" fillId="9" borderId="4" xfId="0" applyFont="1" applyFill="1" applyBorder="1" applyAlignment="1" applyProtection="1">
      <alignment horizontal="left" vertical="top"/>
    </xf>
    <xf numFmtId="0" fontId="27" fillId="2" borderId="0" xfId="0" applyFont="1" applyFill="1" applyBorder="1" applyAlignment="1" applyProtection="1">
      <alignment horizontal="center"/>
    </xf>
    <xf numFmtId="165" fontId="27" fillId="9" borderId="0" xfId="0" applyNumberFormat="1" applyFont="1" applyFill="1" applyBorder="1" applyAlignment="1" applyProtection="1">
      <alignment horizontal="center" vertical="center"/>
    </xf>
    <xf numFmtId="0" fontId="62" fillId="9" borderId="4" xfId="0" applyFont="1" applyFill="1" applyBorder="1" applyAlignment="1" applyProtection="1">
      <alignment horizontal="center" vertical="center" wrapText="1"/>
    </xf>
    <xf numFmtId="0" fontId="62" fillId="9" borderId="0" xfId="0" applyFont="1" applyFill="1" applyBorder="1" applyAlignment="1" applyProtection="1">
      <alignment horizontal="center" vertical="center" wrapText="1"/>
    </xf>
    <xf numFmtId="0" fontId="62" fillId="9" borderId="5" xfId="0" applyFont="1" applyFill="1" applyBorder="1" applyAlignment="1" applyProtection="1">
      <alignment horizontal="center" vertical="center" wrapText="1"/>
    </xf>
    <xf numFmtId="0" fontId="0" fillId="2" borderId="0" xfId="0" applyFill="1" applyAlignment="1" applyProtection="1">
      <alignment horizontal="center"/>
      <protection locked="0"/>
    </xf>
    <xf numFmtId="0" fontId="13" fillId="6" borderId="4" xfId="0" applyFont="1" applyFill="1" applyBorder="1" applyAlignment="1" applyProtection="1">
      <alignment horizontal="left"/>
    </xf>
    <xf numFmtId="0" fontId="0" fillId="6" borderId="0" xfId="0" applyFill="1" applyBorder="1" applyAlignment="1">
      <alignment horizontal="left"/>
    </xf>
    <xf numFmtId="0" fontId="0" fillId="6" borderId="0" xfId="0" applyFill="1" applyAlignment="1">
      <alignment horizontal="left"/>
    </xf>
    <xf numFmtId="0" fontId="13" fillId="6" borderId="2" xfId="0" applyFont="1" applyFill="1" applyBorder="1" applyAlignment="1" applyProtection="1">
      <alignment horizontal="left"/>
    </xf>
    <xf numFmtId="0" fontId="0" fillId="6" borderId="9" xfId="0" applyFill="1" applyBorder="1" applyAlignment="1">
      <alignment horizontal="left"/>
    </xf>
    <xf numFmtId="0" fontId="64" fillId="2" borderId="0" xfId="0" applyFont="1" applyFill="1" applyProtection="1"/>
    <xf numFmtId="0" fontId="43" fillId="2" borderId="0" xfId="0" applyFont="1" applyFill="1" applyAlignment="1" applyProtection="1">
      <alignment vertical="center"/>
    </xf>
    <xf numFmtId="181" fontId="27" fillId="2" borderId="0" xfId="0" applyNumberFormat="1" applyFont="1" applyFill="1" applyBorder="1" applyAlignment="1" applyProtection="1">
      <alignment horizontal="center"/>
    </xf>
    <xf numFmtId="0" fontId="30" fillId="0" borderId="0" xfId="0" applyFont="1" applyAlignment="1" applyProtection="1">
      <alignment horizontal="center"/>
    </xf>
    <xf numFmtId="0" fontId="27" fillId="2"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3" fontId="27" fillId="0" borderId="0" xfId="0" applyNumberFormat="1" applyFont="1" applyFill="1" applyBorder="1" applyAlignment="1" applyProtection="1">
      <alignment horizontal="center" vertical="center"/>
    </xf>
    <xf numFmtId="1" fontId="27" fillId="0" borderId="0" xfId="0" applyNumberFormat="1" applyFont="1" applyFill="1" applyBorder="1" applyAlignment="1" applyProtection="1">
      <alignment horizontal="center" vertical="center"/>
    </xf>
    <xf numFmtId="165" fontId="27" fillId="9" borderId="5" xfId="0" applyNumberFormat="1" applyFont="1" applyFill="1" applyBorder="1" applyAlignment="1" applyProtection="1">
      <alignment horizontal="center" vertical="center"/>
    </xf>
    <xf numFmtId="165" fontId="27" fillId="9" borderId="0" xfId="0" applyNumberFormat="1" applyFont="1" applyFill="1" applyBorder="1" applyAlignment="1" applyProtection="1">
      <alignment vertical="center"/>
    </xf>
    <xf numFmtId="0" fontId="30" fillId="2" borderId="0" xfId="5" applyFont="1" applyFill="1" applyBorder="1" applyAlignment="1" applyProtection="1">
      <alignment horizontal="center"/>
    </xf>
    <xf numFmtId="0" fontId="30" fillId="2" borderId="0" xfId="0" applyFont="1" applyFill="1" applyAlignment="1" applyProtection="1">
      <alignment horizontal="center"/>
    </xf>
    <xf numFmtId="0" fontId="30" fillId="9" borderId="0" xfId="0" applyFont="1" applyFill="1" applyBorder="1" applyProtection="1"/>
    <xf numFmtId="3" fontId="30" fillId="2" borderId="0" xfId="5" applyNumberFormat="1" applyFont="1" applyFill="1" applyBorder="1" applyAlignment="1" applyProtection="1">
      <alignment horizontal="center"/>
    </xf>
    <xf numFmtId="3" fontId="30" fillId="2" borderId="8" xfId="5" applyNumberFormat="1" applyFont="1" applyFill="1" applyBorder="1" applyAlignment="1" applyProtection="1">
      <alignment horizontal="center"/>
    </xf>
    <xf numFmtId="0" fontId="28" fillId="9" borderId="8" xfId="0" applyFont="1" applyFill="1" applyBorder="1" applyAlignment="1" applyProtection="1"/>
    <xf numFmtId="2" fontId="0" fillId="2" borderId="0" xfId="0" applyNumberFormat="1" applyFill="1" applyProtection="1"/>
    <xf numFmtId="11" fontId="0" fillId="2" borderId="0" xfId="0" applyNumberFormat="1" applyFill="1" applyProtection="1"/>
    <xf numFmtId="0" fontId="30" fillId="2" borderId="0" xfId="0" applyFont="1" applyFill="1" applyProtection="1"/>
    <xf numFmtId="165" fontId="30" fillId="2" borderId="0" xfId="0" applyNumberFormat="1" applyFont="1" applyFill="1" applyAlignment="1" applyProtection="1">
      <alignment horizontal="center"/>
    </xf>
    <xf numFmtId="165" fontId="0" fillId="2" borderId="0" xfId="0" applyNumberFormat="1" applyFill="1" applyProtection="1"/>
    <xf numFmtId="0" fontId="55" fillId="2" borderId="0" xfId="0" applyFont="1" applyFill="1" applyProtection="1"/>
    <xf numFmtId="170" fontId="22" fillId="2" borderId="0" xfId="0" applyNumberFormat="1" applyFont="1" applyFill="1" applyProtection="1"/>
    <xf numFmtId="0" fontId="30" fillId="2" borderId="0" xfId="0" applyFont="1" applyFill="1" applyAlignment="1" applyProtection="1">
      <alignment vertical="center"/>
    </xf>
    <xf numFmtId="0" fontId="27" fillId="2" borderId="0" xfId="0" applyNumberFormat="1" applyFont="1" applyFill="1" applyBorder="1" applyAlignment="1" applyProtection="1">
      <alignment vertical="center"/>
    </xf>
    <xf numFmtId="9" fontId="30" fillId="2" borderId="0" xfId="0" applyNumberFormat="1" applyFont="1" applyFill="1" applyProtection="1"/>
    <xf numFmtId="3" fontId="30" fillId="2" borderId="0" xfId="0" applyNumberFormat="1" applyFont="1" applyFill="1" applyProtection="1"/>
    <xf numFmtId="0" fontId="30" fillId="2" borderId="0" xfId="0" applyFont="1" applyFill="1" applyAlignment="1" applyProtection="1">
      <alignment horizontal="left"/>
    </xf>
    <xf numFmtId="1" fontId="22" fillId="2" borderId="0" xfId="0" applyNumberFormat="1" applyFont="1" applyFill="1" applyProtection="1"/>
    <xf numFmtId="165" fontId="30" fillId="2" borderId="0" xfId="0" applyNumberFormat="1" applyFont="1" applyFill="1" applyProtection="1"/>
    <xf numFmtId="0" fontId="27" fillId="2" borderId="0" xfId="0" applyNumberFormat="1" applyFont="1" applyFill="1" applyBorder="1" applyAlignment="1" applyProtection="1"/>
    <xf numFmtId="0" fontId="30" fillId="2" borderId="0" xfId="0" applyFont="1" applyFill="1" applyAlignment="1" applyProtection="1">
      <alignment horizontal="right" vertical="center"/>
    </xf>
    <xf numFmtId="2" fontId="22" fillId="2" borderId="0" xfId="0" applyNumberFormat="1" applyFont="1" applyFill="1" applyProtection="1"/>
    <xf numFmtId="0" fontId="39" fillId="2" borderId="0" xfId="0" applyFont="1" applyFill="1" applyProtection="1"/>
    <xf numFmtId="2" fontId="30" fillId="2" borderId="0" xfId="0" applyNumberFormat="1" applyFont="1" applyFill="1" applyAlignment="1" applyProtection="1">
      <alignment horizontal="center"/>
    </xf>
    <xf numFmtId="0" fontId="27" fillId="4" borderId="1" xfId="0" applyNumberFormat="1" applyFont="1" applyFill="1" applyBorder="1" applyAlignment="1" applyProtection="1">
      <alignment vertical="center"/>
    </xf>
    <xf numFmtId="0" fontId="27" fillId="4" borderId="1" xfId="0" applyNumberFormat="1" applyFont="1" applyFill="1" applyBorder="1" applyAlignment="1" applyProtection="1"/>
    <xf numFmtId="0" fontId="27" fillId="4" borderId="16" xfId="0" applyNumberFormat="1" applyFont="1" applyFill="1" applyBorder="1" applyAlignment="1" applyProtection="1">
      <alignment vertical="center"/>
    </xf>
    <xf numFmtId="165" fontId="30" fillId="24" borderId="0" xfId="0" applyNumberFormat="1" applyFont="1" applyFill="1" applyProtection="1"/>
    <xf numFmtId="0" fontId="16" fillId="2" borderId="0" xfId="0" applyFont="1" applyFill="1" applyAlignment="1" applyProtection="1">
      <alignment horizontal="center"/>
      <protection locked="0"/>
    </xf>
    <xf numFmtId="0" fontId="66" fillId="2" borderId="0" xfId="0" applyFont="1" applyFill="1" applyProtection="1">
      <protection locked="0"/>
    </xf>
    <xf numFmtId="0" fontId="50" fillId="23" borderId="0" xfId="7" applyFont="1" applyFill="1" applyBorder="1" applyAlignment="1" applyProtection="1">
      <alignment horizontal="center" wrapText="1"/>
    </xf>
    <xf numFmtId="0" fontId="63" fillId="9" borderId="0" xfId="0" applyFont="1" applyFill="1" applyAlignment="1" applyProtection="1">
      <alignment horizontal="center"/>
      <protection locked="0"/>
    </xf>
    <xf numFmtId="0" fontId="50" fillId="23" borderId="0" xfId="7" applyFont="1" applyFill="1" applyBorder="1" applyAlignment="1" applyProtection="1">
      <alignment wrapText="1"/>
    </xf>
    <xf numFmtId="0" fontId="22" fillId="27" borderId="0" xfId="0" applyFont="1" applyFill="1"/>
    <xf numFmtId="1" fontId="22" fillId="27" borderId="0" xfId="0" applyNumberFormat="1" applyFont="1" applyFill="1"/>
    <xf numFmtId="165" fontId="22" fillId="27" borderId="0" xfId="0" applyNumberFormat="1" applyFont="1" applyFill="1"/>
    <xf numFmtId="0" fontId="2" fillId="26" borderId="28" xfId="0" applyFont="1" applyFill="1" applyBorder="1" applyAlignment="1">
      <alignment vertical="top" wrapText="1"/>
    </xf>
    <xf numFmtId="0" fontId="1" fillId="25" borderId="29" xfId="0" applyFont="1" applyFill="1" applyBorder="1" applyAlignment="1">
      <alignment vertical="top" wrapText="1"/>
    </xf>
    <xf numFmtId="0" fontId="39" fillId="2" borderId="0" xfId="0" applyFont="1" applyFill="1"/>
    <xf numFmtId="1" fontId="22" fillId="2" borderId="0" xfId="0" applyNumberFormat="1" applyFont="1" applyFill="1"/>
    <xf numFmtId="170" fontId="30" fillId="18" borderId="0" xfId="3" applyNumberFormat="1" applyFont="1" applyFill="1" applyAlignment="1" applyProtection="1">
      <alignment horizontal="center"/>
    </xf>
    <xf numFmtId="9" fontId="30" fillId="18" borderId="0" xfId="3" applyNumberFormat="1" applyFont="1" applyFill="1" applyAlignment="1" applyProtection="1">
      <alignment horizontal="center"/>
    </xf>
    <xf numFmtId="9" fontId="30" fillId="18" borderId="0" xfId="3" applyNumberFormat="1" applyFont="1" applyFill="1" applyBorder="1" applyAlignment="1" applyProtection="1">
      <alignment horizontal="center"/>
    </xf>
    <xf numFmtId="0" fontId="27" fillId="2" borderId="0" xfId="0" applyFont="1" applyFill="1" applyBorder="1" applyAlignment="1" applyProtection="1">
      <alignment horizontal="center"/>
    </xf>
    <xf numFmtId="0" fontId="27" fillId="9" borderId="0" xfId="0" applyFont="1" applyFill="1" applyBorder="1" applyAlignment="1" applyProtection="1">
      <alignment horizontal="left"/>
    </xf>
    <xf numFmtId="165" fontId="27" fillId="9" borderId="0" xfId="0" applyNumberFormat="1" applyFont="1" applyFill="1" applyBorder="1" applyAlignment="1" applyProtection="1">
      <alignment horizontal="center" vertical="center"/>
    </xf>
    <xf numFmtId="0" fontId="22" fillId="27" borderId="0" xfId="0" applyFont="1" applyFill="1" applyProtection="1">
      <protection locked="0"/>
    </xf>
    <xf numFmtId="0" fontId="71" fillId="2" borderId="0" xfId="0" applyFont="1" applyFill="1"/>
    <xf numFmtId="0" fontId="92" fillId="45" borderId="44" xfId="11" applyFont="1" applyFill="1" applyBorder="1" applyAlignment="1" applyProtection="1">
      <alignment horizontal="left"/>
      <protection locked="0"/>
    </xf>
    <xf numFmtId="165" fontId="92" fillId="45" borderId="0" xfId="11" applyNumberFormat="1" applyFont="1" applyFill="1" applyBorder="1" applyAlignment="1" applyProtection="1">
      <protection locked="0"/>
    </xf>
    <xf numFmtId="3" fontId="73" fillId="0" borderId="10" xfId="11" applyNumberFormat="1" applyFont="1" applyFill="1" applyBorder="1" applyProtection="1"/>
    <xf numFmtId="0" fontId="91" fillId="2" borderId="44" xfId="11" applyFont="1" applyFill="1" applyBorder="1" applyAlignment="1" applyProtection="1">
      <alignment wrapText="1"/>
    </xf>
    <xf numFmtId="0" fontId="91" fillId="2" borderId="32" xfId="11" applyFont="1" applyFill="1" applyBorder="1" applyAlignment="1" applyProtection="1">
      <alignment wrapText="1"/>
    </xf>
    <xf numFmtId="0" fontId="0" fillId="2" borderId="44" xfId="0" applyFill="1" applyBorder="1"/>
    <xf numFmtId="165" fontId="92" fillId="45" borderId="32" xfId="11" applyNumberFormat="1" applyFont="1" applyFill="1" applyBorder="1" applyAlignment="1" applyProtection="1">
      <alignment horizontal="center"/>
      <protection locked="0"/>
    </xf>
    <xf numFmtId="165" fontId="92" fillId="45" borderId="44" xfId="11" applyNumberFormat="1" applyFont="1" applyFill="1" applyBorder="1" applyAlignment="1" applyProtection="1">
      <alignment horizontal="center"/>
      <protection locked="0"/>
    </xf>
    <xf numFmtId="165" fontId="92" fillId="45" borderId="34" xfId="11" applyNumberFormat="1" applyFont="1" applyFill="1" applyBorder="1" applyAlignment="1" applyProtection="1">
      <alignment horizontal="center"/>
      <protection locked="0"/>
    </xf>
    <xf numFmtId="0" fontId="0" fillId="2" borderId="34" xfId="0" applyFill="1" applyBorder="1"/>
    <xf numFmtId="0" fontId="74" fillId="2" borderId="44" xfId="11" applyFont="1" applyFill="1" applyBorder="1" applyProtection="1"/>
    <xf numFmtId="0" fontId="74" fillId="2" borderId="32" xfId="11" applyFont="1" applyFill="1" applyBorder="1" applyProtection="1"/>
    <xf numFmtId="0" fontId="74" fillId="2" borderId="34" xfId="11" applyFont="1" applyFill="1" applyBorder="1" applyProtection="1"/>
    <xf numFmtId="0" fontId="10" fillId="2" borderId="32" xfId="0" applyFont="1" applyFill="1" applyBorder="1"/>
    <xf numFmtId="0" fontId="16" fillId="2" borderId="0" xfId="0" applyFont="1" applyFill="1" applyAlignment="1" applyProtection="1">
      <alignment vertical="center"/>
      <protection locked="0"/>
    </xf>
    <xf numFmtId="165" fontId="92" fillId="45" borderId="33" xfId="11" applyNumberFormat="1" applyFont="1" applyFill="1" applyBorder="1" applyAlignment="1" applyProtection="1">
      <alignment horizontal="center"/>
      <protection locked="0"/>
    </xf>
    <xf numFmtId="0" fontId="0" fillId="2" borderId="33" xfId="0" applyFill="1" applyBorder="1"/>
    <xf numFmtId="0" fontId="74" fillId="2" borderId="33" xfId="11" applyFont="1" applyFill="1" applyBorder="1" applyProtection="1"/>
    <xf numFmtId="0" fontId="66" fillId="2" borderId="0" xfId="0" applyFont="1" applyFill="1"/>
    <xf numFmtId="0" fontId="27" fillId="2" borderId="0" xfId="0" applyFont="1" applyFill="1" applyBorder="1" applyAlignment="1" applyProtection="1">
      <alignment horizontal="center"/>
      <protection locked="0"/>
    </xf>
    <xf numFmtId="0" fontId="27" fillId="2" borderId="0" xfId="0" applyFont="1" applyFill="1" applyBorder="1" applyAlignment="1" applyProtection="1">
      <alignment horizontal="center"/>
    </xf>
    <xf numFmtId="0" fontId="0" fillId="0" borderId="0" xfId="0" applyFill="1"/>
    <xf numFmtId="0" fontId="27" fillId="9" borderId="5" xfId="0" applyFont="1" applyFill="1" applyBorder="1" applyAlignment="1" applyProtection="1">
      <alignment horizontal="left"/>
    </xf>
    <xf numFmtId="0" fontId="27" fillId="9" borderId="5" xfId="0" applyFont="1" applyFill="1" applyBorder="1" applyAlignment="1" applyProtection="1"/>
    <xf numFmtId="165" fontId="27" fillId="9" borderId="45" xfId="0" applyNumberFormat="1" applyFont="1" applyFill="1" applyBorder="1" applyAlignment="1" applyProtection="1">
      <alignment vertical="center"/>
    </xf>
    <xf numFmtId="165" fontId="27" fillId="9" borderId="0" xfId="0" applyNumberFormat="1" applyFont="1" applyFill="1" applyBorder="1" applyAlignment="1" applyProtection="1">
      <alignment horizontal="left" vertical="center"/>
      <protection locked="0"/>
    </xf>
    <xf numFmtId="165" fontId="27" fillId="9" borderId="0" xfId="0" applyNumberFormat="1" applyFont="1" applyFill="1" applyBorder="1" applyAlignment="1" applyProtection="1">
      <alignment horizontal="left" vertical="center"/>
    </xf>
    <xf numFmtId="0" fontId="22" fillId="2" borderId="0" xfId="0" applyFont="1" applyFill="1" applyAlignment="1">
      <alignment horizontal="center"/>
    </xf>
    <xf numFmtId="0" fontId="22" fillId="2" borderId="34" xfId="0" applyFont="1" applyFill="1" applyBorder="1"/>
    <xf numFmtId="0" fontId="22" fillId="2" borderId="34" xfId="0" applyFont="1" applyFill="1" applyBorder="1" applyAlignment="1">
      <alignment horizontal="center"/>
    </xf>
    <xf numFmtId="165" fontId="22" fillId="2" borderId="34" xfId="0" applyNumberFormat="1" applyFont="1" applyFill="1" applyBorder="1" applyAlignment="1">
      <alignment horizontal="center"/>
    </xf>
    <xf numFmtId="0" fontId="22" fillId="2" borderId="10" xfId="0" applyFont="1" applyFill="1" applyBorder="1" applyAlignment="1">
      <alignment horizontal="center"/>
    </xf>
    <xf numFmtId="0" fontId="22" fillId="2" borderId="12" xfId="0" applyFont="1" applyFill="1" applyBorder="1" applyAlignment="1">
      <alignment horizontal="center"/>
    </xf>
    <xf numFmtId="0" fontId="22" fillId="2" borderId="10" xfId="0" applyFont="1" applyFill="1" applyBorder="1" applyAlignment="1">
      <alignment horizontal="left"/>
    </xf>
    <xf numFmtId="0" fontId="22" fillId="2" borderId="12" xfId="0" applyFont="1" applyFill="1" applyBorder="1" applyAlignment="1">
      <alignment horizontal="left"/>
    </xf>
    <xf numFmtId="0" fontId="0" fillId="0" borderId="12" xfId="0" applyBorder="1" applyAlignment="1">
      <alignment horizontal="left"/>
    </xf>
    <xf numFmtId="0" fontId="63" fillId="2" borderId="0" xfId="0" applyFont="1" applyFill="1"/>
    <xf numFmtId="0" fontId="22" fillId="2" borderId="34" xfId="0" applyFont="1" applyFill="1" applyBorder="1" applyProtection="1">
      <protection locked="0"/>
    </xf>
    <xf numFmtId="165" fontId="22" fillId="2" borderId="34" xfId="0" applyNumberFormat="1" applyFont="1" applyFill="1" applyBorder="1" applyAlignment="1" applyProtection="1">
      <alignment horizontal="center"/>
      <protection locked="0"/>
    </xf>
    <xf numFmtId="0" fontId="66" fillId="2" borderId="0" xfId="0" applyFont="1" applyFill="1" applyAlignment="1" applyProtection="1">
      <alignment horizontal="center" vertical="center"/>
      <protection locked="0"/>
    </xf>
    <xf numFmtId="0" fontId="96" fillId="2" borderId="0" xfId="0" applyFont="1" applyFill="1" applyAlignment="1" applyProtection="1">
      <alignment horizontal="center"/>
      <protection locked="0"/>
    </xf>
    <xf numFmtId="0" fontId="0" fillId="2" borderId="0" xfId="0" applyFill="1" applyAlignment="1" applyProtection="1">
      <alignment vertical="center"/>
      <protection locked="0"/>
    </xf>
    <xf numFmtId="0" fontId="97" fillId="2" borderId="0" xfId="0" applyFont="1" applyFill="1" applyProtection="1">
      <protection locked="0"/>
    </xf>
    <xf numFmtId="0" fontId="0" fillId="2" borderId="0" xfId="0" applyFill="1" applyBorder="1"/>
    <xf numFmtId="0" fontId="70" fillId="2" borderId="0" xfId="2" quotePrefix="1" applyFont="1" applyFill="1" applyAlignment="1" applyProtection="1">
      <alignment vertical="top" wrapText="1"/>
    </xf>
    <xf numFmtId="0" fontId="0" fillId="2" borderId="46" xfId="0" applyFill="1" applyBorder="1" applyAlignment="1">
      <alignment horizontal="center"/>
    </xf>
    <xf numFmtId="0" fontId="0" fillId="2" borderId="44" xfId="0" applyFill="1" applyBorder="1" applyAlignment="1">
      <alignment horizontal="center"/>
    </xf>
    <xf numFmtId="1" fontId="22" fillId="27" borderId="0" xfId="0" applyNumberFormat="1" applyFont="1" applyFill="1" applyAlignment="1">
      <alignment horizontal="left"/>
    </xf>
    <xf numFmtId="1" fontId="0" fillId="2" borderId="0" xfId="0" applyNumberFormat="1" applyFont="1" applyFill="1" applyAlignment="1">
      <alignment vertical="center"/>
    </xf>
    <xf numFmtId="0" fontId="22" fillId="27" borderId="34" xfId="0" applyFont="1" applyFill="1" applyBorder="1" applyProtection="1">
      <protection locked="0"/>
    </xf>
    <xf numFmtId="0" fontId="22" fillId="27" borderId="34" xfId="0" applyFont="1" applyFill="1" applyBorder="1" applyAlignment="1" applyProtection="1">
      <alignment horizontal="center"/>
      <protection locked="0"/>
    </xf>
    <xf numFmtId="165" fontId="92" fillId="45" borderId="32" xfId="11" applyNumberFormat="1" applyFont="1" applyFill="1" applyBorder="1" applyAlignment="1" applyProtection="1">
      <alignment horizontal="center"/>
    </xf>
    <xf numFmtId="0" fontId="10" fillId="2" borderId="34" xfId="0" applyFont="1" applyFill="1" applyBorder="1" applyProtection="1"/>
    <xf numFmtId="165" fontId="92" fillId="45" borderId="34" xfId="11" applyNumberFormat="1" applyFont="1" applyFill="1" applyBorder="1" applyAlignment="1" applyProtection="1">
      <alignment horizontal="center"/>
    </xf>
    <xf numFmtId="165" fontId="92" fillId="45" borderId="34" xfId="52" applyNumberFormat="1" applyFont="1" applyFill="1" applyBorder="1" applyAlignment="1" applyProtection="1"/>
    <xf numFmtId="0" fontId="0" fillId="2" borderId="34" xfId="0" applyFill="1" applyBorder="1" applyProtection="1"/>
    <xf numFmtId="165" fontId="93" fillId="2" borderId="34" xfId="11" applyNumberFormat="1" applyFont="1" applyFill="1" applyBorder="1" applyAlignment="1" applyProtection="1">
      <alignment horizontal="center"/>
    </xf>
    <xf numFmtId="0" fontId="94" fillId="2" borderId="0" xfId="0" applyFont="1" applyFill="1"/>
    <xf numFmtId="0" fontId="27" fillId="2" borderId="0" xfId="0" applyFont="1" applyFill="1" applyBorder="1" applyAlignment="1" applyProtection="1">
      <alignment horizontal="center"/>
      <protection locked="0"/>
    </xf>
    <xf numFmtId="0" fontId="30" fillId="2" borderId="0" xfId="0" applyFont="1" applyFill="1" applyAlignment="1" applyProtection="1">
      <alignment horizontal="center"/>
      <protection locked="0"/>
    </xf>
    <xf numFmtId="165" fontId="27"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0" fillId="2" borderId="0" xfId="5" applyFont="1" applyFill="1" applyBorder="1" applyAlignment="1" applyProtection="1">
      <alignment horizontal="center"/>
      <protection locked="0"/>
    </xf>
    <xf numFmtId="3" fontId="27" fillId="2" borderId="0" xfId="0" applyNumberFormat="1" applyFont="1" applyFill="1" applyBorder="1" applyAlignment="1" applyProtection="1">
      <alignment horizontal="center"/>
      <protection locked="0"/>
    </xf>
    <xf numFmtId="170" fontId="0" fillId="2" borderId="0" xfId="0" applyNumberFormat="1" applyFill="1" applyProtection="1"/>
    <xf numFmtId="0" fontId="91" fillId="2" borderId="10" xfId="11" applyFont="1" applyFill="1" applyBorder="1" applyAlignment="1" applyProtection="1">
      <alignment horizontal="left"/>
    </xf>
    <xf numFmtId="0" fontId="22" fillId="2" borderId="0" xfId="0" applyNumberFormat="1" applyFont="1" applyFill="1" applyProtection="1">
      <protection locked="0"/>
    </xf>
    <xf numFmtId="0" fontId="91" fillId="2" borderId="11" xfId="11" applyFont="1" applyFill="1" applyBorder="1" applyAlignment="1" applyProtection="1">
      <alignment horizontal="left"/>
    </xf>
    <xf numFmtId="165" fontId="74" fillId="2" borderId="11" xfId="11" applyNumberFormat="1" applyFont="1" applyFill="1" applyBorder="1" applyAlignment="1" applyProtection="1">
      <alignment horizontal="center"/>
      <protection locked="0"/>
    </xf>
    <xf numFmtId="165" fontId="91" fillId="2" borderId="11" xfId="11" applyNumberFormat="1" applyFont="1" applyFill="1" applyBorder="1" applyAlignment="1" applyProtection="1">
      <alignment horizontal="center"/>
      <protection locked="0"/>
    </xf>
    <xf numFmtId="4" fontId="73" fillId="2" borderId="11" xfId="11" applyNumberFormat="1" applyFont="1" applyFill="1" applyBorder="1" applyAlignment="1" applyProtection="1">
      <alignment horizontal="center"/>
    </xf>
    <xf numFmtId="165" fontId="74" fillId="2" borderId="12" xfId="11" applyNumberFormat="1" applyFont="1" applyFill="1" applyBorder="1" applyAlignment="1" applyProtection="1">
      <alignment horizontal="center"/>
      <protection locked="0"/>
    </xf>
    <xf numFmtId="165" fontId="74" fillId="2" borderId="0" xfId="11" applyNumberFormat="1" applyFont="1" applyFill="1" applyBorder="1" applyAlignment="1" applyProtection="1">
      <alignment horizontal="center"/>
      <protection locked="0"/>
    </xf>
    <xf numFmtId="165" fontId="74" fillId="2" borderId="5" xfId="11" applyNumberFormat="1" applyFont="1" applyFill="1" applyBorder="1" applyAlignment="1" applyProtection="1">
      <alignment horizontal="center"/>
      <protection locked="0"/>
    </xf>
    <xf numFmtId="165" fontId="74" fillId="2" borderId="45" xfId="11" applyNumberFormat="1" applyFont="1" applyFill="1" applyBorder="1" applyAlignment="1" applyProtection="1">
      <alignment horizontal="center"/>
      <protection locked="0"/>
    </xf>
    <xf numFmtId="165" fontId="74" fillId="2" borderId="3" xfId="11" applyNumberFormat="1" applyFont="1" applyFill="1" applyBorder="1" applyAlignment="1" applyProtection="1">
      <alignment horizontal="center"/>
      <protection locked="0"/>
    </xf>
    <xf numFmtId="165" fontId="73" fillId="2" borderId="0" xfId="11" applyNumberFormat="1" applyFont="1" applyFill="1" applyBorder="1" applyAlignment="1" applyProtection="1">
      <alignment horizontal="center"/>
      <protection locked="0"/>
    </xf>
    <xf numFmtId="165" fontId="73" fillId="2" borderId="5" xfId="11" applyNumberFormat="1" applyFont="1" applyFill="1" applyBorder="1" applyAlignment="1" applyProtection="1">
      <alignment horizontal="center"/>
      <protection locked="0"/>
    </xf>
    <xf numFmtId="165" fontId="73" fillId="2" borderId="45" xfId="11" applyNumberFormat="1" applyFont="1" applyFill="1" applyBorder="1" applyAlignment="1" applyProtection="1">
      <alignment horizontal="center"/>
      <protection locked="0"/>
    </xf>
    <xf numFmtId="165" fontId="73" fillId="2" borderId="3" xfId="11" applyNumberFormat="1" applyFont="1" applyFill="1" applyBorder="1" applyAlignment="1" applyProtection="1">
      <alignment horizontal="center"/>
      <protection locked="0"/>
    </xf>
    <xf numFmtId="165" fontId="74" fillId="2" borderId="6" xfId="11" applyNumberFormat="1" applyFont="1" applyFill="1" applyBorder="1" applyAlignment="1" applyProtection="1">
      <alignment horizontal="center"/>
      <protection locked="0"/>
    </xf>
    <xf numFmtId="165" fontId="74" fillId="2" borderId="8" xfId="11" applyNumberFormat="1" applyFont="1" applyFill="1" applyBorder="1" applyAlignment="1" applyProtection="1">
      <alignment horizontal="center"/>
      <protection locked="0"/>
    </xf>
    <xf numFmtId="165" fontId="74" fillId="2" borderId="7" xfId="11" applyNumberFormat="1" applyFont="1" applyFill="1" applyBorder="1" applyAlignment="1" applyProtection="1">
      <alignment horizontal="center"/>
      <protection locked="0"/>
    </xf>
    <xf numFmtId="165" fontId="91" fillId="26" borderId="8" xfId="11" applyNumberFormat="1" applyFont="1" applyFill="1" applyBorder="1" applyAlignment="1" applyProtection="1">
      <alignment horizontal="center" wrapText="1"/>
    </xf>
    <xf numFmtId="165" fontId="74" fillId="2" borderId="0" xfId="11" applyNumberFormat="1" applyFont="1" applyFill="1" applyBorder="1" applyAlignment="1" applyProtection="1">
      <alignment horizontal="center"/>
    </xf>
    <xf numFmtId="165" fontId="74" fillId="2" borderId="5" xfId="11" applyNumberFormat="1" applyFont="1" applyFill="1" applyBorder="1" applyAlignment="1" applyProtection="1">
      <alignment horizontal="center"/>
    </xf>
    <xf numFmtId="165" fontId="74" fillId="2" borderId="11" xfId="11" applyNumberFormat="1" applyFont="1" applyFill="1" applyBorder="1" applyAlignment="1" applyProtection="1">
      <alignment horizontal="center"/>
    </xf>
    <xf numFmtId="165" fontId="74" fillId="2" borderId="12" xfId="11" applyNumberFormat="1" applyFont="1" applyFill="1" applyBorder="1" applyAlignment="1" applyProtection="1">
      <alignment horizontal="center"/>
    </xf>
    <xf numFmtId="165" fontId="92" fillId="45" borderId="11" xfId="52" applyNumberFormat="1" applyFont="1" applyFill="1" applyBorder="1" applyAlignment="1" applyProtection="1">
      <alignment horizontal="center"/>
    </xf>
    <xf numFmtId="4" fontId="74" fillId="2" borderId="11" xfId="11" applyNumberFormat="1" applyFont="1" applyFill="1" applyBorder="1" applyAlignment="1" applyProtection="1">
      <alignment horizontal="center"/>
    </xf>
    <xf numFmtId="0" fontId="29" fillId="9" borderId="0" xfId="0" applyFont="1" applyFill="1" applyBorder="1" applyAlignment="1" applyProtection="1">
      <alignment horizontal="right"/>
    </xf>
    <xf numFmtId="172" fontId="17" fillId="2" borderId="0" xfId="0" applyNumberFormat="1" applyFont="1" applyFill="1" applyAlignment="1" applyProtection="1">
      <alignment horizontal="center"/>
    </xf>
    <xf numFmtId="166" fontId="17" fillId="2" borderId="0" xfId="0" applyNumberFormat="1" applyFont="1" applyFill="1" applyAlignment="1" applyProtection="1">
      <alignment horizontal="center"/>
    </xf>
    <xf numFmtId="166" fontId="16" fillId="6" borderId="7" xfId="0" applyNumberFormat="1" applyFont="1" applyFill="1" applyBorder="1" applyAlignment="1" applyProtection="1">
      <alignment horizontal="center" wrapText="1"/>
    </xf>
    <xf numFmtId="3" fontId="27" fillId="2" borderId="0" xfId="0" applyNumberFormat="1" applyFont="1" applyFill="1" applyBorder="1" applyAlignment="1" applyProtection="1">
      <alignment horizontal="center"/>
    </xf>
    <xf numFmtId="170" fontId="0" fillId="2" borderId="0" xfId="0" applyNumberFormat="1" applyFill="1" applyProtection="1">
      <protection locked="0"/>
    </xf>
    <xf numFmtId="3" fontId="73" fillId="0" borderId="34" xfId="11" applyNumberFormat="1" applyFont="1" applyFill="1" applyBorder="1" applyAlignment="1" applyProtection="1">
      <alignment horizontal="center"/>
    </xf>
    <xf numFmtId="9" fontId="29" fillId="18" borderId="0" xfId="3" applyFont="1" applyFill="1" applyAlignment="1" applyProtection="1">
      <alignment horizontal="left"/>
    </xf>
    <xf numFmtId="9" fontId="29" fillId="18" borderId="0" xfId="3" applyFont="1" applyFill="1" applyBorder="1" applyAlignment="1" applyProtection="1">
      <alignment horizontal="left"/>
    </xf>
    <xf numFmtId="0" fontId="0" fillId="2" borderId="0" xfId="0" applyFill="1" applyAlignment="1">
      <alignment horizontal="left"/>
    </xf>
    <xf numFmtId="0" fontId="30" fillId="2" borderId="0" xfId="0" applyFont="1" applyFill="1" applyAlignment="1" applyProtection="1">
      <alignment horizontal="center"/>
    </xf>
    <xf numFmtId="0" fontId="27" fillId="13" borderId="53" xfId="0" applyFont="1" applyFill="1" applyBorder="1" applyProtection="1"/>
    <xf numFmtId="0" fontId="27" fillId="9" borderId="54" xfId="0" applyFont="1" applyFill="1" applyBorder="1" applyProtection="1">
      <protection locked="0"/>
    </xf>
    <xf numFmtId="0" fontId="0" fillId="9" borderId="54" xfId="0" applyFill="1" applyBorder="1" applyProtection="1">
      <protection locked="0"/>
    </xf>
    <xf numFmtId="0" fontId="29" fillId="18" borderId="6" xfId="0" applyFont="1" applyFill="1" applyBorder="1" applyProtection="1">
      <protection locked="0"/>
    </xf>
    <xf numFmtId="0" fontId="0" fillId="18" borderId="8" xfId="0" applyFill="1" applyBorder="1" applyProtection="1">
      <protection locked="0"/>
    </xf>
    <xf numFmtId="9" fontId="29" fillId="18" borderId="7" xfId="3" applyFont="1" applyFill="1" applyBorder="1" applyAlignment="1" applyProtection="1">
      <alignment horizontal="left"/>
    </xf>
    <xf numFmtId="0" fontId="0" fillId="18" borderId="6" xfId="0" applyFill="1" applyBorder="1" applyAlignment="1" applyProtection="1">
      <alignment horizontal="center"/>
    </xf>
    <xf numFmtId="0" fontId="29" fillId="18" borderId="4" xfId="0" applyFont="1" applyFill="1" applyBorder="1" applyProtection="1"/>
    <xf numFmtId="0" fontId="30" fillId="18" borderId="4" xfId="0" applyFont="1" applyFill="1" applyBorder="1" applyProtection="1"/>
    <xf numFmtId="9" fontId="30" fillId="18" borderId="54" xfId="3" applyNumberFormat="1" applyFont="1" applyFill="1" applyBorder="1" applyAlignment="1" applyProtection="1">
      <alignment horizontal="center"/>
    </xf>
    <xf numFmtId="9" fontId="30" fillId="18" borderId="54" xfId="3" applyFont="1" applyFill="1" applyBorder="1" applyAlignment="1" applyProtection="1">
      <alignment horizontal="center"/>
    </xf>
    <xf numFmtId="9" fontId="29" fillId="18" borderId="54" xfId="3" applyFont="1" applyFill="1" applyBorder="1" applyAlignment="1" applyProtection="1">
      <alignment horizontal="left"/>
    </xf>
    <xf numFmtId="0" fontId="30" fillId="18" borderId="54" xfId="0" applyFont="1" applyFill="1" applyBorder="1" applyAlignment="1" applyProtection="1">
      <alignment horizontal="center"/>
    </xf>
    <xf numFmtId="170" fontId="22" fillId="2" borderId="0" xfId="3" applyNumberFormat="1" applyFont="1" applyFill="1" applyProtection="1">
      <protection locked="0"/>
    </xf>
    <xf numFmtId="0" fontId="27" fillId="0" borderId="0" xfId="0" applyFont="1" applyFill="1" applyBorder="1" applyAlignment="1" applyProtection="1">
      <alignment horizontal="center"/>
      <protection locked="0"/>
    </xf>
    <xf numFmtId="164" fontId="30" fillId="13" borderId="0" xfId="5" applyNumberFormat="1" applyFont="1" applyFill="1" applyBorder="1" applyProtection="1"/>
    <xf numFmtId="0" fontId="29" fillId="4" borderId="57" xfId="4" applyFont="1" applyFill="1" applyBorder="1" applyAlignment="1" applyProtection="1">
      <alignment horizontal="center" vertical="top" wrapText="1"/>
    </xf>
    <xf numFmtId="0" fontId="29" fillId="15" borderId="57" xfId="4" applyFont="1" applyFill="1" applyBorder="1" applyAlignment="1" applyProtection="1">
      <alignment horizontal="center" wrapText="1"/>
    </xf>
    <xf numFmtId="0" fontId="29" fillId="15" borderId="57" xfId="4" applyFont="1" applyFill="1" applyBorder="1" applyAlignment="1" applyProtection="1">
      <alignment horizontal="center" vertical="top" wrapText="1"/>
    </xf>
    <xf numFmtId="0" fontId="30" fillId="10" borderId="53" xfId="4" applyFont="1" applyFill="1" applyBorder="1" applyProtection="1"/>
    <xf numFmtId="164" fontId="27" fillId="10" borderId="53" xfId="0" applyNumberFormat="1" applyFont="1" applyFill="1" applyBorder="1" applyProtection="1"/>
    <xf numFmtId="170" fontId="22" fillId="2" borderId="0" xfId="3" applyNumberFormat="1" applyFont="1" applyFill="1" applyProtection="1"/>
    <xf numFmtId="0" fontId="27" fillId="22" borderId="0" xfId="0" applyFont="1" applyFill="1" applyBorder="1" applyAlignment="1" applyProtection="1">
      <alignment horizontal="center"/>
    </xf>
    <xf numFmtId="172" fontId="27" fillId="13" borderId="53" xfId="0" applyNumberFormat="1" applyFont="1" applyFill="1" applyBorder="1" applyProtection="1"/>
    <xf numFmtId="0" fontId="28" fillId="14" borderId="0" xfId="0" applyFont="1" applyFill="1" applyAlignment="1" applyProtection="1">
      <alignment horizontal="center"/>
    </xf>
    <xf numFmtId="0" fontId="28" fillId="14" borderId="0" xfId="0" applyFont="1" applyFill="1" applyAlignment="1" applyProtection="1">
      <alignment horizontal="center"/>
    </xf>
    <xf numFmtId="0" fontId="0" fillId="2" borderId="0" xfId="0" applyFill="1" applyProtection="1"/>
    <xf numFmtId="0" fontId="29" fillId="13" borderId="57" xfId="5" applyFont="1" applyFill="1" applyBorder="1" applyAlignment="1" applyProtection="1">
      <alignment horizontal="center" vertical="top" wrapText="1"/>
    </xf>
    <xf numFmtId="0" fontId="27" fillId="13" borderId="0" xfId="0" applyFont="1" applyFill="1" applyProtection="1"/>
    <xf numFmtId="0" fontId="29" fillId="13" borderId="0" xfId="5" applyFont="1" applyFill="1" applyBorder="1" applyProtection="1"/>
    <xf numFmtId="165" fontId="30" fillId="13" borderId="0" xfId="5" applyNumberFormat="1" applyFont="1" applyFill="1" applyBorder="1" applyProtection="1"/>
    <xf numFmtId="172" fontId="27" fillId="13" borderId="0" xfId="0" applyNumberFormat="1" applyFont="1" applyFill="1" applyProtection="1"/>
    <xf numFmtId="0" fontId="29" fillId="10" borderId="57" xfId="4" applyFont="1" applyFill="1" applyBorder="1" applyAlignment="1" applyProtection="1">
      <alignment horizontal="center" vertical="top"/>
    </xf>
    <xf numFmtId="0" fontId="30" fillId="10" borderId="0" xfId="4" applyFont="1" applyFill="1" applyBorder="1" applyProtection="1"/>
    <xf numFmtId="0" fontId="27" fillId="10" borderId="0" xfId="0" applyFont="1" applyFill="1" applyProtection="1"/>
    <xf numFmtId="164" fontId="30" fillId="10" borderId="0" xfId="4" applyNumberFormat="1" applyFont="1" applyFill="1" applyBorder="1" applyProtection="1"/>
    <xf numFmtId="1" fontId="30" fillId="10" borderId="0" xfId="4" applyNumberFormat="1" applyFont="1" applyFill="1" applyBorder="1" applyProtection="1"/>
    <xf numFmtId="172" fontId="30" fillId="10" borderId="0" xfId="4" applyNumberFormat="1" applyFont="1" applyFill="1" applyBorder="1" applyProtection="1"/>
    <xf numFmtId="0" fontId="27" fillId="10" borderId="0" xfId="0" applyFont="1" applyFill="1" applyBorder="1" applyProtection="1"/>
    <xf numFmtId="0" fontId="0" fillId="2" borderId="0" xfId="0" applyFill="1" applyProtection="1"/>
    <xf numFmtId="0" fontId="27" fillId="2" borderId="0" xfId="0" applyFont="1" applyFill="1" applyProtection="1"/>
    <xf numFmtId="0" fontId="27" fillId="2" borderId="0" xfId="0" applyFont="1" applyFill="1" applyBorder="1" applyAlignment="1" applyProtection="1">
      <alignment horizontal="center"/>
    </xf>
    <xf numFmtId="0" fontId="27" fillId="9" borderId="0" xfId="0" applyFont="1" applyFill="1" applyProtection="1"/>
    <xf numFmtId="1" fontId="28" fillId="13" borderId="0" xfId="0" applyNumberFormat="1" applyFont="1" applyFill="1" applyBorder="1" applyProtection="1"/>
    <xf numFmtId="0" fontId="27" fillId="9" borderId="0" xfId="0" applyFont="1" applyFill="1" applyBorder="1" applyAlignment="1" applyProtection="1">
      <alignment horizontal="center"/>
    </xf>
    <xf numFmtId="0" fontId="27" fillId="9" borderId="54" xfId="0" applyFont="1" applyFill="1" applyBorder="1" applyAlignment="1" applyProtection="1">
      <alignment horizontal="center"/>
    </xf>
    <xf numFmtId="0" fontId="27" fillId="9" borderId="0" xfId="0" applyFont="1" applyFill="1" applyBorder="1" applyAlignment="1" applyProtection="1">
      <alignment horizontal="left"/>
    </xf>
    <xf numFmtId="0" fontId="27" fillId="9" borderId="4" xfId="0" applyFont="1" applyFill="1" applyBorder="1" applyProtection="1">
      <protection locked="0"/>
    </xf>
    <xf numFmtId="0" fontId="27" fillId="9" borderId="4" xfId="0" applyFont="1" applyFill="1" applyBorder="1" applyProtection="1"/>
    <xf numFmtId="0" fontId="30" fillId="9" borderId="4" xfId="0" applyFont="1" applyFill="1" applyBorder="1" applyProtection="1">
      <protection locked="0"/>
    </xf>
    <xf numFmtId="0" fontId="28" fillId="9" borderId="0" xfId="0" applyFont="1" applyFill="1" applyBorder="1" applyAlignment="1" applyProtection="1">
      <alignment horizontal="center"/>
    </xf>
    <xf numFmtId="0" fontId="30" fillId="2" borderId="0" xfId="0" applyFont="1" applyFill="1" applyProtection="1">
      <protection locked="0"/>
    </xf>
    <xf numFmtId="0" fontId="22" fillId="2" borderId="0" xfId="0" applyFont="1" applyFill="1" applyProtection="1">
      <protection locked="0"/>
    </xf>
    <xf numFmtId="0" fontId="0" fillId="2" borderId="0" xfId="0" applyFill="1" applyProtection="1"/>
    <xf numFmtId="0" fontId="22" fillId="2" borderId="0" xfId="0" applyFont="1" applyFill="1" applyProtection="1">
      <protection locked="0"/>
    </xf>
    <xf numFmtId="0" fontId="30" fillId="2" borderId="0" xfId="0" applyFont="1" applyFill="1" applyProtection="1">
      <protection locked="0"/>
    </xf>
    <xf numFmtId="0" fontId="22" fillId="2" borderId="0" xfId="0" applyFont="1" applyFill="1" applyProtection="1">
      <protection locked="0"/>
    </xf>
    <xf numFmtId="0" fontId="22" fillId="2" borderId="0" xfId="0" applyFont="1" applyFill="1" applyProtection="1">
      <protection locked="0"/>
    </xf>
    <xf numFmtId="0" fontId="22" fillId="2" borderId="0" xfId="0" applyFont="1" applyFill="1"/>
    <xf numFmtId="0" fontId="55" fillId="2" borderId="0" xfId="0" applyFont="1" applyFill="1"/>
    <xf numFmtId="0" fontId="22" fillId="2" borderId="0" xfId="0" applyFont="1" applyFill="1" applyProtection="1"/>
    <xf numFmtId="0" fontId="55" fillId="2" borderId="0" xfId="0" applyFont="1" applyFill="1" applyProtection="1"/>
    <xf numFmtId="170" fontId="22" fillId="2" borderId="0" xfId="0" applyNumberFormat="1" applyFont="1" applyFill="1" applyProtection="1"/>
    <xf numFmtId="0" fontId="22" fillId="2" borderId="0" xfId="0" applyFont="1" applyFill="1" applyProtection="1">
      <protection locked="0"/>
    </xf>
    <xf numFmtId="0" fontId="22" fillId="2" borderId="0" xfId="0" applyFont="1" applyFill="1" applyProtection="1"/>
    <xf numFmtId="0" fontId="22" fillId="2" borderId="0" xfId="0" applyFont="1" applyFill="1"/>
    <xf numFmtId="0" fontId="30" fillId="2" borderId="0" xfId="0" applyFont="1" applyFill="1" applyAlignment="1" applyProtection="1">
      <alignment horizontal="center"/>
      <protection locked="0"/>
    </xf>
    <xf numFmtId="0" fontId="30" fillId="2" borderId="0" xfId="0" applyFont="1" applyFill="1" applyAlignment="1" applyProtection="1">
      <alignment horizontal="left"/>
      <protection locked="0"/>
    </xf>
    <xf numFmtId="0" fontId="0" fillId="2" borderId="0" xfId="0" applyFill="1" applyProtection="1"/>
    <xf numFmtId="0" fontId="22" fillId="2" borderId="0" xfId="0" applyFont="1" applyFill="1" applyProtection="1"/>
    <xf numFmtId="0" fontId="30" fillId="2" borderId="0" xfId="0" applyFont="1" applyFill="1" applyProtection="1"/>
    <xf numFmtId="165" fontId="27" fillId="9" borderId="0" xfId="0" applyNumberFormat="1" applyFont="1" applyFill="1" applyBorder="1" applyAlignment="1" applyProtection="1">
      <alignment horizontal="center"/>
    </xf>
    <xf numFmtId="0" fontId="30" fillId="2" borderId="0" xfId="0" applyFont="1" applyFill="1" applyAlignment="1" applyProtection="1">
      <alignment horizontal="center"/>
    </xf>
    <xf numFmtId="165" fontId="30" fillId="2" borderId="0" xfId="0" applyNumberFormat="1" applyFont="1" applyFill="1" applyAlignment="1" applyProtection="1">
      <alignment horizontal="center"/>
    </xf>
    <xf numFmtId="170" fontId="22" fillId="2" borderId="0" xfId="0" applyNumberFormat="1" applyFont="1" applyFill="1" applyProtection="1"/>
    <xf numFmtId="0" fontId="22" fillId="2" borderId="0" xfId="0" applyFont="1" applyFill="1"/>
    <xf numFmtId="172" fontId="27" fillId="4" borderId="0" xfId="0" applyNumberFormat="1" applyFont="1" applyFill="1" applyProtection="1"/>
    <xf numFmtId="0" fontId="29" fillId="4" borderId="57" xfId="4" applyFont="1" applyFill="1" applyBorder="1" applyAlignment="1" applyProtection="1">
      <alignment horizontal="center" vertical="top" wrapText="1"/>
    </xf>
    <xf numFmtId="0" fontId="27" fillId="4" borderId="0" xfId="0" applyFont="1" applyFill="1" applyProtection="1"/>
    <xf numFmtId="2" fontId="27" fillId="4" borderId="0" xfId="0" applyNumberFormat="1" applyFont="1" applyFill="1" applyProtection="1"/>
    <xf numFmtId="0" fontId="32" fillId="4" borderId="0" xfId="0" applyFont="1" applyFill="1" applyProtection="1"/>
    <xf numFmtId="0" fontId="27" fillId="4" borderId="0" xfId="0" applyFont="1" applyFill="1" applyBorder="1" applyAlignment="1" applyProtection="1"/>
    <xf numFmtId="2" fontId="27" fillId="4" borderId="0" xfId="0" applyNumberFormat="1" applyFont="1" applyFill="1" applyBorder="1" applyProtection="1"/>
    <xf numFmtId="172" fontId="27" fillId="4" borderId="0" xfId="0" applyNumberFormat="1" applyFont="1" applyFill="1" applyBorder="1" applyProtection="1"/>
    <xf numFmtId="173" fontId="27" fillId="4" borderId="0" xfId="0" applyNumberFormat="1" applyFont="1" applyFill="1" applyProtection="1"/>
    <xf numFmtId="0" fontId="27" fillId="15" borderId="0" xfId="0" applyFont="1" applyFill="1" applyProtection="1"/>
    <xf numFmtId="0" fontId="27" fillId="15" borderId="0" xfId="0" applyFont="1" applyFill="1" applyBorder="1" applyProtection="1"/>
    <xf numFmtId="0" fontId="27" fillId="15" borderId="0" xfId="0" applyFont="1" applyFill="1" applyAlignment="1" applyProtection="1">
      <alignment horizontal="right"/>
    </xf>
    <xf numFmtId="166" fontId="27" fillId="15" borderId="0" xfId="0" applyNumberFormat="1" applyFont="1" applyFill="1" applyProtection="1"/>
    <xf numFmtId="0" fontId="27" fillId="15" borderId="0" xfId="0" applyFont="1" applyFill="1" applyBorder="1" applyAlignment="1" applyProtection="1">
      <alignment horizontal="right"/>
    </xf>
    <xf numFmtId="0" fontId="29" fillId="10" borderId="0" xfId="4" applyFont="1" applyFill="1" applyBorder="1" applyProtection="1"/>
    <xf numFmtId="172" fontId="30" fillId="10" borderId="0" xfId="4" applyNumberFormat="1" applyFont="1" applyFill="1" applyBorder="1" applyProtection="1"/>
    <xf numFmtId="176" fontId="27" fillId="15" borderId="0" xfId="0" applyNumberFormat="1" applyFont="1" applyFill="1" applyProtection="1"/>
    <xf numFmtId="174" fontId="27" fillId="15" borderId="0" xfId="0" applyNumberFormat="1" applyFont="1" applyFill="1" applyBorder="1" applyProtection="1"/>
    <xf numFmtId="174" fontId="27" fillId="15" borderId="0" xfId="0" applyNumberFormat="1" applyFont="1" applyFill="1" applyProtection="1"/>
    <xf numFmtId="0" fontId="27" fillId="4" borderId="0" xfId="0" applyFont="1" applyFill="1" applyBorder="1" applyAlignment="1" applyProtection="1"/>
    <xf numFmtId="0" fontId="27" fillId="4" borderId="15" xfId="0" applyFont="1" applyFill="1" applyBorder="1" applyAlignment="1" applyProtection="1"/>
    <xf numFmtId="0" fontId="28" fillId="11" borderId="0" xfId="0" applyFont="1" applyFill="1" applyAlignment="1" applyProtection="1">
      <alignment horizontal="center"/>
    </xf>
    <xf numFmtId="0" fontId="28" fillId="11" borderId="0" xfId="0" applyFont="1" applyFill="1" applyAlignment="1" applyProtection="1">
      <alignment horizontal="center"/>
    </xf>
    <xf numFmtId="164" fontId="27" fillId="4" borderId="0" xfId="0" applyNumberFormat="1" applyFont="1" applyFill="1" applyBorder="1" applyProtection="1"/>
    <xf numFmtId="174" fontId="27" fillId="4" borderId="0" xfId="0" applyNumberFormat="1" applyFont="1" applyFill="1" applyProtection="1"/>
    <xf numFmtId="0" fontId="0" fillId="2" borderId="0" xfId="0" applyFill="1" applyProtection="1"/>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2" fontId="27" fillId="4" borderId="0" xfId="0" applyNumberFormat="1" applyFont="1" applyFill="1" applyProtection="1"/>
    <xf numFmtId="0" fontId="28" fillId="11" borderId="0" xfId="0" applyFont="1" applyFill="1" applyAlignment="1" applyProtection="1">
      <alignment horizontal="center"/>
    </xf>
    <xf numFmtId="0" fontId="28" fillId="4" borderId="0" xfId="0" applyFont="1" applyFill="1" applyProtection="1"/>
    <xf numFmtId="0" fontId="27" fillId="4" borderId="0" xfId="0" applyFont="1" applyFill="1" applyProtection="1"/>
    <xf numFmtId="0" fontId="28" fillId="4" borderId="0" xfId="0" applyFont="1" applyFill="1" applyProtection="1"/>
    <xf numFmtId="0" fontId="27" fillId="4" borderId="0" xfId="0" applyFont="1" applyFill="1" applyProtection="1"/>
    <xf numFmtId="0" fontId="27" fillId="4" borderId="0" xfId="0" applyFont="1" applyFill="1" applyBorder="1" applyProtection="1"/>
    <xf numFmtId="0" fontId="28" fillId="11" borderId="0" xfId="0" applyFont="1" applyFill="1" applyAlignment="1" applyProtection="1">
      <alignment horizontal="center"/>
    </xf>
    <xf numFmtId="0" fontId="28" fillId="4" borderId="0" xfId="0" applyFont="1" applyFill="1" applyBorder="1" applyProtection="1"/>
    <xf numFmtId="0" fontId="27" fillId="4" borderId="0" xfId="0" applyFont="1" applyFill="1" applyProtection="1"/>
    <xf numFmtId="0" fontId="27" fillId="4" borderId="0" xfId="0" applyFont="1" applyFill="1" applyBorder="1" applyProtection="1"/>
    <xf numFmtId="173" fontId="27" fillId="4" borderId="0" xfId="0" applyNumberFormat="1" applyFont="1" applyFill="1" applyProtection="1"/>
    <xf numFmtId="0" fontId="27" fillId="4" borderId="0" xfId="0" applyFont="1" applyFill="1" applyProtection="1"/>
    <xf numFmtId="0" fontId="28" fillId="4" borderId="0" xfId="0" applyFont="1" applyFill="1" applyProtection="1"/>
    <xf numFmtId="0" fontId="28" fillId="4" borderId="0" xfId="0" applyFont="1" applyFill="1" applyProtection="1"/>
    <xf numFmtId="173" fontId="27" fillId="4" borderId="0" xfId="0" applyNumberFormat="1" applyFont="1" applyFill="1" applyProtection="1"/>
    <xf numFmtId="0" fontId="28" fillId="11" borderId="0" xfId="0" applyFont="1" applyFill="1" applyAlignment="1" applyProtection="1">
      <alignment horizontal="center"/>
    </xf>
    <xf numFmtId="0" fontId="27" fillId="4" borderId="0" xfId="0" applyFont="1" applyFill="1" applyProtection="1"/>
    <xf numFmtId="0" fontId="0" fillId="2" borderId="0" xfId="0" applyFill="1" applyProtection="1"/>
    <xf numFmtId="0" fontId="27" fillId="4" borderId="0" xfId="0" applyFont="1" applyFill="1" applyProtection="1"/>
    <xf numFmtId="0" fontId="28" fillId="11" borderId="0" xfId="0" applyFont="1" applyFill="1" applyAlignment="1" applyProtection="1">
      <alignment horizontal="center"/>
    </xf>
    <xf numFmtId="0" fontId="27" fillId="4" borderId="0" xfId="0" applyFont="1" applyFill="1" applyAlignment="1" applyProtection="1">
      <alignment horizontal="right"/>
    </xf>
    <xf numFmtId="0" fontId="28" fillId="4" borderId="0" xfId="0" applyFont="1" applyFill="1" applyProtection="1"/>
    <xf numFmtId="0" fontId="27" fillId="4" borderId="0" xfId="0" applyFont="1" applyFill="1" applyProtection="1"/>
    <xf numFmtId="0" fontId="28" fillId="4" borderId="0" xfId="0" applyFont="1" applyFill="1" applyProtection="1"/>
    <xf numFmtId="0" fontId="27" fillId="4" borderId="0" xfId="0" applyFont="1" applyFill="1" applyProtection="1"/>
    <xf numFmtId="0" fontId="28" fillId="11" borderId="0" xfId="0" applyFont="1" applyFill="1" applyAlignment="1" applyProtection="1">
      <alignment horizontal="center"/>
    </xf>
    <xf numFmtId="0" fontId="27" fillId="4" borderId="0" xfId="0" applyFont="1" applyFill="1" applyAlignment="1" applyProtection="1">
      <alignment horizontal="right"/>
    </xf>
    <xf numFmtId="0" fontId="27" fillId="4" borderId="0" xfId="0" applyFont="1" applyFill="1" applyBorder="1" applyProtection="1"/>
    <xf numFmtId="0" fontId="27" fillId="4" borderId="0" xfId="0" applyFont="1" applyFill="1" applyProtection="1"/>
    <xf numFmtId="0" fontId="28" fillId="4" borderId="0" xfId="0" applyFont="1" applyFill="1" applyProtection="1"/>
    <xf numFmtId="0" fontId="27" fillId="4" borderId="0" xfId="0" applyFont="1" applyFill="1" applyAlignment="1" applyProtection="1">
      <alignment horizontal="right"/>
    </xf>
    <xf numFmtId="164" fontId="27" fillId="10" borderId="0" xfId="0" applyNumberFormat="1" applyFont="1" applyFill="1" applyBorder="1" applyProtection="1"/>
    <xf numFmtId="11" fontId="30" fillId="10" borderId="0" xfId="4" applyNumberFormat="1" applyFont="1" applyFill="1" applyBorder="1" applyProtection="1"/>
    <xf numFmtId="0" fontId="27" fillId="4" borderId="0" xfId="0" applyFont="1" applyFill="1" applyProtection="1"/>
    <xf numFmtId="172" fontId="27" fillId="4" borderId="0" xfId="0" applyNumberFormat="1" applyFont="1" applyFill="1" applyBorder="1" applyProtection="1"/>
    <xf numFmtId="164" fontId="30" fillId="10" borderId="0" xfId="4" applyNumberFormat="1" applyFont="1" applyFill="1" applyBorder="1" applyProtection="1"/>
    <xf numFmtId="172" fontId="30" fillId="10" borderId="0" xfId="4" applyNumberFormat="1" applyFont="1" applyFill="1" applyBorder="1" applyProtection="1"/>
    <xf numFmtId="0" fontId="28" fillId="4" borderId="0" xfId="0" applyFont="1" applyFill="1" applyProtection="1"/>
    <xf numFmtId="0" fontId="0" fillId="2" borderId="0" xfId="0" applyFill="1" applyProtection="1"/>
    <xf numFmtId="0" fontId="28" fillId="11" borderId="0" xfId="0" applyFont="1" applyFill="1" applyAlignment="1" applyProtection="1">
      <alignment horizontal="center"/>
    </xf>
    <xf numFmtId="0" fontId="29" fillId="15" borderId="57" xfId="4" applyFont="1" applyFill="1" applyBorder="1" applyAlignment="1" applyProtection="1">
      <alignment horizontal="center" wrapText="1"/>
    </xf>
    <xf numFmtId="0" fontId="0" fillId="2" borderId="0" xfId="0" applyFill="1" applyProtection="1"/>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0" fontId="27" fillId="4" borderId="0" xfId="0" applyFont="1" applyFill="1" applyAlignment="1" applyProtection="1">
      <alignment horizontal="right"/>
    </xf>
    <xf numFmtId="165" fontId="27" fillId="4" borderId="0" xfId="0" applyNumberFormat="1" applyFont="1" applyFill="1" applyProtection="1"/>
    <xf numFmtId="173" fontId="27" fillId="4" borderId="0" xfId="0" applyNumberFormat="1" applyFont="1" applyFill="1" applyProtection="1"/>
    <xf numFmtId="164" fontId="27" fillId="4" borderId="0" xfId="0" applyNumberFormat="1" applyFont="1" applyFill="1" applyProtection="1"/>
    <xf numFmtId="0" fontId="28" fillId="4" borderId="58" xfId="0" applyFont="1" applyFill="1" applyBorder="1" applyProtection="1"/>
    <xf numFmtId="0" fontId="27" fillId="4" borderId="58" xfId="0" applyFont="1" applyFill="1" applyBorder="1" applyProtection="1"/>
    <xf numFmtId="0" fontId="28" fillId="11" borderId="58" xfId="0" applyFont="1" applyFill="1" applyBorder="1" applyAlignment="1" applyProtection="1">
      <alignment horizontal="center"/>
    </xf>
    <xf numFmtId="2" fontId="27" fillId="4" borderId="58" xfId="0" applyNumberFormat="1" applyFont="1" applyFill="1" applyBorder="1" applyProtection="1"/>
    <xf numFmtId="0" fontId="28" fillId="16" borderId="0" xfId="0" applyFont="1" applyFill="1" applyAlignment="1" applyProtection="1">
      <alignment horizontal="center"/>
    </xf>
    <xf numFmtId="0" fontId="28" fillId="16" borderId="0" xfId="0" applyFont="1" applyFill="1" applyAlignment="1" applyProtection="1">
      <alignment horizontal="center"/>
    </xf>
    <xf numFmtId="176" fontId="27" fillId="15" borderId="0" xfId="0" applyNumberFormat="1" applyFont="1" applyFill="1" applyProtection="1"/>
    <xf numFmtId="0" fontId="27" fillId="15" borderId="0" xfId="0" applyFont="1" applyFill="1" applyProtection="1"/>
    <xf numFmtId="0" fontId="28" fillId="16" borderId="0" xfId="0" applyFont="1" applyFill="1" applyAlignment="1" applyProtection="1">
      <alignment horizontal="center"/>
    </xf>
    <xf numFmtId="173" fontId="27" fillId="15" borderId="0" xfId="0" applyNumberFormat="1" applyFont="1" applyFill="1" applyProtection="1"/>
    <xf numFmtId="176" fontId="27" fillId="15" borderId="0" xfId="0" applyNumberFormat="1" applyFont="1" applyFill="1" applyProtection="1"/>
    <xf numFmtId="0" fontId="28" fillId="16" borderId="0" xfId="0" applyFont="1" applyFill="1" applyAlignment="1" applyProtection="1">
      <alignment horizontal="center"/>
    </xf>
    <xf numFmtId="0" fontId="0" fillId="2" borderId="0" xfId="0" applyFill="1"/>
    <xf numFmtId="0" fontId="28" fillId="16" borderId="0" xfId="0" applyFont="1" applyFill="1" applyAlignment="1" applyProtection="1">
      <alignment horizontal="center"/>
    </xf>
    <xf numFmtId="0" fontId="0" fillId="2" borderId="0" xfId="0" applyFill="1" applyProtection="1"/>
    <xf numFmtId="0" fontId="27" fillId="2" borderId="0" xfId="0" applyFont="1" applyFill="1" applyProtection="1"/>
    <xf numFmtId="0" fontId="28" fillId="15" borderId="0" xfId="0" applyFont="1" applyFill="1" applyProtection="1"/>
    <xf numFmtId="0" fontId="27" fillId="15" borderId="0" xfId="0" applyFont="1" applyFill="1" applyProtection="1"/>
    <xf numFmtId="0" fontId="28" fillId="16" borderId="0" xfId="0" applyFont="1" applyFill="1" applyAlignment="1" applyProtection="1">
      <alignment horizontal="center"/>
    </xf>
    <xf numFmtId="0" fontId="27" fillId="15" borderId="0" xfId="0" applyFont="1" applyFill="1" applyBorder="1" applyProtection="1"/>
    <xf numFmtId="173" fontId="27" fillId="15" borderId="0" xfId="0" applyNumberFormat="1" applyFont="1" applyFill="1" applyBorder="1" applyProtection="1"/>
    <xf numFmtId="0" fontId="28" fillId="15" borderId="0" xfId="0" applyFont="1" applyFill="1" applyProtection="1"/>
    <xf numFmtId="0" fontId="27" fillId="15" borderId="0" xfId="0" applyFont="1" applyFill="1" applyProtection="1"/>
    <xf numFmtId="0" fontId="27" fillId="15" borderId="0" xfId="0" applyFont="1" applyFill="1" applyBorder="1" applyProtection="1"/>
    <xf numFmtId="0" fontId="29" fillId="15" borderId="57" xfId="4" applyFont="1" applyFill="1" applyBorder="1" applyAlignment="1" applyProtection="1">
      <alignment horizontal="center" vertical="top" wrapText="1"/>
    </xf>
    <xf numFmtId="0" fontId="0" fillId="2" borderId="0" xfId="0" applyFill="1" applyProtection="1"/>
    <xf numFmtId="0" fontId="27" fillId="2" borderId="0" xfId="0" applyFont="1" applyFill="1" applyBorder="1" applyProtection="1"/>
    <xf numFmtId="0" fontId="27" fillId="2" borderId="0" xfId="0" applyFont="1" applyFill="1" applyProtection="1"/>
    <xf numFmtId="0" fontId="27" fillId="15" borderId="0" xfId="0" applyFont="1" applyFill="1" applyProtection="1"/>
    <xf numFmtId="172" fontId="27" fillId="2" borderId="0" xfId="0" applyNumberFormat="1" applyFont="1" applyFill="1" applyBorder="1" applyAlignment="1" applyProtection="1">
      <alignment horizontal="center"/>
    </xf>
    <xf numFmtId="0" fontId="27" fillId="16" borderId="0" xfId="0" applyFont="1" applyFill="1" applyProtection="1"/>
    <xf numFmtId="0" fontId="27" fillId="15" borderId="0" xfId="0" applyFont="1" applyFill="1" applyAlignment="1" applyProtection="1">
      <alignment horizontal="right"/>
    </xf>
    <xf numFmtId="166" fontId="27" fillId="15" borderId="0" xfId="0" applyNumberFormat="1" applyFont="1" applyFill="1" applyBorder="1" applyProtection="1"/>
    <xf numFmtId="0" fontId="28" fillId="15" borderId="0" xfId="0" applyFont="1" applyFill="1" applyProtection="1"/>
    <xf numFmtId="0" fontId="28" fillId="16" borderId="0" xfId="0" applyFont="1" applyFill="1" applyAlignment="1" applyProtection="1">
      <alignment horizontal="center"/>
    </xf>
    <xf numFmtId="0" fontId="27" fillId="15" borderId="0" xfId="0" applyFont="1" applyFill="1" applyProtection="1"/>
    <xf numFmtId="0" fontId="28" fillId="16" borderId="0" xfId="0" applyFont="1" applyFill="1" applyAlignment="1" applyProtection="1">
      <alignment horizontal="center"/>
    </xf>
    <xf numFmtId="0" fontId="27" fillId="15" borderId="0" xfId="0" applyFont="1" applyFill="1" applyAlignment="1" applyProtection="1">
      <alignment horizontal="right"/>
    </xf>
    <xf numFmtId="166" fontId="27" fillId="15" borderId="0" xfId="0" applyNumberFormat="1" applyFont="1" applyFill="1" applyBorder="1" applyProtection="1"/>
    <xf numFmtId="2" fontId="27" fillId="15" borderId="0" xfId="0" applyNumberFormat="1" applyFont="1" applyFill="1" applyProtection="1"/>
    <xf numFmtId="0" fontId="28" fillId="16" borderId="0" xfId="0" applyFont="1" applyFill="1" applyAlignment="1" applyProtection="1">
      <alignment horizontal="center"/>
    </xf>
    <xf numFmtId="0" fontId="28" fillId="16" borderId="0" xfId="0" applyFont="1" applyFill="1" applyAlignment="1" applyProtection="1">
      <alignment horizontal="center"/>
    </xf>
    <xf numFmtId="166" fontId="27" fillId="15" borderId="0" xfId="0" applyNumberFormat="1" applyFont="1" applyFill="1" applyProtection="1"/>
    <xf numFmtId="0" fontId="30" fillId="18" borderId="0" xfId="0" applyFont="1" applyFill="1" applyBorder="1" applyProtection="1"/>
    <xf numFmtId="0" fontId="28" fillId="16" borderId="0" xfId="0" applyFont="1" applyFill="1" applyAlignment="1" applyProtection="1">
      <alignment horizontal="center"/>
    </xf>
    <xf numFmtId="0" fontId="28" fillId="16" borderId="0" xfId="0" applyFont="1" applyFill="1" applyAlignment="1" applyProtection="1">
      <alignment horizontal="center"/>
    </xf>
    <xf numFmtId="0" fontId="27" fillId="15" borderId="58" xfId="0" applyFont="1" applyFill="1" applyBorder="1" applyProtection="1"/>
    <xf numFmtId="0" fontId="28" fillId="16" borderId="58" xfId="0" applyFont="1" applyFill="1" applyBorder="1" applyAlignment="1" applyProtection="1">
      <alignment horizontal="center"/>
    </xf>
    <xf numFmtId="166" fontId="27" fillId="4" borderId="0" xfId="0" applyNumberFormat="1" applyFont="1" applyFill="1" applyProtection="1"/>
    <xf numFmtId="0" fontId="30" fillId="18" borderId="0" xfId="0" applyFont="1" applyFill="1" applyBorder="1" applyProtection="1"/>
    <xf numFmtId="0" fontId="27" fillId="4" borderId="0" xfId="0" applyFont="1" applyFill="1" applyProtection="1"/>
    <xf numFmtId="173" fontId="27" fillId="4" borderId="0" xfId="0" applyNumberFormat="1" applyFont="1" applyFill="1" applyProtection="1"/>
    <xf numFmtId="0" fontId="27" fillId="15" borderId="0" xfId="0" applyFont="1" applyFill="1" applyProtection="1"/>
    <xf numFmtId="9" fontId="22" fillId="0" borderId="0" xfId="0" applyNumberFormat="1" applyFont="1"/>
    <xf numFmtId="170" fontId="30" fillId="18" borderId="0" xfId="3" applyNumberFormat="1" applyFont="1" applyFill="1" applyAlignment="1" applyProtection="1">
      <alignment horizontal="center"/>
    </xf>
    <xf numFmtId="165" fontId="28" fillId="4" borderId="0" xfId="0" applyNumberFormat="1" applyFont="1" applyFill="1" applyProtection="1"/>
    <xf numFmtId="2" fontId="27" fillId="9" borderId="5" xfId="0" applyNumberFormat="1" applyFont="1" applyFill="1" applyBorder="1" applyAlignment="1" applyProtection="1">
      <alignment horizontal="center"/>
    </xf>
    <xf numFmtId="2" fontId="30" fillId="9" borderId="60" xfId="0" applyNumberFormat="1" applyFont="1" applyFill="1" applyBorder="1" applyAlignment="1" applyProtection="1">
      <alignment horizontal="center"/>
    </xf>
    <xf numFmtId="2" fontId="22" fillId="9" borderId="5" xfId="0" applyNumberFormat="1" applyFont="1" applyFill="1" applyBorder="1" applyProtection="1"/>
    <xf numFmtId="2" fontId="22" fillId="9" borderId="5" xfId="0" applyNumberFormat="1" applyFont="1" applyFill="1" applyBorder="1" applyProtection="1">
      <protection locked="0"/>
    </xf>
    <xf numFmtId="0" fontId="28" fillId="9" borderId="0" xfId="0" applyFont="1" applyFill="1" applyBorder="1" applyAlignment="1" applyProtection="1">
      <alignment horizontal="center"/>
    </xf>
    <xf numFmtId="0" fontId="28" fillId="9" borderId="54" xfId="0" applyFont="1" applyFill="1" applyBorder="1" applyAlignment="1" applyProtection="1">
      <alignment horizontal="center"/>
    </xf>
    <xf numFmtId="0" fontId="0" fillId="2" borderId="0" xfId="0" applyFill="1" applyProtection="1"/>
    <xf numFmtId="0" fontId="0" fillId="2" borderId="0" xfId="0" applyFill="1" applyProtection="1">
      <protection locked="0"/>
    </xf>
    <xf numFmtId="0" fontId="27" fillId="2" borderId="0" xfId="0" applyFont="1" applyFill="1" applyProtection="1">
      <protection locked="0"/>
    </xf>
    <xf numFmtId="0" fontId="27" fillId="9" borderId="0" xfId="0" applyFont="1" applyFill="1" applyBorder="1" applyProtection="1"/>
    <xf numFmtId="0" fontId="27" fillId="9" borderId="0" xfId="0" applyFont="1" applyFill="1" applyProtection="1"/>
    <xf numFmtId="0" fontId="27" fillId="9" borderId="4" xfId="0" applyFont="1" applyFill="1" applyBorder="1" applyProtection="1">
      <protection locked="0"/>
    </xf>
    <xf numFmtId="0" fontId="27" fillId="9" borderId="0" xfId="0" applyFont="1" applyFill="1" applyBorder="1" applyAlignment="1" applyProtection="1">
      <alignment horizontal="center"/>
    </xf>
    <xf numFmtId="0" fontId="27" fillId="9" borderId="4" xfId="0" applyFont="1" applyFill="1" applyBorder="1" applyProtection="1"/>
    <xf numFmtId="0" fontId="27" fillId="9" borderId="54" xfId="0" applyFont="1" applyFill="1" applyBorder="1" applyAlignment="1" applyProtection="1">
      <alignment horizontal="center"/>
    </xf>
    <xf numFmtId="0" fontId="30" fillId="9" borderId="4" xfId="0" applyFont="1" applyFill="1" applyBorder="1" applyProtection="1">
      <protection locked="0"/>
    </xf>
    <xf numFmtId="0" fontId="0" fillId="9" borderId="0" xfId="0" applyFill="1" applyProtection="1"/>
    <xf numFmtId="0" fontId="0" fillId="9" borderId="61" xfId="0" applyFill="1" applyBorder="1" applyProtection="1"/>
    <xf numFmtId="0" fontId="27" fillId="9" borderId="59" xfId="0" applyFont="1" applyFill="1" applyBorder="1" applyProtection="1"/>
    <xf numFmtId="0" fontId="22" fillId="9" borderId="61" xfId="0" applyFont="1" applyFill="1" applyBorder="1" applyProtection="1"/>
    <xf numFmtId="0" fontId="27" fillId="9" borderId="0" xfId="0" applyFont="1" applyFill="1" applyBorder="1" applyAlignment="1" applyProtection="1">
      <alignment horizontal="left"/>
    </xf>
    <xf numFmtId="0" fontId="28" fillId="9" borderId="61" xfId="0" applyFont="1" applyFill="1" applyBorder="1" applyAlignment="1" applyProtection="1">
      <alignment horizontal="center"/>
    </xf>
    <xf numFmtId="0" fontId="22" fillId="2" borderId="0" xfId="0" applyFont="1" applyFill="1" applyProtection="1">
      <protection locked="0"/>
    </xf>
    <xf numFmtId="0" fontId="30" fillId="2" borderId="0" xfId="0" applyFont="1" applyFill="1" applyProtection="1">
      <protection locked="0"/>
    </xf>
    <xf numFmtId="0" fontId="22" fillId="2" borderId="0" xfId="0" applyFont="1" applyFill="1" applyProtection="1">
      <protection locked="0"/>
    </xf>
    <xf numFmtId="0" fontId="30" fillId="2" borderId="0" xfId="0" applyFont="1" applyFill="1" applyProtection="1">
      <protection locked="0"/>
    </xf>
    <xf numFmtId="0" fontId="22" fillId="2" borderId="0" xfId="0" applyFont="1" applyFill="1" applyProtection="1">
      <protection locked="0"/>
    </xf>
    <xf numFmtId="0" fontId="22" fillId="2" borderId="0" xfId="0" applyFont="1" applyFill="1" applyProtection="1">
      <protection locked="0"/>
    </xf>
    <xf numFmtId="0" fontId="22" fillId="2" borderId="0" xfId="0" applyFont="1" applyFill="1"/>
    <xf numFmtId="0" fontId="55" fillId="2" borderId="0" xfId="0" applyFont="1" applyFill="1"/>
    <xf numFmtId="0" fontId="22" fillId="2" borderId="0" xfId="0" applyFont="1" applyFill="1" applyProtection="1"/>
    <xf numFmtId="0" fontId="55" fillId="2" borderId="0" xfId="0" applyFont="1" applyFill="1" applyProtection="1"/>
    <xf numFmtId="170" fontId="22" fillId="2" borderId="0" xfId="3" applyNumberFormat="1" applyFont="1" applyFill="1" applyProtection="1">
      <protection locked="0"/>
    </xf>
    <xf numFmtId="0" fontId="22" fillId="2" borderId="0" xfId="0" applyFont="1" applyFill="1" applyProtection="1">
      <protection locked="0"/>
    </xf>
    <xf numFmtId="2" fontId="30" fillId="9" borderId="5" xfId="0" applyNumberFormat="1" applyFont="1" applyFill="1" applyBorder="1" applyAlignment="1" applyProtection="1">
      <alignment horizontal="center"/>
    </xf>
    <xf numFmtId="0" fontId="55" fillId="2" borderId="0" xfId="0" applyFont="1" applyFill="1" applyProtection="1"/>
    <xf numFmtId="0" fontId="22" fillId="2" borderId="0" xfId="0" applyFont="1" applyFill="1" applyProtection="1">
      <protection locked="0"/>
    </xf>
    <xf numFmtId="170" fontId="22" fillId="2" borderId="0" xfId="0" applyNumberFormat="1" applyFont="1" applyFill="1" applyProtection="1">
      <protection locked="0"/>
    </xf>
    <xf numFmtId="0" fontId="22" fillId="2" borderId="0" xfId="0" applyFont="1" applyFill="1" applyProtection="1"/>
    <xf numFmtId="0" fontId="22" fillId="2" borderId="0" xfId="0" applyFont="1" applyFill="1"/>
    <xf numFmtId="0" fontId="22" fillId="2" borderId="0" xfId="0" applyFont="1" applyFill="1"/>
    <xf numFmtId="0" fontId="30" fillId="2" borderId="0" xfId="0" applyFont="1" applyFill="1" applyAlignment="1" applyProtection="1">
      <alignment horizontal="center"/>
      <protection locked="0"/>
    </xf>
    <xf numFmtId="0" fontId="30" fillId="2" borderId="0" xfId="0" applyFont="1" applyFill="1" applyAlignment="1" applyProtection="1">
      <alignment horizontal="left"/>
      <protection locked="0"/>
    </xf>
    <xf numFmtId="0" fontId="30" fillId="2" borderId="0" xfId="0" applyFont="1" applyFill="1" applyAlignment="1" applyProtection="1">
      <alignment horizontal="center"/>
      <protection locked="0"/>
    </xf>
    <xf numFmtId="0" fontId="27" fillId="9" borderId="0" xfId="0" applyFont="1" applyFill="1" applyBorder="1" applyAlignment="1" applyProtection="1">
      <alignment horizontal="center"/>
    </xf>
    <xf numFmtId="165" fontId="27" fillId="9" borderId="0" xfId="0" applyNumberFormat="1" applyFont="1" applyFill="1" applyBorder="1" applyAlignment="1" applyProtection="1">
      <alignment horizontal="center"/>
    </xf>
    <xf numFmtId="0" fontId="30" fillId="2" borderId="0" xfId="0" applyFont="1" applyFill="1" applyAlignment="1" applyProtection="1">
      <alignment horizontal="left"/>
      <protection locked="0"/>
    </xf>
    <xf numFmtId="0" fontId="27" fillId="2" borderId="0" xfId="0" applyFont="1" applyFill="1" applyAlignment="1" applyProtection="1">
      <alignment horizontal="center"/>
      <protection locked="0"/>
    </xf>
    <xf numFmtId="0" fontId="30" fillId="2" borderId="0" xfId="5" applyFont="1" applyFill="1" applyBorder="1" applyAlignment="1" applyProtection="1">
      <alignment horizontal="center"/>
      <protection locked="0"/>
    </xf>
    <xf numFmtId="0" fontId="30" fillId="2" borderId="0" xfId="5" applyFont="1" applyFill="1" applyBorder="1" applyAlignment="1" applyProtection="1">
      <alignment horizontal="center"/>
    </xf>
    <xf numFmtId="164" fontId="27" fillId="13" borderId="0" xfId="0" applyNumberFormat="1" applyFont="1" applyFill="1" applyBorder="1" applyProtection="1"/>
    <xf numFmtId="175" fontId="27" fillId="15" borderId="58" xfId="0" applyNumberFormat="1" applyFont="1" applyFill="1" applyBorder="1" applyProtection="1"/>
    <xf numFmtId="0" fontId="27" fillId="4" borderId="62" xfId="0" applyFont="1" applyFill="1" applyBorder="1" applyAlignment="1" applyProtection="1">
      <alignment horizontal="right"/>
    </xf>
    <xf numFmtId="164" fontId="27" fillId="15" borderId="58" xfId="0" applyNumberFormat="1" applyFont="1" applyFill="1" applyBorder="1" applyProtection="1"/>
    <xf numFmtId="0" fontId="29" fillId="13" borderId="0" xfId="5" applyFont="1" applyFill="1" applyBorder="1" applyProtection="1"/>
    <xf numFmtId="0" fontId="27" fillId="13" borderId="0" xfId="0" applyFont="1" applyFill="1" applyProtection="1"/>
    <xf numFmtId="0" fontId="29" fillId="13" borderId="0" xfId="5" applyFont="1" applyFill="1" applyBorder="1" applyProtection="1"/>
    <xf numFmtId="1" fontId="28" fillId="13" borderId="0" xfId="0" applyNumberFormat="1" applyFont="1" applyFill="1" applyBorder="1" applyProtection="1"/>
    <xf numFmtId="0" fontId="27" fillId="14" borderId="0" xfId="0" applyFont="1" applyFill="1" applyAlignment="1" applyProtection="1">
      <alignment horizontal="center"/>
    </xf>
    <xf numFmtId="0" fontId="28" fillId="14" borderId="0" xfId="0" applyFont="1" applyFill="1" applyAlignment="1" applyProtection="1">
      <alignment horizontal="center"/>
    </xf>
    <xf numFmtId="0" fontId="30" fillId="10" borderId="58" xfId="4" applyFont="1" applyFill="1" applyBorder="1" applyProtection="1"/>
    <xf numFmtId="164" fontId="27" fillId="10" borderId="58" xfId="0" applyNumberFormat="1" applyFont="1" applyFill="1" applyBorder="1" applyProtection="1"/>
    <xf numFmtId="0" fontId="27" fillId="14" borderId="0" xfId="0" applyFont="1" applyFill="1" applyAlignment="1" applyProtection="1">
      <alignment horizontal="center"/>
    </xf>
    <xf numFmtId="0" fontId="28" fillId="14" borderId="0" xfId="0" applyFont="1" applyFill="1" applyAlignment="1" applyProtection="1">
      <alignment horizontal="center"/>
    </xf>
    <xf numFmtId="0" fontId="29" fillId="10" borderId="57" xfId="4" applyFont="1" applyFill="1" applyBorder="1" applyAlignment="1" applyProtection="1">
      <alignment horizontal="center" vertical="top"/>
    </xf>
    <xf numFmtId="0" fontId="30" fillId="10" borderId="0" xfId="4" applyFont="1" applyFill="1" applyBorder="1" applyProtection="1"/>
    <xf numFmtId="0" fontId="27" fillId="10" borderId="0" xfId="0" applyFont="1" applyFill="1" applyProtection="1"/>
    <xf numFmtId="1" fontId="30" fillId="10" borderId="0" xfId="4" applyNumberFormat="1" applyFont="1" applyFill="1" applyBorder="1" applyProtection="1"/>
    <xf numFmtId="172" fontId="30" fillId="10" borderId="0" xfId="4" applyNumberFormat="1" applyFont="1" applyFill="1" applyBorder="1" applyProtection="1"/>
    <xf numFmtId="0" fontId="27" fillId="10" borderId="0" xfId="0" applyFont="1" applyFill="1" applyBorder="1" applyProtection="1"/>
    <xf numFmtId="11" fontId="27" fillId="10" borderId="8" xfId="0" applyNumberFormat="1" applyFont="1" applyFill="1" applyBorder="1" applyProtection="1"/>
    <xf numFmtId="172" fontId="30" fillId="10" borderId="0" xfId="4" applyNumberFormat="1" applyFont="1" applyFill="1" applyBorder="1" applyProtection="1"/>
    <xf numFmtId="165" fontId="30" fillId="2" borderId="0" xfId="0" applyNumberFormat="1" applyFont="1" applyFill="1" applyAlignment="1" applyProtection="1">
      <alignment horizontal="center"/>
      <protection locked="0"/>
    </xf>
    <xf numFmtId="0" fontId="30" fillId="2" borderId="0" xfId="0" applyFont="1" applyFill="1" applyAlignment="1" applyProtection="1">
      <alignment horizontal="center"/>
      <protection locked="0"/>
    </xf>
    <xf numFmtId="0" fontId="22" fillId="2" borderId="0" xfId="0" applyFont="1" applyFill="1" applyProtection="1"/>
    <xf numFmtId="2" fontId="30" fillId="2" borderId="0" xfId="0" applyNumberFormat="1" applyFont="1" applyFill="1" applyAlignment="1" applyProtection="1">
      <alignment horizontal="center"/>
      <protection locked="0"/>
    </xf>
    <xf numFmtId="0" fontId="30" fillId="2" borderId="0" xfId="0" applyFont="1" applyFill="1" applyProtection="1"/>
    <xf numFmtId="165" fontId="30" fillId="2" borderId="0" xfId="0" applyNumberFormat="1" applyFont="1" applyFill="1" applyAlignment="1" applyProtection="1">
      <alignment horizontal="center"/>
    </xf>
    <xf numFmtId="0" fontId="29" fillId="10" borderId="0" xfId="4" applyFont="1" applyFill="1" applyBorder="1" applyProtection="1"/>
    <xf numFmtId="175" fontId="30" fillId="10" borderId="0" xfId="4" applyNumberFormat="1" applyFont="1" applyFill="1" applyBorder="1" applyProtection="1"/>
    <xf numFmtId="0" fontId="29" fillId="10" borderId="0" xfId="4" applyFont="1" applyFill="1" applyBorder="1" applyProtection="1"/>
    <xf numFmtId="164" fontId="30" fillId="10" borderId="0" xfId="4" applyNumberFormat="1" applyFont="1" applyFill="1" applyBorder="1" applyProtection="1"/>
    <xf numFmtId="165" fontId="27" fillId="9" borderId="0" xfId="0" applyNumberFormat="1" applyFont="1" applyFill="1" applyBorder="1" applyAlignment="1" applyProtection="1">
      <alignment horizontal="center"/>
    </xf>
    <xf numFmtId="0" fontId="29" fillId="10" borderId="0" xfId="4" applyFont="1" applyFill="1" applyBorder="1" applyProtection="1"/>
    <xf numFmtId="172" fontId="30" fillId="10" borderId="0" xfId="4" applyNumberFormat="1" applyFont="1" applyFill="1" applyBorder="1" applyProtection="1"/>
    <xf numFmtId="0" fontId="0" fillId="2" borderId="0" xfId="0" applyFill="1" applyProtection="1"/>
    <xf numFmtId="0" fontId="29" fillId="4" borderId="57" xfId="4" applyFont="1" applyFill="1" applyBorder="1" applyAlignment="1" applyProtection="1">
      <alignment horizontal="center" vertical="top" wrapText="1"/>
    </xf>
    <xf numFmtId="0" fontId="27" fillId="4" borderId="0" xfId="0" applyFont="1" applyFill="1" applyProtection="1"/>
    <xf numFmtId="2" fontId="27" fillId="4" borderId="0" xfId="0" applyNumberFormat="1" applyFont="1" applyFill="1" applyProtection="1"/>
    <xf numFmtId="0" fontId="32" fillId="4" borderId="0" xfId="0" applyFont="1" applyFill="1" applyProtection="1"/>
    <xf numFmtId="0" fontId="27" fillId="4" borderId="0" xfId="0" applyFont="1" applyFill="1" applyAlignment="1" applyProtection="1"/>
    <xf numFmtId="0" fontId="27" fillId="4" borderId="0" xfId="0" applyFont="1" applyFill="1" applyBorder="1" applyAlignment="1" applyProtection="1"/>
    <xf numFmtId="0" fontId="27" fillId="4" borderId="15" xfId="0" applyFont="1" applyFill="1" applyBorder="1" applyAlignment="1" applyProtection="1"/>
    <xf numFmtId="2" fontId="27" fillId="4" borderId="0" xfId="0" applyNumberFormat="1" applyFont="1" applyFill="1" applyBorder="1" applyProtection="1"/>
    <xf numFmtId="0" fontId="27" fillId="4" borderId="0" xfId="0" applyFont="1" applyFill="1" applyBorder="1" applyProtection="1"/>
    <xf numFmtId="172" fontId="27" fillId="4" borderId="0" xfId="0" applyNumberFormat="1" applyFont="1" applyFill="1" applyBorder="1" applyProtection="1"/>
    <xf numFmtId="165" fontId="27" fillId="4" borderId="0" xfId="0" applyNumberFormat="1" applyFont="1" applyFill="1" applyProtection="1"/>
    <xf numFmtId="173" fontId="27" fillId="4" borderId="0" xfId="0" applyNumberFormat="1" applyFont="1" applyFill="1" applyProtection="1"/>
    <xf numFmtId="0" fontId="29" fillId="15" borderId="57" xfId="4" applyFont="1" applyFill="1" applyBorder="1" applyAlignment="1" applyProtection="1">
      <alignment horizontal="center" wrapText="1"/>
    </xf>
    <xf numFmtId="0" fontId="27" fillId="15" borderId="0" xfId="0" applyFont="1" applyFill="1" applyProtection="1"/>
    <xf numFmtId="0" fontId="27" fillId="15" borderId="0" xfId="0" applyFont="1" applyFill="1" applyBorder="1" applyProtection="1"/>
    <xf numFmtId="0" fontId="27" fillId="15" borderId="0" xfId="0" applyFont="1" applyFill="1" applyAlignment="1" applyProtection="1">
      <alignment horizontal="right"/>
    </xf>
    <xf numFmtId="166" fontId="27" fillId="15" borderId="0" xfId="0" applyNumberFormat="1" applyFont="1" applyFill="1" applyProtection="1"/>
    <xf numFmtId="0" fontId="27" fillId="15" borderId="0" xfId="0" applyFont="1" applyFill="1" applyBorder="1" applyAlignment="1" applyProtection="1">
      <alignment horizontal="right"/>
    </xf>
    <xf numFmtId="176" fontId="27" fillId="15" borderId="0" xfId="0" applyNumberFormat="1" applyFont="1" applyFill="1" applyProtection="1"/>
    <xf numFmtId="174" fontId="27" fillId="15" borderId="0" xfId="0" applyNumberFormat="1" applyFont="1" applyFill="1" applyBorder="1" applyProtection="1"/>
    <xf numFmtId="174" fontId="27" fillId="15" borderId="0" xfId="0" applyNumberFormat="1" applyFont="1" applyFill="1" applyProtection="1"/>
    <xf numFmtId="166" fontId="27" fillId="4" borderId="0" xfId="0" applyNumberFormat="1" applyFont="1" applyFill="1" applyProtection="1"/>
    <xf numFmtId="0" fontId="28" fillId="4" borderId="0" xfId="0" applyFont="1" applyFill="1" applyProtection="1"/>
    <xf numFmtId="2" fontId="27" fillId="4" borderId="0" xfId="0" applyNumberFormat="1" applyFont="1" applyFill="1" applyBorder="1" applyProtection="1"/>
    <xf numFmtId="175" fontId="27" fillId="4" borderId="0" xfId="0" applyNumberFormat="1" applyFont="1" applyFill="1" applyBorder="1" applyProtection="1"/>
    <xf numFmtId="0" fontId="28" fillId="4" borderId="0" xfId="0" applyFont="1" applyFill="1" applyProtection="1"/>
    <xf numFmtId="0" fontId="27" fillId="4" borderId="0" xfId="0" applyFont="1" applyFill="1" applyProtection="1"/>
    <xf numFmtId="0" fontId="27" fillId="4" borderId="0" xfId="0" applyFont="1" applyFill="1" applyBorder="1" applyProtection="1"/>
    <xf numFmtId="173" fontId="27" fillId="4" borderId="0" xfId="0" applyNumberFormat="1" applyFont="1" applyFill="1" applyProtection="1"/>
    <xf numFmtId="0" fontId="27" fillId="4" borderId="0" xfId="0" applyFont="1" applyFill="1" applyProtection="1"/>
    <xf numFmtId="0" fontId="28" fillId="4" borderId="0" xfId="0" applyFont="1" applyFill="1" applyProtection="1"/>
    <xf numFmtId="173" fontId="27" fillId="4" borderId="0" xfId="0" applyNumberFormat="1" applyFont="1" applyFill="1" applyProtection="1"/>
    <xf numFmtId="0" fontId="0" fillId="2" borderId="0" xfId="0" applyFill="1" applyProtection="1"/>
    <xf numFmtId="0" fontId="27" fillId="4" borderId="0" xfId="0" applyFont="1" applyFill="1" applyProtection="1"/>
    <xf numFmtId="0" fontId="28" fillId="11" borderId="0" xfId="0" applyFont="1" applyFill="1" applyAlignment="1" applyProtection="1">
      <alignment horizontal="center"/>
    </xf>
    <xf numFmtId="0" fontId="27" fillId="4" borderId="0" xfId="0" applyFont="1" applyFill="1" applyAlignment="1" applyProtection="1">
      <alignment horizontal="right"/>
    </xf>
    <xf numFmtId="0" fontId="27" fillId="4" borderId="0" xfId="0" applyFont="1" applyFill="1" applyBorder="1" applyProtection="1"/>
    <xf numFmtId="174" fontId="27" fillId="4" borderId="0" xfId="0" applyNumberFormat="1" applyFont="1" applyFill="1" applyProtection="1"/>
    <xf numFmtId="0" fontId="28" fillId="4" borderId="0" xfId="0" applyFont="1" applyFill="1" applyProtection="1"/>
    <xf numFmtId="0" fontId="27" fillId="4" borderId="0" xfId="0" applyFont="1" applyFill="1" applyAlignment="1" applyProtection="1">
      <alignment horizontal="right"/>
    </xf>
    <xf numFmtId="0" fontId="27" fillId="4" borderId="0" xfId="0" applyFont="1" applyFill="1" applyProtection="1"/>
    <xf numFmtId="0" fontId="28" fillId="4" borderId="0" xfId="0" applyFont="1" applyFill="1" applyProtection="1"/>
    <xf numFmtId="0" fontId="27" fillId="4" borderId="0" xfId="0" applyFont="1" applyFill="1" applyBorder="1" applyProtection="1"/>
    <xf numFmtId="0" fontId="27" fillId="4" borderId="0" xfId="0" applyFont="1" applyFill="1" applyProtection="1"/>
    <xf numFmtId="0" fontId="28" fillId="4" borderId="0" xfId="0" applyFont="1" applyFill="1" applyProtection="1"/>
    <xf numFmtId="173" fontId="27" fillId="4" borderId="0" xfId="0" applyNumberFormat="1" applyFont="1" applyFill="1" applyProtection="1"/>
    <xf numFmtId="173" fontId="27" fillId="4" borderId="0" xfId="0" applyNumberFormat="1" applyFont="1" applyFill="1" applyBorder="1" applyProtection="1"/>
    <xf numFmtId="175" fontId="27" fillId="4" borderId="0" xfId="0" applyNumberFormat="1" applyFont="1" applyFill="1" applyBorder="1" applyProtection="1"/>
    <xf numFmtId="0" fontId="28" fillId="4" borderId="0" xfId="0" applyFont="1" applyFill="1" applyProtection="1"/>
    <xf numFmtId="0" fontId="27" fillId="4" borderId="0" xfId="0" applyFont="1" applyFill="1" applyProtection="1"/>
    <xf numFmtId="0" fontId="28" fillId="4" borderId="0" xfId="0" applyFont="1" applyFill="1" applyProtection="1"/>
    <xf numFmtId="0" fontId="27" fillId="4" borderId="0" xfId="0" applyFont="1" applyFill="1" applyProtection="1"/>
    <xf numFmtId="0" fontId="28" fillId="4" borderId="0" xfId="0" applyFont="1" applyFill="1" applyProtection="1"/>
    <xf numFmtId="0" fontId="27" fillId="4" borderId="0" xfId="0" applyFont="1" applyFill="1" applyAlignment="1" applyProtection="1">
      <alignment horizontal="right"/>
    </xf>
    <xf numFmtId="0" fontId="28" fillId="4" borderId="0" xfId="0" applyFont="1" applyFill="1" applyProtection="1"/>
    <xf numFmtId="0" fontId="27" fillId="4" borderId="0" xfId="0" applyFont="1" applyFill="1" applyProtection="1"/>
    <xf numFmtId="0" fontId="28" fillId="4" borderId="0" xfId="0" applyFont="1" applyFill="1" applyProtection="1"/>
    <xf numFmtId="165" fontId="27" fillId="4" borderId="0" xfId="0" applyNumberFormat="1" applyFont="1" applyFill="1" applyProtection="1"/>
    <xf numFmtId="0" fontId="28" fillId="4" borderId="62" xfId="0" applyFont="1" applyFill="1" applyBorder="1" applyProtection="1"/>
    <xf numFmtId="0" fontId="27" fillId="4" borderId="62" xfId="0" applyFont="1" applyFill="1" applyBorder="1" applyProtection="1"/>
    <xf numFmtId="0" fontId="28" fillId="11" borderId="62" xfId="0" applyFont="1" applyFill="1" applyBorder="1" applyAlignment="1" applyProtection="1">
      <alignment horizontal="center"/>
    </xf>
    <xf numFmtId="0" fontId="27" fillId="15" borderId="5" xfId="0" applyFont="1" applyFill="1" applyBorder="1" applyProtection="1"/>
    <xf numFmtId="172" fontId="27" fillId="4" borderId="0" xfId="0" applyNumberFormat="1" applyFont="1" applyFill="1" applyProtection="1"/>
    <xf numFmtId="165" fontId="28" fillId="4" borderId="0" xfId="0" applyNumberFormat="1" applyFont="1" applyFill="1" applyProtection="1"/>
    <xf numFmtId="0" fontId="27" fillId="4" borderId="0" xfId="0" applyFont="1" applyFill="1" applyProtection="1"/>
    <xf numFmtId="0" fontId="28" fillId="4" borderId="0" xfId="0" applyFont="1" applyFill="1" applyProtection="1"/>
    <xf numFmtId="0" fontId="28" fillId="11" borderId="0" xfId="0" applyFont="1" applyFill="1" applyAlignment="1" applyProtection="1">
      <alignment horizontal="center"/>
    </xf>
    <xf numFmtId="0" fontId="28" fillId="11" borderId="0" xfId="0" applyFont="1" applyFill="1" applyAlignment="1" applyProtection="1">
      <alignment horizontal="center"/>
    </xf>
    <xf numFmtId="0" fontId="28" fillId="11" borderId="0" xfId="0" applyFont="1" applyFill="1" applyAlignment="1" applyProtection="1">
      <alignment horizontal="center"/>
    </xf>
    <xf numFmtId="0" fontId="27" fillId="4" borderId="0" xfId="0" applyFont="1" applyFill="1" applyProtection="1"/>
    <xf numFmtId="0" fontId="28" fillId="11" borderId="0" xfId="0" applyFont="1" applyFill="1" applyAlignment="1" applyProtection="1">
      <alignment horizontal="center"/>
    </xf>
    <xf numFmtId="164" fontId="29" fillId="18" borderId="0" xfId="3" applyNumberFormat="1" applyFont="1" applyFill="1" applyBorder="1" applyAlignment="1" applyProtection="1">
      <alignment horizontal="center"/>
    </xf>
    <xf numFmtId="0" fontId="0" fillId="2" borderId="0" xfId="0" applyFill="1" applyProtection="1"/>
    <xf numFmtId="0" fontId="27" fillId="2" borderId="0" xfId="0" applyFont="1" applyFill="1" applyProtection="1"/>
    <xf numFmtId="0" fontId="28" fillId="15" borderId="0" xfId="0" applyFont="1" applyFill="1" applyProtection="1"/>
    <xf numFmtId="0" fontId="27" fillId="15" borderId="0" xfId="0" applyFont="1" applyFill="1" applyProtection="1"/>
    <xf numFmtId="0" fontId="28" fillId="16" borderId="0" xfId="0" applyFont="1" applyFill="1" applyAlignment="1" applyProtection="1">
      <alignment horizontal="center"/>
    </xf>
    <xf numFmtId="0" fontId="27" fillId="15" borderId="0" xfId="0" applyFont="1" applyFill="1" applyBorder="1" applyProtection="1"/>
    <xf numFmtId="173" fontId="27" fillId="15" borderId="0" xfId="0" applyNumberFormat="1" applyFont="1" applyFill="1" applyBorder="1" applyProtection="1"/>
    <xf numFmtId="0" fontId="0" fillId="2" borderId="0" xfId="0" applyFill="1" applyProtection="1"/>
    <xf numFmtId="0" fontId="27" fillId="2" borderId="0" xfId="0" applyFont="1" applyFill="1" applyProtection="1"/>
    <xf numFmtId="0" fontId="27" fillId="15" borderId="0" xfId="0" applyFont="1" applyFill="1" applyProtection="1"/>
    <xf numFmtId="0" fontId="27" fillId="15" borderId="0" xfId="0" applyFont="1" applyFill="1" applyAlignment="1" applyProtection="1">
      <alignment horizontal="right"/>
    </xf>
    <xf numFmtId="175" fontId="27" fillId="15" borderId="0" xfId="0" applyNumberFormat="1" applyFont="1" applyFill="1" applyProtection="1"/>
    <xf numFmtId="0" fontId="27" fillId="16" borderId="0" xfId="0" applyFont="1" applyFill="1" applyProtection="1"/>
    <xf numFmtId="0" fontId="28" fillId="2" borderId="0" xfId="0" applyFont="1" applyFill="1" applyProtection="1"/>
    <xf numFmtId="175" fontId="27" fillId="15" borderId="0" xfId="0" applyNumberFormat="1" applyFont="1" applyFill="1" applyAlignment="1" applyProtection="1"/>
    <xf numFmtId="0" fontId="27" fillId="15" borderId="0" xfId="0" applyFont="1" applyFill="1" applyProtection="1"/>
    <xf numFmtId="0" fontId="27" fillId="15" borderId="0" xfId="0" applyFont="1" applyFill="1" applyAlignment="1" applyProtection="1">
      <alignment horizontal="right"/>
    </xf>
    <xf numFmtId="175" fontId="27" fillId="15" borderId="0" xfId="0" applyNumberFormat="1" applyFont="1" applyFill="1" applyProtection="1"/>
    <xf numFmtId="173" fontId="27" fillId="15" borderId="0" xfId="0" applyNumberFormat="1" applyFont="1" applyFill="1" applyProtection="1"/>
    <xf numFmtId="176" fontId="27" fillId="15" borderId="0" xfId="0" applyNumberFormat="1" applyFont="1" applyFill="1" applyProtection="1"/>
    <xf numFmtId="175" fontId="27" fillId="15" borderId="0" xfId="0" applyNumberFormat="1" applyFont="1" applyFill="1" applyBorder="1" applyProtection="1"/>
    <xf numFmtId="0" fontId="27" fillId="15" borderId="0" xfId="0" applyFont="1" applyFill="1" applyProtection="1"/>
    <xf numFmtId="0" fontId="0" fillId="2" borderId="0" xfId="0" applyFill="1"/>
    <xf numFmtId="0" fontId="28" fillId="15" borderId="0" xfId="0" applyFont="1" applyFill="1" applyProtection="1"/>
    <xf numFmtId="0" fontId="27" fillId="15" borderId="0" xfId="0" applyFont="1" applyFill="1" applyProtection="1"/>
    <xf numFmtId="0" fontId="27" fillId="15" borderId="0" xfId="0" applyFont="1" applyFill="1" applyAlignment="1" applyProtection="1">
      <alignment horizontal="right"/>
    </xf>
    <xf numFmtId="166" fontId="27" fillId="15" borderId="0" xfId="0" applyNumberFormat="1" applyFont="1" applyFill="1" applyProtection="1"/>
    <xf numFmtId="166" fontId="27" fillId="15" borderId="0" xfId="0" applyNumberFormat="1" applyFont="1" applyFill="1" applyBorder="1" applyProtection="1"/>
    <xf numFmtId="11" fontId="27" fillId="15" borderId="0" xfId="0" applyNumberFormat="1" applyFont="1" applyFill="1" applyProtection="1"/>
    <xf numFmtId="2" fontId="27" fillId="15" borderId="0" xfId="0" applyNumberFormat="1" applyFont="1" applyFill="1" applyProtection="1"/>
    <xf numFmtId="0" fontId="28" fillId="15" borderId="58" xfId="0" applyFont="1" applyFill="1" applyBorder="1" applyProtection="1"/>
    <xf numFmtId="0" fontId="27" fillId="15" borderId="58" xfId="0" applyFont="1" applyFill="1" applyBorder="1" applyProtection="1"/>
    <xf numFmtId="0" fontId="28" fillId="16" borderId="58" xfId="0" applyFont="1" applyFill="1" applyBorder="1" applyAlignment="1" applyProtection="1">
      <alignment horizontal="center"/>
    </xf>
    <xf numFmtId="2" fontId="0" fillId="2" borderId="0" xfId="0" applyNumberFormat="1" applyFill="1" applyProtection="1">
      <protection locked="0"/>
    </xf>
    <xf numFmtId="176" fontId="27" fillId="15" borderId="0" xfId="0" applyNumberFormat="1" applyFont="1" applyFill="1" applyProtection="1"/>
    <xf numFmtId="0" fontId="30" fillId="2" borderId="0" xfId="0" applyFont="1" applyFill="1" applyAlignment="1" applyProtection="1">
      <alignment horizontal="center"/>
      <protection locked="0"/>
    </xf>
    <xf numFmtId="174" fontId="27" fillId="4" borderId="0" xfId="0" applyNumberFormat="1" applyFont="1" applyFill="1" applyBorder="1" applyProtection="1"/>
    <xf numFmtId="176" fontId="27" fillId="4" borderId="0" xfId="0" applyNumberFormat="1" applyFont="1" applyFill="1" applyBorder="1" applyProtection="1"/>
    <xf numFmtId="178" fontId="27" fillId="4" borderId="0" xfId="0" applyNumberFormat="1" applyFont="1" applyFill="1" applyProtection="1"/>
    <xf numFmtId="173" fontId="0" fillId="2" borderId="0" xfId="0" applyNumberFormat="1" applyFill="1" applyProtection="1">
      <protection locked="0"/>
    </xf>
    <xf numFmtId="176" fontId="27" fillId="4" borderId="0" xfId="0" applyNumberFormat="1" applyFont="1" applyFill="1" applyAlignment="1" applyProtection="1"/>
    <xf numFmtId="174" fontId="28" fillId="4" borderId="0" xfId="0" applyNumberFormat="1" applyFont="1" applyFill="1" applyProtection="1"/>
    <xf numFmtId="11" fontId="27" fillId="4" borderId="0" xfId="0" applyNumberFormat="1" applyFont="1" applyFill="1" applyBorder="1" applyProtection="1"/>
    <xf numFmtId="11" fontId="27" fillId="15" borderId="0" xfId="0" applyNumberFormat="1" applyFont="1" applyFill="1" applyAlignment="1" applyProtection="1">
      <alignment horizontal="right"/>
    </xf>
    <xf numFmtId="164" fontId="27" fillId="9" borderId="0" xfId="0" applyNumberFormat="1" applyFont="1" applyFill="1" applyBorder="1" applyAlignment="1" applyProtection="1">
      <alignment horizontal="center"/>
    </xf>
    <xf numFmtId="188" fontId="0" fillId="2" borderId="0" xfId="0" applyNumberFormat="1" applyFill="1" applyProtection="1">
      <protection locked="0"/>
    </xf>
    <xf numFmtId="175" fontId="55" fillId="0" borderId="0" xfId="66" applyNumberFormat="1" applyFont="1" applyProtection="1"/>
    <xf numFmtId="2" fontId="27" fillId="9" borderId="0" xfId="0" applyNumberFormat="1" applyFont="1" applyFill="1" applyBorder="1" applyAlignment="1" applyProtection="1">
      <alignment horizontal="center"/>
    </xf>
    <xf numFmtId="172" fontId="0" fillId="2" borderId="0" xfId="0" applyNumberFormat="1" applyFill="1" applyProtection="1">
      <protection locked="0"/>
    </xf>
    <xf numFmtId="189" fontId="0" fillId="2" borderId="0" xfId="0" applyNumberFormat="1" applyFill="1" applyProtection="1">
      <protection locked="0"/>
    </xf>
    <xf numFmtId="0" fontId="27" fillId="0" borderId="0" xfId="66" applyFont="1" applyFill="1" applyBorder="1" applyAlignment="1" applyProtection="1">
      <alignment horizontal="center"/>
      <protection locked="0"/>
    </xf>
    <xf numFmtId="165" fontId="30" fillId="2" borderId="0" xfId="0" applyNumberFormat="1" applyFont="1" applyFill="1" applyProtection="1">
      <protection locked="0"/>
    </xf>
    <xf numFmtId="173" fontId="27" fillId="4" borderId="0" xfId="0" applyNumberFormat="1" applyFont="1" applyFill="1" applyBorder="1" applyProtection="1">
      <protection locked="0"/>
    </xf>
    <xf numFmtId="174" fontId="27" fillId="4" borderId="0" xfId="0" applyNumberFormat="1" applyFont="1" applyFill="1" applyAlignment="1" applyProtection="1">
      <alignment horizontal="center"/>
    </xf>
    <xf numFmtId="0" fontId="27" fillId="4" borderId="0" xfId="0" applyFont="1" applyFill="1" applyAlignment="1" applyProtection="1">
      <alignment horizontal="center"/>
    </xf>
    <xf numFmtId="185" fontId="27" fillId="4" borderId="0" xfId="0" applyNumberFormat="1" applyFont="1" applyFill="1" applyAlignment="1" applyProtection="1">
      <alignment horizontal="center"/>
    </xf>
    <xf numFmtId="11" fontId="27" fillId="4" borderId="0" xfId="0" applyNumberFormat="1" applyFont="1" applyFill="1" applyAlignment="1" applyProtection="1">
      <alignment horizontal="center"/>
    </xf>
    <xf numFmtId="0" fontId="28" fillId="4" borderId="0" xfId="0" applyFont="1" applyFill="1" applyAlignment="1" applyProtection="1">
      <alignment horizontal="center"/>
    </xf>
    <xf numFmtId="186" fontId="27" fillId="4" borderId="0" xfId="0" applyNumberFormat="1" applyFont="1" applyFill="1" applyAlignment="1" applyProtection="1">
      <alignment horizontal="center"/>
    </xf>
    <xf numFmtId="184" fontId="27" fillId="4" borderId="0" xfId="0" applyNumberFormat="1" applyFont="1" applyFill="1" applyAlignment="1" applyProtection="1">
      <alignment horizontal="center"/>
    </xf>
    <xf numFmtId="174" fontId="28" fillId="4" borderId="8" xfId="0" applyNumberFormat="1" applyFont="1" applyFill="1" applyBorder="1" applyAlignment="1" applyProtection="1">
      <alignment horizontal="center"/>
    </xf>
    <xf numFmtId="0" fontId="27" fillId="4" borderId="58" xfId="0" applyFont="1" applyFill="1" applyBorder="1" applyProtection="1">
      <protection locked="0"/>
    </xf>
    <xf numFmtId="187" fontId="27" fillId="15" borderId="0" xfId="0" applyNumberFormat="1" applyFont="1" applyFill="1" applyAlignment="1" applyProtection="1">
      <alignment horizontal="center"/>
    </xf>
    <xf numFmtId="2" fontId="27" fillId="15" borderId="0" xfId="0" applyNumberFormat="1" applyFont="1" applyFill="1" applyBorder="1" applyAlignment="1" applyProtection="1">
      <alignment horizontal="center"/>
    </xf>
    <xf numFmtId="11" fontId="27" fillId="15" borderId="0" xfId="0" applyNumberFormat="1" applyFont="1" applyFill="1" applyBorder="1" applyAlignment="1" applyProtection="1">
      <alignment horizontal="center"/>
    </xf>
    <xf numFmtId="175" fontId="27" fillId="15" borderId="0" xfId="0" applyNumberFormat="1" applyFont="1" applyFill="1" applyAlignment="1" applyProtection="1">
      <alignment horizontal="center"/>
      <protection locked="0"/>
    </xf>
    <xf numFmtId="173" fontId="27" fillId="15" borderId="0" xfId="0" applyNumberFormat="1" applyFont="1" applyFill="1" applyAlignment="1" applyProtection="1">
      <alignment horizontal="center"/>
      <protection locked="0"/>
    </xf>
    <xf numFmtId="0" fontId="27" fillId="15" borderId="0" xfId="0" applyFont="1" applyFill="1" applyAlignment="1" applyProtection="1">
      <alignment horizontal="center"/>
      <protection locked="0"/>
    </xf>
    <xf numFmtId="177" fontId="27" fillId="15" borderId="0" xfId="0" applyNumberFormat="1" applyFont="1" applyFill="1" applyAlignment="1" applyProtection="1">
      <alignment horizontal="center"/>
      <protection locked="0"/>
    </xf>
    <xf numFmtId="166" fontId="27" fillId="15" borderId="0" xfId="0" applyNumberFormat="1" applyFont="1" applyFill="1" applyAlignment="1" applyProtection="1">
      <alignment horizontal="center"/>
      <protection locked="0"/>
    </xf>
    <xf numFmtId="0" fontId="27" fillId="15" borderId="0" xfId="0" applyFont="1" applyFill="1" applyAlignment="1" applyProtection="1">
      <alignment horizontal="center"/>
    </xf>
    <xf numFmtId="166" fontId="27" fillId="15" borderId="0" xfId="0" applyNumberFormat="1" applyFont="1" applyFill="1" applyBorder="1" applyAlignment="1" applyProtection="1">
      <alignment horizontal="center"/>
    </xf>
    <xf numFmtId="185" fontId="27" fillId="15" borderId="0" xfId="0" applyNumberFormat="1" applyFont="1" applyFill="1" applyAlignment="1" applyProtection="1">
      <alignment horizontal="center"/>
    </xf>
    <xf numFmtId="0" fontId="27" fillId="15" borderId="58" xfId="0" applyFont="1" applyFill="1" applyBorder="1" applyProtection="1">
      <protection locked="0"/>
    </xf>
    <xf numFmtId="0" fontId="28" fillId="2" borderId="0" xfId="0" applyFont="1" applyFill="1" applyBorder="1" applyProtection="1"/>
    <xf numFmtId="2" fontId="27" fillId="2" borderId="0" xfId="0" applyNumberFormat="1" applyFont="1" applyFill="1" applyBorder="1" applyProtection="1"/>
    <xf numFmtId="174" fontId="28" fillId="2" borderId="0" xfId="0" applyNumberFormat="1" applyFont="1" applyFill="1" applyBorder="1" applyAlignment="1" applyProtection="1">
      <alignment horizontal="center"/>
    </xf>
    <xf numFmtId="2" fontId="0" fillId="0" borderId="0" xfId="0" applyNumberFormat="1" applyAlignment="1" applyProtection="1">
      <alignment horizontal="center"/>
      <protection locked="0"/>
    </xf>
    <xf numFmtId="0" fontId="27" fillId="11" borderId="58" xfId="0" applyFont="1" applyFill="1" applyBorder="1" applyProtection="1">
      <protection locked="0"/>
    </xf>
    <xf numFmtId="2" fontId="27" fillId="2" borderId="0" xfId="0" applyNumberFormat="1" applyFont="1" applyFill="1" applyBorder="1" applyProtection="1">
      <protection locked="0"/>
    </xf>
    <xf numFmtId="0" fontId="27" fillId="15" borderId="9" xfId="0" applyFont="1" applyFill="1" applyBorder="1" applyAlignment="1" applyProtection="1">
      <alignment horizontal="right"/>
      <protection locked="0"/>
    </xf>
    <xf numFmtId="0" fontId="27" fillId="16" borderId="9" xfId="0" applyFont="1" applyFill="1" applyBorder="1" applyProtection="1">
      <protection locked="0"/>
    </xf>
    <xf numFmtId="0" fontId="27" fillId="15" borderId="62" xfId="0" applyFont="1" applyFill="1" applyBorder="1" applyProtection="1">
      <protection locked="0"/>
    </xf>
    <xf numFmtId="0" fontId="28" fillId="16" borderId="62" xfId="0" applyFont="1" applyFill="1" applyBorder="1" applyAlignment="1" applyProtection="1">
      <alignment horizontal="center"/>
      <protection locked="0"/>
    </xf>
    <xf numFmtId="175" fontId="27" fillId="4" borderId="0" xfId="0" applyNumberFormat="1" applyFont="1" applyFill="1" applyProtection="1">
      <protection locked="0"/>
    </xf>
    <xf numFmtId="175" fontId="27" fillId="4" borderId="0" xfId="0" applyNumberFormat="1" applyFont="1" applyFill="1" applyProtection="1"/>
    <xf numFmtId="0" fontId="106" fillId="2" borderId="0" xfId="0" applyFont="1" applyFill="1" applyProtection="1">
      <protection locked="0"/>
    </xf>
    <xf numFmtId="175" fontId="22" fillId="0" borderId="0" xfId="0" applyNumberFormat="1" applyFont="1" applyFill="1" applyAlignment="1" applyProtection="1">
      <alignment horizontal="center"/>
      <protection locked="0"/>
    </xf>
    <xf numFmtId="2" fontId="16" fillId="2" borderId="5" xfId="0" applyNumberFormat="1" applyFont="1" applyFill="1" applyBorder="1" applyAlignment="1" applyProtection="1">
      <alignment horizontal="center" wrapText="1"/>
    </xf>
    <xf numFmtId="0" fontId="28" fillId="9" borderId="77" xfId="0" applyFont="1" applyFill="1" applyBorder="1" applyAlignment="1" applyProtection="1">
      <alignment horizontal="center"/>
    </xf>
    <xf numFmtId="0" fontId="27" fillId="9" borderId="81" xfId="0" applyFont="1" applyFill="1" applyBorder="1" applyAlignment="1" applyProtection="1">
      <alignment horizontal="left"/>
    </xf>
    <xf numFmtId="0" fontId="27" fillId="9" borderId="77" xfId="0" applyFont="1" applyFill="1" applyBorder="1" applyProtection="1"/>
    <xf numFmtId="0" fontId="28" fillId="9" borderId="79" xfId="0" applyFont="1" applyFill="1" applyBorder="1" applyAlignment="1" applyProtection="1">
      <alignment horizontal="left" vertical="center"/>
    </xf>
    <xf numFmtId="1" fontId="27" fillId="9" borderId="81" xfId="0" applyNumberFormat="1" applyFont="1" applyFill="1" applyBorder="1" applyAlignment="1" applyProtection="1">
      <alignment vertical="center"/>
    </xf>
    <xf numFmtId="0" fontId="40" fillId="9" borderId="77" xfId="5" applyFont="1" applyFill="1" applyBorder="1" applyProtection="1"/>
    <xf numFmtId="0" fontId="30" fillId="9" borderId="77" xfId="5" applyFont="1" applyFill="1" applyBorder="1" applyProtection="1"/>
    <xf numFmtId="0" fontId="30" fillId="9" borderId="80" xfId="5" applyFont="1" applyFill="1" applyBorder="1" applyProtection="1"/>
    <xf numFmtId="0" fontId="27" fillId="9" borderId="77" xfId="0" applyFont="1" applyFill="1" applyBorder="1" applyAlignment="1" applyProtection="1">
      <alignment horizontal="center"/>
    </xf>
    <xf numFmtId="0" fontId="28" fillId="9" borderId="79" xfId="0" applyFont="1" applyFill="1" applyBorder="1" applyAlignment="1" applyProtection="1">
      <alignment horizontal="left"/>
    </xf>
    <xf numFmtId="0" fontId="49" fillId="22" borderId="77" xfId="7" applyFont="1" applyFill="1" applyBorder="1" applyProtection="1"/>
    <xf numFmtId="0" fontId="49" fillId="23" borderId="77" xfId="7" applyFont="1" applyFill="1" applyBorder="1" applyProtection="1"/>
    <xf numFmtId="0" fontId="50" fillId="23" borderId="79" xfId="7" applyFont="1" applyFill="1" applyBorder="1" applyProtection="1"/>
    <xf numFmtId="0" fontId="28" fillId="9" borderId="81" xfId="0" applyFont="1" applyFill="1" applyBorder="1" applyAlignment="1" applyProtection="1">
      <alignment vertical="center"/>
    </xf>
    <xf numFmtId="0" fontId="28" fillId="9" borderId="81" xfId="0" applyFont="1" applyFill="1" applyBorder="1" applyProtection="1"/>
    <xf numFmtId="0" fontId="27" fillId="9" borderId="80" xfId="0" applyFont="1" applyFill="1" applyBorder="1" applyAlignment="1" applyProtection="1">
      <alignment horizontal="right"/>
    </xf>
    <xf numFmtId="0" fontId="28" fillId="9" borderId="79" xfId="0" applyFont="1" applyFill="1" applyBorder="1" applyAlignment="1" applyProtection="1">
      <alignment vertical="top"/>
    </xf>
    <xf numFmtId="0" fontId="27" fillId="9" borderId="81" xfId="0" applyFont="1" applyFill="1" applyBorder="1" applyAlignment="1" applyProtection="1">
      <alignment vertical="center"/>
    </xf>
    <xf numFmtId="0" fontId="27" fillId="9" borderId="81" xfId="0" applyFont="1" applyFill="1" applyBorder="1" applyProtection="1"/>
    <xf numFmtId="0" fontId="28" fillId="9" borderId="80" xfId="0" applyFont="1" applyFill="1" applyBorder="1" applyAlignment="1" applyProtection="1">
      <alignment horizontal="right"/>
    </xf>
    <xf numFmtId="0" fontId="28" fillId="9" borderId="79" xfId="0" applyFont="1" applyFill="1" applyBorder="1" applyProtection="1"/>
    <xf numFmtId="0" fontId="0" fillId="2" borderId="0" xfId="0" applyFill="1" applyProtection="1"/>
    <xf numFmtId="0" fontId="30" fillId="18" borderId="0" xfId="0" applyFont="1" applyFill="1" applyBorder="1" applyProtection="1"/>
    <xf numFmtId="165" fontId="30" fillId="18" borderId="0" xfId="0" applyNumberFormat="1" applyFont="1" applyFill="1" applyBorder="1" applyAlignment="1" applyProtection="1">
      <alignment horizontal="center"/>
    </xf>
    <xf numFmtId="0" fontId="29" fillId="18" borderId="0" xfId="0" applyFont="1" applyFill="1" applyBorder="1" applyProtection="1"/>
    <xf numFmtId="0" fontId="27" fillId="2" borderId="0" xfId="0" applyFont="1" applyFill="1" applyBorder="1" applyProtection="1"/>
    <xf numFmtId="0" fontId="27" fillId="2" borderId="0" xfId="0" applyFont="1" applyFill="1" applyProtection="1"/>
    <xf numFmtId="0" fontId="28" fillId="4" borderId="57" xfId="0" applyFont="1" applyFill="1" applyBorder="1" applyProtection="1"/>
    <xf numFmtId="0" fontId="29" fillId="4" borderId="57" xfId="4" applyFont="1" applyFill="1" applyBorder="1" applyAlignment="1" applyProtection="1">
      <alignment horizontal="center" vertical="top" wrapText="1"/>
    </xf>
    <xf numFmtId="0" fontId="28" fillId="11" borderId="57" xfId="0" applyFont="1" applyFill="1" applyBorder="1" applyAlignment="1" applyProtection="1">
      <alignment horizontal="center"/>
    </xf>
    <xf numFmtId="0" fontId="27" fillId="4" borderId="0" xfId="0" applyFont="1" applyFill="1" applyProtection="1"/>
    <xf numFmtId="0" fontId="28" fillId="11" borderId="0" xfId="0" applyFont="1" applyFill="1" applyAlignment="1" applyProtection="1">
      <alignment horizontal="center"/>
    </xf>
    <xf numFmtId="0" fontId="28" fillId="4" borderId="0" xfId="0" applyFont="1" applyFill="1" applyProtection="1"/>
    <xf numFmtId="0" fontId="30" fillId="4" borderId="0" xfId="4" applyFont="1" applyFill="1" applyBorder="1" applyAlignment="1" applyProtection="1">
      <alignment horizontal="center" vertical="top" wrapText="1"/>
    </xf>
    <xf numFmtId="0" fontId="30" fillId="4" borderId="0" xfId="4" applyFont="1" applyFill="1" applyBorder="1" applyProtection="1"/>
    <xf numFmtId="0" fontId="27" fillId="4" borderId="0" xfId="0" applyFont="1" applyFill="1" applyAlignment="1" applyProtection="1">
      <alignment horizontal="right"/>
    </xf>
    <xf numFmtId="2" fontId="27" fillId="4" borderId="0" xfId="0" applyNumberFormat="1" applyFont="1" applyFill="1" applyProtection="1"/>
    <xf numFmtId="1" fontId="30" fillId="4" borderId="0" xfId="4" applyNumberFormat="1" applyFont="1" applyFill="1" applyBorder="1" applyAlignment="1" applyProtection="1">
      <alignment horizontal="center" vertical="top" wrapText="1"/>
    </xf>
    <xf numFmtId="2" fontId="30" fillId="4" borderId="0" xfId="4" applyNumberFormat="1" applyFont="1" applyFill="1" applyBorder="1" applyAlignment="1" applyProtection="1">
      <alignment horizontal="left" vertical="top" wrapText="1"/>
    </xf>
    <xf numFmtId="2" fontId="30" fillId="4" borderId="0" xfId="4" applyNumberFormat="1" applyFont="1" applyFill="1" applyBorder="1" applyAlignment="1" applyProtection="1">
      <alignment horizontal="center" vertical="top" wrapText="1"/>
    </xf>
    <xf numFmtId="0" fontId="28" fillId="4" borderId="0" xfId="0" applyFont="1" applyFill="1" applyAlignment="1" applyProtection="1">
      <alignment horizontal="left"/>
    </xf>
    <xf numFmtId="0" fontId="32" fillId="4" borderId="0" xfId="0" applyFont="1" applyFill="1" applyProtection="1"/>
    <xf numFmtId="0" fontId="27" fillId="4" borderId="0" xfId="0" applyFont="1" applyFill="1" applyAlignment="1" applyProtection="1"/>
    <xf numFmtId="0" fontId="27" fillId="4" borderId="17" xfId="0" applyFont="1" applyFill="1" applyBorder="1" applyAlignment="1" applyProtection="1"/>
    <xf numFmtId="0" fontId="27" fillId="4" borderId="18" xfId="0" applyFont="1" applyFill="1" applyBorder="1" applyAlignment="1" applyProtection="1"/>
    <xf numFmtId="0" fontId="27" fillId="4" borderId="19" xfId="0" applyFont="1" applyFill="1" applyBorder="1" applyAlignment="1" applyProtection="1"/>
    <xf numFmtId="0" fontId="27" fillId="4" borderId="0" xfId="0" applyFont="1" applyFill="1" applyBorder="1" applyAlignment="1" applyProtection="1"/>
    <xf numFmtId="0" fontId="27" fillId="4" borderId="15" xfId="0" applyFont="1" applyFill="1" applyBorder="1" applyAlignment="1" applyProtection="1"/>
    <xf numFmtId="0" fontId="27" fillId="4" borderId="13" xfId="0" applyFont="1" applyFill="1" applyBorder="1" applyProtection="1"/>
    <xf numFmtId="0" fontId="27" fillId="4" borderId="20" xfId="0" applyFont="1" applyFill="1" applyBorder="1" applyProtection="1"/>
    <xf numFmtId="2" fontId="27" fillId="4" borderId="20" xfId="0" applyNumberFormat="1" applyFont="1" applyFill="1" applyBorder="1" applyProtection="1"/>
    <xf numFmtId="2" fontId="27" fillId="4" borderId="14" xfId="0" applyNumberFormat="1" applyFont="1" applyFill="1" applyBorder="1" applyProtection="1"/>
    <xf numFmtId="2" fontId="27" fillId="4" borderId="0" xfId="0" applyNumberFormat="1" applyFont="1" applyFill="1" applyBorder="1" applyProtection="1"/>
    <xf numFmtId="0" fontId="27" fillId="4" borderId="0" xfId="0" applyFont="1" applyFill="1" applyBorder="1" applyProtection="1"/>
    <xf numFmtId="0" fontId="28" fillId="4" borderId="0" xfId="0" applyFont="1" applyFill="1" applyAlignment="1" applyProtection="1"/>
    <xf numFmtId="172" fontId="27" fillId="4" borderId="0" xfId="0" applyNumberFormat="1" applyFont="1" applyFill="1" applyBorder="1" applyProtection="1"/>
    <xf numFmtId="165" fontId="27" fillId="4" borderId="0" xfId="0" applyNumberFormat="1" applyFont="1" applyFill="1" applyProtection="1"/>
    <xf numFmtId="0" fontId="27" fillId="11" borderId="0" xfId="0" applyFont="1" applyFill="1" applyProtection="1"/>
    <xf numFmtId="0" fontId="28" fillId="4" borderId="0" xfId="0" applyFont="1" applyFill="1" applyBorder="1" applyProtection="1"/>
    <xf numFmtId="173" fontId="27" fillId="4" borderId="0" xfId="0" applyNumberFormat="1" applyFont="1" applyFill="1" applyProtection="1"/>
    <xf numFmtId="164" fontId="27" fillId="4" borderId="0" xfId="0" applyNumberFormat="1" applyFont="1" applyFill="1" applyProtection="1"/>
    <xf numFmtId="0" fontId="29" fillId="15" borderId="57" xfId="4" applyFont="1" applyFill="1" applyBorder="1" applyProtection="1"/>
    <xf numFmtId="0" fontId="28" fillId="15" borderId="57" xfId="0" applyFont="1" applyFill="1" applyBorder="1" applyAlignment="1" applyProtection="1">
      <alignment horizontal="right"/>
    </xf>
    <xf numFmtId="0" fontId="29" fillId="15" borderId="57" xfId="4" applyFont="1" applyFill="1" applyBorder="1" applyAlignment="1" applyProtection="1">
      <alignment horizontal="center" wrapText="1"/>
    </xf>
    <xf numFmtId="0" fontId="28" fillId="15" borderId="57" xfId="0" applyFont="1" applyFill="1" applyBorder="1" applyAlignment="1" applyProtection="1"/>
    <xf numFmtId="0" fontId="29" fillId="16" borderId="57" xfId="4" applyFont="1" applyFill="1" applyBorder="1" applyAlignment="1" applyProtection="1">
      <alignment horizontal="center" wrapText="1"/>
    </xf>
    <xf numFmtId="0" fontId="28" fillId="2" borderId="0" xfId="0" applyFont="1" applyFill="1" applyAlignment="1" applyProtection="1">
      <alignment horizontal="center"/>
    </xf>
    <xf numFmtId="0" fontId="28" fillId="15" borderId="0" xfId="0" applyFont="1" applyFill="1" applyProtection="1"/>
    <xf numFmtId="0" fontId="27" fillId="15" borderId="0" xfId="0" applyFont="1" applyFill="1" applyProtection="1"/>
    <xf numFmtId="0" fontId="28" fillId="16" borderId="0" xfId="0" applyFont="1" applyFill="1" applyAlignment="1" applyProtection="1">
      <alignment horizontal="center"/>
    </xf>
    <xf numFmtId="0" fontId="27" fillId="15" borderId="0" xfId="0" applyFont="1" applyFill="1" applyBorder="1" applyProtection="1"/>
    <xf numFmtId="0" fontId="27" fillId="15" borderId="0" xfId="0" applyFont="1" applyFill="1" applyAlignment="1" applyProtection="1">
      <alignment horizontal="right"/>
    </xf>
    <xf numFmtId="166" fontId="27" fillId="15" borderId="0" xfId="0" applyNumberFormat="1" applyFont="1" applyFill="1" applyProtection="1"/>
    <xf numFmtId="0" fontId="28" fillId="15" borderId="0" xfId="0" applyFont="1" applyFill="1" applyBorder="1" applyProtection="1"/>
    <xf numFmtId="166" fontId="27" fillId="15" borderId="0" xfId="0" applyNumberFormat="1" applyFont="1" applyFill="1" applyBorder="1" applyProtection="1"/>
    <xf numFmtId="165" fontId="27" fillId="15" borderId="0" xfId="0" applyNumberFormat="1" applyFont="1" applyFill="1" applyProtection="1"/>
    <xf numFmtId="0" fontId="27" fillId="15" borderId="0" xfId="0" applyFont="1" applyFill="1" applyBorder="1" applyAlignment="1" applyProtection="1">
      <alignment horizontal="right"/>
    </xf>
    <xf numFmtId="173" fontId="27" fillId="15" borderId="0" xfId="0" applyNumberFormat="1" applyFont="1" applyFill="1" applyBorder="1" applyProtection="1"/>
    <xf numFmtId="0" fontId="29" fillId="15" borderId="57" xfId="4" applyFont="1" applyFill="1" applyBorder="1" applyAlignment="1" applyProtection="1">
      <alignment horizontal="center" vertical="top" wrapText="1"/>
    </xf>
    <xf numFmtId="164" fontId="27" fillId="15" borderId="0" xfId="0" applyNumberFormat="1" applyFont="1" applyFill="1" applyProtection="1"/>
    <xf numFmtId="166" fontId="27" fillId="2" borderId="0" xfId="0" applyNumberFormat="1" applyFont="1" applyFill="1" applyBorder="1" applyProtection="1"/>
    <xf numFmtId="1" fontId="27" fillId="2" borderId="0" xfId="0" applyNumberFormat="1" applyFont="1" applyFill="1" applyBorder="1" applyProtection="1"/>
    <xf numFmtId="172" fontId="27" fillId="2" borderId="0" xfId="0" applyNumberFormat="1" applyFont="1" applyFill="1" applyBorder="1" applyAlignment="1" applyProtection="1">
      <alignment horizontal="center"/>
    </xf>
    <xf numFmtId="175" fontId="27" fillId="15" borderId="0" xfId="0" applyNumberFormat="1" applyFont="1" applyFill="1" applyProtection="1"/>
    <xf numFmtId="0" fontId="27" fillId="16" borderId="0" xfId="0" applyFont="1" applyFill="1" applyProtection="1"/>
    <xf numFmtId="0" fontId="28" fillId="2" borderId="0" xfId="0" applyFont="1" applyFill="1" applyProtection="1"/>
    <xf numFmtId="0" fontId="27" fillId="2" borderId="0" xfId="0" applyFont="1" applyFill="1" applyBorder="1" applyAlignment="1" applyProtection="1">
      <alignment horizontal="center"/>
    </xf>
    <xf numFmtId="2" fontId="27" fillId="15" borderId="0" xfId="0" applyNumberFormat="1" applyFont="1" applyFill="1" applyBorder="1" applyProtection="1"/>
    <xf numFmtId="166" fontId="27" fillId="2" borderId="0" xfId="0" applyNumberFormat="1" applyFont="1" applyFill="1" applyBorder="1" applyAlignment="1" applyProtection="1">
      <alignment horizontal="center"/>
    </xf>
    <xf numFmtId="0" fontId="28" fillId="2" borderId="0" xfId="0" applyFont="1" applyFill="1" applyBorder="1" applyAlignment="1" applyProtection="1">
      <alignment horizontal="center"/>
    </xf>
    <xf numFmtId="0" fontId="27" fillId="2" borderId="0" xfId="0" applyFont="1" applyFill="1" applyAlignment="1" applyProtection="1">
      <alignment horizontal="right"/>
    </xf>
    <xf numFmtId="175" fontId="27" fillId="2" borderId="0" xfId="0" applyNumberFormat="1" applyFont="1" applyFill="1" applyProtection="1"/>
    <xf numFmtId="175" fontId="27" fillId="2" borderId="0" xfId="0" applyNumberFormat="1" applyFont="1" applyFill="1" applyAlignment="1" applyProtection="1">
      <alignment horizontal="right"/>
    </xf>
    <xf numFmtId="173" fontId="27" fillId="2" borderId="0" xfId="0" applyNumberFormat="1" applyFont="1" applyFill="1" applyBorder="1" applyProtection="1"/>
    <xf numFmtId="173" fontId="27" fillId="15" borderId="0" xfId="0" applyNumberFormat="1" applyFont="1" applyFill="1" applyProtection="1"/>
    <xf numFmtId="11" fontId="27" fillId="2" borderId="0" xfId="0" applyNumberFormat="1" applyFont="1" applyFill="1" applyProtection="1"/>
    <xf numFmtId="177" fontId="27" fillId="15" borderId="0" xfId="0" applyNumberFormat="1" applyFont="1" applyFill="1" applyProtection="1"/>
    <xf numFmtId="0" fontId="27" fillId="16" borderId="0" xfId="0" applyFont="1" applyFill="1" applyAlignment="1" applyProtection="1">
      <alignment horizontal="center"/>
    </xf>
    <xf numFmtId="165" fontId="27" fillId="15" borderId="0" xfId="0" applyNumberFormat="1" applyFont="1" applyFill="1" applyAlignment="1" applyProtection="1">
      <alignment horizontal="right"/>
    </xf>
    <xf numFmtId="166" fontId="27" fillId="2" borderId="0" xfId="0" applyNumberFormat="1" applyFont="1" applyFill="1" applyProtection="1"/>
    <xf numFmtId="11" fontId="27" fillId="15" borderId="0" xfId="0" applyNumberFormat="1" applyFont="1" applyFill="1" applyProtection="1"/>
    <xf numFmtId="2" fontId="27" fillId="2" borderId="0" xfId="0" applyNumberFormat="1" applyFont="1" applyFill="1" applyProtection="1"/>
    <xf numFmtId="0" fontId="27" fillId="15" borderId="0" xfId="0" applyFont="1" applyFill="1" applyAlignment="1" applyProtection="1">
      <alignment horizontal="left"/>
    </xf>
    <xf numFmtId="164" fontId="27" fillId="15" borderId="0" xfId="0" applyNumberFormat="1" applyFont="1" applyFill="1" applyBorder="1" applyProtection="1"/>
    <xf numFmtId="0" fontId="28" fillId="16" borderId="17" xfId="0" applyFont="1" applyFill="1" applyBorder="1" applyProtection="1"/>
    <xf numFmtId="0" fontId="28" fillId="15" borderId="18" xfId="0" applyFont="1" applyFill="1" applyBorder="1" applyAlignment="1" applyProtection="1">
      <alignment horizontal="center"/>
    </xf>
    <xf numFmtId="0" fontId="28" fillId="15" borderId="18" xfId="0" applyFont="1" applyFill="1" applyBorder="1" applyAlignment="1" applyProtection="1">
      <alignment horizontal="left"/>
    </xf>
    <xf numFmtId="0" fontId="28" fillId="15" borderId="19" xfId="0" applyFont="1" applyFill="1" applyBorder="1" applyAlignment="1" applyProtection="1">
      <alignment horizontal="left"/>
    </xf>
    <xf numFmtId="0" fontId="27" fillId="15" borderId="1" xfId="0" applyFont="1" applyFill="1" applyBorder="1" applyProtection="1"/>
    <xf numFmtId="0" fontId="27" fillId="15" borderId="0" xfId="0" applyFont="1" applyFill="1" applyBorder="1" applyAlignment="1" applyProtection="1">
      <alignment horizontal="center"/>
    </xf>
    <xf numFmtId="0" fontId="27" fillId="15" borderId="15" xfId="0" applyFont="1" applyFill="1" applyBorder="1" applyProtection="1"/>
    <xf numFmtId="0" fontId="28" fillId="15" borderId="1" xfId="0" applyFont="1" applyFill="1" applyBorder="1" applyProtection="1"/>
    <xf numFmtId="0" fontId="28" fillId="15" borderId="0" xfId="0" applyFont="1" applyFill="1" applyBorder="1" applyAlignment="1" applyProtection="1"/>
    <xf numFmtId="165" fontId="28" fillId="15" borderId="0" xfId="0" applyNumberFormat="1" applyFont="1" applyFill="1" applyBorder="1" applyAlignment="1" applyProtection="1"/>
    <xf numFmtId="0" fontId="28" fillId="15" borderId="15" xfId="0" applyFont="1" applyFill="1" applyBorder="1" applyAlignment="1" applyProtection="1"/>
    <xf numFmtId="172" fontId="27" fillId="15" borderId="0" xfId="0" applyNumberFormat="1" applyFont="1" applyFill="1" applyBorder="1" applyAlignment="1" applyProtection="1">
      <alignment horizontal="center"/>
    </xf>
    <xf numFmtId="172" fontId="27" fillId="15" borderId="0" xfId="0" applyNumberFormat="1" applyFont="1" applyFill="1" applyProtection="1"/>
    <xf numFmtId="0" fontId="27" fillId="17" borderId="0" xfId="0" applyFont="1" applyFill="1" applyProtection="1"/>
    <xf numFmtId="0" fontId="27" fillId="15" borderId="16" xfId="0" applyFont="1" applyFill="1" applyBorder="1" applyProtection="1"/>
    <xf numFmtId="173" fontId="27" fillId="2" borderId="0" xfId="0" applyNumberFormat="1" applyFont="1" applyFill="1" applyProtection="1"/>
    <xf numFmtId="2" fontId="27" fillId="15" borderId="0" xfId="0" applyNumberFormat="1" applyFont="1" applyFill="1" applyProtection="1"/>
    <xf numFmtId="164" fontId="27" fillId="15" borderId="0" xfId="0" applyNumberFormat="1" applyFont="1" applyFill="1" applyAlignment="1" applyProtection="1">
      <alignment horizontal="right"/>
    </xf>
    <xf numFmtId="0" fontId="28" fillId="16" borderId="0" xfId="0" applyFont="1" applyFill="1" applyBorder="1" applyAlignment="1" applyProtection="1">
      <alignment horizontal="center"/>
    </xf>
    <xf numFmtId="172" fontId="27" fillId="15" borderId="72" xfId="0" applyNumberFormat="1" applyFont="1" applyFill="1" applyBorder="1" applyAlignment="1" applyProtection="1">
      <alignment horizontal="center"/>
    </xf>
    <xf numFmtId="9" fontId="30" fillId="18" borderId="0" xfId="3" applyFont="1" applyFill="1" applyAlignment="1" applyProtection="1">
      <alignment horizontal="center"/>
    </xf>
    <xf numFmtId="164" fontId="30" fillId="18" borderId="0" xfId="0" applyNumberFormat="1" applyFont="1" applyFill="1" applyBorder="1" applyAlignment="1" applyProtection="1">
      <alignment horizontal="center"/>
    </xf>
    <xf numFmtId="165" fontId="29" fillId="18" borderId="0" xfId="0" applyNumberFormat="1" applyFont="1" applyFill="1" applyBorder="1" applyAlignment="1" applyProtection="1">
      <alignment horizontal="center"/>
    </xf>
    <xf numFmtId="2" fontId="29" fillId="18" borderId="0" xfId="0" applyNumberFormat="1" applyFont="1" applyFill="1" applyBorder="1" applyAlignment="1" applyProtection="1">
      <alignment horizontal="center"/>
    </xf>
    <xf numFmtId="0" fontId="27" fillId="9" borderId="0" xfId="0" applyFont="1" applyFill="1" applyBorder="1" applyProtection="1"/>
    <xf numFmtId="0" fontId="27" fillId="9" borderId="0" xfId="0" applyFont="1" applyFill="1" applyProtection="1"/>
    <xf numFmtId="0" fontId="27" fillId="9" borderId="54" xfId="0" applyFont="1" applyFill="1" applyBorder="1" applyAlignment="1" applyProtection="1">
      <alignment horizontal="right"/>
    </xf>
    <xf numFmtId="0" fontId="29" fillId="9" borderId="4" xfId="5" applyFont="1" applyFill="1" applyBorder="1" applyProtection="1"/>
    <xf numFmtId="0" fontId="30" fillId="9" borderId="0" xfId="5" applyFont="1" applyFill="1" applyBorder="1" applyProtection="1"/>
    <xf numFmtId="0" fontId="40" fillId="9" borderId="0" xfId="5" applyFont="1" applyFill="1" applyBorder="1" applyProtection="1"/>
    <xf numFmtId="0" fontId="30" fillId="9" borderId="54" xfId="5" applyFont="1" applyFill="1" applyBorder="1" applyProtection="1"/>
    <xf numFmtId="0" fontId="30" fillId="9" borderId="60" xfId="5" applyFont="1" applyFill="1" applyBorder="1" applyProtection="1"/>
    <xf numFmtId="0" fontId="29" fillId="13" borderId="57" xfId="5" applyFont="1" applyFill="1" applyBorder="1" applyProtection="1"/>
    <xf numFmtId="0" fontId="29" fillId="13" borderId="57" xfId="5" applyFont="1" applyFill="1" applyBorder="1" applyAlignment="1" applyProtection="1">
      <alignment horizontal="center" vertical="top" wrapText="1"/>
    </xf>
    <xf numFmtId="0" fontId="28" fillId="14" borderId="57" xfId="0" applyFont="1" applyFill="1" applyBorder="1" applyAlignment="1" applyProtection="1">
      <alignment horizontal="center"/>
    </xf>
    <xf numFmtId="0" fontId="27" fillId="13" borderId="0" xfId="0" applyFont="1" applyFill="1" applyProtection="1"/>
    <xf numFmtId="0" fontId="27" fillId="14" borderId="0" xfId="0" applyFont="1" applyFill="1" applyAlignment="1" applyProtection="1">
      <alignment horizontal="center"/>
    </xf>
    <xf numFmtId="0" fontId="29" fillId="13" borderId="0" xfId="5" applyFont="1" applyFill="1" applyBorder="1" applyProtection="1"/>
    <xf numFmtId="0" fontId="28" fillId="14" borderId="0" xfId="0" applyFont="1" applyFill="1" applyAlignment="1" applyProtection="1">
      <alignment horizontal="center"/>
    </xf>
    <xf numFmtId="165" fontId="30" fillId="13" borderId="0" xfId="5" applyNumberFormat="1" applyFont="1" applyFill="1" applyBorder="1" applyProtection="1"/>
    <xf numFmtId="0" fontId="30" fillId="13" borderId="0" xfId="5" applyFont="1" applyFill="1" applyBorder="1" applyProtection="1"/>
    <xf numFmtId="0" fontId="29" fillId="13" borderId="0" xfId="5" applyFont="1" applyFill="1" applyBorder="1" applyAlignment="1" applyProtection="1"/>
    <xf numFmtId="2" fontId="30" fillId="13" borderId="0" xfId="5" applyNumberFormat="1" applyFont="1" applyFill="1" applyBorder="1" applyProtection="1"/>
    <xf numFmtId="0" fontId="28" fillId="13" borderId="0" xfId="0" applyFont="1" applyFill="1" applyBorder="1" applyProtection="1"/>
    <xf numFmtId="1" fontId="28" fillId="13" borderId="0" xfId="0" applyNumberFormat="1" applyFont="1" applyFill="1" applyBorder="1" applyProtection="1"/>
    <xf numFmtId="172" fontId="27" fillId="13" borderId="0" xfId="0" applyNumberFormat="1" applyFont="1" applyFill="1" applyBorder="1" applyProtection="1"/>
    <xf numFmtId="1" fontId="27" fillId="13" borderId="0" xfId="0" applyNumberFormat="1" applyFont="1" applyFill="1" applyProtection="1"/>
    <xf numFmtId="172" fontId="27" fillId="13" borderId="0" xfId="0" applyNumberFormat="1" applyFont="1" applyFill="1" applyProtection="1"/>
    <xf numFmtId="0" fontId="27" fillId="13" borderId="0" xfId="0" applyFont="1" applyFill="1" applyBorder="1" applyProtection="1"/>
    <xf numFmtId="0" fontId="29" fillId="10" borderId="57" xfId="4" applyFont="1" applyFill="1" applyBorder="1" applyProtection="1"/>
    <xf numFmtId="0" fontId="29" fillId="10" borderId="57" xfId="4" applyFont="1" applyFill="1" applyBorder="1" applyAlignment="1" applyProtection="1">
      <alignment horizontal="center" vertical="top"/>
    </xf>
    <xf numFmtId="0" fontId="28" fillId="12" borderId="57" xfId="0" applyFont="1" applyFill="1" applyBorder="1" applyAlignment="1" applyProtection="1">
      <alignment horizontal="center"/>
    </xf>
    <xf numFmtId="0" fontId="29" fillId="10" borderId="0" xfId="4" applyFont="1" applyFill="1" applyBorder="1" applyProtection="1"/>
    <xf numFmtId="0" fontId="30" fillId="10" borderId="0" xfId="4" applyFont="1" applyFill="1" applyBorder="1" applyProtection="1"/>
    <xf numFmtId="0" fontId="27" fillId="10" borderId="0" xfId="0" applyFont="1" applyFill="1" applyProtection="1"/>
    <xf numFmtId="0" fontId="27" fillId="12" borderId="0" xfId="0" applyFont="1" applyFill="1" applyAlignment="1" applyProtection="1">
      <alignment horizontal="center"/>
    </xf>
    <xf numFmtId="0" fontId="27" fillId="10" borderId="0" xfId="0" applyFont="1" applyFill="1" applyAlignment="1" applyProtection="1">
      <alignment horizontal="right"/>
    </xf>
    <xf numFmtId="0" fontId="28" fillId="12" borderId="0" xfId="0" applyFont="1" applyFill="1" applyAlignment="1" applyProtection="1">
      <alignment horizontal="center"/>
    </xf>
    <xf numFmtId="164" fontId="30" fillId="10" borderId="0" xfId="4" applyNumberFormat="1" applyFont="1" applyFill="1" applyBorder="1" applyProtection="1"/>
    <xf numFmtId="1" fontId="30" fillId="10" borderId="0" xfId="4" applyNumberFormat="1" applyFont="1" applyFill="1" applyBorder="1" applyProtection="1"/>
    <xf numFmtId="0" fontId="27" fillId="12" borderId="0" xfId="0" applyFont="1" applyFill="1" applyBorder="1" applyProtection="1"/>
    <xf numFmtId="0" fontId="30" fillId="12" borderId="0" xfId="4" applyFont="1" applyFill="1" applyBorder="1" applyProtection="1"/>
    <xf numFmtId="0" fontId="27" fillId="12" borderId="0" xfId="0" applyFont="1" applyFill="1" applyBorder="1" applyAlignment="1" applyProtection="1">
      <alignment horizontal="center"/>
    </xf>
    <xf numFmtId="172" fontId="30" fillId="10" borderId="0" xfId="4" applyNumberFormat="1" applyFont="1" applyFill="1" applyBorder="1" applyProtection="1"/>
    <xf numFmtId="0" fontId="27" fillId="10" borderId="0" xfId="0" applyFont="1" applyFill="1" applyBorder="1" applyProtection="1"/>
    <xf numFmtId="165" fontId="27" fillId="10" borderId="0" xfId="0" applyNumberFormat="1" applyFont="1" applyFill="1" applyBorder="1" applyProtection="1"/>
    <xf numFmtId="165" fontId="30" fillId="10" borderId="0" xfId="4" applyNumberFormat="1" applyFont="1" applyFill="1" applyBorder="1" applyProtection="1"/>
    <xf numFmtId="0" fontId="28" fillId="15" borderId="10" xfId="0" applyFont="1" applyFill="1" applyBorder="1" applyProtection="1"/>
    <xf numFmtId="0" fontId="28" fillId="15" borderId="12" xfId="0" applyFont="1" applyFill="1" applyBorder="1" applyProtection="1"/>
    <xf numFmtId="176" fontId="27" fillId="15" borderId="0" xfId="0" applyNumberFormat="1" applyFont="1" applyFill="1" applyProtection="1"/>
    <xf numFmtId="0" fontId="27" fillId="15" borderId="4" xfId="0" applyFont="1" applyFill="1" applyBorder="1" applyProtection="1"/>
    <xf numFmtId="0" fontId="27" fillId="15" borderId="54" xfId="0" applyFont="1" applyFill="1" applyBorder="1" applyProtection="1"/>
    <xf numFmtId="0" fontId="28" fillId="15" borderId="4" xfId="0" applyFont="1" applyFill="1" applyBorder="1" applyProtection="1"/>
    <xf numFmtId="0" fontId="28" fillId="15" borderId="54" xfId="0" applyFont="1" applyFill="1" applyBorder="1" applyProtection="1"/>
    <xf numFmtId="174" fontId="27" fillId="15" borderId="0" xfId="0" applyNumberFormat="1" applyFont="1" applyFill="1" applyBorder="1" applyProtection="1"/>
    <xf numFmtId="0" fontId="27" fillId="15" borderId="59" xfId="0" applyFont="1" applyFill="1" applyBorder="1" applyProtection="1"/>
    <xf numFmtId="0" fontId="27" fillId="15" borderId="60" xfId="0" applyFont="1" applyFill="1" applyBorder="1" applyProtection="1"/>
    <xf numFmtId="174" fontId="27" fillId="15" borderId="0" xfId="0" applyNumberFormat="1" applyFont="1" applyFill="1" applyProtection="1"/>
    <xf numFmtId="0" fontId="28" fillId="16" borderId="0" xfId="0" applyFont="1" applyFill="1" applyAlignment="1" applyProtection="1">
      <alignment horizontal="left"/>
    </xf>
    <xf numFmtId="0" fontId="29" fillId="2" borderId="0" xfId="4" applyFont="1" applyFill="1" applyBorder="1" applyAlignment="1" applyProtection="1">
      <alignment horizontal="center" vertical="top" wrapText="1"/>
    </xf>
    <xf numFmtId="172" fontId="27" fillId="2" borderId="0" xfId="0" applyNumberFormat="1" applyFont="1" applyFill="1" applyProtection="1"/>
    <xf numFmtId="0" fontId="28" fillId="16" borderId="0" xfId="0" applyFont="1" applyFill="1" applyBorder="1" applyProtection="1"/>
    <xf numFmtId="0" fontId="27" fillId="17" borderId="0" xfId="0" applyFont="1" applyFill="1" applyBorder="1" applyProtection="1"/>
    <xf numFmtId="0" fontId="26" fillId="2" borderId="0" xfId="0" applyFont="1" applyFill="1" applyBorder="1" applyProtection="1"/>
    <xf numFmtId="0" fontId="38" fillId="2" borderId="0" xfId="0" applyFont="1" applyFill="1" applyBorder="1" applyProtection="1"/>
    <xf numFmtId="0" fontId="28" fillId="20" borderId="57" xfId="0" applyFont="1" applyFill="1" applyBorder="1" applyProtection="1"/>
    <xf numFmtId="0" fontId="27" fillId="20" borderId="0" xfId="0" applyFont="1" applyFill="1" applyBorder="1" applyProtection="1"/>
    <xf numFmtId="0" fontId="28" fillId="20" borderId="0" xfId="0" applyFont="1" applyFill="1" applyBorder="1" applyProtection="1"/>
    <xf numFmtId="9" fontId="28" fillId="20" borderId="0" xfId="0" applyNumberFormat="1" applyFont="1" applyFill="1" applyBorder="1" applyProtection="1"/>
    <xf numFmtId="165" fontId="28" fillId="20" borderId="0" xfId="0" applyNumberFormat="1" applyFont="1" applyFill="1" applyBorder="1" applyProtection="1"/>
    <xf numFmtId="9" fontId="27" fillId="20" borderId="0" xfId="0" applyNumberFormat="1" applyFont="1" applyFill="1" applyBorder="1" applyProtection="1"/>
    <xf numFmtId="165" fontId="27" fillId="20" borderId="0" xfId="0" applyNumberFormat="1" applyFont="1" applyFill="1" applyBorder="1" applyProtection="1"/>
    <xf numFmtId="0" fontId="27" fillId="20" borderId="0" xfId="0" applyFont="1" applyFill="1" applyBorder="1" applyAlignment="1" applyProtection="1">
      <alignment horizontal="center"/>
    </xf>
    <xf numFmtId="0" fontId="27" fillId="2" borderId="0" xfId="0" applyFont="1" applyFill="1" applyBorder="1" applyAlignment="1" applyProtection="1">
      <alignment vertical="top" wrapText="1"/>
    </xf>
    <xf numFmtId="0" fontId="26" fillId="2" borderId="0" xfId="0" applyFont="1" applyFill="1" applyProtection="1"/>
    <xf numFmtId="0" fontId="28" fillId="21" borderId="57" xfId="0" applyFont="1" applyFill="1" applyBorder="1" applyProtection="1"/>
    <xf numFmtId="0" fontId="27" fillId="21" borderId="57" xfId="0" applyFont="1" applyFill="1" applyBorder="1" applyProtection="1"/>
    <xf numFmtId="0" fontId="27" fillId="21" borderId="0" xfId="0" applyFont="1" applyFill="1" applyProtection="1"/>
    <xf numFmtId="0" fontId="27" fillId="21" borderId="0" xfId="0" applyFont="1" applyFill="1" applyBorder="1" applyProtection="1"/>
    <xf numFmtId="0" fontId="28" fillId="21" borderId="0" xfId="0" applyFont="1" applyFill="1" applyProtection="1"/>
    <xf numFmtId="2" fontId="27" fillId="21" borderId="0" xfId="0" applyNumberFormat="1" applyFont="1" applyFill="1" applyProtection="1"/>
    <xf numFmtId="0" fontId="27" fillId="21" borderId="10" xfId="0" applyFont="1" applyFill="1" applyBorder="1" applyProtection="1"/>
    <xf numFmtId="0" fontId="27" fillId="21" borderId="12" xfId="0" applyFont="1" applyFill="1" applyBorder="1" applyProtection="1"/>
    <xf numFmtId="0" fontId="27" fillId="21" borderId="4" xfId="0" applyFont="1" applyFill="1" applyBorder="1" applyProtection="1"/>
    <xf numFmtId="0" fontId="27" fillId="21" borderId="0" xfId="0" applyFont="1" applyFill="1" applyBorder="1" applyAlignment="1" applyProtection="1">
      <alignment horizontal="right"/>
    </xf>
    <xf numFmtId="0" fontId="27" fillId="21" borderId="54" xfId="0" applyFont="1" applyFill="1" applyBorder="1" applyAlignment="1" applyProtection="1">
      <alignment horizontal="right"/>
    </xf>
    <xf numFmtId="0" fontId="27" fillId="21" borderId="59" xfId="0" applyFont="1" applyFill="1" applyBorder="1" applyProtection="1"/>
    <xf numFmtId="0" fontId="27" fillId="21" borderId="60" xfId="0" applyFont="1" applyFill="1" applyBorder="1" applyAlignment="1" applyProtection="1">
      <alignment horizontal="right"/>
    </xf>
    <xf numFmtId="172" fontId="27" fillId="21" borderId="0" xfId="0" applyNumberFormat="1" applyFont="1" applyFill="1" applyProtection="1"/>
    <xf numFmtId="172" fontId="28" fillId="21" borderId="0" xfId="0" applyNumberFormat="1" applyFont="1" applyFill="1" applyProtection="1"/>
    <xf numFmtId="172" fontId="27" fillId="21" borderId="0" xfId="0" applyNumberFormat="1" applyFont="1" applyFill="1" applyBorder="1" applyProtection="1"/>
    <xf numFmtId="0" fontId="28" fillId="21" borderId="0" xfId="0" applyFont="1" applyFill="1" applyBorder="1" applyAlignment="1" applyProtection="1">
      <alignment vertical="top" wrapText="1"/>
    </xf>
    <xf numFmtId="0" fontId="28" fillId="21" borderId="10" xfId="0" applyFont="1" applyFill="1" applyBorder="1" applyProtection="1"/>
    <xf numFmtId="0" fontId="28" fillId="21" borderId="59" xfId="0" applyFont="1" applyFill="1" applyBorder="1" applyProtection="1"/>
    <xf numFmtId="0" fontId="28" fillId="21" borderId="60" xfId="0" applyFont="1" applyFill="1" applyBorder="1" applyProtection="1"/>
    <xf numFmtId="0" fontId="27" fillId="21" borderId="4" xfId="0" applyFont="1" applyFill="1" applyBorder="1" applyAlignment="1" applyProtection="1">
      <alignment horizontal="left" vertical="top" wrapText="1"/>
    </xf>
    <xf numFmtId="0" fontId="27" fillId="21" borderId="0" xfId="0" applyFont="1" applyFill="1" applyBorder="1" applyAlignment="1" applyProtection="1">
      <alignment horizontal="right" vertical="top" wrapText="1"/>
    </xf>
    <xf numFmtId="0" fontId="27" fillId="21" borderId="54" xfId="0" applyFont="1" applyFill="1" applyBorder="1" applyAlignment="1" applyProtection="1">
      <alignment horizontal="right" vertical="top" wrapText="1"/>
    </xf>
    <xf numFmtId="0" fontId="27" fillId="21" borderId="0" xfId="0" applyFont="1" applyFill="1" applyBorder="1" applyAlignment="1" applyProtection="1">
      <alignment vertical="top" wrapText="1"/>
    </xf>
    <xf numFmtId="0" fontId="27" fillId="21" borderId="54" xfId="0" applyFont="1" applyFill="1" applyBorder="1" applyAlignment="1" applyProtection="1">
      <alignment vertical="top" wrapText="1"/>
    </xf>
    <xf numFmtId="0" fontId="30" fillId="21" borderId="60" xfId="0" applyFont="1" applyFill="1" applyBorder="1" applyProtection="1"/>
    <xf numFmtId="0" fontId="28" fillId="20" borderId="0" xfId="0" applyFont="1" applyFill="1" applyBorder="1" applyAlignment="1" applyProtection="1">
      <alignment horizontal="right"/>
    </xf>
    <xf numFmtId="0" fontId="22" fillId="0" borderId="0" xfId="0" applyFont="1"/>
    <xf numFmtId="0" fontId="27" fillId="22" borderId="0" xfId="0" applyFont="1" applyFill="1" applyBorder="1" applyAlignment="1" applyProtection="1">
      <alignment vertical="center"/>
    </xf>
    <xf numFmtId="0" fontId="27" fillId="9" borderId="0" xfId="0" applyFont="1" applyFill="1" applyBorder="1" applyAlignment="1" applyProtection="1">
      <alignment vertical="center"/>
    </xf>
    <xf numFmtId="0" fontId="27" fillId="22" borderId="0" xfId="0" applyFont="1" applyFill="1" applyBorder="1" applyAlignment="1" applyProtection="1">
      <alignment horizontal="center" vertical="center"/>
    </xf>
    <xf numFmtId="0" fontId="27" fillId="9" borderId="0" xfId="0" applyFont="1" applyFill="1" applyBorder="1" applyAlignment="1" applyProtection="1">
      <alignment horizontal="center" vertical="center"/>
    </xf>
    <xf numFmtId="0" fontId="28" fillId="9" borderId="4" xfId="0" applyFont="1" applyFill="1" applyBorder="1" applyAlignment="1" applyProtection="1">
      <alignment horizontal="left" vertical="top"/>
    </xf>
    <xf numFmtId="165" fontId="27" fillId="9" borderId="0" xfId="0" applyNumberFormat="1" applyFont="1" applyFill="1" applyBorder="1" applyAlignment="1" applyProtection="1">
      <alignment horizontal="center" vertical="center"/>
    </xf>
    <xf numFmtId="0" fontId="30" fillId="18" borderId="0" xfId="0" applyFont="1" applyFill="1" applyBorder="1" applyAlignment="1" applyProtection="1">
      <alignment horizontal="center"/>
    </xf>
    <xf numFmtId="0" fontId="1" fillId="9" borderId="0" xfId="0" applyFont="1" applyFill="1" applyBorder="1" applyProtection="1"/>
    <xf numFmtId="0" fontId="22" fillId="9" borderId="54" xfId="5" applyFont="1" applyFill="1" applyBorder="1" applyAlignment="1" applyProtection="1">
      <alignment horizontal="right"/>
    </xf>
    <xf numFmtId="0" fontId="27" fillId="20" borderId="0" xfId="0" applyFont="1" applyFill="1" applyBorder="1" applyAlignment="1" applyProtection="1">
      <alignment horizontal="right"/>
    </xf>
    <xf numFmtId="0" fontId="28" fillId="9" borderId="4" xfId="0" applyFont="1" applyFill="1" applyBorder="1" applyAlignment="1" applyProtection="1">
      <alignment horizontal="left" vertical="center"/>
    </xf>
    <xf numFmtId="0" fontId="27" fillId="9" borderId="0" xfId="0" applyFont="1" applyFill="1" applyBorder="1" applyAlignment="1" applyProtection="1">
      <alignment horizontal="center"/>
    </xf>
    <xf numFmtId="0" fontId="27" fillId="9" borderId="4" xfId="0" applyFont="1" applyFill="1" applyBorder="1" applyProtection="1"/>
    <xf numFmtId="0" fontId="28" fillId="9" borderId="4" xfId="0" applyFont="1" applyFill="1" applyBorder="1" applyProtection="1"/>
    <xf numFmtId="0" fontId="30" fillId="9" borderId="4" xfId="5" applyFont="1" applyFill="1" applyBorder="1" applyProtection="1"/>
    <xf numFmtId="0" fontId="27" fillId="9" borderId="54" xfId="0" applyFont="1" applyFill="1" applyBorder="1" applyAlignment="1" applyProtection="1">
      <alignment horizontal="center"/>
    </xf>
    <xf numFmtId="0" fontId="52" fillId="9" borderId="4" xfId="0" applyNumberFormat="1" applyFont="1" applyFill="1" applyBorder="1" applyAlignment="1" applyProtection="1">
      <alignment horizontal="left" vertical="top"/>
    </xf>
    <xf numFmtId="0" fontId="27" fillId="9" borderId="0" xfId="0" applyFont="1" applyFill="1" applyBorder="1" applyAlignment="1" applyProtection="1"/>
    <xf numFmtId="0" fontId="28" fillId="9" borderId="0" xfId="0" applyFont="1" applyFill="1" applyBorder="1" applyAlignment="1" applyProtection="1">
      <alignment horizontal="center"/>
    </xf>
    <xf numFmtId="0" fontId="30" fillId="24" borderId="0" xfId="0" applyFont="1" applyFill="1" applyProtection="1"/>
    <xf numFmtId="0" fontId="27" fillId="9" borderId="60" xfId="0" applyFont="1" applyFill="1" applyBorder="1" applyAlignment="1" applyProtection="1">
      <alignment horizontal="right"/>
    </xf>
    <xf numFmtId="175" fontId="27" fillId="15" borderId="0" xfId="0" applyNumberFormat="1" applyFont="1" applyFill="1" applyBorder="1" applyProtection="1"/>
    <xf numFmtId="11" fontId="27" fillId="15" borderId="0" xfId="0" applyNumberFormat="1" applyFont="1" applyFill="1" applyBorder="1" applyProtection="1"/>
    <xf numFmtId="0" fontId="28" fillId="9" borderId="54" xfId="0" applyFont="1" applyFill="1" applyBorder="1" applyAlignment="1" applyProtection="1">
      <alignment horizontal="center"/>
    </xf>
    <xf numFmtId="0" fontId="22" fillId="2" borderId="0" xfId="0" applyFont="1" applyFill="1" applyProtection="1"/>
    <xf numFmtId="165" fontId="27" fillId="9" borderId="0" xfId="0" applyNumberFormat="1" applyFont="1" applyFill="1" applyBorder="1" applyAlignment="1" applyProtection="1">
      <alignment horizontal="center"/>
    </xf>
    <xf numFmtId="165" fontId="27" fillId="9" borderId="54" xfId="0" applyNumberFormat="1" applyFont="1" applyFill="1" applyBorder="1" applyAlignment="1" applyProtection="1">
      <alignment horizontal="center"/>
    </xf>
    <xf numFmtId="175" fontId="27" fillId="15" borderId="0" xfId="0" applyNumberFormat="1" applyFont="1" applyFill="1" applyBorder="1" applyAlignment="1" applyProtection="1"/>
    <xf numFmtId="173" fontId="27" fillId="15" borderId="0" xfId="0" applyNumberFormat="1" applyFont="1" applyFill="1" applyBorder="1" applyAlignment="1" applyProtection="1"/>
    <xf numFmtId="174" fontId="30" fillId="13" borderId="0" xfId="5" applyNumberFormat="1" applyFont="1" applyFill="1" applyBorder="1" applyProtection="1"/>
    <xf numFmtId="173" fontId="27" fillId="15" borderId="15" xfId="0" applyNumberFormat="1" applyFont="1" applyFill="1" applyBorder="1" applyAlignment="1" applyProtection="1"/>
    <xf numFmtId="173" fontId="27" fillId="15" borderId="15" xfId="0" applyNumberFormat="1" applyFont="1" applyFill="1" applyBorder="1" applyProtection="1"/>
    <xf numFmtId="173" fontId="27" fillId="15" borderId="0" xfId="0" applyNumberFormat="1" applyFont="1" applyFill="1" applyBorder="1" applyAlignment="1" applyProtection="1">
      <alignment horizontal="center"/>
    </xf>
    <xf numFmtId="173" fontId="27" fillId="15" borderId="15" xfId="0" applyNumberFormat="1" applyFont="1" applyFill="1" applyBorder="1" applyAlignment="1" applyProtection="1">
      <alignment horizontal="center"/>
    </xf>
    <xf numFmtId="173" fontId="27" fillId="15" borderId="72" xfId="0" applyNumberFormat="1" applyFont="1" applyFill="1" applyBorder="1" applyProtection="1"/>
    <xf numFmtId="173" fontId="27" fillId="15" borderId="71" xfId="0" applyNumberFormat="1" applyFont="1" applyFill="1" applyBorder="1" applyProtection="1"/>
    <xf numFmtId="175" fontId="27" fillId="15" borderId="0" xfId="0" applyNumberFormat="1" applyFont="1" applyFill="1" applyAlignment="1" applyProtection="1"/>
    <xf numFmtId="9" fontId="30" fillId="18" borderId="0" xfId="3" applyFont="1" applyFill="1" applyBorder="1" applyAlignment="1" applyProtection="1">
      <alignment horizontal="center"/>
    </xf>
    <xf numFmtId="0" fontId="27" fillId="9" borderId="4" xfId="0" applyFont="1" applyFill="1" applyBorder="1" applyAlignment="1" applyProtection="1">
      <alignment horizontal="left"/>
    </xf>
    <xf numFmtId="0" fontId="30" fillId="9" borderId="59" xfId="5" applyFont="1" applyFill="1" applyBorder="1" applyProtection="1"/>
    <xf numFmtId="1" fontId="27" fillId="9" borderId="0" xfId="0" applyNumberFormat="1" applyFont="1" applyFill="1" applyBorder="1" applyAlignment="1" applyProtection="1">
      <alignment horizontal="center" vertical="center"/>
    </xf>
    <xf numFmtId="0" fontId="30" fillId="18" borderId="0" xfId="0" applyFont="1" applyFill="1" applyBorder="1" applyAlignment="1" applyProtection="1"/>
    <xf numFmtId="0" fontId="28" fillId="9" borderId="4" xfId="0" applyFont="1" applyFill="1" applyBorder="1" applyAlignment="1" applyProtection="1">
      <alignment vertical="center"/>
    </xf>
    <xf numFmtId="0" fontId="28" fillId="9" borderId="59" xfId="0" applyFont="1" applyFill="1" applyBorder="1" applyAlignment="1" applyProtection="1">
      <alignment vertical="center"/>
    </xf>
    <xf numFmtId="0" fontId="52" fillId="9" borderId="4" xfId="0" applyFont="1" applyFill="1" applyBorder="1" applyAlignment="1" applyProtection="1">
      <alignment vertical="top" wrapText="1"/>
    </xf>
    <xf numFmtId="0" fontId="28" fillId="9" borderId="0" xfId="0" applyFont="1" applyFill="1" applyBorder="1" applyProtection="1"/>
    <xf numFmtId="0" fontId="28" fillId="9" borderId="0" xfId="0" applyFont="1" applyFill="1" applyBorder="1" applyAlignment="1" applyProtection="1">
      <alignment vertical="center"/>
    </xf>
    <xf numFmtId="0" fontId="26" fillId="9" borderId="4" xfId="0" applyFont="1" applyFill="1" applyBorder="1" applyProtection="1"/>
    <xf numFmtId="0" fontId="27" fillId="9" borderId="54" xfId="0" applyFont="1" applyFill="1" applyBorder="1" applyProtection="1"/>
    <xf numFmtId="0" fontId="0" fillId="9" borderId="0" xfId="0" applyFill="1" applyBorder="1" applyProtection="1"/>
    <xf numFmtId="0" fontId="0" fillId="9" borderId="54" xfId="0" applyFill="1" applyBorder="1" applyProtection="1"/>
    <xf numFmtId="0" fontId="0" fillId="9" borderId="4" xfId="0" applyFill="1" applyBorder="1" applyProtection="1"/>
    <xf numFmtId="0" fontId="0" fillId="9" borderId="54" xfId="0" applyFill="1" applyBorder="1" applyAlignment="1" applyProtection="1"/>
    <xf numFmtId="0" fontId="26" fillId="9" borderId="59" xfId="0" applyFont="1" applyFill="1" applyBorder="1" applyProtection="1"/>
    <xf numFmtId="0" fontId="27" fillId="9" borderId="60" xfId="0" applyFont="1" applyFill="1" applyBorder="1" applyProtection="1"/>
    <xf numFmtId="0" fontId="0" fillId="9" borderId="0" xfId="0" applyFill="1" applyProtection="1"/>
    <xf numFmtId="0" fontId="30" fillId="9" borderId="54" xfId="0" applyFont="1" applyFill="1" applyBorder="1" applyProtection="1"/>
    <xf numFmtId="0" fontId="30" fillId="9" borderId="4" xfId="0" applyFont="1" applyFill="1" applyBorder="1" applyProtection="1"/>
    <xf numFmtId="0" fontId="27" fillId="9" borderId="59" xfId="0" applyFont="1" applyFill="1" applyBorder="1" applyProtection="1"/>
    <xf numFmtId="0" fontId="30" fillId="9" borderId="0" xfId="5" applyFont="1" applyFill="1" applyBorder="1" applyAlignment="1" applyProtection="1">
      <alignment horizontal="center"/>
    </xf>
    <xf numFmtId="0" fontId="53" fillId="9" borderId="0" xfId="0" applyFont="1" applyFill="1" applyBorder="1" applyAlignment="1" applyProtection="1">
      <alignment horizontal="center"/>
    </xf>
    <xf numFmtId="0" fontId="22" fillId="9" borderId="0" xfId="0" applyFont="1" applyFill="1" applyBorder="1" applyProtection="1"/>
    <xf numFmtId="0" fontId="22" fillId="9" borderId="54" xfId="0" applyFont="1" applyFill="1" applyBorder="1" applyProtection="1"/>
    <xf numFmtId="2" fontId="30" fillId="9" borderId="54" xfId="0" applyNumberFormat="1" applyFont="1" applyFill="1" applyBorder="1" applyAlignment="1" applyProtection="1">
      <alignment horizontal="center"/>
    </xf>
    <xf numFmtId="0" fontId="22" fillId="9" borderId="59" xfId="0" applyFont="1" applyFill="1" applyBorder="1" applyProtection="1"/>
    <xf numFmtId="0" fontId="22" fillId="9" borderId="60" xfId="0" applyFont="1" applyFill="1" applyBorder="1" applyProtection="1"/>
    <xf numFmtId="0" fontId="29" fillId="2" borderId="0" xfId="0" applyFont="1" applyFill="1" applyProtection="1"/>
    <xf numFmtId="0" fontId="29" fillId="18" borderId="0" xfId="0" applyFont="1" applyFill="1" applyProtection="1"/>
    <xf numFmtId="0" fontId="0" fillId="18" borderId="0" xfId="0" applyFill="1" applyProtection="1"/>
    <xf numFmtId="0" fontId="10" fillId="2" borderId="0" xfId="0" applyFont="1" applyFill="1"/>
    <xf numFmtId="0" fontId="62" fillId="9" borderId="4" xfId="0" applyFont="1" applyFill="1" applyBorder="1" applyAlignment="1" applyProtection="1">
      <alignment horizontal="center" vertical="center" wrapText="1"/>
    </xf>
    <xf numFmtId="0" fontId="62" fillId="9" borderId="0" xfId="0" applyFont="1" applyFill="1" applyBorder="1" applyAlignment="1" applyProtection="1">
      <alignment horizontal="center" vertical="center" wrapText="1"/>
    </xf>
    <xf numFmtId="0" fontId="62" fillId="9" borderId="54" xfId="0" applyFont="1" applyFill="1" applyBorder="1" applyAlignment="1" applyProtection="1">
      <alignment horizontal="center" vertical="center" wrapText="1"/>
    </xf>
    <xf numFmtId="0" fontId="28" fillId="9" borderId="4" xfId="0" applyFont="1" applyFill="1" applyBorder="1" applyAlignment="1" applyProtection="1">
      <alignment vertical="top"/>
    </xf>
    <xf numFmtId="0" fontId="27" fillId="9" borderId="4" xfId="0" applyFont="1" applyFill="1" applyBorder="1" applyAlignment="1" applyProtection="1">
      <alignment vertical="top"/>
    </xf>
    <xf numFmtId="9" fontId="22" fillId="0" borderId="0" xfId="0" applyNumberFormat="1" applyFont="1"/>
    <xf numFmtId="0" fontId="50" fillId="23" borderId="4" xfId="7" applyFont="1" applyFill="1" applyBorder="1" applyProtection="1"/>
    <xf numFmtId="0" fontId="49" fillId="23" borderId="0" xfId="7" applyFont="1" applyFill="1" applyBorder="1" applyAlignment="1" applyProtection="1">
      <alignment horizontal="center" wrapText="1"/>
    </xf>
    <xf numFmtId="0" fontId="49" fillId="23" borderId="0" xfId="7" applyFont="1" applyFill="1" applyBorder="1" applyProtection="1"/>
    <xf numFmtId="0" fontId="49" fillId="22" borderId="0" xfId="7" applyFont="1" applyFill="1" applyBorder="1" applyProtection="1"/>
    <xf numFmtId="0" fontId="49" fillId="23" borderId="54" xfId="7" applyFont="1" applyFill="1" applyBorder="1" applyAlignment="1" applyProtection="1">
      <alignment horizontal="center" wrapText="1"/>
    </xf>
    <xf numFmtId="0" fontId="30" fillId="9" borderId="0" xfId="0" applyFont="1" applyFill="1" applyProtection="1"/>
    <xf numFmtId="165" fontId="27" fillId="2" borderId="0" xfId="0" applyNumberFormat="1" applyFont="1" applyFill="1" applyBorder="1" applyAlignment="1" applyProtection="1">
      <alignment horizontal="center" vertical="center"/>
    </xf>
    <xf numFmtId="0" fontId="64" fillId="2" borderId="0" xfId="0" applyFont="1" applyFill="1" applyProtection="1"/>
    <xf numFmtId="0" fontId="43" fillId="2" borderId="0" xfId="0" applyFont="1" applyFill="1" applyAlignment="1" applyProtection="1">
      <alignment vertical="center"/>
    </xf>
    <xf numFmtId="165" fontId="27" fillId="9" borderId="54" xfId="0" applyNumberFormat="1" applyFont="1" applyFill="1" applyBorder="1" applyAlignment="1" applyProtection="1">
      <alignment horizontal="center" vertical="center"/>
    </xf>
    <xf numFmtId="165" fontId="27" fillId="9" borderId="0" xfId="0" applyNumberFormat="1" applyFont="1" applyFill="1" applyBorder="1" applyAlignment="1" applyProtection="1">
      <alignment vertical="center"/>
    </xf>
    <xf numFmtId="0" fontId="30" fillId="2" borderId="0" xfId="5" applyFont="1" applyFill="1" applyBorder="1" applyAlignment="1" applyProtection="1">
      <alignment horizontal="center"/>
    </xf>
    <xf numFmtId="0" fontId="30" fillId="2" borderId="0" xfId="0" applyFont="1" applyFill="1" applyAlignment="1" applyProtection="1">
      <alignment horizontal="center"/>
    </xf>
    <xf numFmtId="0" fontId="30" fillId="9" borderId="0" xfId="0" applyFont="1" applyFill="1" applyBorder="1" applyProtection="1"/>
    <xf numFmtId="2" fontId="0" fillId="2" borderId="0" xfId="0" applyNumberFormat="1" applyFill="1" applyProtection="1"/>
    <xf numFmtId="11" fontId="0" fillId="2" borderId="0" xfId="0" applyNumberFormat="1" applyFill="1" applyProtection="1"/>
    <xf numFmtId="0" fontId="30" fillId="2" borderId="0" xfId="0" applyFont="1" applyFill="1" applyProtection="1"/>
    <xf numFmtId="165" fontId="30" fillId="2" borderId="0" xfId="0" applyNumberFormat="1" applyFont="1" applyFill="1" applyAlignment="1" applyProtection="1">
      <alignment horizontal="center"/>
    </xf>
    <xf numFmtId="165" fontId="0" fillId="2" borderId="0" xfId="0" applyNumberFormat="1" applyFill="1" applyProtection="1"/>
    <xf numFmtId="0" fontId="55" fillId="2" borderId="0" xfId="0" applyFont="1" applyFill="1" applyProtection="1"/>
    <xf numFmtId="170" fontId="22" fillId="2" borderId="0" xfId="0" applyNumberFormat="1" applyFont="1" applyFill="1" applyProtection="1"/>
    <xf numFmtId="0" fontId="30" fillId="2" borderId="0" xfId="0" applyFont="1" applyFill="1" applyAlignment="1" applyProtection="1">
      <alignment vertical="center"/>
    </xf>
    <xf numFmtId="0" fontId="27" fillId="2" borderId="0" xfId="0" applyNumberFormat="1" applyFont="1" applyFill="1" applyBorder="1" applyAlignment="1" applyProtection="1">
      <alignment vertical="center"/>
    </xf>
    <xf numFmtId="9" fontId="30" fillId="2" borderId="0" xfId="0" applyNumberFormat="1" applyFont="1" applyFill="1" applyProtection="1"/>
    <xf numFmtId="3" fontId="30" fillId="2" borderId="0" xfId="0" applyNumberFormat="1" applyFont="1" applyFill="1" applyProtection="1"/>
    <xf numFmtId="0" fontId="30" fillId="2" borderId="0" xfId="0" applyFont="1" applyFill="1" applyAlignment="1" applyProtection="1">
      <alignment horizontal="left"/>
    </xf>
    <xf numFmtId="1" fontId="22" fillId="2" borderId="0" xfId="0" applyNumberFormat="1" applyFont="1" applyFill="1" applyProtection="1"/>
    <xf numFmtId="165" fontId="30" fillId="2" borderId="0" xfId="0" applyNumberFormat="1" applyFont="1" applyFill="1" applyProtection="1"/>
    <xf numFmtId="0" fontId="27" fillId="2" borderId="0" xfId="0" applyNumberFormat="1" applyFont="1" applyFill="1" applyBorder="1" applyAlignment="1" applyProtection="1"/>
    <xf numFmtId="0" fontId="30" fillId="2" borderId="0" xfId="0" applyFont="1" applyFill="1" applyAlignment="1" applyProtection="1">
      <alignment horizontal="right" vertical="center"/>
    </xf>
    <xf numFmtId="2" fontId="22" fillId="2" borderId="0" xfId="0" applyNumberFormat="1" applyFont="1" applyFill="1" applyProtection="1"/>
    <xf numFmtId="0" fontId="39" fillId="2" borderId="0" xfId="0" applyFont="1" applyFill="1" applyProtection="1"/>
    <xf numFmtId="2" fontId="30" fillId="2" borderId="0" xfId="0" applyNumberFormat="1" applyFont="1" applyFill="1" applyProtection="1"/>
    <xf numFmtId="2" fontId="30" fillId="2" borderId="0" xfId="0" applyNumberFormat="1" applyFont="1" applyFill="1" applyAlignment="1" applyProtection="1">
      <alignment horizontal="center"/>
    </xf>
    <xf numFmtId="0" fontId="16" fillId="2" borderId="0" xfId="0" applyFont="1" applyFill="1" applyProtection="1"/>
    <xf numFmtId="0" fontId="27" fillId="4" borderId="1" xfId="0" applyNumberFormat="1" applyFont="1" applyFill="1" applyBorder="1" applyAlignment="1" applyProtection="1">
      <alignment vertical="center"/>
    </xf>
    <xf numFmtId="0" fontId="27" fillId="4" borderId="1" xfId="0" applyNumberFormat="1" applyFont="1" applyFill="1" applyBorder="1" applyAlignment="1" applyProtection="1"/>
    <xf numFmtId="0" fontId="27" fillId="4" borderId="16" xfId="0" applyNumberFormat="1" applyFont="1" applyFill="1" applyBorder="1" applyAlignment="1" applyProtection="1">
      <alignment vertical="center"/>
    </xf>
    <xf numFmtId="165" fontId="30" fillId="24" borderId="0" xfId="0" applyNumberFormat="1" applyFont="1" applyFill="1" applyProtection="1"/>
    <xf numFmtId="0" fontId="50" fillId="23" borderId="0" xfId="7" applyFont="1" applyFill="1" applyBorder="1" applyAlignment="1" applyProtection="1">
      <alignment horizontal="center" wrapText="1"/>
    </xf>
    <xf numFmtId="3" fontId="30" fillId="18" borderId="0" xfId="0" applyNumberFormat="1" applyFont="1" applyFill="1" applyBorder="1" applyAlignment="1" applyProtection="1">
      <alignment horizontal="center"/>
    </xf>
    <xf numFmtId="3" fontId="30" fillId="19" borderId="0" xfId="0" applyNumberFormat="1" applyFont="1" applyFill="1" applyAlignment="1" applyProtection="1">
      <alignment horizontal="center"/>
    </xf>
    <xf numFmtId="3" fontId="30" fillId="18" borderId="0" xfId="6" applyNumberFormat="1" applyFont="1" applyFill="1" applyBorder="1" applyAlignment="1" applyProtection="1">
      <alignment horizontal="center"/>
    </xf>
    <xf numFmtId="3" fontId="29" fillId="18" borderId="0" xfId="0" applyNumberFormat="1" applyFont="1" applyFill="1" applyBorder="1" applyAlignment="1" applyProtection="1">
      <alignment horizontal="center"/>
    </xf>
    <xf numFmtId="9" fontId="30" fillId="18" borderId="0" xfId="3" applyNumberFormat="1" applyFont="1" applyFill="1" applyAlignment="1" applyProtection="1">
      <alignment horizontal="center"/>
    </xf>
    <xf numFmtId="9" fontId="30" fillId="18" borderId="0" xfId="3" applyNumberFormat="1" applyFont="1" applyFill="1" applyBorder="1" applyAlignment="1" applyProtection="1">
      <alignment horizontal="center"/>
    </xf>
    <xf numFmtId="0" fontId="27" fillId="9" borderId="0" xfId="0" applyFont="1" applyFill="1" applyBorder="1" applyAlignment="1" applyProtection="1">
      <alignment horizontal="left"/>
    </xf>
    <xf numFmtId="0" fontId="27" fillId="9" borderId="54" xfId="0" applyFont="1" applyFill="1" applyBorder="1" applyAlignment="1" applyProtection="1">
      <alignment horizontal="left"/>
    </xf>
    <xf numFmtId="0" fontId="27" fillId="9" borderId="54" xfId="0" applyFont="1" applyFill="1" applyBorder="1" applyAlignment="1" applyProtection="1"/>
    <xf numFmtId="165" fontId="27" fillId="9" borderId="0" xfId="0" applyNumberFormat="1" applyFont="1" applyFill="1" applyBorder="1" applyAlignment="1" applyProtection="1">
      <alignment horizontal="left" vertical="center"/>
    </xf>
    <xf numFmtId="170" fontId="0" fillId="2" borderId="0" xfId="0" applyNumberFormat="1" applyFill="1" applyProtection="1"/>
    <xf numFmtId="0" fontId="29" fillId="9" borderId="0" xfId="0" applyFont="1" applyFill="1" applyBorder="1" applyAlignment="1" applyProtection="1">
      <alignment horizontal="right"/>
    </xf>
    <xf numFmtId="9" fontId="29" fillId="18" borderId="0" xfId="3" applyFont="1" applyFill="1" applyAlignment="1" applyProtection="1">
      <alignment horizontal="left"/>
    </xf>
    <xf numFmtId="9" fontId="29" fillId="18" borderId="0" xfId="3" applyFont="1" applyFill="1" applyBorder="1" applyAlignment="1" applyProtection="1">
      <alignment horizontal="left"/>
    </xf>
    <xf numFmtId="0" fontId="0" fillId="18" borderId="81" xfId="0" applyFill="1" applyBorder="1" applyAlignment="1" applyProtection="1">
      <alignment horizontal="center"/>
    </xf>
    <xf numFmtId="0" fontId="28" fillId="13" borderId="81" xfId="0" applyFont="1" applyFill="1" applyBorder="1" applyProtection="1"/>
    <xf numFmtId="164" fontId="27" fillId="13" borderId="81" xfId="0" applyNumberFormat="1" applyFont="1" applyFill="1" applyBorder="1" applyProtection="1"/>
    <xf numFmtId="172" fontId="27" fillId="13" borderId="81" xfId="0" applyNumberFormat="1" applyFont="1" applyFill="1" applyBorder="1" applyProtection="1"/>
    <xf numFmtId="0" fontId="27" fillId="13" borderId="81" xfId="0" applyFont="1" applyFill="1" applyBorder="1" applyProtection="1"/>
    <xf numFmtId="0" fontId="27" fillId="14" borderId="81" xfId="0" applyFont="1" applyFill="1" applyBorder="1" applyAlignment="1" applyProtection="1">
      <alignment horizontal="center"/>
    </xf>
    <xf numFmtId="0" fontId="29" fillId="10" borderId="81" xfId="4" applyFont="1" applyFill="1" applyBorder="1" applyProtection="1"/>
    <xf numFmtId="0" fontId="30" fillId="10" borderId="81" xfId="4" applyFont="1" applyFill="1" applyBorder="1" applyProtection="1"/>
    <xf numFmtId="0" fontId="27" fillId="10" borderId="81" xfId="0" applyFont="1" applyFill="1" applyBorder="1" applyProtection="1"/>
    <xf numFmtId="0" fontId="27" fillId="12" borderId="81" xfId="0" applyFont="1" applyFill="1" applyBorder="1" applyAlignment="1" applyProtection="1">
      <alignment horizontal="center"/>
    </xf>
    <xf numFmtId="165" fontId="27" fillId="10" borderId="81" xfId="0" applyNumberFormat="1" applyFont="1" applyFill="1" applyBorder="1" applyProtection="1"/>
    <xf numFmtId="164" fontId="27" fillId="10" borderId="81" xfId="0" applyNumberFormat="1" applyFont="1" applyFill="1" applyBorder="1" applyProtection="1"/>
    <xf numFmtId="0" fontId="28" fillId="4" borderId="81" xfId="0" applyFont="1" applyFill="1" applyBorder="1" applyProtection="1"/>
    <xf numFmtId="2" fontId="27" fillId="4" borderId="81" xfId="0" applyNumberFormat="1" applyFont="1" applyFill="1" applyBorder="1" applyProtection="1"/>
    <xf numFmtId="0" fontId="27" fillId="4" borderId="81" xfId="0" applyFont="1" applyFill="1" applyBorder="1" applyProtection="1"/>
    <xf numFmtId="0" fontId="28" fillId="11" borderId="81" xfId="0" applyFont="1" applyFill="1" applyBorder="1" applyAlignment="1" applyProtection="1">
      <alignment horizontal="center"/>
    </xf>
    <xf numFmtId="0" fontId="28" fillId="15" borderId="81" xfId="0" applyFont="1" applyFill="1" applyBorder="1" applyProtection="1"/>
    <xf numFmtId="165" fontId="27" fillId="15" borderId="81" xfId="0" applyNumberFormat="1" applyFont="1" applyFill="1" applyBorder="1" applyProtection="1"/>
    <xf numFmtId="0" fontId="27" fillId="15" borderId="81" xfId="0" applyFont="1" applyFill="1" applyBorder="1" applyProtection="1"/>
    <xf numFmtId="0" fontId="28" fillId="16" borderId="81" xfId="0" applyFont="1" applyFill="1" applyBorder="1" applyAlignment="1" applyProtection="1">
      <alignment horizontal="center"/>
    </xf>
    <xf numFmtId="0" fontId="27" fillId="20" borderId="81" xfId="0" applyFont="1" applyFill="1" applyBorder="1" applyProtection="1"/>
    <xf numFmtId="0" fontId="28" fillId="20" borderId="77" xfId="0" applyFont="1" applyFill="1" applyBorder="1" applyProtection="1"/>
    <xf numFmtId="0" fontId="28" fillId="20" borderId="77" xfId="0" applyFont="1" applyFill="1" applyBorder="1" applyAlignment="1" applyProtection="1">
      <alignment horizontal="center"/>
    </xf>
    <xf numFmtId="0" fontId="28" fillId="20" borderId="81" xfId="0" applyFont="1" applyFill="1" applyBorder="1" applyProtection="1"/>
    <xf numFmtId="0" fontId="28" fillId="20" borderId="81" xfId="0" applyFont="1" applyFill="1" applyBorder="1" applyAlignment="1" applyProtection="1">
      <alignment horizontal="center"/>
    </xf>
    <xf numFmtId="0" fontId="0" fillId="20" borderId="81" xfId="0" applyFill="1" applyBorder="1" applyProtection="1"/>
    <xf numFmtId="0" fontId="29" fillId="20" borderId="81" xfId="0" applyFont="1" applyFill="1" applyBorder="1" applyAlignment="1" applyProtection="1">
      <alignment horizontal="left"/>
    </xf>
    <xf numFmtId="0" fontId="27" fillId="21" borderId="77" xfId="0" applyFont="1" applyFill="1" applyBorder="1" applyProtection="1"/>
    <xf numFmtId="0" fontId="27" fillId="21" borderId="81" xfId="0" applyFont="1" applyFill="1" applyBorder="1" applyProtection="1"/>
    <xf numFmtId="0" fontId="27" fillId="21" borderId="81" xfId="0" applyFont="1" applyFill="1" applyBorder="1" applyAlignment="1" applyProtection="1">
      <alignment horizontal="right"/>
    </xf>
    <xf numFmtId="0" fontId="28" fillId="21" borderId="81" xfId="0" applyFont="1" applyFill="1" applyBorder="1" applyProtection="1"/>
    <xf numFmtId="0" fontId="30" fillId="21" borderId="81" xfId="0" applyFont="1" applyFill="1" applyBorder="1" applyProtection="1"/>
    <xf numFmtId="0" fontId="0" fillId="21" borderId="81" xfId="0" applyFill="1" applyBorder="1" applyProtection="1"/>
    <xf numFmtId="0" fontId="66" fillId="2" borderId="0" xfId="0" applyFont="1" applyFill="1" applyAlignment="1" applyProtection="1">
      <alignment horizontal="center" vertical="center"/>
    </xf>
    <xf numFmtId="0" fontId="26" fillId="9" borderId="79" xfId="0" applyFont="1" applyFill="1" applyBorder="1" applyProtection="1"/>
    <xf numFmtId="0" fontId="0" fillId="9" borderId="77" xfId="0" applyFill="1" applyBorder="1" applyProtection="1"/>
    <xf numFmtId="0" fontId="27" fillId="9" borderId="80" xfId="0" applyFont="1" applyFill="1" applyBorder="1" applyProtection="1"/>
    <xf numFmtId="1" fontId="28" fillId="9" borderId="0" xfId="0" applyNumberFormat="1" applyFont="1" applyFill="1" applyBorder="1" applyProtection="1"/>
    <xf numFmtId="0" fontId="0" fillId="2" borderId="0" xfId="0" applyFill="1" applyAlignment="1" applyProtection="1">
      <alignment vertical="center"/>
    </xf>
    <xf numFmtId="0" fontId="66" fillId="2" borderId="0" xfId="0" applyFont="1" applyFill="1" applyProtection="1"/>
    <xf numFmtId="0" fontId="16" fillId="2" borderId="0" xfId="0" applyFont="1" applyFill="1" applyAlignment="1" applyProtection="1">
      <alignment horizontal="center"/>
    </xf>
    <xf numFmtId="0" fontId="96" fillId="2" borderId="0" xfId="0" applyFont="1" applyFill="1" applyAlignment="1" applyProtection="1">
      <alignment horizontal="center"/>
    </xf>
    <xf numFmtId="0" fontId="0" fillId="2" borderId="0" xfId="0" applyFont="1" applyFill="1" applyProtection="1"/>
    <xf numFmtId="0" fontId="16" fillId="2" borderId="0" xfId="0" applyFont="1" applyFill="1" applyAlignment="1" applyProtection="1">
      <alignment vertical="center"/>
    </xf>
    <xf numFmtId="165" fontId="27" fillId="9" borderId="81" xfId="0" applyNumberFormat="1" applyFont="1" applyFill="1" applyBorder="1" applyAlignment="1" applyProtection="1">
      <alignment vertical="center"/>
    </xf>
    <xf numFmtId="0" fontId="97" fillId="2" borderId="0" xfId="0" applyFont="1" applyFill="1" applyProtection="1"/>
    <xf numFmtId="0" fontId="29" fillId="9" borderId="0" xfId="0" applyFont="1" applyFill="1" applyAlignment="1" applyProtection="1">
      <alignment horizontal="center"/>
    </xf>
    <xf numFmtId="0" fontId="30" fillId="9" borderId="0" xfId="0" applyFont="1" applyFill="1" applyBorder="1" applyAlignment="1" applyProtection="1">
      <alignment horizontal="right"/>
    </xf>
    <xf numFmtId="0" fontId="0" fillId="9" borderId="80" xfId="0" applyFill="1" applyBorder="1" applyProtection="1"/>
    <xf numFmtId="0" fontId="28" fillId="9" borderId="81" xfId="0" applyFont="1" applyFill="1" applyBorder="1" applyAlignment="1" applyProtection="1"/>
    <xf numFmtId="0" fontId="0" fillId="9" borderId="81" xfId="0" applyFill="1" applyBorder="1" applyProtection="1"/>
    <xf numFmtId="0" fontId="27" fillId="9" borderId="4" xfId="0" applyFont="1" applyFill="1" applyBorder="1" applyAlignment="1" applyProtection="1">
      <alignment horizontal="left" vertical="center"/>
    </xf>
    <xf numFmtId="0" fontId="22" fillId="9" borderId="4" xfId="0" applyFont="1" applyFill="1" applyBorder="1" applyProtection="1"/>
    <xf numFmtId="165" fontId="30" fillId="9" borderId="54" xfId="0" applyNumberFormat="1" applyFont="1" applyFill="1" applyBorder="1" applyAlignment="1" applyProtection="1">
      <alignment horizontal="center"/>
    </xf>
    <xf numFmtId="0" fontId="22" fillId="9" borderId="81" xfId="0" applyFont="1" applyFill="1" applyBorder="1" applyProtection="1"/>
    <xf numFmtId="3" fontId="30" fillId="18" borderId="0" xfId="0" applyNumberFormat="1" applyFont="1" applyFill="1" applyAlignment="1" applyProtection="1">
      <alignment horizontal="center"/>
    </xf>
    <xf numFmtId="3" fontId="29" fillId="18" borderId="0" xfId="0" applyNumberFormat="1" applyFont="1" applyFill="1" applyAlignment="1" applyProtection="1">
      <alignment horizontal="center"/>
    </xf>
    <xf numFmtId="0" fontId="10" fillId="2" borderId="0" xfId="0" applyFont="1" applyFill="1" applyAlignment="1">
      <alignment horizontal="left"/>
    </xf>
    <xf numFmtId="190" fontId="0" fillId="2" borderId="0" xfId="0" applyNumberFormat="1" applyFill="1" applyProtection="1">
      <protection locked="0"/>
    </xf>
    <xf numFmtId="191" fontId="30" fillId="10" borderId="0" xfId="4" applyNumberFormat="1" applyFont="1" applyFill="1" applyBorder="1" applyProtection="1"/>
    <xf numFmtId="176" fontId="0" fillId="2" borderId="0" xfId="0" applyNumberFormat="1" applyFill="1" applyProtection="1"/>
    <xf numFmtId="177" fontId="0" fillId="2" borderId="0" xfId="0" applyNumberFormat="1" applyFill="1" applyProtection="1"/>
    <xf numFmtId="192" fontId="0" fillId="2" borderId="0" xfId="0" applyNumberFormat="1" applyFill="1" applyProtection="1"/>
    <xf numFmtId="179" fontId="0" fillId="2" borderId="0" xfId="0" applyNumberFormat="1" applyFill="1" applyProtection="1"/>
    <xf numFmtId="175" fontId="30" fillId="2" borderId="0" xfId="0" applyNumberFormat="1" applyFont="1" applyFill="1" applyAlignment="1" applyProtection="1">
      <alignment horizontal="center"/>
      <protection locked="0"/>
    </xf>
    <xf numFmtId="0" fontId="107" fillId="2" borderId="0" xfId="2" applyFont="1" applyFill="1" applyAlignment="1" applyProtection="1"/>
    <xf numFmtId="0" fontId="29" fillId="9" borderId="0" xfId="0" applyFont="1" applyFill="1" applyAlignment="1" applyProtection="1">
      <alignment horizontal="center"/>
      <protection locked="0"/>
    </xf>
    <xf numFmtId="165" fontId="17" fillId="0" borderId="30" xfId="0" applyNumberFormat="1" applyFont="1" applyBorder="1" applyAlignment="1">
      <alignment horizontal="center"/>
    </xf>
    <xf numFmtId="165" fontId="17" fillId="0" borderId="31" xfId="0" applyNumberFormat="1" applyFont="1" applyBorder="1" applyAlignment="1">
      <alignment horizontal="center"/>
    </xf>
    <xf numFmtId="165" fontId="17" fillId="0" borderId="28" xfId="0" applyNumberFormat="1" applyFont="1" applyBorder="1" applyAlignment="1">
      <alignment horizontal="center"/>
    </xf>
    <xf numFmtId="165" fontId="17" fillId="0" borderId="29" xfId="0" applyNumberFormat="1" applyFont="1" applyBorder="1" applyAlignment="1">
      <alignment horizontal="center"/>
    </xf>
    <xf numFmtId="165" fontId="1" fillId="25" borderId="30" xfId="0" applyNumberFormat="1" applyFont="1" applyFill="1" applyBorder="1" applyAlignment="1">
      <alignment horizontal="center" wrapText="1"/>
    </xf>
    <xf numFmtId="165" fontId="1" fillId="25" borderId="30" xfId="6" applyNumberFormat="1" applyFont="1" applyFill="1" applyBorder="1" applyAlignment="1">
      <alignment horizontal="center" wrapText="1"/>
    </xf>
    <xf numFmtId="165" fontId="1" fillId="25" borderId="28" xfId="0" applyNumberFormat="1" applyFont="1" applyFill="1" applyBorder="1" applyAlignment="1">
      <alignment horizontal="center" wrapText="1"/>
    </xf>
    <xf numFmtId="165" fontId="1" fillId="25" borderId="29" xfId="0" applyNumberFormat="1" applyFont="1" applyFill="1" applyBorder="1" applyAlignment="1">
      <alignment horizontal="center" wrapText="1"/>
    </xf>
    <xf numFmtId="0" fontId="2" fillId="48" borderId="22" xfId="0" applyFont="1" applyFill="1" applyBorder="1" applyAlignment="1">
      <alignment horizontal="center" wrapText="1"/>
    </xf>
    <xf numFmtId="0" fontId="2" fillId="48" borderId="22" xfId="0" applyFont="1" applyFill="1" applyBorder="1" applyAlignment="1">
      <alignment horizontal="center" wrapText="1"/>
    </xf>
    <xf numFmtId="0" fontId="2" fillId="48" borderId="27" xfId="0" applyFont="1" applyFill="1" applyBorder="1" applyAlignment="1">
      <alignment horizontal="center" wrapText="1"/>
    </xf>
    <xf numFmtId="2" fontId="29" fillId="18" borderId="8" xfId="0" applyNumberFormat="1" applyFont="1" applyFill="1" applyBorder="1" applyAlignment="1" applyProtection="1">
      <alignment horizontal="center"/>
    </xf>
    <xf numFmtId="1" fontId="30" fillId="19" borderId="0" xfId="0" applyNumberFormat="1" applyFont="1" applyFill="1" applyBorder="1" applyAlignment="1" applyProtection="1">
      <alignment horizontal="center"/>
    </xf>
    <xf numFmtId="3" fontId="30" fillId="2" borderId="0" xfId="0" applyNumberFormat="1" applyFont="1" applyFill="1" applyAlignment="1" applyProtection="1">
      <alignment horizontal="center"/>
      <protection locked="0"/>
    </xf>
    <xf numFmtId="11" fontId="27" fillId="13" borderId="0" xfId="0" applyNumberFormat="1" applyFont="1" applyFill="1" applyProtection="1"/>
    <xf numFmtId="164" fontId="27" fillId="13" borderId="0" xfId="0" applyNumberFormat="1" applyFont="1" applyFill="1" applyProtection="1"/>
    <xf numFmtId="164" fontId="27" fillId="10" borderId="0" xfId="0" applyNumberFormat="1" applyFont="1" applyFill="1" applyProtection="1"/>
    <xf numFmtId="164" fontId="28" fillId="4" borderId="0" xfId="0" applyNumberFormat="1" applyFont="1" applyFill="1" applyProtection="1"/>
    <xf numFmtId="164" fontId="28" fillId="4" borderId="8" xfId="0" applyNumberFormat="1" applyFont="1" applyFill="1" applyBorder="1" applyProtection="1"/>
    <xf numFmtId="164" fontId="27" fillId="4" borderId="8" xfId="0" applyNumberFormat="1" applyFont="1" applyFill="1" applyBorder="1" applyProtection="1"/>
    <xf numFmtId="164" fontId="27" fillId="15" borderId="0" xfId="0" applyNumberFormat="1" applyFont="1" applyFill="1" applyBorder="1" applyAlignment="1" applyProtection="1"/>
    <xf numFmtId="164" fontId="27" fillId="15" borderId="0" xfId="0" applyNumberFormat="1" applyFont="1" applyFill="1" applyAlignment="1" applyProtection="1"/>
    <xf numFmtId="178" fontId="27" fillId="13" borderId="0" xfId="0" applyNumberFormat="1" applyFont="1" applyFill="1" applyBorder="1" applyProtection="1"/>
    <xf numFmtId="178" fontId="30" fillId="13" borderId="0" xfId="5" applyNumberFormat="1" applyFont="1" applyFill="1" applyBorder="1" applyProtection="1"/>
    <xf numFmtId="164" fontId="30" fillId="2" borderId="0" xfId="0" applyNumberFormat="1" applyFont="1" applyFill="1" applyAlignment="1" applyProtection="1">
      <alignment horizontal="center"/>
    </xf>
    <xf numFmtId="176" fontId="30" fillId="13" borderId="0" xfId="5" applyNumberFormat="1" applyFont="1" applyFill="1" applyBorder="1" applyProtection="1"/>
    <xf numFmtId="166" fontId="30" fillId="19" borderId="0" xfId="0" applyNumberFormat="1" applyFont="1" applyFill="1" applyBorder="1" applyAlignment="1" applyProtection="1">
      <alignment horizontal="center"/>
    </xf>
    <xf numFmtId="11" fontId="27" fillId="4" borderId="58" xfId="0" applyNumberFormat="1" applyFont="1" applyFill="1" applyBorder="1" applyProtection="1"/>
    <xf numFmtId="193" fontId="30" fillId="18" borderId="0" xfId="6" applyNumberFormat="1" applyFont="1" applyFill="1" applyBorder="1" applyAlignment="1" applyProtection="1">
      <alignment horizontal="center"/>
    </xf>
    <xf numFmtId="11" fontId="30" fillId="18" borderId="0" xfId="0" applyNumberFormat="1" applyFont="1" applyFill="1" applyBorder="1" applyAlignment="1" applyProtection="1">
      <alignment horizontal="center"/>
    </xf>
    <xf numFmtId="166" fontId="30" fillId="18" borderId="0" xfId="0" applyNumberFormat="1" applyFont="1" applyFill="1" applyBorder="1" applyAlignment="1" applyProtection="1">
      <alignment horizontal="center"/>
    </xf>
    <xf numFmtId="4" fontId="27" fillId="9" borderId="0" xfId="0" applyNumberFormat="1" applyFont="1" applyFill="1" applyBorder="1" applyAlignment="1" applyProtection="1">
      <alignment horizontal="center"/>
      <protection locked="0"/>
    </xf>
    <xf numFmtId="4" fontId="27" fillId="2" borderId="0" xfId="0" applyNumberFormat="1" applyFont="1" applyFill="1" applyBorder="1" applyAlignment="1" applyProtection="1">
      <alignment horizontal="center"/>
      <protection locked="0"/>
    </xf>
    <xf numFmtId="0" fontId="27" fillId="4" borderId="14" xfId="0" applyFont="1" applyFill="1" applyBorder="1" applyProtection="1"/>
    <xf numFmtId="172" fontId="27" fillId="4" borderId="0" xfId="0" applyNumberFormat="1" applyFont="1" applyFill="1" applyProtection="1"/>
    <xf numFmtId="0" fontId="27" fillId="15" borderId="0" xfId="0" applyFont="1" applyFill="1" applyProtection="1"/>
    <xf numFmtId="0" fontId="27" fillId="15" borderId="0" xfId="0" applyFont="1" applyFill="1" applyBorder="1" applyProtection="1"/>
    <xf numFmtId="166" fontId="27" fillId="15" borderId="0" xfId="0" applyNumberFormat="1" applyFont="1" applyFill="1" applyBorder="1" applyProtection="1"/>
    <xf numFmtId="11" fontId="27" fillId="15" borderId="0" xfId="0" applyNumberFormat="1" applyFont="1" applyFill="1" applyProtection="1"/>
    <xf numFmtId="165" fontId="30" fillId="18" borderId="0" xfId="0" applyNumberFormat="1" applyFont="1" applyFill="1" applyBorder="1" applyAlignment="1" applyProtection="1">
      <alignment horizontal="center"/>
    </xf>
    <xf numFmtId="0" fontId="27" fillId="15" borderId="0" xfId="0" applyFont="1" applyFill="1" applyProtection="1"/>
    <xf numFmtId="0" fontId="27" fillId="15" borderId="0" xfId="0" applyFont="1" applyFill="1" applyBorder="1" applyProtection="1"/>
    <xf numFmtId="166" fontId="27" fillId="15" borderId="0" xfId="0" applyNumberFormat="1" applyFont="1" applyFill="1" applyBorder="1" applyProtection="1"/>
    <xf numFmtId="11" fontId="27" fillId="15" borderId="0" xfId="0" applyNumberFormat="1" applyFont="1" applyFill="1" applyBorder="1" applyProtection="1"/>
    <xf numFmtId="3" fontId="30" fillId="18" borderId="0" xfId="0" applyNumberFormat="1" applyFont="1" applyFill="1" applyBorder="1" applyAlignment="1" applyProtection="1">
      <alignment horizontal="center"/>
    </xf>
    <xf numFmtId="3" fontId="29" fillId="18" borderId="0" xfId="0" applyNumberFormat="1" applyFont="1" applyFill="1" applyBorder="1" applyAlignment="1" applyProtection="1">
      <alignment horizontal="center"/>
    </xf>
    <xf numFmtId="1" fontId="30" fillId="18" borderId="0" xfId="0" applyNumberFormat="1" applyFont="1" applyFill="1" applyBorder="1" applyAlignment="1" applyProtection="1">
      <alignment horizontal="center"/>
    </xf>
    <xf numFmtId="3" fontId="27" fillId="0" borderId="0" xfId="0" applyNumberFormat="1" applyFont="1" applyFill="1" applyBorder="1" applyAlignment="1" applyProtection="1">
      <alignment horizontal="center" vertical="center"/>
      <protection locked="0"/>
    </xf>
    <xf numFmtId="3" fontId="30" fillId="2" borderId="8" xfId="5" applyNumberFormat="1" applyFont="1" applyFill="1" applyBorder="1" applyAlignment="1" applyProtection="1">
      <alignment horizontal="center"/>
      <protection locked="0"/>
    </xf>
    <xf numFmtId="175" fontId="27" fillId="15" borderId="0" xfId="0" applyNumberFormat="1" applyFont="1" applyFill="1"/>
    <xf numFmtId="166" fontId="28" fillId="16" borderId="0" xfId="0" applyNumberFormat="1" applyFont="1" applyFill="1" applyAlignment="1">
      <alignment horizontal="center"/>
    </xf>
    <xf numFmtId="0" fontId="28" fillId="16" borderId="0" xfId="0" applyFont="1" applyFill="1" applyAlignment="1">
      <alignment horizontal="center"/>
    </xf>
    <xf numFmtId="0" fontId="27" fillId="16" borderId="0" xfId="0" applyFont="1" applyFill="1"/>
    <xf numFmtId="172" fontId="27" fillId="15" borderId="0" xfId="0" applyNumberFormat="1" applyFont="1" applyFill="1" applyAlignment="1" applyProtection="1">
      <alignment horizontal="right"/>
    </xf>
    <xf numFmtId="174" fontId="27" fillId="16" borderId="0" xfId="0" applyNumberFormat="1" applyFont="1" applyFill="1"/>
    <xf numFmtId="11" fontId="27" fillId="15" borderId="0" xfId="0" applyNumberFormat="1" applyFont="1" applyFill="1"/>
    <xf numFmtId="0" fontId="30" fillId="2" borderId="0" xfId="5" applyFont="1" applyFill="1" applyBorder="1" applyAlignment="1" applyProtection="1">
      <alignment horizontal="center"/>
      <protection locked="0"/>
    </xf>
    <xf numFmtId="165" fontId="27" fillId="9" borderId="0" xfId="0" applyNumberFormat="1" applyFont="1" applyFill="1" applyBorder="1" applyAlignment="1" applyProtection="1">
      <alignment horizontal="center" vertical="center"/>
    </xf>
    <xf numFmtId="0" fontId="27" fillId="9" borderId="0" xfId="0" applyFont="1" applyFill="1" applyBorder="1" applyAlignment="1" applyProtection="1">
      <protection locked="0"/>
    </xf>
    <xf numFmtId="0" fontId="0" fillId="9" borderId="5" xfId="0" applyFill="1" applyBorder="1" applyAlignment="1" applyProtection="1">
      <protection locked="0"/>
    </xf>
    <xf numFmtId="0" fontId="28" fillId="9" borderId="9" xfId="0" applyFont="1" applyFill="1" applyBorder="1" applyAlignment="1" applyProtection="1">
      <alignment horizontal="center"/>
      <protection locked="0"/>
    </xf>
    <xf numFmtId="0" fontId="28" fillId="9" borderId="3" xfId="0" applyFont="1" applyFill="1" applyBorder="1" applyAlignment="1" applyProtection="1">
      <alignment horizontal="right"/>
      <protection locked="0"/>
    </xf>
    <xf numFmtId="0" fontId="28" fillId="9" borderId="4" xfId="0" applyFont="1" applyFill="1" applyBorder="1" applyAlignment="1" applyProtection="1">
      <alignment vertical="center"/>
      <protection locked="0"/>
    </xf>
    <xf numFmtId="0" fontId="27" fillId="9" borderId="5" xfId="0" applyFont="1" applyFill="1" applyBorder="1" applyAlignment="1" applyProtection="1">
      <alignment horizontal="left"/>
      <protection locked="0"/>
    </xf>
    <xf numFmtId="0" fontId="28" fillId="9" borderId="6" xfId="0" applyFont="1" applyFill="1" applyBorder="1" applyAlignment="1" applyProtection="1">
      <alignment vertical="center"/>
      <protection locked="0"/>
    </xf>
    <xf numFmtId="1" fontId="27" fillId="9" borderId="8" xfId="0" applyNumberFormat="1" applyFont="1" applyFill="1" applyBorder="1" applyAlignment="1" applyProtection="1">
      <alignment vertical="center"/>
      <protection locked="0"/>
    </xf>
    <xf numFmtId="0" fontId="27" fillId="9" borderId="7" xfId="0" applyFont="1" applyFill="1" applyBorder="1" applyAlignment="1" applyProtection="1">
      <alignment horizontal="right"/>
      <protection locked="0"/>
    </xf>
    <xf numFmtId="0" fontId="28" fillId="9" borderId="2" xfId="0" applyFont="1" applyFill="1" applyBorder="1" applyAlignment="1" applyProtection="1">
      <alignment vertical="top"/>
      <protection locked="0"/>
    </xf>
    <xf numFmtId="0" fontId="27" fillId="9" borderId="3" xfId="0" applyFont="1" applyFill="1" applyBorder="1" applyAlignment="1" applyProtection="1">
      <alignment horizontal="right"/>
      <protection locked="0"/>
    </xf>
    <xf numFmtId="0" fontId="27" fillId="9" borderId="4" xfId="0" applyFont="1" applyFill="1" applyBorder="1" applyAlignment="1" applyProtection="1">
      <alignment vertical="top"/>
      <protection locked="0"/>
    </xf>
    <xf numFmtId="0" fontId="28" fillId="9" borderId="4" xfId="0" applyFont="1" applyFill="1" applyBorder="1" applyAlignment="1" applyProtection="1">
      <alignment vertical="top"/>
      <protection locked="0"/>
    </xf>
    <xf numFmtId="0" fontId="27" fillId="22" borderId="0" xfId="0" applyFont="1" applyFill="1" applyBorder="1" applyAlignment="1" applyProtection="1">
      <alignment vertical="center"/>
      <protection locked="0"/>
    </xf>
    <xf numFmtId="0" fontId="27" fillId="9" borderId="0" xfId="0" applyFont="1" applyFill="1" applyBorder="1" applyAlignment="1" applyProtection="1">
      <alignment vertical="center"/>
      <protection locked="0"/>
    </xf>
    <xf numFmtId="0" fontId="27" fillId="9" borderId="5" xfId="0" applyFont="1" applyFill="1" applyBorder="1" applyAlignment="1" applyProtection="1">
      <alignment horizontal="right"/>
      <protection locked="0"/>
    </xf>
    <xf numFmtId="0" fontId="28" fillId="9" borderId="4" xfId="0" applyFont="1" applyFill="1" applyBorder="1" applyAlignment="1" applyProtection="1">
      <alignment horizontal="left" vertical="top"/>
      <protection locked="0"/>
    </xf>
    <xf numFmtId="0" fontId="28" fillId="9" borderId="2" xfId="0" applyFont="1" applyFill="1" applyBorder="1" applyAlignment="1" applyProtection="1">
      <alignment horizontal="left" vertical="center"/>
      <protection locked="0"/>
    </xf>
    <xf numFmtId="0" fontId="28" fillId="9" borderId="4" xfId="0" applyFont="1" applyFill="1" applyBorder="1" applyAlignment="1" applyProtection="1">
      <alignment horizontal="left" vertical="center"/>
      <protection locked="0"/>
    </xf>
    <xf numFmtId="0" fontId="27" fillId="0" borderId="0" xfId="94" applyFont="1" applyFill="1" applyProtection="1">
      <protection locked="0"/>
    </xf>
    <xf numFmtId="0" fontId="52" fillId="9" borderId="4" xfId="0" applyFont="1" applyFill="1" applyBorder="1" applyAlignment="1" applyProtection="1">
      <alignment vertical="top" wrapText="1"/>
      <protection locked="0"/>
    </xf>
    <xf numFmtId="0" fontId="28" fillId="9" borderId="8" xfId="0" applyFont="1" applyFill="1" applyBorder="1" applyProtection="1">
      <protection locked="0"/>
    </xf>
    <xf numFmtId="0" fontId="28" fillId="9" borderId="0" xfId="0" applyFont="1" applyFill="1" applyBorder="1" applyAlignment="1" applyProtection="1">
      <alignment vertical="center"/>
      <protection locked="0"/>
    </xf>
    <xf numFmtId="0" fontId="28" fillId="9" borderId="8" xfId="0" applyFont="1" applyFill="1" applyBorder="1" applyAlignment="1" applyProtection="1">
      <alignment vertical="center"/>
      <protection locked="0"/>
    </xf>
    <xf numFmtId="0" fontId="50" fillId="23" borderId="2" xfId="7" applyFont="1" applyFill="1" applyBorder="1" applyProtection="1">
      <protection locked="0"/>
    </xf>
    <xf numFmtId="0" fontId="49" fillId="23" borderId="9" xfId="7" applyFont="1" applyFill="1" applyBorder="1" applyProtection="1">
      <protection locked="0"/>
    </xf>
    <xf numFmtId="0" fontId="49" fillId="22" borderId="9" xfId="7" applyFont="1" applyFill="1" applyBorder="1" applyProtection="1">
      <protection locked="0"/>
    </xf>
    <xf numFmtId="0" fontId="50" fillId="23" borderId="4" xfId="7" applyFont="1" applyFill="1" applyBorder="1" applyProtection="1">
      <protection locked="0"/>
    </xf>
    <xf numFmtId="0" fontId="49" fillId="23" borderId="0" xfId="7" applyFont="1" applyFill="1" applyBorder="1" applyAlignment="1" applyProtection="1">
      <alignment horizontal="center" wrapText="1"/>
      <protection locked="0"/>
    </xf>
    <xf numFmtId="0" fontId="49" fillId="23" borderId="0" xfId="7" applyFont="1" applyFill="1" applyBorder="1" applyProtection="1">
      <protection locked="0"/>
    </xf>
    <xf numFmtId="0" fontId="49" fillId="22" borderId="0" xfId="7" applyFont="1" applyFill="1" applyBorder="1" applyProtection="1">
      <protection locked="0"/>
    </xf>
    <xf numFmtId="0" fontId="50" fillId="23" borderId="0" xfId="7" applyFont="1" applyFill="1" applyBorder="1" applyAlignment="1" applyProtection="1">
      <alignment horizontal="center" wrapText="1"/>
      <protection locked="0"/>
    </xf>
    <xf numFmtId="0" fontId="49" fillId="23" borderId="5" xfId="7" applyFont="1" applyFill="1" applyBorder="1" applyAlignment="1" applyProtection="1">
      <alignment horizontal="center" wrapText="1"/>
      <protection locked="0"/>
    </xf>
    <xf numFmtId="0" fontId="30" fillId="9" borderId="4" xfId="5" applyFont="1" applyFill="1" applyBorder="1" applyProtection="1">
      <protection locked="0"/>
    </xf>
    <xf numFmtId="0" fontId="30" fillId="9" borderId="0" xfId="0" applyFont="1" applyFill="1" applyProtection="1">
      <protection locked="0"/>
    </xf>
    <xf numFmtId="0" fontId="1" fillId="9" borderId="0" xfId="0" applyFont="1" applyFill="1" applyBorder="1" applyProtection="1">
      <protection locked="0"/>
    </xf>
    <xf numFmtId="0" fontId="30" fillId="9" borderId="0" xfId="0" applyFont="1" applyFill="1" applyBorder="1" applyProtection="1">
      <protection locked="0"/>
    </xf>
    <xf numFmtId="0" fontId="22" fillId="9" borderId="5" xfId="5" applyFont="1" applyFill="1" applyBorder="1" applyAlignment="1" applyProtection="1">
      <alignment horizontal="right"/>
      <protection locked="0"/>
    </xf>
    <xf numFmtId="0" fontId="30" fillId="9" borderId="0" xfId="0" applyFont="1" applyFill="1" applyBorder="1" applyAlignment="1" applyProtection="1">
      <alignment horizontal="right"/>
      <protection locked="0"/>
    </xf>
    <xf numFmtId="0" fontId="30" fillId="9" borderId="5" xfId="0" applyFont="1" applyFill="1" applyBorder="1" applyProtection="1">
      <protection locked="0"/>
    </xf>
    <xf numFmtId="0" fontId="27" fillId="9" borderId="4" xfId="0" applyFont="1" applyFill="1" applyBorder="1" applyAlignment="1" applyProtection="1">
      <alignment horizontal="left"/>
      <protection locked="0"/>
    </xf>
    <xf numFmtId="0" fontId="28" fillId="9" borderId="2" xfId="0" applyFont="1" applyFill="1" applyBorder="1" applyAlignment="1" applyProtection="1">
      <alignment horizontal="left"/>
      <protection locked="0"/>
    </xf>
    <xf numFmtId="0" fontId="27" fillId="9" borderId="5" xfId="0" applyFont="1" applyFill="1" applyBorder="1" applyAlignment="1" applyProtection="1">
      <alignment horizontal="center"/>
      <protection locked="0"/>
    </xf>
    <xf numFmtId="0" fontId="30" fillId="9" borderId="6" xfId="5" applyFont="1" applyFill="1" applyBorder="1" applyProtection="1">
      <protection locked="0"/>
    </xf>
    <xf numFmtId="0" fontId="27" fillId="9" borderId="8" xfId="0" applyFont="1" applyFill="1" applyBorder="1" applyAlignment="1" applyProtection="1">
      <alignment horizontal="left"/>
      <protection locked="0"/>
    </xf>
    <xf numFmtId="0" fontId="30" fillId="9" borderId="7" xfId="5" applyFont="1" applyFill="1" applyBorder="1" applyProtection="1">
      <protection locked="0"/>
    </xf>
    <xf numFmtId="0" fontId="30" fillId="9" borderId="3" xfId="5" applyFont="1" applyFill="1" applyBorder="1" applyProtection="1">
      <protection locked="0"/>
    </xf>
    <xf numFmtId="0" fontId="27" fillId="9" borderId="5" xfId="0" applyFont="1" applyFill="1" applyBorder="1" applyAlignment="1" applyProtection="1">
      <protection locked="0"/>
    </xf>
    <xf numFmtId="0" fontId="30" fillId="9" borderId="5" xfId="5" applyFont="1" applyFill="1" applyBorder="1" applyProtection="1">
      <protection locked="0"/>
    </xf>
    <xf numFmtId="0" fontId="30" fillId="9" borderId="9" xfId="5" applyFont="1" applyFill="1" applyBorder="1" applyProtection="1">
      <protection locked="0"/>
    </xf>
    <xf numFmtId="0" fontId="40" fillId="9" borderId="9" xfId="5" applyFont="1" applyFill="1" applyBorder="1" applyProtection="1">
      <protection locked="0"/>
    </xf>
    <xf numFmtId="0" fontId="30" fillId="9" borderId="0" xfId="5" applyFont="1" applyFill="1" applyBorder="1" applyProtection="1">
      <protection locked="0"/>
    </xf>
    <xf numFmtId="0" fontId="40" fillId="9" borderId="0" xfId="5" applyFont="1" applyFill="1" applyBorder="1" applyProtection="1">
      <protection locked="0"/>
    </xf>
    <xf numFmtId="0" fontId="29" fillId="9" borderId="4" xfId="5" applyFont="1" applyFill="1" applyBorder="1" applyProtection="1">
      <protection locked="0"/>
    </xf>
    <xf numFmtId="0" fontId="28" fillId="9" borderId="4" xfId="0" applyFont="1" applyFill="1" applyBorder="1" applyProtection="1">
      <protection locked="0"/>
    </xf>
    <xf numFmtId="0" fontId="29" fillId="9" borderId="0" xfId="0" applyFont="1" applyFill="1" applyBorder="1" applyAlignment="1" applyProtection="1">
      <alignment horizontal="right"/>
      <protection locked="0"/>
    </xf>
    <xf numFmtId="0" fontId="28" fillId="9" borderId="54" xfId="0" applyFont="1" applyFill="1" applyBorder="1" applyAlignment="1" applyProtection="1">
      <alignment horizontal="center"/>
      <protection locked="0"/>
    </xf>
    <xf numFmtId="165" fontId="27" fillId="9" borderId="0" xfId="0" applyNumberFormat="1" applyFont="1" applyFill="1" applyBorder="1" applyAlignment="1" applyProtection="1">
      <alignment horizontal="center"/>
      <protection locked="0"/>
    </xf>
    <xf numFmtId="165" fontId="27" fillId="9" borderId="54" xfId="0" applyNumberFormat="1" applyFont="1" applyFill="1" applyBorder="1" applyAlignment="1" applyProtection="1">
      <alignment horizontal="center"/>
      <protection locked="0"/>
    </xf>
    <xf numFmtId="0" fontId="27" fillId="9" borderId="54" xfId="0" applyFont="1" applyFill="1" applyBorder="1" applyAlignment="1" applyProtection="1">
      <alignment horizontal="center"/>
      <protection locked="0"/>
    </xf>
    <xf numFmtId="2" fontId="27" fillId="9" borderId="5" xfId="0" applyNumberFormat="1" applyFont="1" applyFill="1" applyBorder="1" applyAlignment="1" applyProtection="1">
      <alignment horizontal="center"/>
      <protection locked="0"/>
    </xf>
    <xf numFmtId="0" fontId="28" fillId="9" borderId="8" xfId="0" applyFont="1" applyFill="1" applyBorder="1" applyAlignment="1" applyProtection="1">
      <alignment horizontal="center"/>
      <protection locked="0"/>
    </xf>
    <xf numFmtId="165" fontId="30" fillId="9" borderId="7" xfId="0" applyNumberFormat="1" applyFont="1" applyFill="1" applyBorder="1" applyAlignment="1" applyProtection="1">
      <alignment horizontal="center"/>
    </xf>
    <xf numFmtId="0" fontId="0" fillId="18" borderId="8" xfId="0" applyFill="1" applyBorder="1" applyProtection="1"/>
    <xf numFmtId="3" fontId="27"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horizontal="center"/>
      <protection locked="0"/>
    </xf>
    <xf numFmtId="165" fontId="27" fillId="2" borderId="0" xfId="0" applyNumberFormat="1" applyFont="1" applyFill="1" applyBorder="1" applyAlignment="1" applyProtection="1">
      <alignment horizontal="center" vertical="center"/>
      <protection locked="0"/>
    </xf>
    <xf numFmtId="0" fontId="27" fillId="22" borderId="0" xfId="0"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27" fillId="9" borderId="0" xfId="0" applyFont="1" applyFill="1" applyBorder="1" applyAlignment="1" applyProtection="1">
      <alignment horizontal="center"/>
      <protection locked="0"/>
    </xf>
    <xf numFmtId="0" fontId="27" fillId="9" borderId="0" xfId="0" applyFont="1" applyFill="1" applyBorder="1" applyAlignment="1" applyProtection="1">
      <alignment horizontal="left"/>
      <protection locked="0"/>
    </xf>
    <xf numFmtId="0" fontId="30" fillId="2" borderId="0" xfId="5" applyFont="1" applyFill="1" applyBorder="1" applyAlignment="1" applyProtection="1">
      <alignment horizontal="center"/>
      <protection locked="0"/>
    </xf>
    <xf numFmtId="165" fontId="27" fillId="9" borderId="0" xfId="0" applyNumberFormat="1" applyFont="1" applyFill="1" applyBorder="1" applyAlignment="1" applyProtection="1">
      <alignment horizontal="center" vertical="center"/>
    </xf>
    <xf numFmtId="0" fontId="30" fillId="2" borderId="0" xfId="0" applyFont="1" applyFill="1" applyAlignment="1" applyProtection="1">
      <alignment horizontal="center"/>
      <protection locked="0"/>
    </xf>
    <xf numFmtId="0" fontId="0" fillId="2" borderId="0" xfId="0" applyFill="1" applyAlignment="1">
      <alignment horizontal="left" wrapText="1"/>
    </xf>
    <xf numFmtId="0" fontId="0" fillId="10" borderId="0" xfId="0" applyFill="1" applyAlignment="1">
      <alignment horizontal="left" wrapText="1"/>
    </xf>
    <xf numFmtId="0" fontId="0" fillId="24" borderId="0" xfId="0" applyFont="1" applyFill="1" applyAlignment="1">
      <alignment horizontal="left"/>
    </xf>
    <xf numFmtId="0" fontId="0" fillId="4" borderId="0" xfId="0" applyFill="1" applyAlignment="1">
      <alignment horizontal="left" wrapText="1"/>
    </xf>
    <xf numFmtId="0" fontId="0" fillId="0" borderId="0" xfId="0" applyAlignment="1">
      <alignment wrapText="1"/>
    </xf>
    <xf numFmtId="0" fontId="0" fillId="5" borderId="0" xfId="0" applyFill="1" applyAlignment="1">
      <alignment horizontal="left"/>
    </xf>
    <xf numFmtId="0" fontId="0" fillId="2" borderId="0" xfId="0" applyFill="1" applyAlignment="1">
      <alignment wrapText="1"/>
    </xf>
    <xf numFmtId="0" fontId="0" fillId="2" borderId="0" xfId="0" applyFont="1" applyFill="1" applyAlignment="1">
      <alignment horizontal="left" wrapText="1"/>
    </xf>
    <xf numFmtId="0" fontId="0" fillId="6" borderId="0" xfId="0" applyFill="1" applyAlignment="1">
      <alignment wrapText="1"/>
    </xf>
    <xf numFmtId="0" fontId="59" fillId="2" borderId="0" xfId="0" applyFont="1" applyFill="1" applyAlignment="1">
      <alignment horizontal="center" wrapText="1"/>
    </xf>
    <xf numFmtId="0" fontId="58" fillId="2" borderId="0" xfId="0" applyFont="1" applyFill="1" applyAlignment="1">
      <alignment horizontal="center"/>
    </xf>
    <xf numFmtId="0" fontId="30" fillId="2" borderId="0" xfId="0" applyFont="1" applyFill="1" applyAlignment="1" applyProtection="1">
      <alignment horizontal="center"/>
    </xf>
    <xf numFmtId="0" fontId="98" fillId="28" borderId="32" xfId="2" applyFont="1" applyFill="1" applyBorder="1" applyAlignment="1" applyProtection="1">
      <alignment horizontal="center" vertical="center" wrapText="1"/>
      <protection locked="0"/>
    </xf>
    <xf numFmtId="0" fontId="98" fillId="28" borderId="33" xfId="2" applyFont="1" applyFill="1" applyBorder="1" applyAlignment="1" applyProtection="1">
      <alignment horizontal="center" vertical="center" wrapText="1"/>
      <protection locked="0"/>
    </xf>
    <xf numFmtId="0" fontId="28" fillId="21" borderId="0" xfId="0" applyFont="1" applyFill="1" applyBorder="1" applyAlignment="1" applyProtection="1">
      <alignment vertical="top" wrapText="1"/>
    </xf>
    <xf numFmtId="0" fontId="0" fillId="0" borderId="0" xfId="0" applyProtection="1"/>
    <xf numFmtId="0" fontId="0" fillId="18" borderId="55" xfId="0" applyFill="1" applyBorder="1" applyAlignment="1" applyProtection="1">
      <alignment horizontal="center"/>
    </xf>
    <xf numFmtId="0" fontId="0" fillId="18" borderId="9" xfId="0" applyFill="1" applyBorder="1" applyAlignment="1" applyProtection="1">
      <alignment horizontal="center"/>
    </xf>
    <xf numFmtId="0" fontId="28" fillId="20" borderId="8" xfId="0" applyFont="1" applyFill="1" applyBorder="1" applyAlignment="1" applyProtection="1">
      <alignment horizontal="center"/>
    </xf>
    <xf numFmtId="0" fontId="28" fillId="20" borderId="0" xfId="0" applyFont="1" applyFill="1" applyBorder="1" applyAlignment="1" applyProtection="1">
      <alignment horizontal="center"/>
    </xf>
    <xf numFmtId="165" fontId="27" fillId="9" borderId="8" xfId="0" applyNumberFormat="1" applyFont="1" applyFill="1" applyBorder="1" applyAlignment="1" applyProtection="1">
      <alignment horizontal="center" vertical="center"/>
    </xf>
    <xf numFmtId="165" fontId="27" fillId="9" borderId="7" xfId="0" applyNumberFormat="1" applyFont="1" applyFill="1" applyBorder="1" applyAlignment="1" applyProtection="1">
      <alignment horizontal="center" vertical="center"/>
    </xf>
    <xf numFmtId="3" fontId="27" fillId="2" borderId="0" xfId="0" applyNumberFormat="1" applyFont="1" applyFill="1" applyBorder="1" applyAlignment="1" applyProtection="1">
      <alignment horizontal="center"/>
      <protection locked="0"/>
    </xf>
    <xf numFmtId="0" fontId="27" fillId="9" borderId="0" xfId="0" applyFont="1" applyFill="1" applyBorder="1" applyAlignment="1" applyProtection="1">
      <alignment horizontal="left"/>
      <protection locked="0"/>
    </xf>
    <xf numFmtId="0" fontId="27" fillId="2" borderId="0" xfId="0" applyFont="1" applyFill="1" applyBorder="1" applyAlignment="1" applyProtection="1">
      <alignment horizontal="center" vertical="center"/>
      <protection locked="0"/>
    </xf>
    <xf numFmtId="0" fontId="28" fillId="9" borderId="9" xfId="0" applyFont="1" applyFill="1" applyBorder="1" applyAlignment="1" applyProtection="1">
      <alignment horizontal="center" vertical="center"/>
      <protection locked="0"/>
    </xf>
    <xf numFmtId="165" fontId="27" fillId="2" borderId="0" xfId="0" applyNumberFormat="1" applyFont="1" applyFill="1" applyBorder="1" applyAlignment="1" applyProtection="1">
      <alignment horizontal="center" vertical="center"/>
      <protection locked="0"/>
    </xf>
    <xf numFmtId="165" fontId="27" fillId="2" borderId="5" xfId="0" applyNumberFormat="1" applyFont="1" applyFill="1" applyBorder="1" applyAlignment="1" applyProtection="1">
      <alignment horizontal="center" vertical="center"/>
      <protection locked="0"/>
    </xf>
    <xf numFmtId="0" fontId="57" fillId="2" borderId="0" xfId="0" applyFont="1" applyFill="1" applyAlignment="1" applyProtection="1">
      <alignment horizontal="center" vertical="center" wrapText="1"/>
      <protection locked="0"/>
    </xf>
    <xf numFmtId="0" fontId="28" fillId="9" borderId="3" xfId="0" applyFont="1" applyFill="1" applyBorder="1" applyAlignment="1" applyProtection="1">
      <alignment horizontal="center" vertical="center"/>
      <protection locked="0"/>
    </xf>
    <xf numFmtId="0" fontId="28" fillId="9" borderId="0" xfId="0" applyFont="1" applyFill="1" applyBorder="1" applyAlignment="1" applyProtection="1">
      <alignment horizontal="left"/>
      <protection locked="0"/>
    </xf>
    <xf numFmtId="1" fontId="28" fillId="9" borderId="9" xfId="0" applyNumberFormat="1" applyFont="1" applyFill="1" applyBorder="1" applyAlignment="1" applyProtection="1">
      <alignment horizontal="center" vertical="center"/>
      <protection locked="0"/>
    </xf>
    <xf numFmtId="165" fontId="27" fillId="2" borderId="54"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protection locked="0"/>
    </xf>
    <xf numFmtId="0" fontId="27" fillId="9" borderId="0" xfId="0" applyFont="1" applyFill="1" applyBorder="1" applyAlignment="1" applyProtection="1">
      <alignment horizontal="center"/>
      <protection locked="0"/>
    </xf>
    <xf numFmtId="0" fontId="27" fillId="22" borderId="0" xfId="0" applyFont="1" applyFill="1" applyBorder="1" applyAlignment="1" applyProtection="1">
      <alignment horizontal="center" vertical="center"/>
      <protection locked="0"/>
    </xf>
    <xf numFmtId="0" fontId="27" fillId="9" borderId="8" xfId="0" applyFont="1" applyFill="1" applyBorder="1" applyAlignment="1" applyProtection="1">
      <alignment horizontal="center" vertical="center"/>
      <protection locked="0"/>
    </xf>
    <xf numFmtId="0" fontId="27" fillId="9" borderId="4" xfId="0" applyFont="1" applyFill="1" applyBorder="1" applyAlignment="1" applyProtection="1">
      <alignment horizontal="left" wrapText="1"/>
      <protection locked="0"/>
    </xf>
    <xf numFmtId="0" fontId="49" fillId="23" borderId="9" xfId="7" applyFont="1" applyFill="1" applyBorder="1" applyAlignment="1" applyProtection="1">
      <alignment horizontal="center" wrapText="1"/>
      <protection locked="0"/>
    </xf>
    <xf numFmtId="0" fontId="30" fillId="9" borderId="0" xfId="0" applyFont="1" applyFill="1" applyBorder="1" applyAlignment="1" applyProtection="1">
      <alignment horizontal="center"/>
      <protection locked="0"/>
    </xf>
    <xf numFmtId="0" fontId="49" fillId="23" borderId="3" xfId="7" applyFont="1" applyFill="1" applyBorder="1" applyAlignment="1" applyProtection="1">
      <alignment horizontal="center" wrapText="1"/>
      <protection locked="0"/>
    </xf>
    <xf numFmtId="0" fontId="30" fillId="2" borderId="0" xfId="5" applyFont="1" applyFill="1" applyBorder="1" applyAlignment="1" applyProtection="1">
      <alignment horizontal="center"/>
      <protection locked="0"/>
    </xf>
    <xf numFmtId="0" fontId="30" fillId="2" borderId="0" xfId="0" applyFont="1" applyFill="1" applyBorder="1" applyAlignment="1" applyProtection="1">
      <alignment horizontal="center"/>
      <protection locked="0"/>
    </xf>
    <xf numFmtId="0" fontId="95" fillId="46" borderId="2" xfId="2" applyFont="1" applyFill="1" applyBorder="1" applyAlignment="1" applyProtection="1">
      <alignment horizontal="center" vertical="center"/>
      <protection locked="0"/>
    </xf>
    <xf numFmtId="0" fontId="95" fillId="46" borderId="3" xfId="2" applyFont="1" applyFill="1" applyBorder="1" applyAlignment="1" applyProtection="1">
      <alignment horizontal="center" vertical="center"/>
      <protection locked="0"/>
    </xf>
    <xf numFmtId="0" fontId="95" fillId="46" borderId="6" xfId="2" applyFont="1" applyFill="1" applyBorder="1" applyAlignment="1" applyProtection="1">
      <alignment horizontal="center" vertical="center"/>
      <protection locked="0"/>
    </xf>
    <xf numFmtId="0" fontId="95" fillId="46" borderId="7" xfId="2" applyFont="1" applyFill="1" applyBorder="1" applyAlignment="1" applyProtection="1">
      <alignment horizontal="center" vertical="center"/>
      <protection locked="0"/>
    </xf>
    <xf numFmtId="0" fontId="62" fillId="9" borderId="4" xfId="0"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wrapText="1"/>
      <protection locked="0"/>
    </xf>
    <xf numFmtId="0" fontId="62" fillId="9" borderId="54"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protection locked="0"/>
    </xf>
    <xf numFmtId="0" fontId="29" fillId="18" borderId="56" xfId="0" applyFont="1" applyFill="1" applyBorder="1" applyAlignment="1" applyProtection="1">
      <alignment horizontal="center" vertical="center" wrapText="1" shrinkToFit="1"/>
    </xf>
    <xf numFmtId="0" fontId="29" fillId="18" borderId="7" xfId="0" applyFont="1" applyFill="1" applyBorder="1" applyAlignment="1" applyProtection="1">
      <alignment horizontal="center" vertical="center" wrapText="1" shrinkToFit="1"/>
    </xf>
    <xf numFmtId="0" fontId="29" fillId="18" borderId="9" xfId="0" applyFont="1" applyFill="1" applyBorder="1" applyAlignment="1" applyProtection="1">
      <alignment horizontal="center" vertical="center"/>
    </xf>
    <xf numFmtId="0" fontId="29" fillId="18" borderId="8" xfId="0" applyFont="1" applyFill="1" applyBorder="1" applyAlignment="1" applyProtection="1">
      <alignment horizontal="center" vertical="center"/>
    </xf>
    <xf numFmtId="0" fontId="29" fillId="18" borderId="9" xfId="0" applyFont="1" applyFill="1" applyBorder="1" applyAlignment="1" applyProtection="1">
      <alignment horizontal="center" vertical="center" wrapText="1"/>
    </xf>
    <xf numFmtId="0" fontId="29" fillId="18" borderId="8" xfId="0" applyFont="1" applyFill="1" applyBorder="1" applyAlignment="1" applyProtection="1">
      <alignment horizontal="center" vertical="center" wrapText="1"/>
    </xf>
    <xf numFmtId="0" fontId="68" fillId="28" borderId="32" xfId="0" applyFont="1" applyFill="1" applyBorder="1" applyAlignment="1" applyProtection="1">
      <alignment horizontal="center" vertical="center" wrapText="1"/>
    </xf>
    <xf numFmtId="0" fontId="69" fillId="0" borderId="33" xfId="0" applyFont="1" applyBorder="1" applyAlignment="1">
      <alignment horizontal="center" vertical="center" wrapText="1"/>
    </xf>
    <xf numFmtId="165" fontId="27" fillId="2" borderId="0" xfId="0" applyNumberFormat="1" applyFont="1" applyFill="1" applyBorder="1" applyAlignment="1" applyProtection="1">
      <alignment horizontal="center" vertical="center"/>
    </xf>
    <xf numFmtId="165" fontId="27" fillId="2" borderId="5" xfId="0" applyNumberFormat="1" applyFont="1" applyFill="1" applyBorder="1" applyAlignment="1" applyProtection="1">
      <alignment horizontal="center" vertical="center"/>
    </xf>
    <xf numFmtId="0" fontId="57" fillId="2" borderId="0" xfId="0" applyFont="1" applyFill="1" applyAlignment="1" applyProtection="1">
      <alignment horizontal="center" vertical="center" wrapText="1"/>
    </xf>
    <xf numFmtId="0" fontId="27" fillId="2" borderId="0" xfId="0" applyFont="1" applyFill="1" applyBorder="1" applyAlignment="1" applyProtection="1">
      <alignment horizontal="center"/>
    </xf>
    <xf numFmtId="0" fontId="27" fillId="2" borderId="0" xfId="0" applyFont="1" applyFill="1" applyBorder="1" applyAlignment="1" applyProtection="1">
      <alignment horizontal="center" vertical="center"/>
    </xf>
    <xf numFmtId="0" fontId="27" fillId="9" borderId="0" xfId="0" applyFont="1" applyFill="1" applyBorder="1" applyAlignment="1" applyProtection="1">
      <alignment horizontal="center"/>
    </xf>
    <xf numFmtId="0" fontId="27" fillId="22" borderId="0" xfId="0" applyFont="1" applyFill="1" applyBorder="1" applyAlignment="1" applyProtection="1">
      <alignment horizontal="center" vertical="center"/>
    </xf>
    <xf numFmtId="0" fontId="27" fillId="9" borderId="8" xfId="0" applyFont="1" applyFill="1" applyBorder="1" applyAlignment="1" applyProtection="1">
      <alignment horizontal="center" vertical="center"/>
    </xf>
    <xf numFmtId="1" fontId="28" fillId="9" borderId="9" xfId="0" applyNumberFormat="1" applyFont="1" applyFill="1" applyBorder="1" applyAlignment="1" applyProtection="1">
      <alignment horizontal="center" vertical="center"/>
    </xf>
    <xf numFmtId="0" fontId="28" fillId="9" borderId="9" xfId="0" applyFont="1" applyFill="1" applyBorder="1" applyAlignment="1" applyProtection="1">
      <alignment horizontal="center" vertical="center"/>
    </xf>
    <xf numFmtId="0" fontId="28" fillId="9" borderId="3" xfId="0" applyFont="1" applyFill="1" applyBorder="1" applyAlignment="1" applyProtection="1">
      <alignment horizontal="center" vertical="center"/>
    </xf>
    <xf numFmtId="0" fontId="30" fillId="2" borderId="0" xfId="0" applyFont="1" applyFill="1" applyBorder="1" applyAlignment="1" applyProtection="1">
      <alignment horizontal="center"/>
    </xf>
    <xf numFmtId="0" fontId="49" fillId="23" borderId="9" xfId="7" applyFont="1" applyFill="1" applyBorder="1" applyAlignment="1" applyProtection="1">
      <alignment horizontal="center" wrapText="1"/>
    </xf>
    <xf numFmtId="0" fontId="49" fillId="23" borderId="3" xfId="7" applyFont="1" applyFill="1" applyBorder="1" applyAlignment="1" applyProtection="1">
      <alignment horizontal="center" wrapText="1"/>
    </xf>
    <xf numFmtId="0" fontId="27" fillId="9" borderId="0" xfId="0" applyFont="1" applyFill="1" applyBorder="1" applyAlignment="1" applyProtection="1">
      <alignment horizontal="left"/>
    </xf>
    <xf numFmtId="3" fontId="27" fillId="2" borderId="0" xfId="0"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67" fillId="46" borderId="34" xfId="2" applyFont="1" applyFill="1" applyBorder="1" applyAlignment="1" applyProtection="1">
      <alignment horizontal="center" vertical="center"/>
    </xf>
    <xf numFmtId="0" fontId="27" fillId="9" borderId="4" xfId="0" applyFont="1" applyFill="1" applyBorder="1" applyAlignment="1" applyProtection="1">
      <alignment horizontal="left" wrapText="1"/>
    </xf>
    <xf numFmtId="0" fontId="62" fillId="9" borderId="4" xfId="0" applyFont="1" applyFill="1" applyBorder="1" applyAlignment="1" applyProtection="1">
      <alignment horizontal="center" vertical="center" wrapText="1"/>
    </xf>
    <xf numFmtId="0" fontId="62" fillId="9" borderId="0" xfId="0" applyFont="1" applyFill="1" applyBorder="1" applyAlignment="1" applyProtection="1">
      <alignment horizontal="center" vertical="center" wrapText="1"/>
    </xf>
    <xf numFmtId="0" fontId="62" fillId="9" borderId="5" xfId="0" applyFont="1" applyFill="1" applyBorder="1" applyAlignment="1" applyProtection="1">
      <alignment horizontal="center" vertical="center" wrapText="1"/>
    </xf>
    <xf numFmtId="0" fontId="29" fillId="18" borderId="9" xfId="0" applyFont="1" applyFill="1" applyBorder="1" applyAlignment="1" applyProtection="1">
      <alignment horizontal="center" vertical="center" wrapText="1" shrinkToFit="1"/>
    </xf>
    <xf numFmtId="0" fontId="29" fillId="18" borderId="8" xfId="0" applyFont="1" applyFill="1" applyBorder="1" applyAlignment="1" applyProtection="1">
      <alignment horizontal="center" vertical="center" wrapText="1" shrinkToFit="1"/>
    </xf>
    <xf numFmtId="0" fontId="16" fillId="6" borderId="6" xfId="0" applyFont="1" applyFill="1" applyBorder="1" applyAlignment="1" applyProtection="1">
      <alignment horizontal="left"/>
    </xf>
    <xf numFmtId="0" fontId="0" fillId="0" borderId="8" xfId="0" applyBorder="1" applyAlignment="1">
      <alignment horizontal="left"/>
    </xf>
    <xf numFmtId="0" fontId="13" fillId="6" borderId="4" xfId="0" applyFont="1" applyFill="1" applyBorder="1" applyAlignment="1" applyProtection="1">
      <alignment horizontal="left"/>
    </xf>
    <xf numFmtId="0" fontId="0" fillId="6" borderId="0" xfId="0" applyFill="1" applyAlignment="1">
      <alignment horizontal="left"/>
    </xf>
    <xf numFmtId="0" fontId="13" fillId="6" borderId="6" xfId="0" applyFont="1" applyFill="1" applyBorder="1" applyAlignment="1" applyProtection="1">
      <alignment horizontal="left"/>
    </xf>
    <xf numFmtId="0" fontId="0" fillId="6" borderId="8" xfId="0" applyFill="1" applyBorder="1" applyAlignment="1">
      <alignment horizontal="left"/>
    </xf>
    <xf numFmtId="0" fontId="0" fillId="6" borderId="0" xfId="0" applyFill="1" applyBorder="1" applyAlignment="1">
      <alignment horizontal="left"/>
    </xf>
    <xf numFmtId="0" fontId="30" fillId="2" borderId="0" xfId="0" applyFont="1" applyFill="1" applyAlignment="1" applyProtection="1">
      <alignment horizontal="center"/>
      <protection locked="0"/>
    </xf>
    <xf numFmtId="0" fontId="30" fillId="2" borderId="61" xfId="0" applyFont="1" applyFill="1" applyBorder="1" applyAlignment="1" applyProtection="1">
      <alignment horizontal="center"/>
      <protection locked="0"/>
    </xf>
    <xf numFmtId="0" fontId="65" fillId="2" borderId="0" xfId="0" applyFont="1" applyFill="1" applyAlignment="1" applyProtection="1">
      <alignment horizontal="center"/>
      <protection locked="0"/>
    </xf>
    <xf numFmtId="0" fontId="13" fillId="4" borderId="4" xfId="0" applyFont="1" applyFill="1" applyBorder="1" applyAlignment="1" applyProtection="1">
      <alignment horizontal="left"/>
    </xf>
    <xf numFmtId="0" fontId="13" fillId="4" borderId="0" xfId="0" applyFont="1" applyFill="1" applyBorder="1" applyAlignment="1" applyProtection="1">
      <alignment horizontal="left"/>
    </xf>
    <xf numFmtId="0" fontId="0" fillId="0" borderId="0" xfId="0" applyAlignment="1">
      <alignment horizontal="left"/>
    </xf>
    <xf numFmtId="0" fontId="0" fillId="0" borderId="4" xfId="0" applyBorder="1" applyAlignment="1">
      <alignment horizontal="left"/>
    </xf>
    <xf numFmtId="0" fontId="0" fillId="0" borderId="6" xfId="0" applyBorder="1" applyAlignment="1">
      <alignment horizontal="left"/>
    </xf>
    <xf numFmtId="0" fontId="13" fillId="6" borderId="2" xfId="0" applyFont="1" applyFill="1" applyBorder="1" applyAlignment="1" applyProtection="1">
      <alignment horizontal="left"/>
    </xf>
    <xf numFmtId="0" fontId="0" fillId="0" borderId="9" xfId="0" applyBorder="1" applyAlignment="1">
      <alignment horizontal="left"/>
    </xf>
    <xf numFmtId="165" fontId="27" fillId="9" borderId="9" xfId="0" applyNumberFormat="1" applyFont="1" applyFill="1" applyBorder="1" applyAlignment="1" applyProtection="1">
      <alignment horizontal="center" vertical="center"/>
    </xf>
    <xf numFmtId="165" fontId="27" fillId="9" borderId="0" xfId="0" applyNumberFormat="1" applyFont="1" applyFill="1" applyBorder="1" applyAlignment="1" applyProtection="1">
      <alignment horizontal="center" vertical="center"/>
    </xf>
    <xf numFmtId="0" fontId="57" fillId="2" borderId="0" xfId="0" applyFont="1" applyFill="1" applyAlignment="1" applyProtection="1">
      <alignment horizontal="center" vertical="center"/>
    </xf>
    <xf numFmtId="0" fontId="64" fillId="2" borderId="0" xfId="0" applyFont="1" applyFill="1" applyBorder="1" applyAlignment="1" applyProtection="1">
      <alignment horizontal="left" vertical="center" wrapText="1"/>
    </xf>
    <xf numFmtId="0" fontId="64" fillId="2" borderId="0" xfId="0" applyFont="1" applyFill="1" applyAlignment="1" applyProtection="1">
      <alignment horizontal="left" wrapText="1"/>
      <protection locked="0"/>
    </xf>
    <xf numFmtId="0" fontId="0" fillId="0" borderId="0" xfId="0" applyAlignment="1">
      <alignment horizontal="left" wrapText="1"/>
    </xf>
    <xf numFmtId="0" fontId="67" fillId="28" borderId="32" xfId="2" quotePrefix="1" applyFont="1" applyFill="1" applyBorder="1" applyAlignment="1" applyProtection="1">
      <alignment horizontal="center" vertical="center" wrapText="1"/>
    </xf>
    <xf numFmtId="0" fontId="67" fillId="28" borderId="33" xfId="2" applyFont="1" applyFill="1" applyBorder="1" applyAlignment="1" applyProtection="1">
      <alignment horizontal="center" vertical="center" wrapText="1"/>
    </xf>
    <xf numFmtId="165" fontId="27" fillId="2" borderId="54" xfId="0" applyNumberFormat="1" applyFont="1" applyFill="1" applyBorder="1" applyAlignment="1" applyProtection="1">
      <alignment horizontal="center" vertical="center"/>
    </xf>
    <xf numFmtId="0" fontId="28" fillId="9" borderId="0" xfId="0" applyFont="1" applyFill="1" applyBorder="1" applyAlignment="1" applyProtection="1">
      <alignment horizontal="left"/>
    </xf>
    <xf numFmtId="0" fontId="27" fillId="9" borderId="81" xfId="0" applyFont="1" applyFill="1" applyBorder="1" applyAlignment="1" applyProtection="1">
      <alignment horizontal="center" vertical="center"/>
    </xf>
    <xf numFmtId="1" fontId="28" fillId="9" borderId="77" xfId="0" applyNumberFormat="1" applyFont="1" applyFill="1" applyBorder="1" applyAlignment="1" applyProtection="1">
      <alignment horizontal="center" vertical="center"/>
    </xf>
    <xf numFmtId="0" fontId="28" fillId="9" borderId="77" xfId="0" applyFont="1" applyFill="1" applyBorder="1" applyAlignment="1" applyProtection="1">
      <alignment horizontal="center" vertical="center"/>
    </xf>
    <xf numFmtId="0" fontId="28" fillId="9" borderId="80" xfId="0" applyFont="1" applyFill="1" applyBorder="1" applyAlignment="1" applyProtection="1">
      <alignment horizontal="center" vertical="center"/>
    </xf>
    <xf numFmtId="0" fontId="98" fillId="28" borderId="78" xfId="2" applyFont="1" applyFill="1" applyBorder="1" applyAlignment="1" applyProtection="1">
      <alignment horizontal="center" vertical="center" wrapText="1"/>
    </xf>
    <xf numFmtId="0" fontId="98" fillId="28" borderId="33" xfId="2" applyFont="1" applyFill="1" applyBorder="1" applyAlignment="1" applyProtection="1">
      <alignment horizontal="center" vertical="center" wrapText="1"/>
    </xf>
    <xf numFmtId="165" fontId="27" fillId="9" borderId="81" xfId="0" applyNumberFormat="1" applyFont="1" applyFill="1" applyBorder="1" applyAlignment="1" applyProtection="1">
      <alignment horizontal="center" vertical="center"/>
    </xf>
    <xf numFmtId="165" fontId="27" fillId="9" borderId="60" xfId="0" applyNumberFormat="1" applyFont="1" applyFill="1" applyBorder="1" applyAlignment="1" applyProtection="1">
      <alignment horizontal="center" vertical="center"/>
    </xf>
    <xf numFmtId="0" fontId="49" fillId="23" borderId="77" xfId="7" applyFont="1" applyFill="1" applyBorder="1" applyAlignment="1" applyProtection="1">
      <alignment horizontal="center" wrapText="1"/>
    </xf>
    <xf numFmtId="0" fontId="49" fillId="23" borderId="80" xfId="7" applyFont="1" applyFill="1" applyBorder="1" applyAlignment="1" applyProtection="1">
      <alignment horizontal="center" wrapText="1"/>
    </xf>
    <xf numFmtId="0" fontId="95" fillId="46" borderId="79" xfId="2" applyFont="1" applyFill="1" applyBorder="1" applyAlignment="1" applyProtection="1">
      <alignment horizontal="center" vertical="center"/>
    </xf>
    <xf numFmtId="0" fontId="95" fillId="46" borderId="80" xfId="2" applyFont="1" applyFill="1" applyBorder="1" applyAlignment="1" applyProtection="1">
      <alignment horizontal="center" vertical="center"/>
    </xf>
    <xf numFmtId="0" fontId="95" fillId="46" borderId="59" xfId="2" applyFont="1" applyFill="1" applyBorder="1" applyAlignment="1" applyProtection="1">
      <alignment horizontal="center" vertical="center"/>
    </xf>
    <xf numFmtId="0" fontId="95" fillId="46" borderId="60" xfId="2" applyFont="1" applyFill="1" applyBorder="1" applyAlignment="1" applyProtection="1">
      <alignment horizontal="center" vertical="center"/>
    </xf>
    <xf numFmtId="0" fontId="30" fillId="9" borderId="0" xfId="0" applyFont="1" applyFill="1" applyBorder="1" applyAlignment="1" applyProtection="1">
      <alignment horizontal="center"/>
    </xf>
    <xf numFmtId="0" fontId="62" fillId="9" borderId="54" xfId="0" applyFont="1" applyFill="1" applyBorder="1" applyAlignment="1" applyProtection="1">
      <alignment horizontal="center" vertical="center" wrapText="1"/>
    </xf>
    <xf numFmtId="0" fontId="0" fillId="18" borderId="77" xfId="0" applyFill="1" applyBorder="1" applyAlignment="1" applyProtection="1">
      <alignment horizontal="center"/>
    </xf>
    <xf numFmtId="0" fontId="29" fillId="18" borderId="77" xfId="0" applyFont="1" applyFill="1" applyBorder="1" applyAlignment="1" applyProtection="1">
      <alignment horizontal="center" vertical="center"/>
    </xf>
    <xf numFmtId="0" fontId="29" fillId="18" borderId="81" xfId="0" applyFont="1" applyFill="1" applyBorder="1" applyAlignment="1" applyProtection="1">
      <alignment horizontal="center" vertical="center"/>
    </xf>
    <xf numFmtId="0" fontId="29" fillId="18" borderId="77" xfId="0" applyFont="1" applyFill="1" applyBorder="1" applyAlignment="1" applyProtection="1">
      <alignment horizontal="center" vertical="center" wrapText="1" shrinkToFit="1"/>
    </xf>
    <xf numFmtId="0" fontId="29" fillId="18" borderId="81" xfId="0" applyFont="1" applyFill="1" applyBorder="1" applyAlignment="1" applyProtection="1">
      <alignment horizontal="center" vertical="center" wrapText="1" shrinkToFit="1"/>
    </xf>
    <xf numFmtId="0" fontId="28" fillId="20" borderId="81" xfId="0" applyFont="1" applyFill="1" applyBorder="1" applyAlignment="1" applyProtection="1">
      <alignment horizontal="center"/>
    </xf>
    <xf numFmtId="0" fontId="29" fillId="18" borderId="77" xfId="0" applyFont="1" applyFill="1" applyBorder="1" applyAlignment="1" applyProtection="1">
      <alignment horizontal="center" vertical="center" wrapText="1"/>
    </xf>
    <xf numFmtId="0" fontId="29" fillId="18" borderId="81" xfId="0" applyFont="1" applyFill="1" applyBorder="1" applyAlignment="1" applyProtection="1">
      <alignment horizontal="center" vertical="center" wrapText="1"/>
    </xf>
    <xf numFmtId="0" fontId="0" fillId="2" borderId="0" xfId="0" applyFill="1" applyAlignment="1" applyProtection="1">
      <alignment horizontal="center"/>
      <protection locked="0"/>
    </xf>
    <xf numFmtId="0" fontId="2" fillId="48" borderId="23" xfId="0" applyFont="1" applyFill="1" applyBorder="1" applyAlignment="1">
      <alignment horizontal="center" wrapText="1"/>
    </xf>
    <xf numFmtId="0" fontId="2" fillId="48" borderId="22" xfId="0" applyFont="1" applyFill="1" applyBorder="1" applyAlignment="1">
      <alignment horizontal="center" wrapText="1"/>
    </xf>
    <xf numFmtId="0" fontId="2" fillId="25" borderId="47" xfId="0" applyFont="1" applyFill="1" applyBorder="1" applyAlignment="1">
      <alignment horizontal="center" vertical="center" wrapText="1"/>
    </xf>
    <xf numFmtId="0" fontId="2" fillId="25" borderId="21" xfId="0" applyFont="1" applyFill="1" applyBorder="1" applyAlignment="1">
      <alignment horizontal="center" vertical="center" wrapText="1"/>
    </xf>
    <xf numFmtId="0" fontId="2" fillId="25" borderId="22" xfId="0" applyFont="1" applyFill="1" applyBorder="1" applyAlignment="1">
      <alignment horizontal="center" vertical="center" wrapText="1"/>
    </xf>
    <xf numFmtId="0" fontId="2" fillId="25" borderId="48" xfId="0" applyFont="1" applyFill="1" applyBorder="1" applyAlignment="1">
      <alignment horizontal="center" vertical="center" wrapText="1"/>
    </xf>
    <xf numFmtId="0" fontId="2" fillId="25" borderId="24" xfId="0" applyFont="1" applyFill="1" applyBorder="1" applyAlignment="1">
      <alignment horizontal="center" vertical="center" wrapText="1"/>
    </xf>
    <xf numFmtId="0" fontId="2" fillId="25" borderId="25" xfId="0" applyFont="1" applyFill="1" applyBorder="1" applyAlignment="1">
      <alignment horizontal="center" vertical="center" wrapText="1"/>
    </xf>
    <xf numFmtId="0" fontId="2" fillId="25" borderId="23" xfId="0" applyFont="1" applyFill="1" applyBorder="1" applyAlignment="1">
      <alignment horizontal="center" vertical="center" wrapText="1"/>
    </xf>
    <xf numFmtId="0" fontId="2" fillId="25" borderId="26" xfId="0" applyFont="1" applyFill="1" applyBorder="1" applyAlignment="1">
      <alignment horizontal="center" vertical="center" wrapText="1"/>
    </xf>
    <xf numFmtId="0" fontId="9" fillId="28" borderId="0" xfId="2" applyFill="1" applyAlignment="1" applyProtection="1">
      <alignment horizontal="center" vertical="center"/>
    </xf>
    <xf numFmtId="0" fontId="9" fillId="28" borderId="0" xfId="2" quotePrefix="1" applyFill="1" applyAlignment="1" applyProtection="1">
      <alignment horizontal="center" vertical="center" wrapText="1"/>
    </xf>
    <xf numFmtId="0" fontId="91" fillId="26" borderId="32" xfId="11" applyFont="1" applyFill="1" applyBorder="1" applyAlignment="1" applyProtection="1">
      <alignment horizontal="center" wrapText="1"/>
    </xf>
    <xf numFmtId="0" fontId="91" fillId="26" borderId="33" xfId="11" applyFont="1" applyFill="1" applyBorder="1" applyAlignment="1" applyProtection="1">
      <alignment horizontal="center" wrapText="1"/>
    </xf>
    <xf numFmtId="0" fontId="91" fillId="26" borderId="10" xfId="11" applyFont="1" applyFill="1" applyBorder="1" applyAlignment="1" applyProtection="1">
      <alignment horizontal="center"/>
    </xf>
    <xf numFmtId="0" fontId="91" fillId="26" borderId="11" xfId="11" applyFont="1" applyFill="1" applyBorder="1" applyAlignment="1" applyProtection="1">
      <alignment horizontal="center"/>
    </xf>
    <xf numFmtId="0" fontId="91" fillId="26" borderId="12" xfId="11" applyFont="1" applyFill="1" applyBorder="1" applyAlignment="1" applyProtection="1">
      <alignment horizontal="center"/>
    </xf>
    <xf numFmtId="0" fontId="10" fillId="2" borderId="32" xfId="0" applyFont="1" applyFill="1" applyBorder="1" applyAlignment="1">
      <alignment horizontal="left" vertical="top" wrapText="1"/>
    </xf>
    <xf numFmtId="0" fontId="10" fillId="2" borderId="44" xfId="0" applyFont="1" applyFill="1" applyBorder="1" applyAlignment="1">
      <alignment horizontal="left" vertical="top" wrapText="1"/>
    </xf>
    <xf numFmtId="0" fontId="10" fillId="2" borderId="33" xfId="0" applyFont="1" applyFill="1" applyBorder="1" applyAlignment="1">
      <alignment horizontal="left" vertical="top" wrapText="1"/>
    </xf>
    <xf numFmtId="0" fontId="91" fillId="2" borderId="10" xfId="11" applyFont="1" applyFill="1" applyBorder="1" applyAlignment="1" applyProtection="1">
      <alignment horizontal="left"/>
    </xf>
    <xf numFmtId="0" fontId="91" fillId="2" borderId="12" xfId="11" applyFont="1" applyFill="1" applyBorder="1" applyAlignment="1" applyProtection="1">
      <alignment horizontal="left"/>
    </xf>
    <xf numFmtId="0" fontId="67" fillId="6" borderId="10" xfId="2" quotePrefix="1" applyFont="1" applyFill="1" applyBorder="1" applyAlignment="1" applyProtection="1">
      <alignment horizontal="center"/>
    </xf>
    <xf numFmtId="0" fontId="67" fillId="6" borderId="11" xfId="2" quotePrefix="1" applyFont="1" applyFill="1" applyBorder="1" applyAlignment="1" applyProtection="1">
      <alignment horizontal="center"/>
    </xf>
    <xf numFmtId="0" fontId="67" fillId="6" borderId="12" xfId="2" quotePrefix="1" applyFont="1" applyFill="1" applyBorder="1" applyAlignment="1" applyProtection="1">
      <alignment horizontal="center"/>
    </xf>
    <xf numFmtId="0" fontId="0" fillId="17" borderId="0" xfId="0" applyFill="1" applyAlignment="1">
      <alignment wrapText="1"/>
    </xf>
    <xf numFmtId="0" fontId="0" fillId="2" borderId="44" xfId="0" applyFill="1" applyBorder="1" applyAlignment="1">
      <alignment horizontal="left" wrapText="1"/>
    </xf>
  </cellXfs>
  <cellStyles count="200">
    <cellStyle name="20% - Accent1 2" xfId="12" xr:uid="{00000000-0005-0000-0000-000000000000}"/>
    <cellStyle name="20% - Accent2 2" xfId="13" xr:uid="{00000000-0005-0000-0000-000001000000}"/>
    <cellStyle name="20% - Accent3 2" xfId="14" xr:uid="{00000000-0005-0000-0000-000002000000}"/>
    <cellStyle name="20% - Accent4 2" xfId="15" xr:uid="{00000000-0005-0000-0000-000003000000}"/>
    <cellStyle name="20% - Accent5 2" xfId="16" xr:uid="{00000000-0005-0000-0000-000004000000}"/>
    <cellStyle name="20% - Accent6 2" xfId="17" xr:uid="{00000000-0005-0000-0000-000005000000}"/>
    <cellStyle name="40% - Accent1 2" xfId="18" xr:uid="{00000000-0005-0000-0000-000006000000}"/>
    <cellStyle name="40% - Accent2 2" xfId="19" xr:uid="{00000000-0005-0000-0000-000007000000}"/>
    <cellStyle name="40% - Accent3" xfId="4" builtinId="39"/>
    <cellStyle name="40% - Accent3 2" xfId="20" xr:uid="{00000000-0005-0000-0000-000009000000}"/>
    <cellStyle name="40% - Accent3 3" xfId="68" xr:uid="{00000000-0005-0000-0000-00000A000000}"/>
    <cellStyle name="40% - Accent3 4" xfId="67" xr:uid="{00000000-0005-0000-0000-00000B000000}"/>
    <cellStyle name="40% - Accent4" xfId="5" builtinId="43"/>
    <cellStyle name="40% - Accent4 2" xfId="21" xr:uid="{00000000-0005-0000-0000-00000D000000}"/>
    <cellStyle name="40% - Accent5 2" xfId="22" xr:uid="{00000000-0005-0000-0000-00000E000000}"/>
    <cellStyle name="40% - Accent6 2" xfId="23" xr:uid="{00000000-0005-0000-0000-00000F000000}"/>
    <cellStyle name="60% - Accent1 2" xfId="24" xr:uid="{00000000-0005-0000-0000-000010000000}"/>
    <cellStyle name="60% - Accent2 2" xfId="25" xr:uid="{00000000-0005-0000-0000-000011000000}"/>
    <cellStyle name="60% - Accent3 2" xfId="26" xr:uid="{00000000-0005-0000-0000-000012000000}"/>
    <cellStyle name="60% - Accent4 2" xfId="27" xr:uid="{00000000-0005-0000-0000-000013000000}"/>
    <cellStyle name="60% - Accent5 2" xfId="28" xr:uid="{00000000-0005-0000-0000-000014000000}"/>
    <cellStyle name="60% - Accent6 2" xfId="29" xr:uid="{00000000-0005-0000-0000-000015000000}"/>
    <cellStyle name="Accent1 2" xfId="30" xr:uid="{00000000-0005-0000-0000-000016000000}"/>
    <cellStyle name="Accent2 2" xfId="31" xr:uid="{00000000-0005-0000-0000-000017000000}"/>
    <cellStyle name="Accent3 2" xfId="32" xr:uid="{00000000-0005-0000-0000-000018000000}"/>
    <cellStyle name="Accent4 2" xfId="33" xr:uid="{00000000-0005-0000-0000-000019000000}"/>
    <cellStyle name="Accent5 2" xfId="34" xr:uid="{00000000-0005-0000-0000-00001A000000}"/>
    <cellStyle name="Accent6 2" xfId="35" xr:uid="{00000000-0005-0000-0000-00001B000000}"/>
    <cellStyle name="Bad 2" xfId="36" xr:uid="{00000000-0005-0000-0000-00001C000000}"/>
    <cellStyle name="Calculation 2" xfId="37" xr:uid="{00000000-0005-0000-0000-00001D000000}"/>
    <cellStyle name="Calculation 2 2" xfId="59" xr:uid="{00000000-0005-0000-0000-00001E000000}"/>
    <cellStyle name="Calculation 2 2 2" xfId="102" xr:uid="{00000000-0005-0000-0000-00001F000000}"/>
    <cellStyle name="Calculation 2 2 2 2" xfId="159" xr:uid="{00000000-0005-0000-0000-000020000000}"/>
    <cellStyle name="Calculation 2 2 2 3" xfId="183" xr:uid="{00000000-0005-0000-0000-000021000000}"/>
    <cellStyle name="Calculation 2 2 3" xfId="114" xr:uid="{00000000-0005-0000-0000-000022000000}"/>
    <cellStyle name="Calculation 2 2 3 2" xfId="171" xr:uid="{00000000-0005-0000-0000-000023000000}"/>
    <cellStyle name="Calculation 2 2 3 3" xfId="195" xr:uid="{00000000-0005-0000-0000-000024000000}"/>
    <cellStyle name="Calculation 2 2 4" xfId="131" xr:uid="{00000000-0005-0000-0000-000025000000}"/>
    <cellStyle name="Calculation 2 2 5" xfId="122" xr:uid="{00000000-0005-0000-0000-000026000000}"/>
    <cellStyle name="Calculation 2 3" xfId="97" xr:uid="{00000000-0005-0000-0000-000027000000}"/>
    <cellStyle name="Calculation 2 3 2" xfId="154" xr:uid="{00000000-0005-0000-0000-000028000000}"/>
    <cellStyle name="Calculation 2 3 3" xfId="178" xr:uid="{00000000-0005-0000-0000-000029000000}"/>
    <cellStyle name="Calculation 2 4" xfId="109" xr:uid="{00000000-0005-0000-0000-00002A000000}"/>
    <cellStyle name="Calculation 2 4 2" xfId="166" xr:uid="{00000000-0005-0000-0000-00002B000000}"/>
    <cellStyle name="Calculation 2 4 3" xfId="190" xr:uid="{00000000-0005-0000-0000-00002C000000}"/>
    <cellStyle name="Calculation 2 5" xfId="123" xr:uid="{00000000-0005-0000-0000-00002D000000}"/>
    <cellStyle name="Check Cell 2" xfId="38" xr:uid="{00000000-0005-0000-0000-00002E000000}"/>
    <cellStyle name="Comma" xfId="6" builtinId="3"/>
    <cellStyle name="Comma 2" xfId="9" xr:uid="{00000000-0005-0000-0000-000030000000}"/>
    <cellStyle name="Comma 2 2" xfId="40" xr:uid="{00000000-0005-0000-0000-000031000000}"/>
    <cellStyle name="Comma 2 2 2" xfId="125" xr:uid="{00000000-0005-0000-0000-000032000000}"/>
    <cellStyle name="Comma 2 3" xfId="89" xr:uid="{00000000-0005-0000-0000-000033000000}"/>
    <cellStyle name="Comma 2 4" xfId="80" xr:uid="{00000000-0005-0000-0000-000034000000}"/>
    <cellStyle name="Comma 3" xfId="39" xr:uid="{00000000-0005-0000-0000-000035000000}"/>
    <cellStyle name="Comma 3 2" xfId="124" xr:uid="{00000000-0005-0000-0000-000036000000}"/>
    <cellStyle name="Comma 4" xfId="69" xr:uid="{00000000-0005-0000-0000-000037000000}"/>
    <cellStyle name="Comma 4 2" xfId="91" xr:uid="{00000000-0005-0000-0000-000038000000}"/>
    <cellStyle name="Comma 4 2 2" xfId="150" xr:uid="{00000000-0005-0000-0000-000039000000}"/>
    <cellStyle name="Comma 4 3" xfId="81" xr:uid="{00000000-0005-0000-0000-00003A000000}"/>
    <cellStyle name="Comma 4 3 2" xfId="143" xr:uid="{00000000-0005-0000-0000-00003B000000}"/>
    <cellStyle name="Comma 4 4" xfId="138" xr:uid="{00000000-0005-0000-0000-00003C000000}"/>
    <cellStyle name="Comma 5" xfId="87" xr:uid="{00000000-0005-0000-0000-00003D000000}"/>
    <cellStyle name="Comma 5 2" xfId="147" xr:uid="{00000000-0005-0000-0000-00003E000000}"/>
    <cellStyle name="Comma 6" xfId="120" xr:uid="{00000000-0005-0000-0000-00003F000000}"/>
    <cellStyle name="Currency" xfId="1" builtinId="4"/>
    <cellStyle name="Currency 2" xfId="41" xr:uid="{00000000-0005-0000-0000-000041000000}"/>
    <cellStyle name="Currency 2 2" xfId="126" xr:uid="{00000000-0005-0000-0000-000042000000}"/>
    <cellStyle name="Currency 3" xfId="71" xr:uid="{00000000-0005-0000-0000-000043000000}"/>
    <cellStyle name="Currency 3 2" xfId="92" xr:uid="{00000000-0005-0000-0000-000044000000}"/>
    <cellStyle name="Currency 3 2 2" xfId="151" xr:uid="{00000000-0005-0000-0000-000045000000}"/>
    <cellStyle name="Currency 3 3" xfId="82" xr:uid="{00000000-0005-0000-0000-000046000000}"/>
    <cellStyle name="Currency 3 3 2" xfId="144" xr:uid="{00000000-0005-0000-0000-000047000000}"/>
    <cellStyle name="Currency 3 4" xfId="140" xr:uid="{00000000-0005-0000-0000-000048000000}"/>
    <cellStyle name="Currency 4" xfId="70" xr:uid="{00000000-0005-0000-0000-000049000000}"/>
    <cellStyle name="Currency 4 2" xfId="139" xr:uid="{00000000-0005-0000-0000-00004A000000}"/>
    <cellStyle name="Currency 5" xfId="85" xr:uid="{00000000-0005-0000-0000-00004B000000}"/>
    <cellStyle name="Currency 5 2" xfId="146" xr:uid="{00000000-0005-0000-0000-00004C000000}"/>
    <cellStyle name="Currency 6" xfId="119" xr:uid="{00000000-0005-0000-0000-00004D000000}"/>
    <cellStyle name="Explanatory Text 2" xfId="42" xr:uid="{00000000-0005-0000-0000-00004E000000}"/>
    <cellStyle name="Good 2" xfId="43" xr:uid="{00000000-0005-0000-0000-00004F000000}"/>
    <cellStyle name="Graphics" xfId="8" xr:uid="{00000000-0005-0000-0000-000050000000}"/>
    <cellStyle name="Graphics 2" xfId="88" xr:uid="{00000000-0005-0000-0000-000051000000}"/>
    <cellStyle name="Graphics 3" xfId="83" xr:uid="{00000000-0005-0000-0000-000052000000}"/>
    <cellStyle name="Heading 1 2" xfId="44" xr:uid="{00000000-0005-0000-0000-000053000000}"/>
    <cellStyle name="Heading 2 2" xfId="45" xr:uid="{00000000-0005-0000-0000-000054000000}"/>
    <cellStyle name="Heading 3 2" xfId="46" xr:uid="{00000000-0005-0000-0000-000055000000}"/>
    <cellStyle name="Heading 4 2" xfId="47" xr:uid="{00000000-0005-0000-0000-000056000000}"/>
    <cellStyle name="Hyperlink" xfId="2" builtinId="8"/>
    <cellStyle name="Hyperlink 2" xfId="10" xr:uid="{00000000-0005-0000-0000-000058000000}"/>
    <cellStyle name="Hyperlink 3" xfId="73" xr:uid="{00000000-0005-0000-0000-000059000000}"/>
    <cellStyle name="Hyperlink 4" xfId="72" xr:uid="{00000000-0005-0000-0000-00005A000000}"/>
    <cellStyle name="Input 2" xfId="48" xr:uid="{00000000-0005-0000-0000-00005B000000}"/>
    <cellStyle name="Input 2 2" xfId="60" xr:uid="{00000000-0005-0000-0000-00005C000000}"/>
    <cellStyle name="Input 2 2 2" xfId="103" xr:uid="{00000000-0005-0000-0000-00005D000000}"/>
    <cellStyle name="Input 2 2 2 2" xfId="160" xr:uid="{00000000-0005-0000-0000-00005E000000}"/>
    <cellStyle name="Input 2 2 2 3" xfId="184" xr:uid="{00000000-0005-0000-0000-00005F000000}"/>
    <cellStyle name="Input 2 2 3" xfId="115" xr:uid="{00000000-0005-0000-0000-000060000000}"/>
    <cellStyle name="Input 2 2 3 2" xfId="172" xr:uid="{00000000-0005-0000-0000-000061000000}"/>
    <cellStyle name="Input 2 2 3 3" xfId="196" xr:uid="{00000000-0005-0000-0000-000062000000}"/>
    <cellStyle name="Input 2 2 4" xfId="132" xr:uid="{00000000-0005-0000-0000-000063000000}"/>
    <cellStyle name="Input 2 2 5" xfId="176" xr:uid="{00000000-0005-0000-0000-000064000000}"/>
    <cellStyle name="Input 2 3" xfId="98" xr:uid="{00000000-0005-0000-0000-000065000000}"/>
    <cellStyle name="Input 2 3 2" xfId="155" xr:uid="{00000000-0005-0000-0000-000066000000}"/>
    <cellStyle name="Input 2 3 3" xfId="179" xr:uid="{00000000-0005-0000-0000-000067000000}"/>
    <cellStyle name="Input 2 4" xfId="110" xr:uid="{00000000-0005-0000-0000-000068000000}"/>
    <cellStyle name="Input 2 4 2" xfId="167" xr:uid="{00000000-0005-0000-0000-000069000000}"/>
    <cellStyle name="Input 2 4 3" xfId="191" xr:uid="{00000000-0005-0000-0000-00006A000000}"/>
    <cellStyle name="Input 2 5" xfId="127" xr:uid="{00000000-0005-0000-0000-00006B000000}"/>
    <cellStyle name="Linked Cell 2" xfId="49" xr:uid="{00000000-0005-0000-0000-00006C000000}"/>
    <cellStyle name="Neutral 2" xfId="50" xr:uid="{00000000-0005-0000-0000-00006D000000}"/>
    <cellStyle name="Normal" xfId="0" builtinId="0"/>
    <cellStyle name="Normal 2" xfId="7" xr:uid="{00000000-0005-0000-0000-00006F000000}"/>
    <cellStyle name="Normal 2 2" xfId="51" xr:uid="{00000000-0005-0000-0000-000070000000}"/>
    <cellStyle name="Normal 3" xfId="52" xr:uid="{00000000-0005-0000-0000-000071000000}"/>
    <cellStyle name="Normal 4" xfId="11" xr:uid="{00000000-0005-0000-0000-000072000000}"/>
    <cellStyle name="Normal 5" xfId="74" xr:uid="{00000000-0005-0000-0000-000073000000}"/>
    <cellStyle name="Normal 6" xfId="66" xr:uid="{00000000-0005-0000-0000-000074000000}"/>
    <cellStyle name="Normal 6 2" xfId="79" xr:uid="{00000000-0005-0000-0000-000075000000}"/>
    <cellStyle name="Normal 6 3" xfId="90" xr:uid="{00000000-0005-0000-0000-000076000000}"/>
    <cellStyle name="Normal 6 3 2" xfId="96" xr:uid="{00000000-0005-0000-0000-000077000000}"/>
    <cellStyle name="Normal 6 3 3" xfId="95" xr:uid="{00000000-0005-0000-0000-000078000000}"/>
    <cellStyle name="Normal 6 3 3 2" xfId="153" xr:uid="{00000000-0005-0000-0000-000079000000}"/>
    <cellStyle name="Normal 7" xfId="94" xr:uid="{00000000-0005-0000-0000-00007A000000}"/>
    <cellStyle name="Normal 7 2" xfId="152" xr:uid="{00000000-0005-0000-0000-00007B000000}"/>
    <cellStyle name="Note 2" xfId="53" xr:uid="{00000000-0005-0000-0000-00007C000000}"/>
    <cellStyle name="Note 2 2" xfId="61" xr:uid="{00000000-0005-0000-0000-00007D000000}"/>
    <cellStyle name="Note 2 2 2" xfId="64" xr:uid="{00000000-0005-0000-0000-00007E000000}"/>
    <cellStyle name="Note 2 2 2 2" xfId="75" xr:uid="{00000000-0005-0000-0000-00007F000000}"/>
    <cellStyle name="Note 2 2 2 2 2" xfId="141" xr:uid="{00000000-0005-0000-0000-000080000000}"/>
    <cellStyle name="Note 2 2 2 2 3" xfId="148" xr:uid="{00000000-0005-0000-0000-000081000000}"/>
    <cellStyle name="Note 2 2 2 3" xfId="107" xr:uid="{00000000-0005-0000-0000-000082000000}"/>
    <cellStyle name="Note 2 2 2 3 2" xfId="164" xr:uid="{00000000-0005-0000-0000-000083000000}"/>
    <cellStyle name="Note 2 2 2 3 3" xfId="188" xr:uid="{00000000-0005-0000-0000-000084000000}"/>
    <cellStyle name="Note 2 2 2 4" xfId="136" xr:uid="{00000000-0005-0000-0000-000085000000}"/>
    <cellStyle name="Note 2 2 3" xfId="65" xr:uid="{00000000-0005-0000-0000-000086000000}"/>
    <cellStyle name="Note 2 2 3 2" xfId="76" xr:uid="{00000000-0005-0000-0000-000087000000}"/>
    <cellStyle name="Note 2 2 3 2 2" xfId="142" xr:uid="{00000000-0005-0000-0000-000088000000}"/>
    <cellStyle name="Note 2 2 3 2 3" xfId="145" xr:uid="{00000000-0005-0000-0000-000089000000}"/>
    <cellStyle name="Note 2 2 3 3" xfId="108" xr:uid="{00000000-0005-0000-0000-00008A000000}"/>
    <cellStyle name="Note 2 2 3 3 2" xfId="165" xr:uid="{00000000-0005-0000-0000-00008B000000}"/>
    <cellStyle name="Note 2 2 3 3 3" xfId="189" xr:uid="{00000000-0005-0000-0000-00008C000000}"/>
    <cellStyle name="Note 2 2 3 4" xfId="137" xr:uid="{00000000-0005-0000-0000-00008D000000}"/>
    <cellStyle name="Note 2 2 4" xfId="104" xr:uid="{00000000-0005-0000-0000-00008E000000}"/>
    <cellStyle name="Note 2 2 4 2" xfId="161" xr:uid="{00000000-0005-0000-0000-00008F000000}"/>
    <cellStyle name="Note 2 2 4 3" xfId="185" xr:uid="{00000000-0005-0000-0000-000090000000}"/>
    <cellStyle name="Note 2 2 5" xfId="116" xr:uid="{00000000-0005-0000-0000-000091000000}"/>
    <cellStyle name="Note 2 2 5 2" xfId="173" xr:uid="{00000000-0005-0000-0000-000092000000}"/>
    <cellStyle name="Note 2 2 5 3" xfId="197" xr:uid="{00000000-0005-0000-0000-000093000000}"/>
    <cellStyle name="Note 2 2 6" xfId="133" xr:uid="{00000000-0005-0000-0000-000094000000}"/>
    <cellStyle name="Note 2 2 7" xfId="177" xr:uid="{00000000-0005-0000-0000-000095000000}"/>
    <cellStyle name="Note 2 3" xfId="99" xr:uid="{00000000-0005-0000-0000-000096000000}"/>
    <cellStyle name="Note 2 3 2" xfId="156" xr:uid="{00000000-0005-0000-0000-000097000000}"/>
    <cellStyle name="Note 2 3 3" xfId="180" xr:uid="{00000000-0005-0000-0000-000098000000}"/>
    <cellStyle name="Note 2 4" xfId="111" xr:uid="{00000000-0005-0000-0000-000099000000}"/>
    <cellStyle name="Note 2 4 2" xfId="168" xr:uid="{00000000-0005-0000-0000-00009A000000}"/>
    <cellStyle name="Note 2 4 3" xfId="192" xr:uid="{00000000-0005-0000-0000-00009B000000}"/>
    <cellStyle name="Note 2 5" xfId="128" xr:uid="{00000000-0005-0000-0000-00009C000000}"/>
    <cellStyle name="Output 2" xfId="54" xr:uid="{00000000-0005-0000-0000-00009D000000}"/>
    <cellStyle name="Output 2 2" xfId="62" xr:uid="{00000000-0005-0000-0000-00009E000000}"/>
    <cellStyle name="Output 2 2 2" xfId="105" xr:uid="{00000000-0005-0000-0000-00009F000000}"/>
    <cellStyle name="Output 2 2 2 2" xfId="162" xr:uid="{00000000-0005-0000-0000-0000A0000000}"/>
    <cellStyle name="Output 2 2 2 3" xfId="186" xr:uid="{00000000-0005-0000-0000-0000A1000000}"/>
    <cellStyle name="Output 2 2 3" xfId="117" xr:uid="{00000000-0005-0000-0000-0000A2000000}"/>
    <cellStyle name="Output 2 2 3 2" xfId="174" xr:uid="{00000000-0005-0000-0000-0000A3000000}"/>
    <cellStyle name="Output 2 2 3 3" xfId="198" xr:uid="{00000000-0005-0000-0000-0000A4000000}"/>
    <cellStyle name="Output 2 2 4" xfId="134" xr:uid="{00000000-0005-0000-0000-0000A5000000}"/>
    <cellStyle name="Output 2 2 5" xfId="121" xr:uid="{00000000-0005-0000-0000-0000A6000000}"/>
    <cellStyle name="Output 2 3" xfId="100" xr:uid="{00000000-0005-0000-0000-0000A7000000}"/>
    <cellStyle name="Output 2 3 2" xfId="157" xr:uid="{00000000-0005-0000-0000-0000A8000000}"/>
    <cellStyle name="Output 2 3 3" xfId="181" xr:uid="{00000000-0005-0000-0000-0000A9000000}"/>
    <cellStyle name="Output 2 4" xfId="112" xr:uid="{00000000-0005-0000-0000-0000AA000000}"/>
    <cellStyle name="Output 2 4 2" xfId="169" xr:uid="{00000000-0005-0000-0000-0000AB000000}"/>
    <cellStyle name="Output 2 4 3" xfId="193" xr:uid="{00000000-0005-0000-0000-0000AC000000}"/>
    <cellStyle name="Output 2 5" xfId="129" xr:uid="{00000000-0005-0000-0000-0000AD000000}"/>
    <cellStyle name="Percent" xfId="3" builtinId="5"/>
    <cellStyle name="Percent 2" xfId="55" xr:uid="{00000000-0005-0000-0000-0000AF000000}"/>
    <cellStyle name="Percent 3" xfId="78" xr:uid="{00000000-0005-0000-0000-0000B0000000}"/>
    <cellStyle name="Percent 3 2" xfId="93" xr:uid="{00000000-0005-0000-0000-0000B1000000}"/>
    <cellStyle name="Percent 3 3" xfId="84" xr:uid="{00000000-0005-0000-0000-0000B2000000}"/>
    <cellStyle name="Percent 4" xfId="77" xr:uid="{00000000-0005-0000-0000-0000B3000000}"/>
    <cellStyle name="Percent 5" xfId="86" xr:uid="{00000000-0005-0000-0000-0000B4000000}"/>
    <cellStyle name="Title 2" xfId="56" xr:uid="{00000000-0005-0000-0000-0000B5000000}"/>
    <cellStyle name="Total 2" xfId="57" xr:uid="{00000000-0005-0000-0000-0000B6000000}"/>
    <cellStyle name="Total 2 2" xfId="63" xr:uid="{00000000-0005-0000-0000-0000B7000000}"/>
    <cellStyle name="Total 2 2 2" xfId="106" xr:uid="{00000000-0005-0000-0000-0000B8000000}"/>
    <cellStyle name="Total 2 2 2 2" xfId="163" xr:uid="{00000000-0005-0000-0000-0000B9000000}"/>
    <cellStyle name="Total 2 2 2 3" xfId="187" xr:uid="{00000000-0005-0000-0000-0000BA000000}"/>
    <cellStyle name="Total 2 2 3" xfId="118" xr:uid="{00000000-0005-0000-0000-0000BB000000}"/>
    <cellStyle name="Total 2 2 3 2" xfId="175" xr:uid="{00000000-0005-0000-0000-0000BC000000}"/>
    <cellStyle name="Total 2 2 3 3" xfId="199" xr:uid="{00000000-0005-0000-0000-0000BD000000}"/>
    <cellStyle name="Total 2 2 4" xfId="135" xr:uid="{00000000-0005-0000-0000-0000BE000000}"/>
    <cellStyle name="Total 2 2 5" xfId="149" xr:uid="{00000000-0005-0000-0000-0000BF000000}"/>
    <cellStyle name="Total 2 3" xfId="101" xr:uid="{00000000-0005-0000-0000-0000C0000000}"/>
    <cellStyle name="Total 2 3 2" xfId="158" xr:uid="{00000000-0005-0000-0000-0000C1000000}"/>
    <cellStyle name="Total 2 3 3" xfId="182" xr:uid="{00000000-0005-0000-0000-0000C2000000}"/>
    <cellStyle name="Total 2 4" xfId="113" xr:uid="{00000000-0005-0000-0000-0000C3000000}"/>
    <cellStyle name="Total 2 4 2" xfId="170" xr:uid="{00000000-0005-0000-0000-0000C4000000}"/>
    <cellStyle name="Total 2 4 3" xfId="194" xr:uid="{00000000-0005-0000-0000-0000C5000000}"/>
    <cellStyle name="Total 2 5" xfId="130" xr:uid="{00000000-0005-0000-0000-0000C6000000}"/>
    <cellStyle name="Warning Text 2" xfId="58" xr:uid="{00000000-0005-0000-0000-0000C7000000}"/>
  </cellStyles>
  <dxfs count="77">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ont>
        <b/>
        <i val="0"/>
        <color theme="1"/>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theme="0" tint="-0.14996795556505021"/>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Your farm</a:t>
            </a:r>
          </a:p>
        </c:rich>
      </c:tx>
      <c:layout>
        <c:manualLayout>
          <c:xMode val="edge"/>
          <c:yMode val="edge"/>
          <c:x val="0.23282596743983289"/>
          <c:y val="2.272727724633684E-2"/>
        </c:manualLayout>
      </c:layout>
      <c:overlay val="0"/>
    </c:title>
    <c:autoTitleDeleted val="0"/>
    <c:plotArea>
      <c:layout>
        <c:manualLayout>
          <c:layoutTarget val="inner"/>
          <c:xMode val="edge"/>
          <c:yMode val="edge"/>
          <c:x val="0.19408188407887436"/>
          <c:y val="3.2383600920521692E-2"/>
          <c:w val="0.54791308224546653"/>
          <c:h val="0.95997982690180261"/>
        </c:manualLayout>
      </c:layout>
      <c:pieChart>
        <c:varyColors val="1"/>
        <c:ser>
          <c:idx val="0"/>
          <c:order val="0"/>
          <c:dLbls>
            <c:dLbl>
              <c:idx val="0"/>
              <c:layout>
                <c:manualLayout>
                  <c:x val="-6.2500007323304213E-2"/>
                  <c:y val="-0.12121214531379658"/>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0AA-4796-ABFA-1699BD77FF32}"/>
                </c:ext>
              </c:extLst>
            </c:dLbl>
            <c:dLbl>
              <c:idx val="1"/>
              <c:layout>
                <c:manualLayout>
                  <c:x val="-3.6499348108753763E-4"/>
                  <c:y val="-2.2038499570209889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0AA-4796-ABFA-1699BD77FF32}"/>
                </c:ext>
              </c:extLst>
            </c:dLbl>
            <c:dLbl>
              <c:idx val="2"/>
              <c:layout>
                <c:manualLayout>
                  <c:x val="1.3392858712136614E-2"/>
                  <c:y val="0"/>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0AA-4796-ABFA-1699BD77FF32}"/>
                </c:ext>
              </c:extLst>
            </c:dLbl>
            <c:dLbl>
              <c:idx val="3"/>
              <c:layout>
                <c:manualLayout>
                  <c:x val="1.3392858712136614E-2"/>
                  <c:y val="0"/>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AA-4796-ABFA-1699BD77FF32}"/>
                </c:ext>
              </c:extLst>
            </c:dLbl>
            <c:dLbl>
              <c:idx val="4"/>
              <c:layout>
                <c:manualLayout>
                  <c:x val="-5.9523816498385012E-3"/>
                  <c:y val="7.575759082112281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0AA-4796-ABFA-1699BD77FF32}"/>
                </c:ext>
              </c:extLst>
            </c:dLbl>
            <c:dLbl>
              <c:idx val="5"/>
              <c:layout>
                <c:manualLayout>
                  <c:x val="-1.7857144949515492E-2"/>
                  <c:y val="-4.0404048437932175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AA-4796-ABFA-1699BD77FF32}"/>
                </c:ext>
              </c:extLst>
            </c:dLbl>
            <c:dLbl>
              <c:idx val="6"/>
              <c:layout>
                <c:manualLayout>
                  <c:x val="2.2321431186894357E-2"/>
                  <c:y val="-2.020202421896608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0AA-4796-ABFA-1699BD77FF32}"/>
                </c:ext>
              </c:extLst>
            </c:dLbl>
            <c:dLbl>
              <c:idx val="7"/>
              <c:layout>
                <c:manualLayout>
                  <c:x val="8.7797629335117797E-2"/>
                  <c:y val="0"/>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AA-4796-ABFA-1699BD77FF32}"/>
                </c:ext>
              </c:extLst>
            </c:dLbl>
            <c:spPr>
              <a:noFill/>
              <a:ln>
                <a:noFill/>
              </a:ln>
              <a:effectLst/>
            </c:spPr>
            <c:txPr>
              <a:bodyPr/>
              <a:lstStyle/>
              <a:p>
                <a:pPr>
                  <a:defRPr sz="1100"/>
                </a:pPr>
                <a:endParaRPr lang="en-US"/>
              </a:p>
            </c:txPr>
            <c:dLblPos val="outEnd"/>
            <c:showLegendKey val="1"/>
            <c:showVal val="0"/>
            <c:showCatName val="1"/>
            <c:showSerName val="0"/>
            <c:showPercent val="1"/>
            <c:showBubbleSize val="0"/>
            <c:separator>; </c:separator>
            <c:showLeaderLines val="1"/>
            <c:extLst>
              <c:ext xmlns:c15="http://schemas.microsoft.com/office/drawing/2012/chart" uri="{CE6537A1-D6FC-4f65-9D91-7224C49458BB}"/>
            </c:extLst>
          </c:dLbls>
          <c:cat>
            <c:strRef>
              <c:f>'Data for graphs'!$A$2:$A$9</c:f>
              <c:strCache>
                <c:ptCount val="8"/>
                <c:pt idx="0">
                  <c:v>Enteric methane</c:v>
                </c:pt>
                <c:pt idx="1">
                  <c:v>Waste methane</c:v>
                </c:pt>
                <c:pt idx="2">
                  <c:v>Direct N2O animal waste</c:v>
                </c:pt>
                <c:pt idx="3">
                  <c:v>Direct N2O N fertiliser</c:v>
                </c:pt>
                <c:pt idx="4">
                  <c:v>Indirect N2O animal waste</c:v>
                </c:pt>
                <c:pt idx="5">
                  <c:v>Indirect N2O N fertiliser</c:v>
                </c:pt>
                <c:pt idx="6">
                  <c:v>Energy consumption</c:v>
                </c:pt>
                <c:pt idx="7">
                  <c:v>Pre-farm embedded</c:v>
                </c:pt>
              </c:strCache>
            </c:strRef>
          </c:cat>
          <c:val>
            <c:numRef>
              <c:f>'Data for graphs'!$B$2:$B$9</c:f>
              <c:numCache>
                <c:formatCode>0%</c:formatCode>
                <c:ptCount val="8"/>
                <c:pt idx="0">
                  <c:v>0</c:v>
                </c:pt>
                <c:pt idx="1">
                  <c:v>0</c:v>
                </c:pt>
                <c:pt idx="2">
                  <c:v>0</c:v>
                </c:pt>
                <c:pt idx="3">
                  <c:v>0</c:v>
                </c:pt>
                <c:pt idx="4">
                  <c:v>0</c:v>
                </c:pt>
                <c:pt idx="5">
                  <c:v>0</c:v>
                </c:pt>
                <c:pt idx="6">
                  <c:v>#N/A</c:v>
                </c:pt>
                <c:pt idx="7">
                  <c:v>0</c:v>
                </c:pt>
              </c:numCache>
            </c:numRef>
          </c:val>
          <c:extLst>
            <c:ext xmlns:c16="http://schemas.microsoft.com/office/drawing/2014/chart" uri="{C3380CC4-5D6E-409C-BE32-E72D297353CC}">
              <c16:uniqueId val="{00000008-B0AA-4796-ABFA-1699BD77FF32}"/>
            </c:ext>
          </c:extLst>
        </c:ser>
        <c:dLbls>
          <c:showLegendKey val="0"/>
          <c:showVal val="0"/>
          <c:showCatName val="0"/>
          <c:showSerName val="0"/>
          <c:showPercent val="0"/>
          <c:showBubbleSize val="0"/>
          <c:showLeaderLines val="1"/>
        </c:dLbls>
        <c:firstSliceAng val="180"/>
      </c:pieChart>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88097162759601E-2"/>
          <c:y val="3.374411874080422E-2"/>
          <c:w val="0.92281005558715812"/>
          <c:h val="0.84738702323400539"/>
        </c:manualLayout>
      </c:layout>
      <c:barChart>
        <c:barDir val="col"/>
        <c:grouping val="clustered"/>
        <c:varyColors val="0"/>
        <c:ser>
          <c:idx val="1"/>
          <c:order val="0"/>
          <c:tx>
            <c:strRef>
              <c:f>'Data for graphs'!$M$1</c:f>
              <c:strCache>
                <c:ptCount val="1"/>
                <c:pt idx="0">
                  <c:v>Old NGGI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graphs'!$K$2:$K$9</c:f>
              <c:strCache>
                <c:ptCount val="8"/>
                <c:pt idx="0">
                  <c:v>Enteric methane</c:v>
                </c:pt>
                <c:pt idx="1">
                  <c:v>Waste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graphs'!$M$2:$M$9</c:f>
              <c:numCache>
                <c:formatCode>0%</c:formatCode>
                <c:ptCount val="8"/>
                <c:pt idx="0">
                  <c:v>0</c:v>
                </c:pt>
                <c:pt idx="1">
                  <c:v>0</c:v>
                </c:pt>
                <c:pt idx="2">
                  <c:v>0</c:v>
                </c:pt>
                <c:pt idx="3">
                  <c:v>0</c:v>
                </c:pt>
                <c:pt idx="4">
                  <c:v>0</c:v>
                </c:pt>
                <c:pt idx="5">
                  <c:v>0</c:v>
                </c:pt>
                <c:pt idx="6">
                  <c:v>#N/A</c:v>
                </c:pt>
                <c:pt idx="7">
                  <c:v>0</c:v>
                </c:pt>
              </c:numCache>
            </c:numRef>
          </c:val>
          <c:extLst>
            <c:ext xmlns:c16="http://schemas.microsoft.com/office/drawing/2014/chart" uri="{C3380CC4-5D6E-409C-BE32-E72D297353CC}">
              <c16:uniqueId val="{00000000-CA58-4BB1-B2DA-E4ACD25BAD62}"/>
            </c:ext>
          </c:extLst>
        </c:ser>
        <c:ser>
          <c:idx val="0"/>
          <c:order val="1"/>
          <c:tx>
            <c:strRef>
              <c:f>'Data for graphs'!$L$1</c:f>
              <c:strCache>
                <c:ptCount val="1"/>
                <c:pt idx="0">
                  <c:v>New NGGI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graphs'!$K$2:$K$9</c:f>
              <c:strCache>
                <c:ptCount val="8"/>
                <c:pt idx="0">
                  <c:v>Enteric methane</c:v>
                </c:pt>
                <c:pt idx="1">
                  <c:v>Waste methane</c:v>
                </c:pt>
                <c:pt idx="2">
                  <c:v>Direct N2O from animal waste</c:v>
                </c:pt>
                <c:pt idx="3">
                  <c:v>Direct N2O from N fertiliser</c:v>
                </c:pt>
                <c:pt idx="4">
                  <c:v>Indirect N2O from animal waste</c:v>
                </c:pt>
                <c:pt idx="5">
                  <c:v>Indirect N2O from N fertiliser</c:v>
                </c:pt>
                <c:pt idx="6">
                  <c:v>Energy consumption</c:v>
                </c:pt>
                <c:pt idx="7">
                  <c:v>Pre-farm embedded</c:v>
                </c:pt>
              </c:strCache>
            </c:strRef>
          </c:cat>
          <c:val>
            <c:numRef>
              <c:f>'Data for graphs'!$L$2:$L$9</c:f>
              <c:numCache>
                <c:formatCode>0%</c:formatCode>
                <c:ptCount val="8"/>
                <c:pt idx="0">
                  <c:v>0</c:v>
                </c:pt>
                <c:pt idx="1">
                  <c:v>0</c:v>
                </c:pt>
                <c:pt idx="2">
                  <c:v>0</c:v>
                </c:pt>
                <c:pt idx="3">
                  <c:v>0</c:v>
                </c:pt>
                <c:pt idx="4">
                  <c:v>0</c:v>
                </c:pt>
                <c:pt idx="5">
                  <c:v>0</c:v>
                </c:pt>
                <c:pt idx="6">
                  <c:v>#N/A</c:v>
                </c:pt>
                <c:pt idx="7">
                  <c:v>0</c:v>
                </c:pt>
              </c:numCache>
            </c:numRef>
          </c:val>
          <c:extLst>
            <c:ext xmlns:c16="http://schemas.microsoft.com/office/drawing/2014/chart" uri="{C3380CC4-5D6E-409C-BE32-E72D297353CC}">
              <c16:uniqueId val="{00000001-CA58-4BB1-B2DA-E4ACD25BAD62}"/>
            </c:ext>
          </c:extLst>
        </c:ser>
        <c:dLbls>
          <c:showLegendKey val="0"/>
          <c:showVal val="0"/>
          <c:showCatName val="0"/>
          <c:showSerName val="0"/>
          <c:showPercent val="0"/>
          <c:showBubbleSize val="0"/>
        </c:dLbls>
        <c:gapWidth val="150"/>
        <c:axId val="346811600"/>
        <c:axId val="346811992"/>
      </c:barChart>
      <c:catAx>
        <c:axId val="346811600"/>
        <c:scaling>
          <c:orientation val="minMax"/>
        </c:scaling>
        <c:delete val="0"/>
        <c:axPos val="b"/>
        <c:numFmt formatCode="General" sourceLinked="0"/>
        <c:majorTickMark val="out"/>
        <c:minorTickMark val="none"/>
        <c:tickLblPos val="nextTo"/>
        <c:crossAx val="346811992"/>
        <c:crosses val="autoZero"/>
        <c:auto val="1"/>
        <c:lblAlgn val="ctr"/>
        <c:lblOffset val="100"/>
        <c:noMultiLvlLbl val="0"/>
      </c:catAx>
      <c:valAx>
        <c:axId val="346811992"/>
        <c:scaling>
          <c:orientation val="minMax"/>
        </c:scaling>
        <c:delete val="0"/>
        <c:axPos val="l"/>
        <c:title>
          <c:tx>
            <c:rich>
              <a:bodyPr/>
              <a:lstStyle/>
              <a:p>
                <a:pPr>
                  <a:defRPr/>
                </a:pPr>
                <a:r>
                  <a:rPr lang="en-US"/>
                  <a:t>Percentage of total emissions (%)</a:t>
                </a:r>
              </a:p>
            </c:rich>
          </c:tx>
          <c:layout>
            <c:manualLayout>
              <c:xMode val="edge"/>
              <c:yMode val="edge"/>
              <c:x val="6.0836501901140681E-3"/>
              <c:y val="0.26672250157641997"/>
            </c:manualLayout>
          </c:layout>
          <c:overlay val="0"/>
        </c:title>
        <c:numFmt formatCode="0%" sourceLinked="1"/>
        <c:majorTickMark val="out"/>
        <c:minorTickMark val="none"/>
        <c:tickLblPos val="nextTo"/>
        <c:crossAx val="346811600"/>
        <c:crosses val="autoZero"/>
        <c:crossBetween val="between"/>
      </c:valAx>
    </c:plotArea>
    <c:legend>
      <c:legendPos val="r"/>
      <c:layout>
        <c:manualLayout>
          <c:xMode val="edge"/>
          <c:yMode val="edge"/>
          <c:x val="0.71903148608325096"/>
          <c:y val="2.4973079597083218E-2"/>
          <c:w val="0.251564204664531"/>
          <c:h val="0.11227128436460841"/>
        </c:manualLayout>
      </c:layout>
      <c:overlay val="0"/>
      <c:txPr>
        <a:bodyPr/>
        <a:lstStyle/>
        <a:p>
          <a:pPr>
            <a:defRPr sz="16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533623454309"/>
          <c:y val="7.3499996471096812E-2"/>
          <c:w val="0.88188674299913528"/>
          <c:h val="0.58824521585331402"/>
        </c:manualLayout>
      </c:layout>
      <c:barChart>
        <c:barDir val="col"/>
        <c:grouping val="clustered"/>
        <c:varyColors val="0"/>
        <c:ser>
          <c:idx val="0"/>
          <c:order val="0"/>
          <c:tx>
            <c:strRef>
              <c:f>'Data for graphs'!$T$2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graphs'!$S$3:$S$6</c:f>
              <c:strCache>
                <c:ptCount val="4"/>
                <c:pt idx="0">
                  <c:v>Carbon credits </c:v>
                </c:pt>
                <c:pt idx="1">
                  <c:v>Implementation expenses</c:v>
                </c:pt>
                <c:pt idx="2">
                  <c:v>Additional milk income </c:v>
                </c:pt>
                <c:pt idx="3">
                  <c:v>Total farm benefit</c:v>
                </c:pt>
              </c:strCache>
            </c:strRef>
          </c:cat>
          <c:val>
            <c:numRef>
              <c:f>'Data for graphs'!$T$3:$T$6</c:f>
              <c:numCache>
                <c:formatCode>"$"#,##0</c:formatCode>
                <c:ptCount val="4"/>
                <c:pt idx="0">
                  <c:v>0</c:v>
                </c:pt>
                <c:pt idx="1">
                  <c:v>0</c:v>
                </c:pt>
                <c:pt idx="2">
                  <c:v>0</c:v>
                </c:pt>
                <c:pt idx="3">
                  <c:v>0</c:v>
                </c:pt>
              </c:numCache>
            </c:numRef>
          </c:val>
          <c:extLst>
            <c:ext xmlns:c16="http://schemas.microsoft.com/office/drawing/2014/chart" uri="{C3380CC4-5D6E-409C-BE32-E72D297353CC}">
              <c16:uniqueId val="{00000000-4D37-4614-90BF-499B9E6C409B}"/>
            </c:ext>
          </c:extLst>
        </c:ser>
        <c:ser>
          <c:idx val="1"/>
          <c:order val="1"/>
          <c:tx>
            <c:strRef>
              <c:f>'Data for graphs'!$U$2</c:f>
              <c:strCache>
                <c:ptCount val="1"/>
                <c:pt idx="0">
                  <c:v>Change in income &amp; expenses based on reduction in GHG emissions intensity ($ per annum)</c:v>
                </c:pt>
              </c:strCache>
            </c:strRef>
          </c:tx>
          <c:invertIfNegative val="0"/>
          <c:dLbls>
            <c:numFmt formatCode="&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graphs'!$S$3:$S$6</c:f>
              <c:strCache>
                <c:ptCount val="4"/>
                <c:pt idx="0">
                  <c:v>Carbon credits </c:v>
                </c:pt>
                <c:pt idx="1">
                  <c:v>Implementation expenses</c:v>
                </c:pt>
                <c:pt idx="2">
                  <c:v>Additional milk income </c:v>
                </c:pt>
                <c:pt idx="3">
                  <c:v>Total farm benefit</c:v>
                </c:pt>
              </c:strCache>
            </c:strRef>
          </c:cat>
          <c:val>
            <c:numRef>
              <c:f>'Data for graphs'!$U$3:$U$6</c:f>
              <c:numCache>
                <c:formatCode>"$"#,##0</c:formatCode>
                <c:ptCount val="4"/>
                <c:pt idx="0">
                  <c:v>0</c:v>
                </c:pt>
                <c:pt idx="1">
                  <c:v>0</c:v>
                </c:pt>
                <c:pt idx="2">
                  <c:v>0</c:v>
                </c:pt>
                <c:pt idx="3">
                  <c:v>0</c:v>
                </c:pt>
              </c:numCache>
            </c:numRef>
          </c:val>
          <c:extLst>
            <c:ext xmlns:c16="http://schemas.microsoft.com/office/drawing/2014/chart" uri="{C3380CC4-5D6E-409C-BE32-E72D297353CC}">
              <c16:uniqueId val="{00000001-4D37-4614-90BF-499B9E6C409B}"/>
            </c:ext>
          </c:extLst>
        </c:ser>
        <c:dLbls>
          <c:showLegendKey val="0"/>
          <c:showVal val="0"/>
          <c:showCatName val="0"/>
          <c:showSerName val="0"/>
          <c:showPercent val="0"/>
          <c:showBubbleSize val="0"/>
        </c:dLbls>
        <c:gapWidth val="150"/>
        <c:overlap val="-25"/>
        <c:axId val="346813560"/>
        <c:axId val="346813952"/>
      </c:barChart>
      <c:catAx>
        <c:axId val="346813560"/>
        <c:scaling>
          <c:orientation val="minMax"/>
        </c:scaling>
        <c:delete val="0"/>
        <c:axPos val="b"/>
        <c:numFmt formatCode="General" sourceLinked="1"/>
        <c:majorTickMark val="out"/>
        <c:minorTickMark val="none"/>
        <c:tickLblPos val="low"/>
        <c:txPr>
          <a:bodyPr rot="-2700000"/>
          <a:lstStyle/>
          <a:p>
            <a:pPr>
              <a:defRPr/>
            </a:pPr>
            <a:endParaRPr lang="en-US"/>
          </a:p>
        </c:txPr>
        <c:crossAx val="346813952"/>
        <c:crosses val="autoZero"/>
        <c:auto val="1"/>
        <c:lblAlgn val="ctr"/>
        <c:lblOffset val="100"/>
        <c:noMultiLvlLbl val="0"/>
      </c:catAx>
      <c:valAx>
        <c:axId val="346813952"/>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9.8491776041640007E-3"/>
              <c:y val="7.7158532880807915E-2"/>
            </c:manualLayout>
          </c:layout>
          <c:overlay val="0"/>
        </c:title>
        <c:numFmt formatCode="\$#,##0" sourceLinked="0"/>
        <c:majorTickMark val="out"/>
        <c:minorTickMark val="none"/>
        <c:tickLblPos val="nextTo"/>
        <c:crossAx val="346813560"/>
        <c:crossesAt val="1"/>
        <c:crossBetween val="between"/>
      </c:valAx>
    </c:plotArea>
    <c:legend>
      <c:legendPos val="t"/>
      <c:layout>
        <c:manualLayout>
          <c:xMode val="edge"/>
          <c:yMode val="edge"/>
          <c:x val="1.3659821929953651E-2"/>
          <c:y val="6.6177738324479703E-3"/>
          <c:w val="0.95905348031689774"/>
          <c:h val="6.2568894633719313E-2"/>
        </c:manualLayout>
      </c:layout>
      <c:overlay val="0"/>
    </c:legend>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21" l="0.70000000000000062" r="0.70000000000000062" t="0.7500000000000142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7595452925238"/>
          <c:y val="5.7252467139407924E-2"/>
          <c:w val="0.87001722849301766"/>
          <c:h val="0.39896445184881074"/>
        </c:manualLayout>
      </c:layout>
      <c:barChart>
        <c:barDir val="col"/>
        <c:grouping val="clustered"/>
        <c:varyColors val="0"/>
        <c:ser>
          <c:idx val="0"/>
          <c:order val="0"/>
          <c:tx>
            <c:strRef>
              <c:f>'Data for graphs'!$X$2</c:f>
              <c:strCache>
                <c:ptCount val="1"/>
                <c:pt idx="0">
                  <c:v>Change in income &amp; expenses based on reduction in total farm GHG emissions ($ per annum)</c:v>
                </c:pt>
              </c:strCache>
            </c:strRef>
          </c:tx>
          <c:invertIfNegative val="0"/>
          <c:dLbls>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graphs'!$W$3:$W$6</c:f>
              <c:strCache>
                <c:ptCount val="4"/>
                <c:pt idx="0">
                  <c:v>Carbon credits </c:v>
                </c:pt>
                <c:pt idx="1">
                  <c:v>Implementation expenses</c:v>
                </c:pt>
                <c:pt idx="2">
                  <c:v>Additional milk income </c:v>
                </c:pt>
                <c:pt idx="3">
                  <c:v>Total farm benefit</c:v>
                </c:pt>
              </c:strCache>
            </c:strRef>
          </c:cat>
          <c:val>
            <c:numRef>
              <c:f>'Data for graphs'!$X$3:$X$6</c:f>
              <c:numCache>
                <c:formatCode>"$"#,##0</c:formatCode>
                <c:ptCount val="4"/>
                <c:pt idx="0">
                  <c:v>0</c:v>
                </c:pt>
                <c:pt idx="1">
                  <c:v>0</c:v>
                </c:pt>
                <c:pt idx="2">
                  <c:v>0</c:v>
                </c:pt>
                <c:pt idx="3">
                  <c:v>0</c:v>
                </c:pt>
              </c:numCache>
            </c:numRef>
          </c:val>
          <c:extLst>
            <c:ext xmlns:c16="http://schemas.microsoft.com/office/drawing/2014/chart" uri="{C3380CC4-5D6E-409C-BE32-E72D297353CC}">
              <c16:uniqueId val="{00000000-44EF-4D87-A15C-F192D2C1F9C6}"/>
            </c:ext>
          </c:extLst>
        </c:ser>
        <c:ser>
          <c:idx val="1"/>
          <c:order val="1"/>
          <c:tx>
            <c:strRef>
              <c:f>'Data for graphs'!$Y$2</c:f>
              <c:strCache>
                <c:ptCount val="1"/>
                <c:pt idx="0">
                  <c:v>Change in income &amp; expenses based on reduction in GHG emissions intensity ($ per annum)</c:v>
                </c:pt>
              </c:strCache>
            </c:strRef>
          </c:tx>
          <c:invertIfNegative val="0"/>
          <c:dLbls>
            <c:numFmt formatCode="&quot;$&quot;#,##0" sourceLinked="0"/>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graphs'!$W$3:$W$6</c:f>
              <c:strCache>
                <c:ptCount val="4"/>
                <c:pt idx="0">
                  <c:v>Carbon credits </c:v>
                </c:pt>
                <c:pt idx="1">
                  <c:v>Implementation expenses</c:v>
                </c:pt>
                <c:pt idx="2">
                  <c:v>Additional milk income </c:v>
                </c:pt>
                <c:pt idx="3">
                  <c:v>Total farm benefit</c:v>
                </c:pt>
              </c:strCache>
            </c:strRef>
          </c:cat>
          <c:val>
            <c:numRef>
              <c:f>'Data for graphs'!$Y$3:$Y$6</c:f>
              <c:numCache>
                <c:formatCode>"$"#,##0</c:formatCode>
                <c:ptCount val="4"/>
                <c:pt idx="0">
                  <c:v>0</c:v>
                </c:pt>
                <c:pt idx="1">
                  <c:v>0</c:v>
                </c:pt>
                <c:pt idx="2">
                  <c:v>0</c:v>
                </c:pt>
                <c:pt idx="3">
                  <c:v>0</c:v>
                </c:pt>
              </c:numCache>
            </c:numRef>
          </c:val>
          <c:extLst>
            <c:ext xmlns:c16="http://schemas.microsoft.com/office/drawing/2014/chart" uri="{C3380CC4-5D6E-409C-BE32-E72D297353CC}">
              <c16:uniqueId val="{00000001-44EF-4D87-A15C-F192D2C1F9C6}"/>
            </c:ext>
          </c:extLst>
        </c:ser>
        <c:dLbls>
          <c:showLegendKey val="0"/>
          <c:showVal val="0"/>
          <c:showCatName val="0"/>
          <c:showSerName val="0"/>
          <c:showPercent val="0"/>
          <c:showBubbleSize val="0"/>
        </c:dLbls>
        <c:gapWidth val="150"/>
        <c:overlap val="-25"/>
        <c:axId val="346816304"/>
        <c:axId val="346816696"/>
      </c:barChart>
      <c:catAx>
        <c:axId val="346816304"/>
        <c:scaling>
          <c:orientation val="minMax"/>
        </c:scaling>
        <c:delete val="0"/>
        <c:axPos val="b"/>
        <c:numFmt formatCode="General" sourceLinked="1"/>
        <c:majorTickMark val="out"/>
        <c:minorTickMark val="none"/>
        <c:tickLblPos val="low"/>
        <c:txPr>
          <a:bodyPr rot="-2700000"/>
          <a:lstStyle/>
          <a:p>
            <a:pPr>
              <a:defRPr sz="1100"/>
            </a:pPr>
            <a:endParaRPr lang="en-US"/>
          </a:p>
        </c:txPr>
        <c:crossAx val="346816696"/>
        <c:crosses val="autoZero"/>
        <c:auto val="1"/>
        <c:lblAlgn val="ctr"/>
        <c:lblOffset val="100"/>
        <c:noMultiLvlLbl val="0"/>
      </c:catAx>
      <c:valAx>
        <c:axId val="346816696"/>
        <c:scaling>
          <c:orientation val="minMax"/>
        </c:scaling>
        <c:delete val="0"/>
        <c:axPos val="l"/>
        <c:title>
          <c:tx>
            <c:rich>
              <a:bodyPr/>
              <a:lstStyle/>
              <a:p>
                <a:pPr>
                  <a:defRPr sz="1050"/>
                </a:pPr>
                <a:r>
                  <a:rPr lang="en-US" sz="1050"/>
                  <a:t>Increase in income and expenses associated with the strategy relative to BAU ($/annum)</a:t>
                </a:r>
              </a:p>
            </c:rich>
          </c:tx>
          <c:layout>
            <c:manualLayout>
              <c:xMode val="edge"/>
              <c:yMode val="edge"/>
              <c:x val="8.0239123732727801E-3"/>
              <c:y val="3.369954209287282E-2"/>
            </c:manualLayout>
          </c:layout>
          <c:overlay val="0"/>
        </c:title>
        <c:numFmt formatCode="\$#,##0" sourceLinked="0"/>
        <c:majorTickMark val="out"/>
        <c:minorTickMark val="none"/>
        <c:tickLblPos val="nextTo"/>
        <c:txPr>
          <a:bodyPr/>
          <a:lstStyle/>
          <a:p>
            <a:pPr>
              <a:defRPr sz="1050"/>
            </a:pPr>
            <a:endParaRPr lang="en-US"/>
          </a:p>
        </c:txPr>
        <c:crossAx val="346816304"/>
        <c:crossesAt val="1"/>
        <c:crossBetween val="between"/>
      </c:valAx>
    </c:plotArea>
    <c:legend>
      <c:legendPos val="t"/>
      <c:layout>
        <c:manualLayout>
          <c:xMode val="edge"/>
          <c:yMode val="edge"/>
          <c:x val="1.6452828803293601E-2"/>
          <c:y val="2.9420924990209097E-4"/>
          <c:w val="0.96137551263960086"/>
          <c:h val="4.9283007773387878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21" l="0.70000000000000062" r="0.70000000000000062" t="0.750000000000014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2242486401645"/>
          <c:y val="7.3242651686871454E-2"/>
          <c:w val="0.85982402422504833"/>
          <c:h val="0.4279416289914077"/>
        </c:manualLayout>
      </c:layout>
      <c:barChart>
        <c:barDir val="col"/>
        <c:grouping val="clustered"/>
        <c:varyColors val="0"/>
        <c:ser>
          <c:idx val="0"/>
          <c:order val="0"/>
          <c:tx>
            <c:strRef>
              <c:f>'Data for graphs'!$AB$2</c:f>
              <c:strCache>
                <c:ptCount val="1"/>
                <c:pt idx="0">
                  <c:v>Change in income &amp; expenses based on reduction in total farm GHG emissions ($ per annum)</c:v>
                </c:pt>
              </c:strCache>
            </c:strRef>
          </c:tx>
          <c:invertIfNegative val="0"/>
          <c:dLbls>
            <c:numFmt formatCode="\$#,##0" sourceLinked="0"/>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graphs'!$AA$3:$AA$6</c:f>
              <c:strCache>
                <c:ptCount val="4"/>
                <c:pt idx="0">
                  <c:v>Carbon credits </c:v>
                </c:pt>
                <c:pt idx="1">
                  <c:v>Implementation expenses</c:v>
                </c:pt>
                <c:pt idx="2">
                  <c:v>Additional milk income </c:v>
                </c:pt>
                <c:pt idx="3">
                  <c:v>Total farm benefit</c:v>
                </c:pt>
              </c:strCache>
            </c:strRef>
          </c:cat>
          <c:val>
            <c:numRef>
              <c:f>'Data for graphs'!$AB$3:$AB$6</c:f>
              <c:numCache>
                <c:formatCode>"$"#,##0</c:formatCode>
                <c:ptCount val="4"/>
                <c:pt idx="0">
                  <c:v>0</c:v>
                </c:pt>
                <c:pt idx="1">
                  <c:v>0</c:v>
                </c:pt>
                <c:pt idx="2">
                  <c:v>0</c:v>
                </c:pt>
                <c:pt idx="3">
                  <c:v>0</c:v>
                </c:pt>
              </c:numCache>
            </c:numRef>
          </c:val>
          <c:extLst>
            <c:ext xmlns:c16="http://schemas.microsoft.com/office/drawing/2014/chart" uri="{C3380CC4-5D6E-409C-BE32-E72D297353CC}">
              <c16:uniqueId val="{00000000-E24C-48BD-A689-84394A804EEE}"/>
            </c:ext>
          </c:extLst>
        </c:ser>
        <c:ser>
          <c:idx val="1"/>
          <c:order val="1"/>
          <c:tx>
            <c:strRef>
              <c:f>'Data for graphs'!$AC$2</c:f>
              <c:strCache>
                <c:ptCount val="1"/>
                <c:pt idx="0">
                  <c:v>Change in income &amp; expenses based on reduction in GHG emissions intensity ($ per annum)</c:v>
                </c:pt>
              </c:strCache>
            </c:strRef>
          </c:tx>
          <c:invertIfNegative val="0"/>
          <c:dLbls>
            <c:numFmt formatCode="&quot;$&quot;#,##0" sourceLinked="0"/>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graphs'!$AA$3:$AA$6</c:f>
              <c:strCache>
                <c:ptCount val="4"/>
                <c:pt idx="0">
                  <c:v>Carbon credits </c:v>
                </c:pt>
                <c:pt idx="1">
                  <c:v>Implementation expenses</c:v>
                </c:pt>
                <c:pt idx="2">
                  <c:v>Additional milk income </c:v>
                </c:pt>
                <c:pt idx="3">
                  <c:v>Total farm benefit</c:v>
                </c:pt>
              </c:strCache>
            </c:strRef>
          </c:cat>
          <c:val>
            <c:numRef>
              <c:f>'Data for graphs'!$AC$3:$AC$6</c:f>
              <c:numCache>
                <c:formatCode>"$"#,##0</c:formatCode>
                <c:ptCount val="4"/>
                <c:pt idx="0">
                  <c:v>0</c:v>
                </c:pt>
                <c:pt idx="1">
                  <c:v>0</c:v>
                </c:pt>
                <c:pt idx="2">
                  <c:v>0</c:v>
                </c:pt>
                <c:pt idx="3">
                  <c:v>0</c:v>
                </c:pt>
              </c:numCache>
            </c:numRef>
          </c:val>
          <c:extLst>
            <c:ext xmlns:c16="http://schemas.microsoft.com/office/drawing/2014/chart" uri="{C3380CC4-5D6E-409C-BE32-E72D297353CC}">
              <c16:uniqueId val="{00000001-E24C-48BD-A689-84394A804EEE}"/>
            </c:ext>
          </c:extLst>
        </c:ser>
        <c:dLbls>
          <c:showLegendKey val="0"/>
          <c:showVal val="0"/>
          <c:showCatName val="0"/>
          <c:showSerName val="0"/>
          <c:showPercent val="0"/>
          <c:showBubbleSize val="0"/>
        </c:dLbls>
        <c:gapWidth val="150"/>
        <c:overlap val="-25"/>
        <c:axId val="352807544"/>
        <c:axId val="352807936"/>
      </c:barChart>
      <c:catAx>
        <c:axId val="352807544"/>
        <c:scaling>
          <c:orientation val="minMax"/>
        </c:scaling>
        <c:delete val="0"/>
        <c:axPos val="b"/>
        <c:numFmt formatCode="General" sourceLinked="1"/>
        <c:majorTickMark val="out"/>
        <c:minorTickMark val="none"/>
        <c:tickLblPos val="low"/>
        <c:txPr>
          <a:bodyPr rot="-2700000"/>
          <a:lstStyle/>
          <a:p>
            <a:pPr>
              <a:defRPr sz="1100"/>
            </a:pPr>
            <a:endParaRPr lang="en-US"/>
          </a:p>
        </c:txPr>
        <c:crossAx val="352807936"/>
        <c:crosses val="autoZero"/>
        <c:auto val="1"/>
        <c:lblAlgn val="ctr"/>
        <c:lblOffset val="100"/>
        <c:noMultiLvlLbl val="0"/>
      </c:catAx>
      <c:valAx>
        <c:axId val="352807936"/>
        <c:scaling>
          <c:orientation val="minMax"/>
        </c:scaling>
        <c:delete val="0"/>
        <c:axPos val="l"/>
        <c:title>
          <c:tx>
            <c:rich>
              <a:bodyPr/>
              <a:lstStyle/>
              <a:p>
                <a:pPr>
                  <a:defRPr sz="1100"/>
                </a:pPr>
                <a:r>
                  <a:rPr lang="en-US" sz="1100"/>
                  <a:t>Increase in income and expenses associated with the strategy relative to BAU ($/annum)</a:t>
                </a:r>
              </a:p>
            </c:rich>
          </c:tx>
          <c:layout>
            <c:manualLayout>
              <c:xMode val="edge"/>
              <c:yMode val="edge"/>
              <c:x val="1.2930991650368824E-2"/>
              <c:y val="2.7449320867528351E-2"/>
            </c:manualLayout>
          </c:layout>
          <c:overlay val="0"/>
        </c:title>
        <c:numFmt formatCode="\$#,##0" sourceLinked="0"/>
        <c:majorTickMark val="out"/>
        <c:minorTickMark val="none"/>
        <c:tickLblPos val="nextTo"/>
        <c:txPr>
          <a:bodyPr/>
          <a:lstStyle/>
          <a:p>
            <a:pPr>
              <a:defRPr sz="1100"/>
            </a:pPr>
            <a:endParaRPr lang="en-US"/>
          </a:p>
        </c:txPr>
        <c:crossAx val="352807544"/>
        <c:crossesAt val="1"/>
        <c:crossBetween val="between"/>
      </c:valAx>
    </c:plotArea>
    <c:legend>
      <c:legendPos val="t"/>
      <c:layout>
        <c:manualLayout>
          <c:xMode val="edge"/>
          <c:yMode val="edge"/>
          <c:x val="1.7548830323860301E-2"/>
          <c:y val="1.7402387810353981E-3"/>
          <c:w val="0.96097927409386941"/>
          <c:h val="5.3142274263434083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43" l="0.70000000000000062" r="0.70000000000000062" t="0.750000000000014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1698233135649"/>
          <c:y val="7.5675423527181304E-2"/>
          <c:w val="0.88139797583573265"/>
          <c:h val="0.50173764036844348"/>
        </c:manualLayout>
      </c:layout>
      <c:barChart>
        <c:barDir val="col"/>
        <c:grouping val="clustered"/>
        <c:varyColors val="0"/>
        <c:ser>
          <c:idx val="0"/>
          <c:order val="0"/>
          <c:tx>
            <c:strRef>
              <c:f>'Data for graphs'!$AF$2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graphs'!$AE$3:$AE$6</c:f>
              <c:strCache>
                <c:ptCount val="4"/>
                <c:pt idx="0">
                  <c:v>Carbon credits </c:v>
                </c:pt>
                <c:pt idx="1">
                  <c:v>Implementation expenses</c:v>
                </c:pt>
                <c:pt idx="2">
                  <c:v>Additional milk income </c:v>
                </c:pt>
                <c:pt idx="3">
                  <c:v>Total farm benefit</c:v>
                </c:pt>
              </c:strCache>
            </c:strRef>
          </c:cat>
          <c:val>
            <c:numRef>
              <c:f>'Data for graphs'!$AF$3:$AF$6</c:f>
              <c:numCache>
                <c:formatCode>"$"#,##0</c:formatCode>
                <c:ptCount val="4"/>
                <c:pt idx="0">
                  <c:v>0</c:v>
                </c:pt>
                <c:pt idx="1">
                  <c:v>0</c:v>
                </c:pt>
                <c:pt idx="2">
                  <c:v>0</c:v>
                </c:pt>
                <c:pt idx="3">
                  <c:v>0</c:v>
                </c:pt>
              </c:numCache>
            </c:numRef>
          </c:val>
          <c:extLst>
            <c:ext xmlns:c16="http://schemas.microsoft.com/office/drawing/2014/chart" uri="{C3380CC4-5D6E-409C-BE32-E72D297353CC}">
              <c16:uniqueId val="{00000000-D2B2-4302-B902-F7E5297AC4D5}"/>
            </c:ext>
          </c:extLst>
        </c:ser>
        <c:ser>
          <c:idx val="1"/>
          <c:order val="1"/>
          <c:tx>
            <c:strRef>
              <c:f>'Data for graphs'!$AG$2</c:f>
              <c:strCache>
                <c:ptCount val="1"/>
                <c:pt idx="0">
                  <c:v>Change in income &amp; expenses based on reduction in GHG emissions intensity ($ per annum)</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graphs'!$AE$3:$AE$6</c:f>
              <c:strCache>
                <c:ptCount val="4"/>
                <c:pt idx="0">
                  <c:v>Carbon credits </c:v>
                </c:pt>
                <c:pt idx="1">
                  <c:v>Implementation expenses</c:v>
                </c:pt>
                <c:pt idx="2">
                  <c:v>Additional milk income </c:v>
                </c:pt>
                <c:pt idx="3">
                  <c:v>Total farm benefit</c:v>
                </c:pt>
              </c:strCache>
            </c:strRef>
          </c:cat>
          <c:val>
            <c:numRef>
              <c:f>'Data for graphs'!$AG$3:$AG$6</c:f>
              <c:numCache>
                <c:formatCode>"$"#,##0</c:formatCode>
                <c:ptCount val="4"/>
                <c:pt idx="0">
                  <c:v>0</c:v>
                </c:pt>
                <c:pt idx="1">
                  <c:v>0</c:v>
                </c:pt>
                <c:pt idx="2">
                  <c:v>0</c:v>
                </c:pt>
                <c:pt idx="3">
                  <c:v>0</c:v>
                </c:pt>
              </c:numCache>
            </c:numRef>
          </c:val>
          <c:extLst>
            <c:ext xmlns:c16="http://schemas.microsoft.com/office/drawing/2014/chart" uri="{C3380CC4-5D6E-409C-BE32-E72D297353CC}">
              <c16:uniqueId val="{00000001-D2B2-4302-B902-F7E5297AC4D5}"/>
            </c:ext>
          </c:extLst>
        </c:ser>
        <c:dLbls>
          <c:showLegendKey val="0"/>
          <c:showVal val="0"/>
          <c:showCatName val="0"/>
          <c:showSerName val="0"/>
          <c:showPercent val="0"/>
          <c:showBubbleSize val="0"/>
        </c:dLbls>
        <c:gapWidth val="150"/>
        <c:overlap val="-25"/>
        <c:axId val="352809504"/>
        <c:axId val="352809896"/>
      </c:barChart>
      <c:catAx>
        <c:axId val="352809504"/>
        <c:scaling>
          <c:orientation val="minMax"/>
        </c:scaling>
        <c:delete val="0"/>
        <c:axPos val="b"/>
        <c:numFmt formatCode="General" sourceLinked="1"/>
        <c:majorTickMark val="out"/>
        <c:minorTickMark val="none"/>
        <c:tickLblPos val="low"/>
        <c:txPr>
          <a:bodyPr rot="-2700000"/>
          <a:lstStyle/>
          <a:p>
            <a:pPr>
              <a:defRPr/>
            </a:pPr>
            <a:endParaRPr lang="en-US"/>
          </a:p>
        </c:txPr>
        <c:crossAx val="352809896"/>
        <c:crosses val="autoZero"/>
        <c:auto val="1"/>
        <c:lblAlgn val="ctr"/>
        <c:lblOffset val="100"/>
        <c:noMultiLvlLbl val="0"/>
      </c:catAx>
      <c:valAx>
        <c:axId val="352809896"/>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5.6815288564177223E-3"/>
              <c:y val="4.0535515147312885E-2"/>
            </c:manualLayout>
          </c:layout>
          <c:overlay val="0"/>
        </c:title>
        <c:numFmt formatCode="\$#,##0" sourceLinked="0"/>
        <c:majorTickMark val="out"/>
        <c:minorTickMark val="none"/>
        <c:tickLblPos val="nextTo"/>
        <c:crossAx val="352809504"/>
        <c:crossesAt val="1"/>
        <c:crossBetween val="between"/>
      </c:valAx>
    </c:plotArea>
    <c:legend>
      <c:legendPos val="t"/>
      <c:layout>
        <c:manualLayout>
          <c:xMode val="edge"/>
          <c:yMode val="edge"/>
          <c:x val="8.3740291427495707E-3"/>
          <c:y val="1.1316460173458859E-2"/>
          <c:w val="0.97058693535709051"/>
          <c:h val="5.9118456565012453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9873749201272"/>
          <c:y val="7.5896123910852514E-2"/>
          <c:w val="0.87704091441716381"/>
          <c:h val="0.53455178596293773"/>
        </c:manualLayout>
      </c:layout>
      <c:barChart>
        <c:barDir val="col"/>
        <c:grouping val="clustered"/>
        <c:varyColors val="0"/>
        <c:ser>
          <c:idx val="0"/>
          <c:order val="0"/>
          <c:tx>
            <c:strRef>
              <c:f>'Data for graphs'!$AJ$2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graphs'!$AI$3:$AI$6</c:f>
              <c:strCache>
                <c:ptCount val="4"/>
                <c:pt idx="0">
                  <c:v>Carbon credits </c:v>
                </c:pt>
                <c:pt idx="1">
                  <c:v>Implementation expenses</c:v>
                </c:pt>
                <c:pt idx="2">
                  <c:v>Additional milk income </c:v>
                </c:pt>
                <c:pt idx="3">
                  <c:v>Total farm benefit</c:v>
                </c:pt>
              </c:strCache>
            </c:strRef>
          </c:cat>
          <c:val>
            <c:numRef>
              <c:f>'Data for graphs'!$AJ$3:$AJ$6</c:f>
              <c:numCache>
                <c:formatCode>"$"#,##0</c:formatCode>
                <c:ptCount val="4"/>
                <c:pt idx="0">
                  <c:v>0</c:v>
                </c:pt>
                <c:pt idx="1">
                  <c:v>0</c:v>
                </c:pt>
                <c:pt idx="2">
                  <c:v>0</c:v>
                </c:pt>
                <c:pt idx="3">
                  <c:v>0</c:v>
                </c:pt>
              </c:numCache>
            </c:numRef>
          </c:val>
          <c:extLst>
            <c:ext xmlns:c16="http://schemas.microsoft.com/office/drawing/2014/chart" uri="{C3380CC4-5D6E-409C-BE32-E72D297353CC}">
              <c16:uniqueId val="{00000000-BBD6-499A-8A8F-DDE03989D74B}"/>
            </c:ext>
          </c:extLst>
        </c:ser>
        <c:ser>
          <c:idx val="1"/>
          <c:order val="1"/>
          <c:tx>
            <c:strRef>
              <c:f>'Data for graphs'!$AK$2</c:f>
              <c:strCache>
                <c:ptCount val="1"/>
                <c:pt idx="0">
                  <c:v>Change in income &amp; expenses based on reduction in GHG emissions intensity ($ per annum)</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graphs'!$AI$3:$AI$6</c:f>
              <c:strCache>
                <c:ptCount val="4"/>
                <c:pt idx="0">
                  <c:v>Carbon credits </c:v>
                </c:pt>
                <c:pt idx="1">
                  <c:v>Implementation expenses</c:v>
                </c:pt>
                <c:pt idx="2">
                  <c:v>Additional milk income </c:v>
                </c:pt>
                <c:pt idx="3">
                  <c:v>Total farm benefit</c:v>
                </c:pt>
              </c:strCache>
            </c:strRef>
          </c:cat>
          <c:val>
            <c:numRef>
              <c:f>'Data for graphs'!$AK$3:$AK$6</c:f>
              <c:numCache>
                <c:formatCode>"$"#,##0</c:formatCode>
                <c:ptCount val="4"/>
                <c:pt idx="0">
                  <c:v>0</c:v>
                </c:pt>
                <c:pt idx="1">
                  <c:v>0</c:v>
                </c:pt>
                <c:pt idx="2">
                  <c:v>0</c:v>
                </c:pt>
                <c:pt idx="3">
                  <c:v>0</c:v>
                </c:pt>
              </c:numCache>
            </c:numRef>
          </c:val>
          <c:extLst>
            <c:ext xmlns:c16="http://schemas.microsoft.com/office/drawing/2014/chart" uri="{C3380CC4-5D6E-409C-BE32-E72D297353CC}">
              <c16:uniqueId val="{00000001-BBD6-499A-8A8F-DDE03989D74B}"/>
            </c:ext>
          </c:extLst>
        </c:ser>
        <c:dLbls>
          <c:showLegendKey val="0"/>
          <c:showVal val="0"/>
          <c:showCatName val="0"/>
          <c:showSerName val="0"/>
          <c:showPercent val="0"/>
          <c:showBubbleSize val="0"/>
        </c:dLbls>
        <c:gapWidth val="150"/>
        <c:overlap val="-25"/>
        <c:axId val="352811464"/>
        <c:axId val="352811856"/>
      </c:barChart>
      <c:catAx>
        <c:axId val="352811464"/>
        <c:scaling>
          <c:orientation val="minMax"/>
        </c:scaling>
        <c:delete val="0"/>
        <c:axPos val="b"/>
        <c:numFmt formatCode="General" sourceLinked="1"/>
        <c:majorTickMark val="out"/>
        <c:minorTickMark val="none"/>
        <c:tickLblPos val="low"/>
        <c:txPr>
          <a:bodyPr rot="-2700000"/>
          <a:lstStyle/>
          <a:p>
            <a:pPr>
              <a:defRPr/>
            </a:pPr>
            <a:endParaRPr lang="en-US"/>
          </a:p>
        </c:txPr>
        <c:crossAx val="352811856"/>
        <c:crosses val="autoZero"/>
        <c:auto val="1"/>
        <c:lblAlgn val="ctr"/>
        <c:lblOffset val="100"/>
        <c:noMultiLvlLbl val="0"/>
      </c:catAx>
      <c:valAx>
        <c:axId val="352811856"/>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7.7681144177828565E-3"/>
              <c:y val="4.9793836618253089E-2"/>
            </c:manualLayout>
          </c:layout>
          <c:overlay val="0"/>
        </c:title>
        <c:numFmt formatCode="\$#,##0" sourceLinked="0"/>
        <c:majorTickMark val="out"/>
        <c:minorTickMark val="none"/>
        <c:tickLblPos val="nextTo"/>
        <c:crossAx val="352811464"/>
        <c:crossesAt val="1"/>
        <c:crossBetween val="between"/>
      </c:valAx>
    </c:plotArea>
    <c:legend>
      <c:legendPos val="t"/>
      <c:layout>
        <c:manualLayout>
          <c:xMode val="edge"/>
          <c:yMode val="edge"/>
          <c:x val="2.7559803425686098E-2"/>
          <c:y val="3.9477122797876502E-4"/>
          <c:w val="0.95224415212319213"/>
          <c:h val="6.1261496141061973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'Improved diet DMD by management'!$D$194:$D$244</c:f>
            </c:numRef>
          </c:xVal>
          <c:yVal>
            <c:numRef>
              <c:f>'Improved diet DMD by management'!$H$194:$H$244</c:f>
            </c:numRef>
          </c:yVal>
          <c:smooth val="0"/>
          <c:extLst>
            <c:ext xmlns:c16="http://schemas.microsoft.com/office/drawing/2014/chart" uri="{C3380CC4-5D6E-409C-BE32-E72D297353CC}">
              <c16:uniqueId val="{00000000-23ED-4169-8883-343B5DA95406}"/>
            </c:ext>
          </c:extLst>
        </c:ser>
        <c:dLbls>
          <c:showLegendKey val="0"/>
          <c:showVal val="0"/>
          <c:showCatName val="0"/>
          <c:showSerName val="0"/>
          <c:showPercent val="0"/>
          <c:showBubbleSize val="0"/>
        </c:dLbls>
        <c:axId val="352812640"/>
        <c:axId val="352813032"/>
      </c:scatterChart>
      <c:valAx>
        <c:axId val="352812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2813032"/>
        <c:crosses val="autoZero"/>
        <c:crossBetween val="midCat"/>
      </c:valAx>
      <c:valAx>
        <c:axId val="352813032"/>
        <c:scaling>
          <c:orientation val="minMax"/>
        </c:scaling>
        <c:delete val="0"/>
        <c:axPos val="l"/>
        <c:majorGridlines/>
        <c:numFmt formatCode="General" sourceLinked="1"/>
        <c:majorTickMark val="out"/>
        <c:minorTickMark val="none"/>
        <c:tickLblPos val="nextTo"/>
        <c:crossAx val="352812640"/>
        <c:crosses val="autoZero"/>
        <c:crossBetween val="midCat"/>
      </c:valAx>
    </c:plotArea>
    <c:legend>
      <c:legendPos val="r"/>
      <c:overlay val="0"/>
    </c:legend>
    <c:plotVisOnly val="1"/>
    <c:dispBlanksAs val="gap"/>
    <c:showDLblsOverMax val="0"/>
  </c:chart>
  <c:printSettings>
    <c:headerFooter/>
    <c:pageMargins b="0.75000000000001188" l="0.70000000000000062" r="0.70000000000000062" t="0.750000000000011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11868648703568E-2"/>
          <c:y val="7.0001350558516792E-2"/>
          <c:w val="0.89991336640818165"/>
          <c:h val="0.55671921282229742"/>
        </c:manualLayout>
      </c:layout>
      <c:barChart>
        <c:barDir val="col"/>
        <c:grouping val="clustered"/>
        <c:varyColors val="0"/>
        <c:ser>
          <c:idx val="0"/>
          <c:order val="0"/>
          <c:tx>
            <c:strRef>
              <c:f>'Data for graphs'!$AN$2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graphs'!$AM$3:$AM$6</c:f>
              <c:strCache>
                <c:ptCount val="4"/>
                <c:pt idx="0">
                  <c:v>Carbon credits </c:v>
                </c:pt>
                <c:pt idx="1">
                  <c:v>Implementation expenses</c:v>
                </c:pt>
                <c:pt idx="2">
                  <c:v>Additional milk income </c:v>
                </c:pt>
                <c:pt idx="3">
                  <c:v>Total farm benefit</c:v>
                </c:pt>
              </c:strCache>
            </c:strRef>
          </c:cat>
          <c:val>
            <c:numRef>
              <c:f>'Data for graphs'!$AN$3:$AN$6</c:f>
              <c:numCache>
                <c:formatCode>"$"#,##0</c:formatCode>
                <c:ptCount val="4"/>
                <c:pt idx="0">
                  <c:v>0</c:v>
                </c:pt>
                <c:pt idx="1">
                  <c:v>0</c:v>
                </c:pt>
                <c:pt idx="2">
                  <c:v>0</c:v>
                </c:pt>
                <c:pt idx="3">
                  <c:v>0</c:v>
                </c:pt>
              </c:numCache>
            </c:numRef>
          </c:val>
          <c:extLst>
            <c:ext xmlns:c16="http://schemas.microsoft.com/office/drawing/2014/chart" uri="{C3380CC4-5D6E-409C-BE32-E72D297353CC}">
              <c16:uniqueId val="{00000000-89D1-48F8-B0EA-688C0989322E}"/>
            </c:ext>
          </c:extLst>
        </c:ser>
        <c:ser>
          <c:idx val="1"/>
          <c:order val="1"/>
          <c:tx>
            <c:strRef>
              <c:f>'Data for graphs'!$AO$2</c:f>
              <c:strCache>
                <c:ptCount val="1"/>
                <c:pt idx="0">
                  <c:v>Change in income &amp; expenses based on reduction in GHG emissions intensity ($ per annum)</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graphs'!$AM$3:$AM$6</c:f>
              <c:strCache>
                <c:ptCount val="4"/>
                <c:pt idx="0">
                  <c:v>Carbon credits </c:v>
                </c:pt>
                <c:pt idx="1">
                  <c:v>Implementation expenses</c:v>
                </c:pt>
                <c:pt idx="2">
                  <c:v>Additional milk income </c:v>
                </c:pt>
                <c:pt idx="3">
                  <c:v>Total farm benefit</c:v>
                </c:pt>
              </c:strCache>
            </c:strRef>
          </c:cat>
          <c:val>
            <c:numRef>
              <c:f>'Data for graphs'!$AO$3:$AO$6</c:f>
              <c:numCache>
                <c:formatCode>"$"#,##0</c:formatCode>
                <c:ptCount val="4"/>
                <c:pt idx="0">
                  <c:v>0</c:v>
                </c:pt>
                <c:pt idx="1">
                  <c:v>0</c:v>
                </c:pt>
                <c:pt idx="2">
                  <c:v>0</c:v>
                </c:pt>
                <c:pt idx="3">
                  <c:v>0</c:v>
                </c:pt>
              </c:numCache>
            </c:numRef>
          </c:val>
          <c:extLst>
            <c:ext xmlns:c16="http://schemas.microsoft.com/office/drawing/2014/chart" uri="{C3380CC4-5D6E-409C-BE32-E72D297353CC}">
              <c16:uniqueId val="{00000001-89D1-48F8-B0EA-688C0989322E}"/>
            </c:ext>
          </c:extLst>
        </c:ser>
        <c:dLbls>
          <c:showLegendKey val="0"/>
          <c:showVal val="0"/>
          <c:showCatName val="0"/>
          <c:showSerName val="0"/>
          <c:showPercent val="0"/>
          <c:showBubbleSize val="0"/>
        </c:dLbls>
        <c:gapWidth val="150"/>
        <c:overlap val="-25"/>
        <c:axId val="350749496"/>
        <c:axId val="350749888"/>
      </c:barChart>
      <c:catAx>
        <c:axId val="350749496"/>
        <c:scaling>
          <c:orientation val="minMax"/>
        </c:scaling>
        <c:delete val="0"/>
        <c:axPos val="b"/>
        <c:numFmt formatCode="General" sourceLinked="1"/>
        <c:majorTickMark val="out"/>
        <c:minorTickMark val="none"/>
        <c:tickLblPos val="low"/>
        <c:txPr>
          <a:bodyPr rot="-2700000"/>
          <a:lstStyle/>
          <a:p>
            <a:pPr>
              <a:defRPr/>
            </a:pPr>
            <a:endParaRPr lang="en-US"/>
          </a:p>
        </c:txPr>
        <c:crossAx val="350749888"/>
        <c:crosses val="autoZero"/>
        <c:auto val="1"/>
        <c:lblAlgn val="ctr"/>
        <c:lblOffset val="100"/>
        <c:noMultiLvlLbl val="0"/>
      </c:catAx>
      <c:valAx>
        <c:axId val="350749888"/>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7.1592559290687818E-3"/>
              <c:y val="7.5330754276014864E-2"/>
            </c:manualLayout>
          </c:layout>
          <c:overlay val="0"/>
        </c:title>
        <c:numFmt formatCode="\$#,##0" sourceLinked="0"/>
        <c:majorTickMark val="out"/>
        <c:minorTickMark val="none"/>
        <c:tickLblPos val="nextTo"/>
        <c:crossAx val="350749496"/>
        <c:crossesAt val="1"/>
        <c:crossBetween val="between"/>
      </c:valAx>
    </c:plotArea>
    <c:legend>
      <c:legendPos val="t"/>
      <c:layout>
        <c:manualLayout>
          <c:xMode val="edge"/>
          <c:yMode val="edge"/>
          <c:x val="2.0651638943236621E-2"/>
          <c:y val="2.2044046922083623E-3"/>
          <c:w val="0.95216546041470063"/>
          <c:h val="6.6138222958184792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6502971553698"/>
          <c:y val="5.2855882802572772E-2"/>
          <c:w val="0.88152198149318084"/>
          <c:h val="0.48564614346911522"/>
        </c:manualLayout>
      </c:layout>
      <c:barChart>
        <c:barDir val="col"/>
        <c:grouping val="clustered"/>
        <c:varyColors val="0"/>
        <c:ser>
          <c:idx val="0"/>
          <c:order val="0"/>
          <c:tx>
            <c:strRef>
              <c:f>'Data for graphs'!$AR$2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graphs'!$AQ$3:$AQ$6</c:f>
              <c:strCache>
                <c:ptCount val="4"/>
                <c:pt idx="0">
                  <c:v>Carbon credits </c:v>
                </c:pt>
                <c:pt idx="1">
                  <c:v>Implementation expenses</c:v>
                </c:pt>
                <c:pt idx="2">
                  <c:v>Additional milk income </c:v>
                </c:pt>
                <c:pt idx="3">
                  <c:v>Total farm benefit</c:v>
                </c:pt>
              </c:strCache>
            </c:strRef>
          </c:cat>
          <c:val>
            <c:numRef>
              <c:f>'Data for graphs'!$AR$3:$AR$6</c:f>
              <c:numCache>
                <c:formatCode>"$"#,##0</c:formatCode>
                <c:ptCount val="4"/>
                <c:pt idx="0">
                  <c:v>-14.68665</c:v>
                </c:pt>
                <c:pt idx="1">
                  <c:v>0</c:v>
                </c:pt>
                <c:pt idx="2">
                  <c:v>3950.3072062439987</c:v>
                </c:pt>
                <c:pt idx="3">
                  <c:v>3950.3072062439987</c:v>
                </c:pt>
              </c:numCache>
            </c:numRef>
          </c:val>
          <c:extLst>
            <c:ext xmlns:c16="http://schemas.microsoft.com/office/drawing/2014/chart" uri="{C3380CC4-5D6E-409C-BE32-E72D297353CC}">
              <c16:uniqueId val="{00000000-142A-4479-8D07-6C73BE3DD645}"/>
            </c:ext>
          </c:extLst>
        </c:ser>
        <c:ser>
          <c:idx val="1"/>
          <c:order val="1"/>
          <c:tx>
            <c:strRef>
              <c:f>'Data for graphs'!$AS$2</c:f>
              <c:strCache>
                <c:ptCount val="1"/>
                <c:pt idx="0">
                  <c:v>Change in income &amp; expenses based on reduction in GHG emissions intensity ($ per annum)</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graphs'!$AQ$3:$AQ$6</c:f>
              <c:strCache>
                <c:ptCount val="4"/>
                <c:pt idx="0">
                  <c:v>Carbon credits </c:v>
                </c:pt>
                <c:pt idx="1">
                  <c:v>Implementation expenses</c:v>
                </c:pt>
                <c:pt idx="2">
                  <c:v>Additional milk income </c:v>
                </c:pt>
                <c:pt idx="3">
                  <c:v>Total farm benefit</c:v>
                </c:pt>
              </c:strCache>
            </c:strRef>
          </c:cat>
          <c:val>
            <c:numRef>
              <c:f>'Data for graphs'!$AS$3:$AS$6</c:f>
              <c:numCache>
                <c:formatCode>"$"#,##0</c:formatCode>
                <c:ptCount val="4"/>
                <c:pt idx="0">
                  <c:v>0</c:v>
                </c:pt>
                <c:pt idx="1">
                  <c:v>0</c:v>
                </c:pt>
                <c:pt idx="2">
                  <c:v>3950.3072062439987</c:v>
                </c:pt>
                <c:pt idx="3">
                  <c:v>0</c:v>
                </c:pt>
              </c:numCache>
            </c:numRef>
          </c:val>
          <c:extLst>
            <c:ext xmlns:c16="http://schemas.microsoft.com/office/drawing/2014/chart" uri="{C3380CC4-5D6E-409C-BE32-E72D297353CC}">
              <c16:uniqueId val="{00000001-142A-4479-8D07-6C73BE3DD645}"/>
            </c:ext>
          </c:extLst>
        </c:ser>
        <c:dLbls>
          <c:showLegendKey val="0"/>
          <c:showVal val="0"/>
          <c:showCatName val="0"/>
          <c:showSerName val="0"/>
          <c:showPercent val="0"/>
          <c:showBubbleSize val="0"/>
        </c:dLbls>
        <c:gapWidth val="150"/>
        <c:overlap val="-25"/>
        <c:axId val="350751064"/>
        <c:axId val="350751848"/>
      </c:barChart>
      <c:catAx>
        <c:axId val="350751064"/>
        <c:scaling>
          <c:orientation val="minMax"/>
        </c:scaling>
        <c:delete val="0"/>
        <c:axPos val="b"/>
        <c:numFmt formatCode="General" sourceLinked="1"/>
        <c:majorTickMark val="out"/>
        <c:minorTickMark val="none"/>
        <c:tickLblPos val="low"/>
        <c:txPr>
          <a:bodyPr rot="-2700000"/>
          <a:lstStyle/>
          <a:p>
            <a:pPr>
              <a:defRPr/>
            </a:pPr>
            <a:endParaRPr lang="en-US"/>
          </a:p>
        </c:txPr>
        <c:crossAx val="350751848"/>
        <c:crosses val="autoZero"/>
        <c:auto val="1"/>
        <c:lblAlgn val="ctr"/>
        <c:lblOffset val="100"/>
        <c:noMultiLvlLbl val="0"/>
      </c:catAx>
      <c:valAx>
        <c:axId val="350751848"/>
        <c:scaling>
          <c:orientation val="minMax"/>
        </c:scaling>
        <c:delete val="0"/>
        <c:axPos val="l"/>
        <c:title>
          <c:tx>
            <c:rich>
              <a:bodyPr/>
              <a:lstStyle/>
              <a:p>
                <a:pPr>
                  <a:defRPr/>
                </a:pPr>
                <a:r>
                  <a:rPr lang="en-US"/>
                  <a:t>Increase in income and expenses associated with the abatement strategy relative to BAU ($/annum)</a:t>
                </a:r>
              </a:p>
            </c:rich>
          </c:tx>
          <c:layout>
            <c:manualLayout>
              <c:xMode val="edge"/>
              <c:yMode val="edge"/>
              <c:x val="1.5420562751381438E-2"/>
              <c:y val="1.7048624520294677E-2"/>
            </c:manualLayout>
          </c:layout>
          <c:overlay val="0"/>
        </c:title>
        <c:numFmt formatCode="\$#,##0" sourceLinked="0"/>
        <c:majorTickMark val="out"/>
        <c:minorTickMark val="none"/>
        <c:tickLblPos val="nextTo"/>
        <c:crossAx val="350751064"/>
        <c:crossesAt val="1"/>
        <c:crossBetween val="between"/>
      </c:valAx>
    </c:plotArea>
    <c:legend>
      <c:legendPos val="t"/>
      <c:layout>
        <c:manualLayout>
          <c:xMode val="edge"/>
          <c:yMode val="edge"/>
          <c:x val="2.3347135370382643E-2"/>
          <c:y val="2.2526738593561342E-3"/>
          <c:w val="0.95929515489581962"/>
          <c:h val="4.1255453683634646E-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7079246345329"/>
          <c:y val="7.6687025055320032E-2"/>
          <c:w val="0.8702123978114441"/>
          <c:h val="0.43886739339494829"/>
        </c:manualLayout>
      </c:layout>
      <c:barChart>
        <c:barDir val="col"/>
        <c:grouping val="clustered"/>
        <c:varyColors val="0"/>
        <c:ser>
          <c:idx val="0"/>
          <c:order val="0"/>
          <c:tx>
            <c:strRef>
              <c:f>'Data for graphs'!$AV$2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graphs'!$AU$3:$AU$6</c:f>
              <c:strCache>
                <c:ptCount val="4"/>
                <c:pt idx="0">
                  <c:v>Carbon credits </c:v>
                </c:pt>
                <c:pt idx="1">
                  <c:v>Implementation expenses</c:v>
                </c:pt>
                <c:pt idx="2">
                  <c:v>Additional milk income </c:v>
                </c:pt>
                <c:pt idx="3">
                  <c:v>Total farm benefit</c:v>
                </c:pt>
              </c:strCache>
            </c:strRef>
          </c:cat>
          <c:val>
            <c:numRef>
              <c:f>'Data for graphs'!$AV$3:$AV$6</c:f>
              <c:numCache>
                <c:formatCode>"$"#,##0</c:formatCode>
                <c:ptCount val="4"/>
                <c:pt idx="0">
                  <c:v>#N/A</c:v>
                </c:pt>
                <c:pt idx="1">
                  <c:v>0</c:v>
                </c:pt>
                <c:pt idx="2">
                  <c:v>0</c:v>
                </c:pt>
                <c:pt idx="3">
                  <c:v>#N/A</c:v>
                </c:pt>
              </c:numCache>
            </c:numRef>
          </c:val>
          <c:extLst>
            <c:ext xmlns:c16="http://schemas.microsoft.com/office/drawing/2014/chart" uri="{C3380CC4-5D6E-409C-BE32-E72D297353CC}">
              <c16:uniqueId val="{00000000-DB13-40D6-A455-E0B2DD81B2EF}"/>
            </c:ext>
          </c:extLst>
        </c:ser>
        <c:ser>
          <c:idx val="1"/>
          <c:order val="1"/>
          <c:tx>
            <c:strRef>
              <c:f>'Data for graphs'!$AW$2</c:f>
              <c:strCache>
                <c:ptCount val="1"/>
                <c:pt idx="0">
                  <c:v>Change in income &amp; expenses based on reduction in GHG emissions intensity ($ per annum)</c:v>
                </c:pt>
              </c:strCache>
            </c:strRef>
          </c:tx>
          <c:invertIfNegative val="0"/>
          <c:dLbls>
            <c:numFmt formatCode="&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graphs'!$AU$3:$AU$6</c:f>
              <c:strCache>
                <c:ptCount val="4"/>
                <c:pt idx="0">
                  <c:v>Carbon credits </c:v>
                </c:pt>
                <c:pt idx="1">
                  <c:v>Implementation expenses</c:v>
                </c:pt>
                <c:pt idx="2">
                  <c:v>Additional milk income </c:v>
                </c:pt>
                <c:pt idx="3">
                  <c:v>Total farm benefit</c:v>
                </c:pt>
              </c:strCache>
            </c:strRef>
          </c:cat>
          <c:val>
            <c:numRef>
              <c:f>'Data for graphs'!$AW$3:$AW$6</c:f>
              <c:numCache>
                <c:formatCode>"$"#,##0</c:formatCode>
                <c:ptCount val="4"/>
                <c:pt idx="0">
                  <c:v>#N/A</c:v>
                </c:pt>
                <c:pt idx="1">
                  <c:v>0</c:v>
                </c:pt>
                <c:pt idx="2">
                  <c:v>0</c:v>
                </c:pt>
                <c:pt idx="3">
                  <c:v>#N/A</c:v>
                </c:pt>
              </c:numCache>
            </c:numRef>
          </c:val>
          <c:extLst>
            <c:ext xmlns:c16="http://schemas.microsoft.com/office/drawing/2014/chart" uri="{C3380CC4-5D6E-409C-BE32-E72D297353CC}">
              <c16:uniqueId val="{00000001-DB13-40D6-A455-E0B2DD81B2EF}"/>
            </c:ext>
          </c:extLst>
        </c:ser>
        <c:dLbls>
          <c:showLegendKey val="0"/>
          <c:showVal val="0"/>
          <c:showCatName val="0"/>
          <c:showSerName val="0"/>
          <c:showPercent val="0"/>
          <c:showBubbleSize val="0"/>
        </c:dLbls>
        <c:gapWidth val="150"/>
        <c:overlap val="-25"/>
        <c:axId val="350753808"/>
        <c:axId val="350753416"/>
      </c:barChart>
      <c:catAx>
        <c:axId val="350753808"/>
        <c:scaling>
          <c:orientation val="minMax"/>
        </c:scaling>
        <c:delete val="0"/>
        <c:axPos val="b"/>
        <c:numFmt formatCode="General" sourceLinked="1"/>
        <c:majorTickMark val="out"/>
        <c:minorTickMark val="none"/>
        <c:tickLblPos val="low"/>
        <c:txPr>
          <a:bodyPr rot="-2700000"/>
          <a:lstStyle/>
          <a:p>
            <a:pPr>
              <a:defRPr/>
            </a:pPr>
            <a:endParaRPr lang="en-US"/>
          </a:p>
        </c:txPr>
        <c:crossAx val="350753416"/>
        <c:crosses val="autoZero"/>
        <c:auto val="1"/>
        <c:lblAlgn val="ctr"/>
        <c:lblOffset val="100"/>
        <c:noMultiLvlLbl val="0"/>
      </c:catAx>
      <c:valAx>
        <c:axId val="350753416"/>
        <c:scaling>
          <c:orientation val="minMax"/>
        </c:scaling>
        <c:delete val="0"/>
        <c:axPos val="l"/>
        <c:title>
          <c:tx>
            <c:rich>
              <a:bodyPr/>
              <a:lstStyle/>
              <a:p>
                <a:pPr>
                  <a:defRPr/>
                </a:pPr>
                <a:r>
                  <a:rPr lang="en-AU"/>
                  <a:t>Increase</a:t>
                </a:r>
                <a:r>
                  <a:rPr lang="en-AU" baseline="0"/>
                  <a:t> in income and expenses associated with the strategy relative to BAU ($/annum)</a:t>
                </a:r>
                <a:endParaRPr lang="en-AU"/>
              </a:p>
            </c:rich>
          </c:tx>
          <c:layout>
            <c:manualLayout>
              <c:xMode val="edge"/>
              <c:yMode val="edge"/>
              <c:x val="8.7369095997958113E-3"/>
              <c:y val="1.4306580427116654E-2"/>
            </c:manualLayout>
          </c:layout>
          <c:overlay val="0"/>
        </c:title>
        <c:numFmt formatCode="\$#,##0" sourceLinked="0"/>
        <c:majorTickMark val="out"/>
        <c:minorTickMark val="none"/>
        <c:tickLblPos val="nextTo"/>
        <c:crossAx val="350753808"/>
        <c:crossesAt val="1"/>
        <c:crossBetween val="between"/>
      </c:valAx>
    </c:plotArea>
    <c:legend>
      <c:legendPos val="t"/>
      <c:layout>
        <c:manualLayout>
          <c:xMode val="edge"/>
          <c:yMode val="edge"/>
          <c:x val="2.3665602564672802E-2"/>
          <c:y val="4.3611898546477056E-3"/>
          <c:w val="0.94627702873848862"/>
          <c:h val="6.0838214918491784E-2"/>
        </c:manualLayout>
      </c:layout>
      <c:overlay val="0"/>
    </c:legend>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AU"/>
              <a:t>Carbon sequestration for forests</a:t>
            </a:r>
          </a:p>
        </c:rich>
      </c:tx>
      <c:overlay val="1"/>
    </c:title>
    <c:autoTitleDeleted val="0"/>
    <c:plotArea>
      <c:layout/>
      <c:lineChart>
        <c:grouping val="standard"/>
        <c:varyColors val="0"/>
        <c:ser>
          <c:idx val="0"/>
          <c:order val="0"/>
          <c:tx>
            <c:strRef>
              <c:f>'Baseline farm'!$B$489</c:f>
              <c:strCache>
                <c:ptCount val="1"/>
                <c:pt idx="0">
                  <c:v>High</c:v>
                </c:pt>
              </c:strCache>
            </c:strRef>
          </c:tx>
          <c:val>
            <c:numRef>
              <c:f>'Baseline farm'!$C$489:$AG$489</c:f>
            </c:numRef>
          </c:val>
          <c:smooth val="0"/>
          <c:extLst>
            <c:ext xmlns:c16="http://schemas.microsoft.com/office/drawing/2014/chart" uri="{C3380CC4-5D6E-409C-BE32-E72D297353CC}">
              <c16:uniqueId val="{00000000-2E9C-49BB-9AF9-41ADFED83570}"/>
            </c:ext>
          </c:extLst>
        </c:ser>
        <c:ser>
          <c:idx val="1"/>
          <c:order val="1"/>
          <c:tx>
            <c:strRef>
              <c:f>'Baseline farm'!$B$490</c:f>
              <c:strCache>
                <c:ptCount val="1"/>
                <c:pt idx="0">
                  <c:v>Med-High</c:v>
                </c:pt>
              </c:strCache>
            </c:strRef>
          </c:tx>
          <c:val>
            <c:numRef>
              <c:f>'Baseline farm'!$C$490:$AG$490</c:f>
            </c:numRef>
          </c:val>
          <c:smooth val="0"/>
          <c:extLst>
            <c:ext xmlns:c16="http://schemas.microsoft.com/office/drawing/2014/chart" uri="{C3380CC4-5D6E-409C-BE32-E72D297353CC}">
              <c16:uniqueId val="{00000001-2E9C-49BB-9AF9-41ADFED83570}"/>
            </c:ext>
          </c:extLst>
        </c:ser>
        <c:ser>
          <c:idx val="2"/>
          <c:order val="2"/>
          <c:tx>
            <c:strRef>
              <c:f>'Baseline farm'!$B$491</c:f>
              <c:strCache>
                <c:ptCount val="1"/>
                <c:pt idx="0">
                  <c:v>Med</c:v>
                </c:pt>
              </c:strCache>
            </c:strRef>
          </c:tx>
          <c:val>
            <c:numRef>
              <c:f>'Baseline farm'!$C$491:$AG$491</c:f>
            </c:numRef>
          </c:val>
          <c:smooth val="0"/>
          <c:extLst>
            <c:ext xmlns:c16="http://schemas.microsoft.com/office/drawing/2014/chart" uri="{C3380CC4-5D6E-409C-BE32-E72D297353CC}">
              <c16:uniqueId val="{00000002-2E9C-49BB-9AF9-41ADFED83570}"/>
            </c:ext>
          </c:extLst>
        </c:ser>
        <c:ser>
          <c:idx val="3"/>
          <c:order val="3"/>
          <c:tx>
            <c:strRef>
              <c:f>'Baseline farm'!$B$492</c:f>
              <c:strCache>
                <c:ptCount val="1"/>
                <c:pt idx="0">
                  <c:v>Med-Low</c:v>
                </c:pt>
              </c:strCache>
            </c:strRef>
          </c:tx>
          <c:val>
            <c:numRef>
              <c:f>'Baseline farm'!$C$492:$AG$492</c:f>
            </c:numRef>
          </c:val>
          <c:smooth val="0"/>
          <c:extLst>
            <c:ext xmlns:c16="http://schemas.microsoft.com/office/drawing/2014/chart" uri="{C3380CC4-5D6E-409C-BE32-E72D297353CC}">
              <c16:uniqueId val="{00000003-2E9C-49BB-9AF9-41ADFED83570}"/>
            </c:ext>
          </c:extLst>
        </c:ser>
        <c:ser>
          <c:idx val="4"/>
          <c:order val="4"/>
          <c:tx>
            <c:strRef>
              <c:f>'Baseline farm'!$B$493</c:f>
              <c:strCache>
                <c:ptCount val="1"/>
                <c:pt idx="0">
                  <c:v>Low</c:v>
                </c:pt>
              </c:strCache>
            </c:strRef>
          </c:tx>
          <c:val>
            <c:numRef>
              <c:f>'Baseline farm'!$C$493:$AG$493</c:f>
            </c:numRef>
          </c:val>
          <c:smooth val="0"/>
          <c:extLst>
            <c:ext xmlns:c16="http://schemas.microsoft.com/office/drawing/2014/chart" uri="{C3380CC4-5D6E-409C-BE32-E72D297353CC}">
              <c16:uniqueId val="{00000004-2E9C-49BB-9AF9-41ADFED83570}"/>
            </c:ext>
          </c:extLst>
        </c:ser>
        <c:dLbls>
          <c:showLegendKey val="0"/>
          <c:showVal val="0"/>
          <c:showCatName val="0"/>
          <c:showSerName val="0"/>
          <c:showPercent val="0"/>
          <c:showBubbleSize val="0"/>
        </c:dLbls>
        <c:marker val="1"/>
        <c:smooth val="0"/>
        <c:axId val="276798272"/>
        <c:axId val="276798664"/>
      </c:lineChart>
      <c:catAx>
        <c:axId val="276798272"/>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AU"/>
                  <a:t>Years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76798664"/>
        <c:crosses val="autoZero"/>
        <c:auto val="1"/>
        <c:lblAlgn val="ctr"/>
        <c:lblOffset val="100"/>
        <c:tickLblSkip val="1"/>
        <c:noMultiLvlLbl val="0"/>
      </c:catAx>
      <c:valAx>
        <c:axId val="276798664"/>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AU"/>
                  <a:t>t CO2-e/ha (Inc trees and debris)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76798272"/>
        <c:crosses val="autoZero"/>
        <c:crossBetween val="between"/>
      </c:valAx>
    </c:plotArea>
    <c:legend>
      <c:legendPos val="r"/>
      <c:layout>
        <c:manualLayout>
          <c:xMode val="edge"/>
          <c:yMode val="edge"/>
          <c:x val="0.92304830048179765"/>
          <c:y val="0.30722891566265803"/>
          <c:w val="6.9608446497146412E-2"/>
          <c:h val="0.38554216867470337"/>
        </c:manualLayout>
      </c:layout>
      <c:overlay val="0"/>
      <c:txPr>
        <a:bodyPr/>
        <a:lstStyle/>
        <a:p>
          <a:pPr>
            <a:defRPr sz="101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6022084488472"/>
          <c:y val="8.0517482521051426E-2"/>
          <c:w val="0.89263977915511528"/>
          <c:h val="0.59115004706729535"/>
        </c:manualLayout>
      </c:layout>
      <c:barChart>
        <c:barDir val="col"/>
        <c:grouping val="clustered"/>
        <c:varyColors val="0"/>
        <c:ser>
          <c:idx val="0"/>
          <c:order val="0"/>
          <c:tx>
            <c:strRef>
              <c:f>'Data for graphs'!$AZ$2</c:f>
              <c:strCache>
                <c:ptCount val="1"/>
                <c:pt idx="0">
                  <c:v>Change in income &amp; expenses based on reduction in total farm GHG emissions ($ per annum)</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graphs'!$AY$3:$AY$6</c:f>
              <c:strCache>
                <c:ptCount val="4"/>
                <c:pt idx="0">
                  <c:v>Carbon credits </c:v>
                </c:pt>
                <c:pt idx="1">
                  <c:v>Implementation expenses</c:v>
                </c:pt>
                <c:pt idx="2">
                  <c:v>Saved costs of raising heifers</c:v>
                </c:pt>
                <c:pt idx="3">
                  <c:v>Total farm benefit</c:v>
                </c:pt>
              </c:strCache>
            </c:strRef>
          </c:cat>
          <c:val>
            <c:numRef>
              <c:f>'Data for graphs'!$AZ$3:$AZ$6</c:f>
              <c:numCache>
                <c:formatCode>"$"#,##0</c:formatCode>
                <c:ptCount val="4"/>
                <c:pt idx="0">
                  <c:v>#N/A</c:v>
                </c:pt>
                <c:pt idx="1">
                  <c:v>0</c:v>
                </c:pt>
                <c:pt idx="2">
                  <c:v>-192000</c:v>
                </c:pt>
                <c:pt idx="3">
                  <c:v>#N/A</c:v>
                </c:pt>
              </c:numCache>
            </c:numRef>
          </c:val>
          <c:extLst>
            <c:ext xmlns:c16="http://schemas.microsoft.com/office/drawing/2014/chart" uri="{C3380CC4-5D6E-409C-BE32-E72D297353CC}">
              <c16:uniqueId val="{00000000-5066-4017-B8E0-83C82C259743}"/>
            </c:ext>
          </c:extLst>
        </c:ser>
        <c:ser>
          <c:idx val="1"/>
          <c:order val="1"/>
          <c:tx>
            <c:strRef>
              <c:f>'Data for graphs'!$BA$2</c:f>
              <c:strCache>
                <c:ptCount val="1"/>
                <c:pt idx="0">
                  <c:v>Change in income &amp; expenses based on reduction in GHG emissions intensity ($ per annum)</c:v>
                </c:pt>
              </c:strCache>
            </c:strRef>
          </c:tx>
          <c:invertIfNegative val="0"/>
          <c:dLbls>
            <c:numFmt formatCode="&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graphs'!$AY$3:$AY$6</c:f>
              <c:strCache>
                <c:ptCount val="4"/>
                <c:pt idx="0">
                  <c:v>Carbon credits </c:v>
                </c:pt>
                <c:pt idx="1">
                  <c:v>Implementation expenses</c:v>
                </c:pt>
                <c:pt idx="2">
                  <c:v>Saved costs of raising heifers</c:v>
                </c:pt>
                <c:pt idx="3">
                  <c:v>Total farm benefit</c:v>
                </c:pt>
              </c:strCache>
            </c:strRef>
          </c:cat>
          <c:val>
            <c:numRef>
              <c:f>'Data for graphs'!$BA$3:$BA$6</c:f>
              <c:numCache>
                <c:formatCode>"$"#,##0</c:formatCode>
                <c:ptCount val="4"/>
                <c:pt idx="0">
                  <c:v>#N/A</c:v>
                </c:pt>
                <c:pt idx="1">
                  <c:v>0</c:v>
                </c:pt>
                <c:pt idx="2">
                  <c:v>-192000</c:v>
                </c:pt>
                <c:pt idx="3">
                  <c:v>#N/A</c:v>
                </c:pt>
              </c:numCache>
            </c:numRef>
          </c:val>
          <c:extLst>
            <c:ext xmlns:c16="http://schemas.microsoft.com/office/drawing/2014/chart" uri="{C3380CC4-5D6E-409C-BE32-E72D297353CC}">
              <c16:uniqueId val="{00000001-5066-4017-B8E0-83C82C259743}"/>
            </c:ext>
          </c:extLst>
        </c:ser>
        <c:dLbls>
          <c:showLegendKey val="0"/>
          <c:showVal val="0"/>
          <c:showCatName val="0"/>
          <c:showSerName val="0"/>
          <c:showPercent val="0"/>
          <c:showBubbleSize val="0"/>
        </c:dLbls>
        <c:gapWidth val="150"/>
        <c:overlap val="-25"/>
        <c:axId val="350755376"/>
        <c:axId val="350755768"/>
      </c:barChart>
      <c:catAx>
        <c:axId val="350755376"/>
        <c:scaling>
          <c:orientation val="minMax"/>
        </c:scaling>
        <c:delete val="0"/>
        <c:axPos val="b"/>
        <c:numFmt formatCode="General" sourceLinked="1"/>
        <c:majorTickMark val="out"/>
        <c:minorTickMark val="none"/>
        <c:tickLblPos val="low"/>
        <c:txPr>
          <a:bodyPr rot="-2700000"/>
          <a:lstStyle/>
          <a:p>
            <a:pPr>
              <a:defRPr/>
            </a:pPr>
            <a:endParaRPr lang="en-US"/>
          </a:p>
        </c:txPr>
        <c:crossAx val="350755768"/>
        <c:crosses val="autoZero"/>
        <c:auto val="1"/>
        <c:lblAlgn val="ctr"/>
        <c:lblOffset val="100"/>
        <c:noMultiLvlLbl val="0"/>
      </c:catAx>
      <c:valAx>
        <c:axId val="350755768"/>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7.9634964812694328E-3"/>
              <c:y val="2.7045258349564682E-2"/>
            </c:manualLayout>
          </c:layout>
          <c:overlay val="0"/>
        </c:title>
        <c:numFmt formatCode="\$#,##0" sourceLinked="0"/>
        <c:majorTickMark val="out"/>
        <c:minorTickMark val="none"/>
        <c:tickLblPos val="nextTo"/>
        <c:crossAx val="350755376"/>
        <c:crossesAt val="1"/>
        <c:crossBetween val="between"/>
      </c:valAx>
    </c:plotArea>
    <c:legend>
      <c:legendPos val="t"/>
      <c:layout>
        <c:manualLayout>
          <c:xMode val="edge"/>
          <c:yMode val="edge"/>
          <c:x val="3.717218923355653E-2"/>
          <c:y val="6.5509808190471501E-4"/>
          <c:w val="0.93399892880828961"/>
          <c:h val="6.7663928364708803E-2"/>
        </c:manualLayout>
      </c:layout>
      <c:overlay val="0"/>
    </c:legend>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59929651520519"/>
          <c:y val="9.169580616093527E-2"/>
          <c:w val="0.86174080882936455"/>
          <c:h val="0.70980748579760977"/>
        </c:manualLayout>
      </c:layout>
      <c:barChart>
        <c:barDir val="col"/>
        <c:grouping val="clustered"/>
        <c:varyColors val="0"/>
        <c:ser>
          <c:idx val="0"/>
          <c:order val="0"/>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D72-42A1-A930-06C1BCB9CA50}"/>
            </c:ext>
          </c:extLst>
        </c:ser>
        <c:ser>
          <c:idx val="1"/>
          <c:order val="1"/>
          <c:invertIfNegative val="0"/>
          <c:dLbls>
            <c:numFmt formatCode="&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D72-42A1-A930-06C1BCB9CA50}"/>
            </c:ext>
          </c:extLst>
        </c:ser>
        <c:dLbls>
          <c:showLegendKey val="0"/>
          <c:showVal val="0"/>
          <c:showCatName val="0"/>
          <c:showSerName val="0"/>
          <c:showPercent val="0"/>
          <c:showBubbleSize val="0"/>
        </c:dLbls>
        <c:gapWidth val="150"/>
        <c:overlap val="-25"/>
        <c:axId val="346960904"/>
        <c:axId val="346961296"/>
      </c:barChart>
      <c:catAx>
        <c:axId val="346960904"/>
        <c:scaling>
          <c:orientation val="minMax"/>
        </c:scaling>
        <c:delete val="0"/>
        <c:axPos val="b"/>
        <c:numFmt formatCode="General" sourceLinked="1"/>
        <c:majorTickMark val="out"/>
        <c:minorTickMark val="none"/>
        <c:tickLblPos val="low"/>
        <c:txPr>
          <a:bodyPr rot="-2700000"/>
          <a:lstStyle/>
          <a:p>
            <a:pPr>
              <a:defRPr/>
            </a:pPr>
            <a:endParaRPr lang="en-US"/>
          </a:p>
        </c:txPr>
        <c:crossAx val="346961296"/>
        <c:crosses val="autoZero"/>
        <c:auto val="1"/>
        <c:lblAlgn val="ctr"/>
        <c:lblOffset val="100"/>
        <c:noMultiLvlLbl val="0"/>
      </c:catAx>
      <c:valAx>
        <c:axId val="346961296"/>
        <c:scaling>
          <c:orientation val="minMax"/>
        </c:scaling>
        <c:delete val="0"/>
        <c:axPos val="l"/>
        <c:title>
          <c:tx>
            <c:rich>
              <a:bodyPr/>
              <a:lstStyle/>
              <a:p>
                <a:pPr>
                  <a:defRPr/>
                </a:pPr>
                <a:r>
                  <a:rPr lang="en-US"/>
                  <a:t>Increase in income and expenses associated with the strategy relative to BAU ($/annum)</a:t>
                </a:r>
              </a:p>
            </c:rich>
          </c:tx>
          <c:layout>
            <c:manualLayout>
              <c:xMode val="edge"/>
              <c:yMode val="edge"/>
              <c:x val="1.3384193387169901E-2"/>
              <c:y val="0.10252117673382843"/>
            </c:manualLayout>
          </c:layout>
          <c:overlay val="0"/>
        </c:title>
        <c:numFmt formatCode="\$#,##0" sourceLinked="0"/>
        <c:majorTickMark val="out"/>
        <c:minorTickMark val="none"/>
        <c:tickLblPos val="nextTo"/>
        <c:crossAx val="346960904"/>
        <c:crossesAt val="1"/>
        <c:crossBetween val="between"/>
      </c:valAx>
    </c:plotArea>
    <c:legend>
      <c:legendPos val="t"/>
      <c:layout>
        <c:manualLayout>
          <c:xMode val="edge"/>
          <c:yMode val="edge"/>
          <c:x val="1.9508854083157702E-2"/>
          <c:y val="2.7213952204525998E-5"/>
          <c:w val="0.96525222929220866"/>
          <c:h val="6.3521083122058966E-2"/>
        </c:manualLayout>
      </c:layout>
      <c:overlay val="0"/>
    </c:legend>
    <c:plotVisOnly val="1"/>
    <c:dispBlanksAs val="gap"/>
    <c:showDLblsOverMax val="0"/>
  </c:chart>
  <c:spPr>
    <a:solidFill>
      <a:schemeClr val="bg2"/>
    </a:solidFill>
    <a:ln>
      <a:solidFill>
        <a:schemeClr val="tx1"/>
      </a:solidFill>
    </a:ln>
  </c:spPr>
  <c:txPr>
    <a:bodyPr/>
    <a:lstStyle/>
    <a:p>
      <a:pPr>
        <a:defRPr sz="1100"/>
      </a:pPr>
      <a:endParaRPr lang="en-US"/>
    </a:p>
  </c:txPr>
  <c:printSettings>
    <c:headerFooter/>
    <c:pageMargins b="0.75000000000001443" l="0.70000000000000062" r="0.70000000000000062" t="0.7500000000000144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Typical averages</a:t>
            </a:r>
          </a:p>
        </c:rich>
      </c:tx>
      <c:layout>
        <c:manualLayout>
          <c:xMode val="edge"/>
          <c:yMode val="edge"/>
          <c:x val="0.19001977898075081"/>
          <c:y val="2.272727724633684E-2"/>
        </c:manualLayout>
      </c:layout>
      <c:overlay val="0"/>
    </c:title>
    <c:autoTitleDeleted val="0"/>
    <c:plotArea>
      <c:layout>
        <c:manualLayout>
          <c:layoutTarget val="inner"/>
          <c:xMode val="edge"/>
          <c:yMode val="edge"/>
          <c:x val="0.19408188407887436"/>
          <c:y val="3.2383600920521692E-2"/>
          <c:w val="0.54791308224546653"/>
          <c:h val="0.95997982690180261"/>
        </c:manualLayout>
      </c:layout>
      <c:pieChart>
        <c:varyColors val="1"/>
        <c:ser>
          <c:idx val="0"/>
          <c:order val="0"/>
          <c:dLbls>
            <c:dLbl>
              <c:idx val="0"/>
              <c:layout>
                <c:manualLayout>
                  <c:x val="5.2980138589645995E-2"/>
                  <c:y val="-0.22727277246336844"/>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CC05-4CB6-995F-E6ACF2E8CFC7}"/>
                </c:ext>
              </c:extLst>
            </c:dLbl>
            <c:dLbl>
              <c:idx val="1"/>
              <c:layout>
                <c:manualLayout>
                  <c:x val="-3.4591199251126532E-2"/>
                  <c:y val="-2.2038567493112955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C05-4CB6-995F-E6ACF2E8CFC7}"/>
                </c:ext>
              </c:extLst>
            </c:dLbl>
            <c:dLbl>
              <c:idx val="2"/>
              <c:layout>
                <c:manualLayout>
                  <c:x val="1.4716705163790556E-2"/>
                  <c:y val="0"/>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C05-4CB6-995F-E6ACF2E8CFC7}"/>
                </c:ext>
              </c:extLst>
            </c:dLbl>
            <c:dLbl>
              <c:idx val="3"/>
              <c:layout>
                <c:manualLayout>
                  <c:x val="1.32450346474115E-2"/>
                  <c:y val="-2.52525302737076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05-4CB6-995F-E6ACF2E8CFC7}"/>
                </c:ext>
              </c:extLst>
            </c:dLbl>
            <c:dLbl>
              <c:idx val="4"/>
              <c:layout>
                <c:manualLayout>
                  <c:x val="2.0603387229306776E-2"/>
                  <c:y val="-2.52525302737076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C05-4CB6-995F-E6ACF2E8CFC7}"/>
                </c:ext>
              </c:extLst>
            </c:dLbl>
            <c:dLbl>
              <c:idx val="5"/>
              <c:layout>
                <c:manualLayout>
                  <c:x val="1.6188375680169717E-2"/>
                  <c:y val="-5.0505060547415201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C05-4CB6-995F-E6ACF2E8CFC7}"/>
                </c:ext>
              </c:extLst>
            </c:dLbl>
            <c:dLbl>
              <c:idx val="6"/>
              <c:layout>
                <c:manualLayout>
                  <c:x val="1.0301693614653388E-2"/>
                  <c:y val="-2.5252530273706677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C05-4CB6-995F-E6ACF2E8CFC7}"/>
                </c:ext>
              </c:extLst>
            </c:dLbl>
            <c:dLbl>
              <c:idx val="7"/>
              <c:layout>
                <c:manualLayout>
                  <c:x val="1.32450346474115E-2"/>
                  <c:y val="-2.52525302737076E-3"/>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C05-4CB6-995F-E6ACF2E8CFC7}"/>
                </c:ext>
              </c:extLst>
            </c:dLbl>
            <c:spPr>
              <a:noFill/>
              <a:ln>
                <a:noFill/>
              </a:ln>
              <a:effectLst/>
            </c:spPr>
            <c:txPr>
              <a:bodyPr/>
              <a:lstStyle/>
              <a:p>
                <a:pPr>
                  <a:defRPr sz="1100"/>
                </a:pPr>
                <a:endParaRPr lang="en-US"/>
              </a:p>
            </c:txPr>
            <c:dLblPos val="outEnd"/>
            <c:showLegendKey val="1"/>
            <c:showVal val="0"/>
            <c:showCatName val="1"/>
            <c:showSerName val="0"/>
            <c:showPercent val="1"/>
            <c:showBubbleSize val="0"/>
            <c:separator>; </c:separator>
            <c:showLeaderLines val="1"/>
            <c:extLst>
              <c:ext xmlns:c15="http://schemas.microsoft.com/office/drawing/2012/chart" uri="{CE6537A1-D6FC-4f65-9D91-7224C49458BB}"/>
            </c:extLst>
          </c:dLbls>
          <c:cat>
            <c:strRef>
              <c:f>'Data for graphs'!$A$2:$A$9</c:f>
              <c:strCache>
                <c:ptCount val="8"/>
                <c:pt idx="0">
                  <c:v>Enteric methane</c:v>
                </c:pt>
                <c:pt idx="1">
                  <c:v>Waste methane</c:v>
                </c:pt>
                <c:pt idx="2">
                  <c:v>Direct N2O animal waste</c:v>
                </c:pt>
                <c:pt idx="3">
                  <c:v>Direct N2O N fertiliser</c:v>
                </c:pt>
                <c:pt idx="4">
                  <c:v>Indirect N2O animal waste</c:v>
                </c:pt>
                <c:pt idx="5">
                  <c:v>Indirect N2O N fertiliser</c:v>
                </c:pt>
                <c:pt idx="6">
                  <c:v>Energy consumption</c:v>
                </c:pt>
                <c:pt idx="7">
                  <c:v>Pre-farm embedded</c:v>
                </c:pt>
              </c:strCache>
            </c:strRef>
          </c:cat>
          <c:val>
            <c:numRef>
              <c:f>'Data for graphs'!$D$2:$D$9</c:f>
              <c:numCache>
                <c:formatCode>0%</c:formatCode>
                <c:ptCount val="8"/>
                <c:pt idx="0">
                  <c:v>0.57334034380046617</c:v>
                </c:pt>
                <c:pt idx="1">
                  <c:v>9.5959159653752735E-2</c:v>
                </c:pt>
                <c:pt idx="2">
                  <c:v>6.0928726099306663E-2</c:v>
                </c:pt>
                <c:pt idx="3">
                  <c:v>1.6507359813005371E-2</c:v>
                </c:pt>
                <c:pt idx="4">
                  <c:v>4.2267295591961219E-2</c:v>
                </c:pt>
                <c:pt idx="5">
                  <c:v>1.0936125876116061E-2</c:v>
                </c:pt>
                <c:pt idx="6">
                  <c:v>8.6539348818506071E-2</c:v>
                </c:pt>
                <c:pt idx="7">
                  <c:v>0.11352164034688558</c:v>
                </c:pt>
              </c:numCache>
            </c:numRef>
          </c:val>
          <c:extLst>
            <c:ext xmlns:c16="http://schemas.microsoft.com/office/drawing/2014/chart" uri="{C3380CC4-5D6E-409C-BE32-E72D297353CC}">
              <c16:uniqueId val="{00000008-CC05-4CB6-995F-E6ACF2E8CFC7}"/>
            </c:ext>
          </c:extLst>
        </c:ser>
        <c:dLbls>
          <c:showLegendKey val="0"/>
          <c:showVal val="0"/>
          <c:showCatName val="0"/>
          <c:showSerName val="0"/>
          <c:showPercent val="0"/>
          <c:showBubbleSize val="0"/>
          <c:showLeaderLines val="1"/>
        </c:dLbls>
        <c:firstSliceAng val="180"/>
      </c:pieChart>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Your farm</a:t>
            </a:r>
          </a:p>
        </c:rich>
      </c:tx>
      <c:layout>
        <c:manualLayout>
          <c:xMode val="edge"/>
          <c:yMode val="edge"/>
          <c:x val="0.2312405530524595"/>
          <c:y val="2.5252530273707604E-2"/>
        </c:manualLayout>
      </c:layout>
      <c:overlay val="0"/>
    </c:title>
    <c:autoTitleDeleted val="0"/>
    <c:plotArea>
      <c:layout>
        <c:manualLayout>
          <c:layoutTarget val="inner"/>
          <c:xMode val="edge"/>
          <c:yMode val="edge"/>
          <c:x val="0.19408188407887436"/>
          <c:y val="3.2383600920521692E-2"/>
          <c:w val="0.54791308224546653"/>
          <c:h val="0.95997982690180261"/>
        </c:manualLayout>
      </c:layout>
      <c:pieChart>
        <c:varyColors val="1"/>
        <c:ser>
          <c:idx val="0"/>
          <c:order val="0"/>
          <c:tx>
            <c:strRef>
              <c:f>'Data for graphs'!$C$1</c:f>
              <c:strCache>
                <c:ptCount val="1"/>
                <c:pt idx="0">
                  <c:v>Example baseline farm</c:v>
                </c:pt>
              </c:strCache>
            </c:strRef>
          </c:tx>
          <c:dLbls>
            <c:dLbl>
              <c:idx val="1"/>
              <c:layout>
                <c:manualLayout>
                  <c:x val="-3.4591199251126532E-2"/>
                  <c:y val="-2.2038567493112955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6802-42F6-A1E6-590EC50558DC}"/>
                </c:ext>
              </c:extLst>
            </c:dLbl>
            <c:spPr>
              <a:noFill/>
              <a:ln>
                <a:noFill/>
              </a:ln>
              <a:effectLst/>
            </c:spPr>
            <c:txPr>
              <a:bodyPr/>
              <a:lstStyle/>
              <a:p>
                <a:pPr>
                  <a:defRPr sz="1100"/>
                </a:pPr>
                <a:endParaRPr lang="en-US"/>
              </a:p>
            </c:txPr>
            <c:dLblPos val="outEnd"/>
            <c:showLegendKey val="1"/>
            <c:showVal val="0"/>
            <c:showCatName val="1"/>
            <c:showSerName val="0"/>
            <c:showPercent val="1"/>
            <c:showBubbleSize val="0"/>
            <c:separator>; </c:separator>
            <c:showLeaderLines val="0"/>
            <c:extLst>
              <c:ext xmlns:c15="http://schemas.microsoft.com/office/drawing/2012/chart" uri="{CE6537A1-D6FC-4f65-9D91-7224C49458BB}"/>
            </c:extLst>
          </c:dLbls>
          <c:cat>
            <c:strRef>
              <c:f>'Data for graphs'!$A$2:$A$9</c:f>
              <c:strCache>
                <c:ptCount val="8"/>
                <c:pt idx="0">
                  <c:v>Enteric methane</c:v>
                </c:pt>
                <c:pt idx="1">
                  <c:v>Waste methane</c:v>
                </c:pt>
                <c:pt idx="2">
                  <c:v>Direct N2O animal waste</c:v>
                </c:pt>
                <c:pt idx="3">
                  <c:v>Direct N2O N fertiliser</c:v>
                </c:pt>
                <c:pt idx="4">
                  <c:v>Indirect N2O animal waste</c:v>
                </c:pt>
                <c:pt idx="5">
                  <c:v>Indirect N2O N fertiliser</c:v>
                </c:pt>
                <c:pt idx="6">
                  <c:v>Energy consumption</c:v>
                </c:pt>
                <c:pt idx="7">
                  <c:v>Pre-farm embedded</c:v>
                </c:pt>
              </c:strCache>
            </c:strRef>
          </c:cat>
          <c:val>
            <c:numRef>
              <c:f>'Data for graphs'!$C$2:$C$9</c:f>
              <c:numCache>
                <c:formatCode>0%</c:formatCode>
                <c:ptCount val="8"/>
                <c:pt idx="0">
                  <c:v>0.56568295751952258</c:v>
                </c:pt>
                <c:pt idx="1">
                  <c:v>7.0341585218480954E-2</c:v>
                </c:pt>
                <c:pt idx="2">
                  <c:v>5.0304981025063943E-2</c:v>
                </c:pt>
                <c:pt idx="3">
                  <c:v>3.1660213994397356E-2</c:v>
                </c:pt>
                <c:pt idx="4">
                  <c:v>3.6704245419483368E-2</c:v>
                </c:pt>
                <c:pt idx="5">
                  <c:v>2.0974891771288251E-2</c:v>
                </c:pt>
                <c:pt idx="6">
                  <c:v>8.7380733755968651E-2</c:v>
                </c:pt>
                <c:pt idx="7">
                  <c:v>0.13695039129579495</c:v>
                </c:pt>
              </c:numCache>
            </c:numRef>
          </c:val>
          <c:extLst>
            <c:ext xmlns:c16="http://schemas.microsoft.com/office/drawing/2014/chart" uri="{C3380CC4-5D6E-409C-BE32-E72D297353CC}">
              <c16:uniqueId val="{00000001-6802-42F6-A1E6-590EC50558DC}"/>
            </c:ext>
          </c:extLst>
        </c:ser>
        <c:dLbls>
          <c:showLegendKey val="0"/>
          <c:showVal val="0"/>
          <c:showCatName val="0"/>
          <c:showSerName val="0"/>
          <c:showPercent val="0"/>
          <c:showBubbleSize val="0"/>
          <c:showLeaderLines val="0"/>
        </c:dLbls>
        <c:firstSliceAng val="180"/>
      </c:pieChart>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AU"/>
              <a:t>Carbon sequestration for forests</a:t>
            </a:r>
          </a:p>
        </c:rich>
      </c:tx>
      <c:overlay val="1"/>
    </c:title>
    <c:autoTitleDeleted val="0"/>
    <c:plotArea>
      <c:layout/>
      <c:lineChart>
        <c:grouping val="standard"/>
        <c:varyColors val="0"/>
        <c:ser>
          <c:idx val="0"/>
          <c:order val="0"/>
          <c:tx>
            <c:strRef>
              <c:f>'Example baseline farm'!$B$493</c:f>
              <c:strCache>
                <c:ptCount val="1"/>
                <c:pt idx="0">
                  <c:v>High</c:v>
                </c:pt>
              </c:strCache>
            </c:strRef>
          </c:tx>
          <c:val>
            <c:numRef>
              <c:f>'Example baseline farm'!$C$493:$AG$493</c:f>
            </c:numRef>
          </c:val>
          <c:smooth val="0"/>
          <c:extLst>
            <c:ext xmlns:c16="http://schemas.microsoft.com/office/drawing/2014/chart" uri="{C3380CC4-5D6E-409C-BE32-E72D297353CC}">
              <c16:uniqueId val="{00000000-2AAE-43DD-9961-6A06E4A0158E}"/>
            </c:ext>
          </c:extLst>
        </c:ser>
        <c:ser>
          <c:idx val="1"/>
          <c:order val="1"/>
          <c:tx>
            <c:strRef>
              <c:f>'Example baseline farm'!$B$494</c:f>
              <c:strCache>
                <c:ptCount val="1"/>
                <c:pt idx="0">
                  <c:v>Med-High</c:v>
                </c:pt>
              </c:strCache>
            </c:strRef>
          </c:tx>
          <c:val>
            <c:numRef>
              <c:f>'Example baseline farm'!$C$494:$AG$494</c:f>
            </c:numRef>
          </c:val>
          <c:smooth val="0"/>
          <c:extLst>
            <c:ext xmlns:c16="http://schemas.microsoft.com/office/drawing/2014/chart" uri="{C3380CC4-5D6E-409C-BE32-E72D297353CC}">
              <c16:uniqueId val="{00000001-2AAE-43DD-9961-6A06E4A0158E}"/>
            </c:ext>
          </c:extLst>
        </c:ser>
        <c:ser>
          <c:idx val="2"/>
          <c:order val="2"/>
          <c:tx>
            <c:strRef>
              <c:f>'Example baseline farm'!$B$495</c:f>
              <c:strCache>
                <c:ptCount val="1"/>
                <c:pt idx="0">
                  <c:v>Med</c:v>
                </c:pt>
              </c:strCache>
            </c:strRef>
          </c:tx>
          <c:val>
            <c:numRef>
              <c:f>'Example baseline farm'!$C$495:$AG$495</c:f>
            </c:numRef>
          </c:val>
          <c:smooth val="0"/>
          <c:extLst>
            <c:ext xmlns:c16="http://schemas.microsoft.com/office/drawing/2014/chart" uri="{C3380CC4-5D6E-409C-BE32-E72D297353CC}">
              <c16:uniqueId val="{00000002-2AAE-43DD-9961-6A06E4A0158E}"/>
            </c:ext>
          </c:extLst>
        </c:ser>
        <c:ser>
          <c:idx val="3"/>
          <c:order val="3"/>
          <c:tx>
            <c:strRef>
              <c:f>'Example baseline farm'!$B$496</c:f>
              <c:strCache>
                <c:ptCount val="1"/>
                <c:pt idx="0">
                  <c:v>Med-Low</c:v>
                </c:pt>
              </c:strCache>
            </c:strRef>
          </c:tx>
          <c:val>
            <c:numRef>
              <c:f>'Example baseline farm'!$C$496:$AG$496</c:f>
            </c:numRef>
          </c:val>
          <c:smooth val="0"/>
          <c:extLst>
            <c:ext xmlns:c16="http://schemas.microsoft.com/office/drawing/2014/chart" uri="{C3380CC4-5D6E-409C-BE32-E72D297353CC}">
              <c16:uniqueId val="{00000003-2AAE-43DD-9961-6A06E4A0158E}"/>
            </c:ext>
          </c:extLst>
        </c:ser>
        <c:ser>
          <c:idx val="4"/>
          <c:order val="4"/>
          <c:tx>
            <c:strRef>
              <c:f>'Example baseline farm'!$B$497</c:f>
              <c:strCache>
                <c:ptCount val="1"/>
                <c:pt idx="0">
                  <c:v>Low</c:v>
                </c:pt>
              </c:strCache>
            </c:strRef>
          </c:tx>
          <c:val>
            <c:numRef>
              <c:f>'Example baseline farm'!$C$497:$AG$497</c:f>
            </c:numRef>
          </c:val>
          <c:smooth val="0"/>
          <c:extLst>
            <c:ext xmlns:c16="http://schemas.microsoft.com/office/drawing/2014/chart" uri="{C3380CC4-5D6E-409C-BE32-E72D297353CC}">
              <c16:uniqueId val="{00000004-2AAE-43DD-9961-6A06E4A0158E}"/>
            </c:ext>
          </c:extLst>
        </c:ser>
        <c:dLbls>
          <c:showLegendKey val="0"/>
          <c:showVal val="0"/>
          <c:showCatName val="0"/>
          <c:showSerName val="0"/>
          <c:showPercent val="0"/>
          <c:showBubbleSize val="0"/>
        </c:dLbls>
        <c:marker val="1"/>
        <c:smooth val="0"/>
        <c:axId val="347275904"/>
        <c:axId val="347276296"/>
      </c:lineChart>
      <c:catAx>
        <c:axId val="347275904"/>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AU"/>
                  <a:t>Years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7276296"/>
        <c:crosses val="autoZero"/>
        <c:auto val="1"/>
        <c:lblAlgn val="ctr"/>
        <c:lblOffset val="100"/>
        <c:tickLblSkip val="1"/>
        <c:noMultiLvlLbl val="0"/>
      </c:catAx>
      <c:valAx>
        <c:axId val="347276296"/>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AU"/>
                  <a:t>t CO2-e/ha (Inc trees and debris)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7275904"/>
        <c:crosses val="autoZero"/>
        <c:crossBetween val="between"/>
      </c:valAx>
    </c:plotArea>
    <c:legend>
      <c:legendPos val="r"/>
      <c:layout>
        <c:manualLayout>
          <c:xMode val="edge"/>
          <c:yMode val="edge"/>
          <c:x val="0.92304830048179765"/>
          <c:y val="0.30722891566265803"/>
          <c:w val="6.9608446497146412E-2"/>
          <c:h val="0.38554216867470337"/>
        </c:manualLayout>
      </c:layout>
      <c:overlay val="0"/>
      <c:txPr>
        <a:bodyPr/>
        <a:lstStyle/>
        <a:p>
          <a:pPr>
            <a:defRPr sz="101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Typical averages</a:t>
            </a:r>
          </a:p>
        </c:rich>
      </c:tx>
      <c:layout>
        <c:manualLayout>
          <c:xMode val="edge"/>
          <c:yMode val="edge"/>
          <c:x val="0.15831149123328261"/>
          <c:y val="2.7777783301078364E-2"/>
        </c:manualLayout>
      </c:layout>
      <c:overlay val="0"/>
    </c:title>
    <c:autoTitleDeleted val="0"/>
    <c:plotArea>
      <c:layout>
        <c:manualLayout>
          <c:layoutTarget val="inner"/>
          <c:xMode val="edge"/>
          <c:yMode val="edge"/>
          <c:x val="0.19408188407887436"/>
          <c:y val="3.2383600920521692E-2"/>
          <c:w val="0.54791308224546653"/>
          <c:h val="0.95997982690180261"/>
        </c:manualLayout>
      </c:layout>
      <c:pieChart>
        <c:varyColors val="1"/>
        <c:ser>
          <c:idx val="0"/>
          <c:order val="0"/>
          <c:dLbls>
            <c:dLbl>
              <c:idx val="1"/>
              <c:layout>
                <c:manualLayout>
                  <c:x val="-3.4591199251126532E-2"/>
                  <c:y val="-2.2038567493112955E-2"/>
                </c:manualLayout>
              </c:layout>
              <c:dLblPos val="bestFit"/>
              <c:showLegendKey val="1"/>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DBB3-42B9-A891-843707988A62}"/>
                </c:ext>
              </c:extLst>
            </c:dLbl>
            <c:spPr>
              <a:noFill/>
              <a:ln>
                <a:noFill/>
              </a:ln>
              <a:effectLst/>
            </c:spPr>
            <c:txPr>
              <a:bodyPr/>
              <a:lstStyle/>
              <a:p>
                <a:pPr>
                  <a:defRPr sz="1100"/>
                </a:pPr>
                <a:endParaRPr lang="en-US"/>
              </a:p>
            </c:txPr>
            <c:dLblPos val="outEnd"/>
            <c:showLegendKey val="1"/>
            <c:showVal val="0"/>
            <c:showCatName val="1"/>
            <c:showSerName val="0"/>
            <c:showPercent val="1"/>
            <c:showBubbleSize val="0"/>
            <c:separator>; </c:separator>
            <c:showLeaderLines val="0"/>
            <c:extLst>
              <c:ext xmlns:c15="http://schemas.microsoft.com/office/drawing/2012/chart" uri="{CE6537A1-D6FC-4f65-9D91-7224C49458BB}"/>
            </c:extLst>
          </c:dLbls>
          <c:cat>
            <c:strRef>
              <c:f>'Data for graphs'!$A$2:$A$9</c:f>
              <c:strCache>
                <c:ptCount val="8"/>
                <c:pt idx="0">
                  <c:v>Enteric methane</c:v>
                </c:pt>
                <c:pt idx="1">
                  <c:v>Waste methane</c:v>
                </c:pt>
                <c:pt idx="2">
                  <c:v>Direct N2O animal waste</c:v>
                </c:pt>
                <c:pt idx="3">
                  <c:v>Direct N2O N fertiliser</c:v>
                </c:pt>
                <c:pt idx="4">
                  <c:v>Indirect N2O animal waste</c:v>
                </c:pt>
                <c:pt idx="5">
                  <c:v>Indirect N2O N fertiliser</c:v>
                </c:pt>
                <c:pt idx="6">
                  <c:v>Energy consumption</c:v>
                </c:pt>
                <c:pt idx="7">
                  <c:v>Pre-farm embedded</c:v>
                </c:pt>
              </c:strCache>
            </c:strRef>
          </c:cat>
          <c:val>
            <c:numRef>
              <c:f>'Data for graphs'!$D$2:$D$9</c:f>
              <c:numCache>
                <c:formatCode>0%</c:formatCode>
                <c:ptCount val="8"/>
                <c:pt idx="0">
                  <c:v>0.57334034380046617</c:v>
                </c:pt>
                <c:pt idx="1">
                  <c:v>9.5959159653752735E-2</c:v>
                </c:pt>
                <c:pt idx="2">
                  <c:v>6.0928726099306663E-2</c:v>
                </c:pt>
                <c:pt idx="3">
                  <c:v>1.6507359813005371E-2</c:v>
                </c:pt>
                <c:pt idx="4">
                  <c:v>4.2267295591961219E-2</c:v>
                </c:pt>
                <c:pt idx="5">
                  <c:v>1.0936125876116061E-2</c:v>
                </c:pt>
                <c:pt idx="6">
                  <c:v>8.6539348818506071E-2</c:v>
                </c:pt>
                <c:pt idx="7">
                  <c:v>0.11352164034688558</c:v>
                </c:pt>
              </c:numCache>
            </c:numRef>
          </c:val>
          <c:extLst>
            <c:ext xmlns:c16="http://schemas.microsoft.com/office/drawing/2014/chart" uri="{C3380CC4-5D6E-409C-BE32-E72D297353CC}">
              <c16:uniqueId val="{00000001-DBB3-42B9-A891-843707988A62}"/>
            </c:ext>
          </c:extLst>
        </c:ser>
        <c:dLbls>
          <c:showLegendKey val="0"/>
          <c:showVal val="0"/>
          <c:showCatName val="0"/>
          <c:showSerName val="0"/>
          <c:showPercent val="0"/>
          <c:showBubbleSize val="0"/>
          <c:showLeaderLines val="0"/>
        </c:dLbls>
        <c:firstSliceAng val="180"/>
      </c:pieChart>
    </c:plotArea>
    <c:plotVisOnly val="1"/>
    <c:dispBlanksAs val="zero"/>
    <c:showDLblsOverMax val="0"/>
  </c:chart>
  <c:spPr>
    <a:ln>
      <a:noFill/>
    </a:ln>
  </c:spPr>
  <c:printSettings>
    <c:headerFooter/>
    <c:pageMargins b="0.75000000000000699" l="0.70000000000000062" r="0.70000000000000062" t="0.7500000000000069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171885491057803E-2"/>
          <c:y val="3.3098464379101411E-2"/>
          <c:w val="0.93156625770615886"/>
          <c:h val="0.75116817736419261"/>
        </c:manualLayout>
      </c:layout>
      <c:barChart>
        <c:barDir val="col"/>
        <c:grouping val="clustered"/>
        <c:varyColors val="0"/>
        <c:ser>
          <c:idx val="0"/>
          <c:order val="0"/>
          <c:tx>
            <c:strRef>
              <c:f>'Data for graphs'!$H$1</c:f>
              <c:strCache>
                <c:ptCount val="1"/>
                <c:pt idx="0">
                  <c:v>Baseline</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7A28-490F-94F4-A69C40D9F091}"/>
              </c:ext>
            </c:extLst>
          </c:dPt>
          <c:cat>
            <c:multiLvlStrRef>
              <c:f>'Data for graphs'!$F$2:$G$14</c:f>
              <c:multiLvlStrCache>
                <c:ptCount val="13"/>
                <c:lvl>
                  <c:pt idx="0">
                    <c:v>Enteric fermentation</c:v>
                  </c:pt>
                  <c:pt idx="1">
                    <c:v>Waste management</c:v>
                  </c:pt>
                  <c:pt idx="2">
                    <c:v>Dung &amp; urine voided </c:v>
                  </c:pt>
                  <c:pt idx="3">
                    <c:v>Manure during storage and spread</c:v>
                  </c:pt>
                  <c:pt idx="4">
                    <c:v>Indirect N waste</c:v>
                  </c:pt>
                  <c:pt idx="5">
                    <c:v>Direct N fertiliser</c:v>
                  </c:pt>
                  <c:pt idx="6">
                    <c:v>Indirect N fertiliser</c:v>
                  </c:pt>
                  <c:pt idx="7">
                    <c:v>Electricity </c:v>
                  </c:pt>
                  <c:pt idx="8">
                    <c:v>Diesel and unleaded petrol</c:v>
                  </c:pt>
                  <c:pt idx="9">
                    <c:v>Grain/ concentrates</c:v>
                  </c:pt>
                  <c:pt idx="10">
                    <c:v>Forages</c:v>
                  </c:pt>
                  <c:pt idx="11">
                    <c:v>Fertilisers</c:v>
                  </c:pt>
                  <c:pt idx="12">
                    <c:v>Tree plantings (minus)</c:v>
                  </c:pt>
                </c:lvl>
                <c:lvl>
                  <c:pt idx="0">
                    <c:v>Methane</c:v>
                  </c:pt>
                  <c:pt idx="2">
                    <c:v>Nitrous oxide</c:v>
                  </c:pt>
                  <c:pt idx="7">
                    <c:v>Carbon dioxide:</c:v>
                  </c:pt>
                  <c:pt idx="9">
                    <c:v>Pre-farm embedded</c:v>
                  </c:pt>
                  <c:pt idx="12">
                    <c:v>Sequestration</c:v>
                  </c:pt>
                </c:lvl>
              </c:multiLvlStrCache>
            </c:multiLvlStrRef>
          </c:cat>
          <c:val>
            <c:numRef>
              <c:f>'Data for graphs'!$H$2:$H$14</c:f>
              <c:numCache>
                <c:formatCode>General</c:formatCode>
                <c:ptCount val="13"/>
                <c:pt idx="0">
                  <c:v>0</c:v>
                </c:pt>
                <c:pt idx="1">
                  <c:v>0</c:v>
                </c:pt>
                <c:pt idx="2">
                  <c:v>0</c:v>
                </c:pt>
                <c:pt idx="3">
                  <c:v>0</c:v>
                </c:pt>
                <c:pt idx="4">
                  <c:v>0</c:v>
                </c:pt>
                <c:pt idx="5">
                  <c:v>0</c:v>
                </c:pt>
                <c:pt idx="6">
                  <c:v>0</c:v>
                </c:pt>
                <c:pt idx="7">
                  <c:v>#N/A</c:v>
                </c:pt>
                <c:pt idx="8">
                  <c:v>0</c:v>
                </c:pt>
                <c:pt idx="9">
                  <c:v>0</c:v>
                </c:pt>
                <c:pt idx="10">
                  <c:v>0</c:v>
                </c:pt>
                <c:pt idx="11">
                  <c:v>0</c:v>
                </c:pt>
                <c:pt idx="12">
                  <c:v>0</c:v>
                </c:pt>
              </c:numCache>
            </c:numRef>
          </c:val>
          <c:extLst>
            <c:ext xmlns:c16="http://schemas.microsoft.com/office/drawing/2014/chart" uri="{C3380CC4-5D6E-409C-BE32-E72D297353CC}">
              <c16:uniqueId val="{00000002-7A28-490F-94F4-A69C40D9F091}"/>
            </c:ext>
          </c:extLst>
        </c:ser>
        <c:ser>
          <c:idx val="1"/>
          <c:order val="1"/>
          <c:tx>
            <c:strRef>
              <c:f>'Data for graphs'!$I$1</c:f>
              <c:strCache>
                <c:ptCount val="1"/>
                <c:pt idx="0">
                  <c:v>Strategy</c:v>
                </c:pt>
              </c:strCache>
            </c:strRef>
          </c:tx>
          <c:invertIfNegative val="0"/>
          <c:cat>
            <c:multiLvlStrRef>
              <c:f>'Data for graphs'!$F$2:$G$14</c:f>
              <c:multiLvlStrCache>
                <c:ptCount val="13"/>
                <c:lvl>
                  <c:pt idx="0">
                    <c:v>Enteric fermentation</c:v>
                  </c:pt>
                  <c:pt idx="1">
                    <c:v>Waste management</c:v>
                  </c:pt>
                  <c:pt idx="2">
                    <c:v>Dung &amp; urine voided </c:v>
                  </c:pt>
                  <c:pt idx="3">
                    <c:v>Manure during storage and spread</c:v>
                  </c:pt>
                  <c:pt idx="4">
                    <c:v>Indirect N waste</c:v>
                  </c:pt>
                  <c:pt idx="5">
                    <c:v>Direct N fertiliser</c:v>
                  </c:pt>
                  <c:pt idx="6">
                    <c:v>Indirect N fertiliser</c:v>
                  </c:pt>
                  <c:pt idx="7">
                    <c:v>Electricity </c:v>
                  </c:pt>
                  <c:pt idx="8">
                    <c:v>Diesel and unleaded petrol</c:v>
                  </c:pt>
                  <c:pt idx="9">
                    <c:v>Grain/ concentrates</c:v>
                  </c:pt>
                  <c:pt idx="10">
                    <c:v>Forages</c:v>
                  </c:pt>
                  <c:pt idx="11">
                    <c:v>Fertilisers</c:v>
                  </c:pt>
                  <c:pt idx="12">
                    <c:v>Tree plantings (minus)</c:v>
                  </c:pt>
                </c:lvl>
                <c:lvl>
                  <c:pt idx="0">
                    <c:v>Methane</c:v>
                  </c:pt>
                  <c:pt idx="2">
                    <c:v>Nitrous oxide</c:v>
                  </c:pt>
                  <c:pt idx="7">
                    <c:v>Carbon dioxide:</c:v>
                  </c:pt>
                  <c:pt idx="9">
                    <c:v>Pre-farm embedded</c:v>
                  </c:pt>
                  <c:pt idx="12">
                    <c:v>Sequestration</c:v>
                  </c:pt>
                </c:lvl>
              </c:multiLvlStrCache>
            </c:multiLvlStrRef>
          </c:cat>
          <c:val>
            <c:numRef>
              <c:f>'Data for graphs'!$I$2:$I$14</c:f>
              <c:numCache>
                <c:formatCode>General</c:formatCode>
                <c:ptCount val="13"/>
                <c:pt idx="0">
                  <c:v>0</c:v>
                </c:pt>
                <c:pt idx="1">
                  <c:v>0</c:v>
                </c:pt>
                <c:pt idx="2">
                  <c:v>0</c:v>
                </c:pt>
                <c:pt idx="3">
                  <c:v>0</c:v>
                </c:pt>
                <c:pt idx="4">
                  <c:v>0</c:v>
                </c:pt>
                <c:pt idx="5">
                  <c:v>0</c:v>
                </c:pt>
                <c:pt idx="6">
                  <c:v>0</c:v>
                </c:pt>
                <c:pt idx="7">
                  <c:v>#N/A</c:v>
                </c:pt>
                <c:pt idx="8">
                  <c:v>0</c:v>
                </c:pt>
                <c:pt idx="9">
                  <c:v>0</c:v>
                </c:pt>
                <c:pt idx="10">
                  <c:v>0</c:v>
                </c:pt>
                <c:pt idx="11">
                  <c:v>0</c:v>
                </c:pt>
                <c:pt idx="12">
                  <c:v>0</c:v>
                </c:pt>
              </c:numCache>
            </c:numRef>
          </c:val>
          <c:extLst>
            <c:ext xmlns:c16="http://schemas.microsoft.com/office/drawing/2014/chart" uri="{C3380CC4-5D6E-409C-BE32-E72D297353CC}">
              <c16:uniqueId val="{00000003-7A28-490F-94F4-A69C40D9F091}"/>
            </c:ext>
          </c:extLst>
        </c:ser>
        <c:dLbls>
          <c:showLegendKey val="0"/>
          <c:showVal val="0"/>
          <c:showCatName val="0"/>
          <c:showSerName val="0"/>
          <c:showPercent val="0"/>
          <c:showBubbleSize val="0"/>
        </c:dLbls>
        <c:gapWidth val="150"/>
        <c:axId val="347277472"/>
        <c:axId val="350664872"/>
      </c:barChart>
      <c:catAx>
        <c:axId val="347277472"/>
        <c:scaling>
          <c:orientation val="minMax"/>
        </c:scaling>
        <c:delete val="0"/>
        <c:axPos val="b"/>
        <c:numFmt formatCode="General" sourceLinked="0"/>
        <c:majorTickMark val="out"/>
        <c:minorTickMark val="none"/>
        <c:tickLblPos val="nextTo"/>
        <c:crossAx val="350664872"/>
        <c:crosses val="autoZero"/>
        <c:auto val="1"/>
        <c:lblAlgn val="ctr"/>
        <c:lblOffset val="100"/>
        <c:noMultiLvlLbl val="0"/>
      </c:catAx>
      <c:valAx>
        <c:axId val="350664872"/>
        <c:scaling>
          <c:orientation val="minMax"/>
        </c:scaling>
        <c:delete val="0"/>
        <c:axPos val="l"/>
        <c:title>
          <c:tx>
            <c:strRef>
              <c:f>'Data for graphs'!$H$16</c:f>
              <c:strCache>
                <c:ptCount val="1"/>
                <c:pt idx="0">
                  <c:v>kg CO2e per litre of fat and protein corrected milk</c:v>
                </c:pt>
              </c:strCache>
            </c:strRef>
          </c:tx>
          <c:layout>
            <c:manualLayout>
              <c:xMode val="edge"/>
              <c:yMode val="edge"/>
              <c:x val="3.391472868217051E-4"/>
              <c:y val="7.6772375317233799E-2"/>
            </c:manualLayout>
          </c:layout>
          <c:overlay val="0"/>
        </c:title>
        <c:numFmt formatCode="General" sourceLinked="1"/>
        <c:majorTickMark val="out"/>
        <c:minorTickMark val="none"/>
        <c:tickLblPos val="nextTo"/>
        <c:crossAx val="347277472"/>
        <c:crosses val="autoZero"/>
        <c:crossBetween val="between"/>
      </c:valAx>
      <c:spPr>
        <a:noFill/>
        <a:ln w="25400">
          <a:noFill/>
        </a:ln>
      </c:spPr>
    </c:plotArea>
    <c:legend>
      <c:legendPos val="r"/>
      <c:layout>
        <c:manualLayout>
          <c:xMode val="edge"/>
          <c:yMode val="edge"/>
          <c:x val="0.73748092534944765"/>
          <c:y val="7.2788371385881886E-2"/>
          <c:w val="0.175309772324971"/>
          <c:h val="9.7122069406799766E-2"/>
        </c:manualLayout>
      </c:layout>
      <c:overlay val="0"/>
      <c:txPr>
        <a:bodyPr/>
        <a:lstStyle/>
        <a:p>
          <a:pPr>
            <a:defRPr sz="16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7276122840092"/>
          <c:y val="0.17696340149789994"/>
          <c:w val="0.84452044020329442"/>
          <c:h val="0.4908937551600705"/>
        </c:manualLayout>
      </c:layout>
      <c:barChart>
        <c:barDir val="col"/>
        <c:grouping val="clustered"/>
        <c:varyColors val="0"/>
        <c:ser>
          <c:idx val="0"/>
          <c:order val="0"/>
          <c:tx>
            <c:strRef>
              <c:f>'Data for graphs'!$P$2</c:f>
              <c:strCache>
                <c:ptCount val="1"/>
                <c:pt idx="0">
                  <c:v>Change in income &amp; expenses based on reduction in total farm GHG emissions ($ per annum)</c:v>
                </c:pt>
              </c:strCache>
            </c:strRef>
          </c:tx>
          <c:invertIfNegative val="0"/>
          <c:dLbls>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graphs'!$O$3:$O$6</c:f>
              <c:strCache>
                <c:ptCount val="4"/>
                <c:pt idx="0">
                  <c:v>Carbon credits </c:v>
                </c:pt>
                <c:pt idx="1">
                  <c:v>Implementation expenses</c:v>
                </c:pt>
                <c:pt idx="2">
                  <c:v>Additional milk income </c:v>
                </c:pt>
                <c:pt idx="3">
                  <c:v>Total farm benefit</c:v>
                </c:pt>
              </c:strCache>
            </c:strRef>
          </c:cat>
          <c:val>
            <c:numRef>
              <c:f>'Data for graphs'!$P$3:$P$6</c:f>
              <c:numCache>
                <c:formatCode>"$"#,##0</c:formatCode>
                <c:ptCount val="4"/>
                <c:pt idx="0">
                  <c:v>0</c:v>
                </c:pt>
                <c:pt idx="1">
                  <c:v>0</c:v>
                </c:pt>
                <c:pt idx="2">
                  <c:v>0</c:v>
                </c:pt>
                <c:pt idx="3">
                  <c:v>0</c:v>
                </c:pt>
              </c:numCache>
            </c:numRef>
          </c:val>
          <c:extLst>
            <c:ext xmlns:c16="http://schemas.microsoft.com/office/drawing/2014/chart" uri="{C3380CC4-5D6E-409C-BE32-E72D297353CC}">
              <c16:uniqueId val="{00000000-554F-4886-A3EF-D0DE49FA495D}"/>
            </c:ext>
          </c:extLst>
        </c:ser>
        <c:ser>
          <c:idx val="1"/>
          <c:order val="1"/>
          <c:tx>
            <c:strRef>
              <c:f>'Data for graphs'!$Q$2</c:f>
              <c:strCache>
                <c:ptCount val="1"/>
                <c:pt idx="0">
                  <c:v>Change in income &amp; expenses based on reduction in GHG emissions intensity ($ per annum)</c:v>
                </c:pt>
              </c:strCache>
            </c:strRef>
          </c:tx>
          <c:invertIfNegative val="0"/>
          <c:dLbls>
            <c:numFmt formatCode="&quot;$&quot;#,##0" sourceLinked="0"/>
            <c:spPr>
              <a:noFill/>
              <a:ln>
                <a:noFill/>
              </a:ln>
              <a:effectLst/>
            </c:spPr>
            <c:txPr>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for graphs'!$O$3:$O$6</c:f>
              <c:strCache>
                <c:ptCount val="4"/>
                <c:pt idx="0">
                  <c:v>Carbon credits </c:v>
                </c:pt>
                <c:pt idx="1">
                  <c:v>Implementation expenses</c:v>
                </c:pt>
                <c:pt idx="2">
                  <c:v>Additional milk income </c:v>
                </c:pt>
                <c:pt idx="3">
                  <c:v>Total farm benefit</c:v>
                </c:pt>
              </c:strCache>
            </c:strRef>
          </c:cat>
          <c:val>
            <c:numRef>
              <c:f>'Data for graphs'!$Q$3:$Q$6</c:f>
              <c:numCache>
                <c:formatCode>"$"#,##0</c:formatCode>
                <c:ptCount val="4"/>
                <c:pt idx="0">
                  <c:v>0</c:v>
                </c:pt>
                <c:pt idx="1">
                  <c:v>0</c:v>
                </c:pt>
                <c:pt idx="2">
                  <c:v>0</c:v>
                </c:pt>
                <c:pt idx="3">
                  <c:v>0</c:v>
                </c:pt>
              </c:numCache>
            </c:numRef>
          </c:val>
          <c:extLst>
            <c:ext xmlns:c16="http://schemas.microsoft.com/office/drawing/2014/chart" uri="{C3380CC4-5D6E-409C-BE32-E72D297353CC}">
              <c16:uniqueId val="{00000001-554F-4886-A3EF-D0DE49FA495D}"/>
            </c:ext>
          </c:extLst>
        </c:ser>
        <c:dLbls>
          <c:showLegendKey val="0"/>
          <c:showVal val="0"/>
          <c:showCatName val="0"/>
          <c:showSerName val="0"/>
          <c:showPercent val="0"/>
          <c:showBubbleSize val="0"/>
        </c:dLbls>
        <c:gapWidth val="150"/>
        <c:overlap val="-25"/>
        <c:axId val="350665656"/>
        <c:axId val="350666048"/>
      </c:barChart>
      <c:catAx>
        <c:axId val="350665656"/>
        <c:scaling>
          <c:orientation val="minMax"/>
        </c:scaling>
        <c:delete val="0"/>
        <c:axPos val="b"/>
        <c:numFmt formatCode="General" sourceLinked="1"/>
        <c:majorTickMark val="out"/>
        <c:minorTickMark val="none"/>
        <c:tickLblPos val="low"/>
        <c:txPr>
          <a:bodyPr rot="-2700000"/>
          <a:lstStyle/>
          <a:p>
            <a:pPr>
              <a:defRPr sz="1100"/>
            </a:pPr>
            <a:endParaRPr lang="en-US"/>
          </a:p>
        </c:txPr>
        <c:crossAx val="350666048"/>
        <c:crosses val="autoZero"/>
        <c:auto val="1"/>
        <c:lblAlgn val="ctr"/>
        <c:lblOffset val="100"/>
        <c:noMultiLvlLbl val="0"/>
      </c:catAx>
      <c:valAx>
        <c:axId val="350666048"/>
        <c:scaling>
          <c:orientation val="minMax"/>
        </c:scaling>
        <c:delete val="0"/>
        <c:axPos val="l"/>
        <c:title>
          <c:tx>
            <c:rich>
              <a:bodyPr/>
              <a:lstStyle/>
              <a:p>
                <a:pPr>
                  <a:defRPr sz="1050"/>
                </a:pPr>
                <a:r>
                  <a:rPr lang="en-US" sz="1050"/>
                  <a:t>Increase in income and expenses associated with the strategy relative to BAU ($/annum)</a:t>
                </a:r>
              </a:p>
            </c:rich>
          </c:tx>
          <c:layout>
            <c:manualLayout>
              <c:xMode val="edge"/>
              <c:yMode val="edge"/>
              <c:x val="8.0239123732727801E-3"/>
              <c:y val="3.369954209287282E-2"/>
            </c:manualLayout>
          </c:layout>
          <c:overlay val="0"/>
        </c:title>
        <c:numFmt formatCode="\$#,##0" sourceLinked="0"/>
        <c:majorTickMark val="out"/>
        <c:minorTickMark val="none"/>
        <c:tickLblPos val="nextTo"/>
        <c:txPr>
          <a:bodyPr/>
          <a:lstStyle/>
          <a:p>
            <a:pPr>
              <a:defRPr sz="1050"/>
            </a:pPr>
            <a:endParaRPr lang="en-US"/>
          </a:p>
        </c:txPr>
        <c:crossAx val="350665656"/>
        <c:crossesAt val="1"/>
        <c:crossBetween val="between"/>
      </c:valAx>
    </c:plotArea>
    <c:legend>
      <c:legendPos val="t"/>
      <c:layout>
        <c:manualLayout>
          <c:xMode val="edge"/>
          <c:yMode val="edge"/>
          <c:x val="1.6452828803293601E-2"/>
          <c:y val="2.9420924990209097E-4"/>
          <c:w val="0.96137551263960086"/>
          <c:h val="0.1400983691599812"/>
        </c:manualLayout>
      </c:layout>
      <c:overlay val="0"/>
      <c:txPr>
        <a:bodyPr/>
        <a:lstStyle/>
        <a:p>
          <a:pPr>
            <a:defRPr sz="1100"/>
          </a:pPr>
          <a:endParaRPr lang="en-US"/>
        </a:p>
      </c:txPr>
    </c:legend>
    <c:plotVisOnly val="1"/>
    <c:dispBlanksAs val="gap"/>
    <c:showDLblsOverMax val="0"/>
  </c:chart>
  <c:spPr>
    <a:solidFill>
      <a:schemeClr val="bg2"/>
    </a:solidFill>
    <a:ln>
      <a:solidFill>
        <a:schemeClr val="tx1"/>
      </a:solidFill>
    </a:ln>
  </c:spPr>
  <c:printSettings>
    <c:headerFooter/>
    <c:pageMargins b="0.75000000000001421" l="0.70000000000000062" r="0.70000000000000062" t="0.750000000000014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AU"/>
              <a:t>Carbon sequestration for forests</a:t>
            </a:r>
          </a:p>
        </c:rich>
      </c:tx>
      <c:overlay val="1"/>
    </c:title>
    <c:autoTitleDeleted val="0"/>
    <c:plotArea>
      <c:layout/>
      <c:lineChart>
        <c:grouping val="standard"/>
        <c:varyColors val="0"/>
        <c:ser>
          <c:idx val="0"/>
          <c:order val="0"/>
          <c:tx>
            <c:strRef>
              <c:f>'Old NGGI methodology'!$B$490</c:f>
              <c:strCache>
                <c:ptCount val="1"/>
                <c:pt idx="0">
                  <c:v>High</c:v>
                </c:pt>
              </c:strCache>
            </c:strRef>
          </c:tx>
          <c:val>
            <c:numRef>
              <c:f>'Old NGGI methodology'!$C$490:$AG$490</c:f>
            </c:numRef>
          </c:val>
          <c:smooth val="0"/>
          <c:extLst>
            <c:ext xmlns:c16="http://schemas.microsoft.com/office/drawing/2014/chart" uri="{C3380CC4-5D6E-409C-BE32-E72D297353CC}">
              <c16:uniqueId val="{00000000-B980-488F-947A-6E223FE52E2A}"/>
            </c:ext>
          </c:extLst>
        </c:ser>
        <c:ser>
          <c:idx val="1"/>
          <c:order val="1"/>
          <c:tx>
            <c:strRef>
              <c:f>'Old NGGI methodology'!$B$491</c:f>
              <c:strCache>
                <c:ptCount val="1"/>
                <c:pt idx="0">
                  <c:v>Med-High</c:v>
                </c:pt>
              </c:strCache>
            </c:strRef>
          </c:tx>
          <c:val>
            <c:numRef>
              <c:f>'Old NGGI methodology'!$C$491:$AG$491</c:f>
            </c:numRef>
          </c:val>
          <c:smooth val="0"/>
          <c:extLst>
            <c:ext xmlns:c16="http://schemas.microsoft.com/office/drawing/2014/chart" uri="{C3380CC4-5D6E-409C-BE32-E72D297353CC}">
              <c16:uniqueId val="{00000001-B980-488F-947A-6E223FE52E2A}"/>
            </c:ext>
          </c:extLst>
        </c:ser>
        <c:ser>
          <c:idx val="2"/>
          <c:order val="2"/>
          <c:tx>
            <c:strRef>
              <c:f>'Old NGGI methodology'!$B$492</c:f>
              <c:strCache>
                <c:ptCount val="1"/>
                <c:pt idx="0">
                  <c:v>Med</c:v>
                </c:pt>
              </c:strCache>
            </c:strRef>
          </c:tx>
          <c:val>
            <c:numRef>
              <c:f>'Old NGGI methodology'!$C$492:$AG$492</c:f>
            </c:numRef>
          </c:val>
          <c:smooth val="0"/>
          <c:extLst>
            <c:ext xmlns:c16="http://schemas.microsoft.com/office/drawing/2014/chart" uri="{C3380CC4-5D6E-409C-BE32-E72D297353CC}">
              <c16:uniqueId val="{00000002-B980-488F-947A-6E223FE52E2A}"/>
            </c:ext>
          </c:extLst>
        </c:ser>
        <c:ser>
          <c:idx val="3"/>
          <c:order val="3"/>
          <c:tx>
            <c:strRef>
              <c:f>'Old NGGI methodology'!$B$493</c:f>
              <c:strCache>
                <c:ptCount val="1"/>
                <c:pt idx="0">
                  <c:v>Med-Low</c:v>
                </c:pt>
              </c:strCache>
            </c:strRef>
          </c:tx>
          <c:val>
            <c:numRef>
              <c:f>'Old NGGI methodology'!$C$493:$AG$493</c:f>
            </c:numRef>
          </c:val>
          <c:smooth val="0"/>
          <c:extLst>
            <c:ext xmlns:c16="http://schemas.microsoft.com/office/drawing/2014/chart" uri="{C3380CC4-5D6E-409C-BE32-E72D297353CC}">
              <c16:uniqueId val="{00000003-B980-488F-947A-6E223FE52E2A}"/>
            </c:ext>
          </c:extLst>
        </c:ser>
        <c:ser>
          <c:idx val="4"/>
          <c:order val="4"/>
          <c:tx>
            <c:strRef>
              <c:f>'Old NGGI methodology'!$B$494</c:f>
              <c:strCache>
                <c:ptCount val="1"/>
                <c:pt idx="0">
                  <c:v>Low</c:v>
                </c:pt>
              </c:strCache>
            </c:strRef>
          </c:tx>
          <c:val>
            <c:numRef>
              <c:f>'Old NGGI methodology'!$C$494:$AG$494</c:f>
            </c:numRef>
          </c:val>
          <c:smooth val="0"/>
          <c:extLst>
            <c:ext xmlns:c16="http://schemas.microsoft.com/office/drawing/2014/chart" uri="{C3380CC4-5D6E-409C-BE32-E72D297353CC}">
              <c16:uniqueId val="{00000004-B980-488F-947A-6E223FE52E2A}"/>
            </c:ext>
          </c:extLst>
        </c:ser>
        <c:dLbls>
          <c:showLegendKey val="0"/>
          <c:showVal val="0"/>
          <c:showCatName val="0"/>
          <c:showSerName val="0"/>
          <c:showPercent val="0"/>
          <c:showBubbleSize val="0"/>
        </c:dLbls>
        <c:marker val="1"/>
        <c:smooth val="0"/>
        <c:axId val="346810032"/>
        <c:axId val="346810424"/>
      </c:lineChart>
      <c:catAx>
        <c:axId val="346810032"/>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AU"/>
                  <a:t>Years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6810424"/>
        <c:crosses val="autoZero"/>
        <c:auto val="1"/>
        <c:lblAlgn val="ctr"/>
        <c:lblOffset val="100"/>
        <c:tickLblSkip val="1"/>
        <c:noMultiLvlLbl val="0"/>
      </c:catAx>
      <c:valAx>
        <c:axId val="346810424"/>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AU"/>
                  <a:t>t CO2-e/ha (Inc trees and debris)</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6810032"/>
        <c:crosses val="autoZero"/>
        <c:crossBetween val="between"/>
      </c:valAx>
    </c:plotArea>
    <c:legend>
      <c:legendPos val="r"/>
      <c:layout>
        <c:manualLayout>
          <c:xMode val="edge"/>
          <c:yMode val="edge"/>
          <c:x val="0.92304830048179765"/>
          <c:y val="0.30722891566265803"/>
          <c:w val="6.9608446497146412E-2"/>
          <c:h val="0.38554216867470337"/>
        </c:manualLayout>
      </c:layout>
      <c:overlay val="0"/>
      <c:txPr>
        <a:bodyPr/>
        <a:lstStyle/>
        <a:p>
          <a:pPr>
            <a:defRPr sz="101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c:pageMargins b="0.75000000000000633" l="0.70000000000000062" r="0.70000000000000062" t="0.75000000000000633" header="0.30000000000000032" footer="0.30000000000000032"/>
    <c:pageSetup/>
  </c:printSettings>
</c:chartSpace>
</file>

<file path=xl/ctrlProps/ctrlProp1.xml><?xml version="1.0" encoding="utf-8"?>
<formControlPr xmlns="http://schemas.microsoft.com/office/spreadsheetml/2009/9/main" objectType="Spin" dx="20" fmlaLink="$C$215" inc="25" max="30000" page="10" val="0"/>
</file>

<file path=xl/ctrlProps/ctrlProp10.xml><?xml version="1.0" encoding="utf-8"?>
<formControlPr xmlns="http://schemas.microsoft.com/office/spreadsheetml/2009/9/main" objectType="Spin" dx="16" fmlaLink="$C$61" inc="5" max="365" page="10" val="365"/>
</file>

<file path=xl/ctrlProps/ctrlProp100.xml><?xml version="1.0" encoding="utf-8"?>
<formControlPr xmlns="http://schemas.microsoft.com/office/spreadsheetml/2009/9/main" objectType="Spin" dx="16" fmlaLink="$C$68" max="100" page="10" val="20"/>
</file>

<file path=xl/ctrlProps/ctrlProp11.xml><?xml version="1.0" encoding="utf-8"?>
<formControlPr xmlns="http://schemas.microsoft.com/office/spreadsheetml/2009/9/main" objectType="Spin" dx="16" fmlaLink="$C$86" max="200" page="10" val="40"/>
</file>

<file path=xl/ctrlProps/ctrlProp12.xml><?xml version="1.0" encoding="utf-8"?>
<formControlPr xmlns="http://schemas.microsoft.com/office/spreadsheetml/2009/9/main" objectType="Spin" dx="16" fmlaLink="$C$80" inc="5" max="1000" page="10" val="750"/>
</file>

<file path=xl/ctrlProps/ctrlProp13.xml><?xml version="1.0" encoding="utf-8"?>
<formControlPr xmlns="http://schemas.microsoft.com/office/spreadsheetml/2009/9/main" objectType="Spin" dx="16" fmlaLink="$C$87" inc="5" max="1000" page="10" val="730"/>
</file>

<file path=xl/ctrlProps/ctrlProp14.xml><?xml version="1.0" encoding="utf-8"?>
<formControlPr xmlns="http://schemas.microsoft.com/office/spreadsheetml/2009/9/main" objectType="Spin" dx="16" fmlaLink="$C$90" inc="5" max="30000" page="10" val="250"/>
</file>

<file path=xl/ctrlProps/ctrlProp15.xml><?xml version="1.0" encoding="utf-8"?>
<formControlPr xmlns="http://schemas.microsoft.com/office/spreadsheetml/2009/9/main" objectType="Spin" dx="16" fmlaLink="$C$83" inc="5" max="30000" page="10" val="400"/>
</file>

<file path=xl/ctrlProps/ctrlProp16.xml><?xml version="1.0" encoding="utf-8"?>
<formControlPr xmlns="http://schemas.microsoft.com/office/spreadsheetml/2009/9/main" objectType="Spin" dx="16" fmlaLink="$C$85" inc="25" max="30000" page="10" val="650"/>
</file>

<file path=xl/ctrlProps/ctrlProp17.xml><?xml version="1.0" encoding="utf-8"?>
<formControlPr xmlns="http://schemas.microsoft.com/office/spreadsheetml/2009/9/main" objectType="Spin" dx="16" fmlaLink="$C$91" inc="5" max="365" page="10" val="90"/>
</file>

<file path=xl/ctrlProps/ctrlProp18.xml><?xml version="1.0" encoding="utf-8"?>
<formControlPr xmlns="http://schemas.microsoft.com/office/spreadsheetml/2009/9/main" objectType="Spin" dx="16" fmlaLink="$C$89" max="1000" page="10" val="180"/>
</file>

<file path=xl/ctrlProps/ctrlProp19.xml><?xml version="1.0" encoding="utf-8"?>
<formControlPr xmlns="http://schemas.microsoft.com/office/spreadsheetml/2009/9/main" objectType="Spin" dx="16" fmlaLink="$C$82" inc="5" max="30000" page="10" val="250"/>
</file>

<file path=xl/ctrlProps/ctrlProp2.xml><?xml version="1.0" encoding="utf-8"?>
<formControlPr xmlns="http://schemas.microsoft.com/office/spreadsheetml/2009/9/main" objectType="Spin" dx="20" fmlaLink="$C$216" inc="25" max="30000" page="10" val="0"/>
</file>

<file path=xl/ctrlProps/ctrlProp20.xml><?xml version="1.0" encoding="utf-8"?>
<formControlPr xmlns="http://schemas.microsoft.com/office/spreadsheetml/2009/9/main" objectType="Spin" dx="16" fmlaLink="$C$78" max="1000" page="10" val="31"/>
</file>

<file path=xl/ctrlProps/ctrlProp21.xml><?xml version="1.0" encoding="utf-8"?>
<formControlPr xmlns="http://schemas.microsoft.com/office/spreadsheetml/2009/9/main" objectType="Spin" dx="16" fmlaLink="$C$79" max="1000" page="10" val="22"/>
</file>

<file path=xl/ctrlProps/ctrlProp22.xml><?xml version="1.0" encoding="utf-8"?>
<formControlPr xmlns="http://schemas.microsoft.com/office/spreadsheetml/2009/9/main" objectType="Spin" dx="16" fmlaLink="#REF!" inc="5" max="30000" page="10" val="180"/>
</file>

<file path=xl/ctrlProps/ctrlProp23.xml><?xml version="1.0" encoding="utf-8"?>
<formControlPr xmlns="http://schemas.microsoft.com/office/spreadsheetml/2009/9/main" objectType="Spin" dx="16" fmlaLink="$C$88" inc="5" max="30000" page="10" val="200"/>
</file>

<file path=xl/ctrlProps/ctrlProp24.xml><?xml version="1.0" encoding="utf-8"?>
<formControlPr xmlns="http://schemas.microsoft.com/office/spreadsheetml/2009/9/main" objectType="Spin" dx="16" fmlaLink="$C$84" inc="5" max="30000" page="10" val="425"/>
</file>

<file path=xl/ctrlProps/ctrlProp25.xml><?xml version="1.0" encoding="utf-8"?>
<formControlPr xmlns="http://schemas.microsoft.com/office/spreadsheetml/2009/9/main" objectType="Spin" dx="16" fmlaLink="$C$81" inc="2" max="1000" page="10" val="200"/>
</file>

<file path=xl/ctrlProps/ctrlProp26.xml><?xml version="1.0" encoding="utf-8"?>
<formControlPr xmlns="http://schemas.microsoft.com/office/spreadsheetml/2009/9/main" objectType="Spin" dx="16" fmlaLink="$C$88" inc="2" max="1000" page="10" val="200"/>
</file>

<file path=xl/ctrlProps/ctrlProp27.xml><?xml version="1.0" encoding="utf-8"?>
<formControlPr xmlns="http://schemas.microsoft.com/office/spreadsheetml/2009/9/main" objectType="Spin" dx="16" fmlaLink="$C$71" max="1000" page="10" val="30"/>
</file>

<file path=xl/ctrlProps/ctrlProp28.xml><?xml version="1.0" encoding="utf-8"?>
<formControlPr xmlns="http://schemas.microsoft.com/office/spreadsheetml/2009/9/main" objectType="Spin" dx="16" fmlaLink="$C$75" max="1000" page="10" val="216"/>
</file>

<file path=xl/ctrlProps/ctrlProp29.xml><?xml version="1.0" encoding="utf-8"?>
<formControlPr xmlns="http://schemas.microsoft.com/office/spreadsheetml/2009/9/main" objectType="Spin" dx="16" fmlaLink="$C$73" inc="5" max="1000" page="10" val="750"/>
</file>

<file path=xl/ctrlProps/ctrlProp3.xml><?xml version="1.0" encoding="utf-8"?>
<formControlPr xmlns="http://schemas.microsoft.com/office/spreadsheetml/2009/9/main" objectType="Spin" dx="20" fmlaLink="$C$217" inc="5" max="30000" page="10" val="400"/>
</file>

<file path=xl/ctrlProps/ctrlProp30.xml><?xml version="1.0" encoding="utf-8"?>
<formControlPr xmlns="http://schemas.microsoft.com/office/spreadsheetml/2009/9/main" objectType="Spin" dx="16" fmlaLink="$C$76" inc="5" max="365" page="10" val="90"/>
</file>

<file path=xl/ctrlProps/ctrlProp31.xml><?xml version="1.0" encoding="utf-8"?>
<formControlPr xmlns="http://schemas.microsoft.com/office/spreadsheetml/2009/9/main" objectType="Spin" dx="16" fmlaLink="$C$78" inc="5" max="100" page="10" val="40"/>
</file>

<file path=xl/ctrlProps/ctrlProp32.xml><?xml version="1.0" encoding="utf-8"?>
<formControlPr xmlns="http://schemas.microsoft.com/office/spreadsheetml/2009/9/main" objectType="Spin" dx="16" fmlaLink="$C$77" inc="5" max="30000" page="10" val="250"/>
</file>

<file path=xl/ctrlProps/ctrlProp33.xml><?xml version="1.0" encoding="utf-8"?>
<formControlPr xmlns="http://schemas.microsoft.com/office/spreadsheetml/2009/9/main" objectType="Spin" dx="16" fmlaLink="$C$79" inc="5" max="30000" page="10" val="400"/>
</file>

<file path=xl/ctrlProps/ctrlProp34.xml><?xml version="1.0" encoding="utf-8"?>
<formControlPr xmlns="http://schemas.microsoft.com/office/spreadsheetml/2009/9/main" objectType="Spin" dx="16" fmlaLink="$C$81" inc="25" max="30000" page="10" val="600"/>
</file>

<file path=xl/ctrlProps/ctrlProp35.xml><?xml version="1.0" encoding="utf-8"?>
<formControlPr xmlns="http://schemas.microsoft.com/office/spreadsheetml/2009/9/main" objectType="Spin" dx="16" fmlaLink="$C$80" inc="5" max="30000" page="10" val="425"/>
</file>

<file path=xl/ctrlProps/ctrlProp36.xml><?xml version="1.0" encoding="utf-8"?>
<formControlPr xmlns="http://schemas.microsoft.com/office/spreadsheetml/2009/9/main" objectType="Spin" dx="16" fmlaLink="$C$72" max="200" page="10" val="30"/>
</file>

<file path=xl/ctrlProps/ctrlProp37.xml><?xml version="1.0" encoding="utf-8"?>
<formControlPr xmlns="http://schemas.microsoft.com/office/spreadsheetml/2009/9/main" objectType="Spin" dx="16" fmlaLink="$C$74" inc="2" max="1000" page="10" val="200"/>
</file>

<file path=xl/ctrlProps/ctrlProp38.xml><?xml version="1.0" encoding="utf-8"?>
<formControlPr xmlns="http://schemas.microsoft.com/office/spreadsheetml/2009/9/main" objectType="Spin" dx="16" fmlaLink="$C$68" max="100" page="10" val="10"/>
</file>

<file path=xl/ctrlProps/ctrlProp39.xml><?xml version="1.0" encoding="utf-8"?>
<formControlPr xmlns="http://schemas.microsoft.com/office/spreadsheetml/2009/9/main" objectType="Spin" dx="16" fmlaLink="$C$69" inc="5" max="1000" page="10" val="800"/>
</file>

<file path=xl/ctrlProps/ctrlProp4.xml><?xml version="1.0" encoding="utf-8"?>
<formControlPr xmlns="http://schemas.microsoft.com/office/spreadsheetml/2009/9/main" objectType="Spin" dx="20" fmlaLink="$C$218" inc="25" max="30000" page="10" val="600"/>
</file>

<file path=xl/ctrlProps/ctrlProp40.xml><?xml version="1.0" encoding="utf-8"?>
<formControlPr xmlns="http://schemas.microsoft.com/office/spreadsheetml/2009/9/main" objectType="Spin" dx="16" fmlaLink="$C$71" inc="5" max="100" page="10" val="30"/>
</file>

<file path=xl/ctrlProps/ctrlProp41.xml><?xml version="1.0" encoding="utf-8"?>
<formControlPr xmlns="http://schemas.microsoft.com/office/spreadsheetml/2009/9/main" objectType="Spin" dx="16" fmlaLink="$C$72" inc="5" max="365" page="10" val="90"/>
</file>

<file path=xl/ctrlProps/ctrlProp42.xml><?xml version="1.0" encoding="utf-8"?>
<formControlPr xmlns="http://schemas.microsoft.com/office/spreadsheetml/2009/9/main" objectType="Spin" dx="16" fmlaLink="$C$73" inc="5" max="30000" page="10" val="225"/>
</file>

<file path=xl/ctrlProps/ctrlProp43.xml><?xml version="1.0" encoding="utf-8"?>
<formControlPr xmlns="http://schemas.microsoft.com/office/spreadsheetml/2009/9/main" objectType="Spin" dx="16" fmlaLink="$C$74" inc="5" max="30000" page="10" val="400"/>
</file>

<file path=xl/ctrlProps/ctrlProp44.xml><?xml version="1.0" encoding="utf-8"?>
<formControlPr xmlns="http://schemas.microsoft.com/office/spreadsheetml/2009/9/main" objectType="Spin" dx="16" fmlaLink="$C$76" inc="25" max="30000" page="10" val="600"/>
</file>

<file path=xl/ctrlProps/ctrlProp45.xml><?xml version="1.0" encoding="utf-8"?>
<formControlPr xmlns="http://schemas.microsoft.com/office/spreadsheetml/2009/9/main" objectType="Spin" dx="16" fmlaLink="$C$75" inc="5" max="30000" page="10" val="425"/>
</file>

<file path=xl/ctrlProps/ctrlProp46.xml><?xml version="1.0" encoding="utf-8"?>
<formControlPr xmlns="http://schemas.microsoft.com/office/spreadsheetml/2009/9/main" objectType="Spin" dx="16" fmlaLink="$C$70" inc="2" max="1000" page="10" val="200"/>
</file>

<file path=xl/ctrlProps/ctrlProp47.xml><?xml version="1.0" encoding="utf-8"?>
<formControlPr xmlns="http://schemas.microsoft.com/office/spreadsheetml/2009/9/main" objectType="Spin" dx="16" fmlaLink="$C$68" inc="5" max="1000" page="10" val="820"/>
</file>

<file path=xl/ctrlProps/ctrlProp48.xml><?xml version="1.0" encoding="utf-8"?>
<formControlPr xmlns="http://schemas.microsoft.com/office/spreadsheetml/2009/9/main" objectType="Spin" dx="16" fmlaLink="$C$70" inc="5" max="365" page="10" val="90"/>
</file>

<file path=xl/ctrlProps/ctrlProp49.xml><?xml version="1.0" encoding="utf-8"?>
<formControlPr xmlns="http://schemas.microsoft.com/office/spreadsheetml/2009/9/main" objectType="Spin" dx="16" fmlaLink="$C$71" inc="100" max="30000" page="10" val="0"/>
</file>

<file path=xl/ctrlProps/ctrlProp5.xml><?xml version="1.0" encoding="utf-8"?>
<formControlPr xmlns="http://schemas.microsoft.com/office/spreadsheetml/2009/9/main" objectType="Spin" dx="16" fmlaLink="$C$58" inc="2" max="1000" page="10" val="250"/>
</file>

<file path=xl/ctrlProps/ctrlProp50.xml><?xml version="1.0" encoding="utf-8"?>
<formControlPr xmlns="http://schemas.microsoft.com/office/spreadsheetml/2009/9/main" objectType="Spin" dx="16" fmlaLink="$C$72" inc="5" max="30000" page="10" val="400"/>
</file>

<file path=xl/ctrlProps/ctrlProp51.xml><?xml version="1.0" encoding="utf-8"?>
<formControlPr xmlns="http://schemas.microsoft.com/office/spreadsheetml/2009/9/main" objectType="Spin" dx="16" fmlaLink="$C$74" inc="25" max="30000" page="10" val="600"/>
</file>

<file path=xl/ctrlProps/ctrlProp52.xml><?xml version="1.0" encoding="utf-8"?>
<formControlPr xmlns="http://schemas.microsoft.com/office/spreadsheetml/2009/9/main" objectType="Spin" dx="16" fmlaLink="$C$73" inc="5" max="30000" page="10" val="425"/>
</file>

<file path=xl/ctrlProps/ctrlProp53.xml><?xml version="1.0" encoding="utf-8"?>
<formControlPr xmlns="http://schemas.microsoft.com/office/spreadsheetml/2009/9/main" objectType="Spin" dx="16" fmlaLink="$C$69" inc="2" max="1000" page="10" val="200"/>
</file>

<file path=xl/ctrlProps/ctrlProp54.xml><?xml version="1.0" encoding="utf-8"?>
<formControlPr xmlns="http://schemas.microsoft.com/office/spreadsheetml/2009/9/main" objectType="Spin" dx="16" fmlaLink="$C$63" max="100" page="10" val="92"/>
</file>

<file path=xl/ctrlProps/ctrlProp55.xml><?xml version="1.0" encoding="utf-8"?>
<formControlPr xmlns="http://schemas.microsoft.com/office/spreadsheetml/2009/9/main" objectType="Spin" dx="16" fmlaLink="$C$64" inc="5" max="365" page="10" val="90"/>
</file>

<file path=xl/ctrlProps/ctrlProp56.xml><?xml version="1.0" encoding="utf-8"?>
<formControlPr xmlns="http://schemas.microsoft.com/office/spreadsheetml/2009/9/main" objectType="Spin" dx="16" fmlaLink="$C$65" max="100" page="10" val="50"/>
</file>

<file path=xl/ctrlProps/ctrlProp57.xml><?xml version="1.0" encoding="utf-8"?>
<formControlPr xmlns="http://schemas.microsoft.com/office/spreadsheetml/2009/9/main" objectType="Spin" dx="16" fmlaLink="$C$66" inc="2" max="10000" page="10" val="400"/>
</file>

<file path=xl/ctrlProps/ctrlProp58.xml><?xml version="1.0" encoding="utf-8"?>
<formControlPr xmlns="http://schemas.microsoft.com/office/spreadsheetml/2009/9/main" objectType="Spin" dx="16" fmlaLink="$C$68" inc="25" max="10000" page="10" val="600"/>
</file>

<file path=xl/ctrlProps/ctrlProp59.xml><?xml version="1.0" encoding="utf-8"?>
<formControlPr xmlns="http://schemas.microsoft.com/office/spreadsheetml/2009/9/main" objectType="Spin" dx="16" fmlaLink="$C$67" inc="5" max="30000" page="10" val="400"/>
</file>

<file path=xl/ctrlProps/ctrlProp6.xml><?xml version="1.0" encoding="utf-8"?>
<formControlPr xmlns="http://schemas.microsoft.com/office/spreadsheetml/2009/9/main" objectType="Spin" dx="16" fmlaLink="$C$59" max="30000" page="10" val="150"/>
</file>

<file path=xl/ctrlProps/ctrlProp60.xml><?xml version="1.0" encoding="utf-8"?>
<formControlPr xmlns="http://schemas.microsoft.com/office/spreadsheetml/2009/9/main" objectType="Spin" dx="16" fmlaLink="$C$74" max="100" page="10" val="100"/>
</file>

<file path=xl/ctrlProps/ctrlProp61.xml><?xml version="1.0" encoding="utf-8"?>
<formControlPr xmlns="http://schemas.microsoft.com/office/spreadsheetml/2009/9/main" objectType="Spin" dx="16" fmlaLink="$C$72" max="100" page="10" val="70"/>
</file>

<file path=xl/ctrlProps/ctrlProp62.xml><?xml version="1.0" encoding="utf-8"?>
<formControlPr xmlns="http://schemas.microsoft.com/office/spreadsheetml/2009/9/main" objectType="Spin" dx="16" fmlaLink="$C$75" max="100" page="10" val="40"/>
</file>

<file path=xl/ctrlProps/ctrlProp63.xml><?xml version="1.0" encoding="utf-8"?>
<formControlPr xmlns="http://schemas.microsoft.com/office/spreadsheetml/2009/9/main" objectType="Spin" dx="16" fmlaLink="$C$76" inc="10" max="10000" page="10" val="750"/>
</file>

<file path=xl/ctrlProps/ctrlProp64.xml><?xml version="1.0" encoding="utf-8"?>
<formControlPr xmlns="http://schemas.microsoft.com/office/spreadsheetml/2009/9/main" objectType="Spin" dx="16" fmlaLink="$C$77" inc="10" max="10000" page="10" val="850"/>
</file>

<file path=xl/ctrlProps/ctrlProp65.xml><?xml version="1.0" encoding="utf-8"?>
<formControlPr xmlns="http://schemas.microsoft.com/office/spreadsheetml/2009/9/main" objectType="Spin" dx="16" fmlaLink="$C$78" inc="5" max="5000" page="10" val="90"/>
</file>

<file path=xl/ctrlProps/ctrlProp66.xml><?xml version="1.0" encoding="utf-8"?>
<formControlPr xmlns="http://schemas.microsoft.com/office/spreadsheetml/2009/9/main" objectType="Spin" dx="16" fmlaLink="$C$79" max="10000" page="10" val="115"/>
</file>

<file path=xl/ctrlProps/ctrlProp67.xml><?xml version="1.0" encoding="utf-8"?>
<formControlPr xmlns="http://schemas.microsoft.com/office/spreadsheetml/2009/9/main" objectType="Spin" dx="16" fmlaLink="$C$81" max="100" page="10" val="44"/>
</file>

<file path=xl/ctrlProps/ctrlProp68.xml><?xml version="1.0" encoding="utf-8"?>
<formControlPr xmlns="http://schemas.microsoft.com/office/spreadsheetml/2009/9/main" objectType="Spin" dx="16" fmlaLink="$C$84" inc="25" max="30000" page="10" val="600"/>
</file>

<file path=xl/ctrlProps/ctrlProp69.xml><?xml version="1.0" encoding="utf-8"?>
<formControlPr xmlns="http://schemas.microsoft.com/office/spreadsheetml/2009/9/main" objectType="Spin" dx="16" fmlaLink="$C$80" max="10000" page="10" val="109"/>
</file>

<file path=xl/ctrlProps/ctrlProp7.xml><?xml version="1.0" encoding="utf-8"?>
<formControlPr xmlns="http://schemas.microsoft.com/office/spreadsheetml/2009/9/main" objectType="Spin" dx="16" fmlaLink="$C$60" inc="5" max="1000" page="10" val="0"/>
</file>

<file path=xl/ctrlProps/ctrlProp70.xml><?xml version="1.0" encoding="utf-8"?>
<formControlPr xmlns="http://schemas.microsoft.com/office/spreadsheetml/2009/9/main" objectType="Spin" dx="16" fmlaLink="$C$82" inc="5" max="10000" page="10" val="400"/>
</file>

<file path=xl/ctrlProps/ctrlProp71.xml><?xml version="1.0" encoding="utf-8"?>
<formControlPr xmlns="http://schemas.microsoft.com/office/spreadsheetml/2009/9/main" objectType="Spin" dx="16" fmlaLink="$C$83" inc="5" max="30000" page="10" val="425"/>
</file>

<file path=xl/ctrlProps/ctrlProp72.xml><?xml version="1.0" encoding="utf-8"?>
<formControlPr xmlns="http://schemas.microsoft.com/office/spreadsheetml/2009/9/main" objectType="Spin" dx="16" fmlaLink="$C$82" inc="5" max="30000" page="10" val="400"/>
</file>

<file path=xl/ctrlProps/ctrlProp73.xml><?xml version="1.0" encoding="utf-8"?>
<formControlPr xmlns="http://schemas.microsoft.com/office/spreadsheetml/2009/9/main" objectType="Spin" dx="16" fmlaLink="#REF!" inc="5" max="10000" page="10" val="90"/>
</file>

<file path=xl/ctrlProps/ctrlProp74.xml><?xml version="1.0" encoding="utf-8"?>
<formControlPr xmlns="http://schemas.microsoft.com/office/spreadsheetml/2009/9/main" objectType="Spin" dx="16" fmlaLink="$C$66" max="30000" page="10" val="145"/>
</file>

<file path=xl/ctrlProps/ctrlProp75.xml><?xml version="1.0" encoding="utf-8"?>
<formControlPr xmlns="http://schemas.microsoft.com/office/spreadsheetml/2009/9/main" objectType="Spin" dx="16" fmlaLink="$C$67" max="30000" page="10" val="175"/>
</file>

<file path=xl/ctrlProps/ctrlProp76.xml><?xml version="1.0" encoding="utf-8"?>
<formControlPr xmlns="http://schemas.microsoft.com/office/spreadsheetml/2009/9/main" objectType="Spin" dx="16" fmlaLink="$C$68" inc="2" max="730" page="10" val="670"/>
</file>

<file path=xl/ctrlProps/ctrlProp77.xml><?xml version="1.0" encoding="utf-8"?>
<formControlPr xmlns="http://schemas.microsoft.com/office/spreadsheetml/2009/9/main" objectType="Spin" dx="16" fmlaLink="$C$71" max="30000" page="10" val="40"/>
</file>

<file path=xl/ctrlProps/ctrlProp78.xml><?xml version="1.0" encoding="utf-8"?>
<formControlPr xmlns="http://schemas.microsoft.com/office/spreadsheetml/2009/9/main" objectType="Spin" dx="16" fmlaLink="$C$72" inc="25" max="30000" page="10" val="600"/>
</file>

<file path=xl/ctrlProps/ctrlProp79.xml><?xml version="1.0" encoding="utf-8"?>
<formControlPr xmlns="http://schemas.microsoft.com/office/spreadsheetml/2009/9/main" objectType="Spin" dx="16" fmlaLink="$C$69" max="150" min="1" page="10" val="60"/>
</file>

<file path=xl/ctrlProps/ctrlProp8.xml><?xml version="1.0" encoding="utf-8"?>
<formControlPr xmlns="http://schemas.microsoft.com/office/spreadsheetml/2009/9/main" objectType="Spin" dx="16" fmlaLink="$C$62" max="30000" page="10" val="50"/>
</file>

<file path=xl/ctrlProps/ctrlProp80.xml><?xml version="1.0" encoding="utf-8"?>
<formControlPr xmlns="http://schemas.microsoft.com/office/spreadsheetml/2009/9/main" objectType="Spin" dx="16" fmlaLink="$C$70" max="12" min="1" page="10" val="2"/>
</file>

<file path=xl/ctrlProps/ctrlProp81.xml><?xml version="1.0" encoding="utf-8"?>
<formControlPr xmlns="http://schemas.microsoft.com/office/spreadsheetml/2009/9/main" objectType="Spin" dx="16" fmlaLink="$C$73" inc="20" max="30000" min="1" page="10"/>
</file>

<file path=xl/ctrlProps/ctrlProp82.xml><?xml version="1.0" encoding="utf-8"?>
<formControlPr xmlns="http://schemas.microsoft.com/office/spreadsheetml/2009/9/main" objectType="Spin" dx="16" fmlaLink="$C$73" inc="10" max="30000" page="10" val="0"/>
</file>

<file path=xl/ctrlProps/ctrlProp83.xml><?xml version="1.0" encoding="utf-8"?>
<formControlPr xmlns="http://schemas.microsoft.com/office/spreadsheetml/2009/9/main" objectType="Spin" dx="16" fmlaLink="$C$53" max="30000" page="10" val="120"/>
</file>

<file path=xl/ctrlProps/ctrlProp84.xml><?xml version="1.0" encoding="utf-8"?>
<formControlPr xmlns="http://schemas.microsoft.com/office/spreadsheetml/2009/9/main" objectType="Spin" dx="16" fmlaLink="$C$54" max="30000" page="10" val="200"/>
</file>

<file path=xl/ctrlProps/ctrlProp85.xml><?xml version="1.0" encoding="utf-8"?>
<formControlPr xmlns="http://schemas.microsoft.com/office/spreadsheetml/2009/9/main" objectType="Spin" dx="16" fmlaLink="#REF!" max="30000" page="10" val="485"/>
</file>

<file path=xl/ctrlProps/ctrlProp86.xml><?xml version="1.0" encoding="utf-8"?>
<formControlPr xmlns="http://schemas.microsoft.com/office/spreadsheetml/2009/9/main" objectType="Spin" dx="16" fmlaLink="$C$56" max="30000" page="10" val="40"/>
</file>

<file path=xl/ctrlProps/ctrlProp87.xml><?xml version="1.0" encoding="utf-8"?>
<formControlPr xmlns="http://schemas.microsoft.com/office/spreadsheetml/2009/9/main" objectType="Spin" dx="16" fmlaLink="$C$57" inc="25" max="30000" page="10" val="600"/>
</file>

<file path=xl/ctrlProps/ctrlProp88.xml><?xml version="1.0" encoding="utf-8"?>
<formControlPr xmlns="http://schemas.microsoft.com/office/spreadsheetml/2009/9/main" objectType="Spin" dx="16" fmlaLink="#REF!" max="150" min="1" page="10" val="60"/>
</file>

<file path=xl/ctrlProps/ctrlProp89.xml><?xml version="1.0" encoding="utf-8"?>
<formControlPr xmlns="http://schemas.microsoft.com/office/spreadsheetml/2009/9/main" objectType="Spin" dx="16" fmlaLink="#REF!" max="12" min="1" page="10" val="4"/>
</file>

<file path=xl/ctrlProps/ctrlProp9.xml><?xml version="1.0" encoding="utf-8"?>
<formControlPr xmlns="http://schemas.microsoft.com/office/spreadsheetml/2009/9/main" objectType="Spin" dx="16" fmlaLink="$C$63" inc="25" max="30000" page="10" val="2000"/>
</file>

<file path=xl/ctrlProps/ctrlProp90.xml><?xml version="1.0" encoding="utf-8"?>
<formControlPr xmlns="http://schemas.microsoft.com/office/spreadsheetml/2009/9/main" objectType="Spin" dx="16" fmlaLink="$C$55" inc="25" max="30000" page="10" val="1200"/>
</file>

<file path=xl/ctrlProps/ctrlProp91.xml><?xml version="1.0" encoding="utf-8"?>
<formControlPr xmlns="http://schemas.microsoft.com/office/spreadsheetml/2009/9/main" objectType="Spin" dx="16" fmlaLink="$C$66" inc="2" max="100" page="10" val="100"/>
</file>

<file path=xl/ctrlProps/ctrlProp92.xml><?xml version="1.0" encoding="utf-8"?>
<formControlPr xmlns="http://schemas.microsoft.com/office/spreadsheetml/2009/9/main" objectType="Spin" dx="16" fmlaLink="$C$71" inc="500" max="30000" page="10" val="16500"/>
</file>

<file path=xl/ctrlProps/ctrlProp93.xml><?xml version="1.0" encoding="utf-8"?>
<formControlPr xmlns="http://schemas.microsoft.com/office/spreadsheetml/2009/9/main" objectType="Spin" dx="16" fmlaLink="#REF!" inc="5" max="30000" page="10" val="10"/>
</file>

<file path=xl/ctrlProps/ctrlProp94.xml><?xml version="1.0" encoding="utf-8"?>
<formControlPr xmlns="http://schemas.microsoft.com/office/spreadsheetml/2009/9/main" objectType="Spin" dx="16" fmlaLink="$C$69" max="30000" page="10" val="40"/>
</file>

<file path=xl/ctrlProps/ctrlProp95.xml><?xml version="1.0" encoding="utf-8"?>
<formControlPr xmlns="http://schemas.microsoft.com/office/spreadsheetml/2009/9/main" objectType="Spin" dx="16" fmlaLink="$C$70" inc="25" max="30000" page="10" val="600"/>
</file>

<file path=xl/ctrlProps/ctrlProp96.xml><?xml version="1.0" encoding="utf-8"?>
<formControlPr xmlns="http://schemas.microsoft.com/office/spreadsheetml/2009/9/main" objectType="Spin" dx="16" fmlaLink="#REF!" inc="5" max="365" page="10" val="365"/>
</file>

<file path=xl/ctrlProps/ctrlProp97.xml><?xml version="1.0" encoding="utf-8"?>
<formControlPr xmlns="http://schemas.microsoft.com/office/spreadsheetml/2009/9/main" objectType="Spin" dx="16" fmlaLink="$C$72" max="20" page="10" val="10"/>
</file>

<file path=xl/ctrlProps/ctrlProp98.xml><?xml version="1.0" encoding="utf-8"?>
<formControlPr xmlns="http://schemas.microsoft.com/office/spreadsheetml/2009/9/main" objectType="Spin" dx="16" fmlaLink="$C$65" inc="25" max="2400" page="10" val="250"/>
</file>

<file path=xl/ctrlProps/ctrlProp99.xml><?xml version="1.0" encoding="utf-8"?>
<formControlPr xmlns="http://schemas.microsoft.com/office/spreadsheetml/2009/9/main" objectType="Spin" dx="16" fmlaLink="$C$67" max="100" page="10" val="0"/>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4027A1-9C9E-42F6-8317-3DA6D571312E}" type="doc">
      <dgm:prSet loTypeId="urn:microsoft.com/office/officeart/2005/8/layout/orgChart1" loCatId="hierarchy" qsTypeId="urn:microsoft.com/office/officeart/2005/8/quickstyle/simple5" qsCatId="simple" csTypeId="urn:microsoft.com/office/officeart/2005/8/colors/accent1_2" csCatId="accent1" phldr="1"/>
      <dgm:spPr/>
      <dgm:t>
        <a:bodyPr/>
        <a:lstStyle/>
        <a:p>
          <a:endParaRPr lang="en-AU"/>
        </a:p>
      </dgm:t>
    </dgm:pt>
    <dgm:pt modelId="{C13E1972-9D6A-40C5-B7F1-4FA99DC39A5D}">
      <dgm:prSet phldrT="[Text]" custT="1"/>
      <dgm:spPr>
        <a:solidFill>
          <a:schemeClr val="accent2">
            <a:lumMod val="20000"/>
            <a:lumOff val="80000"/>
          </a:schemeClr>
        </a:solidFill>
      </dgm:spPr>
      <dgm:t>
        <a:bodyPr/>
        <a:lstStyle/>
        <a:p>
          <a:r>
            <a:rPr lang="en-AU" sz="1100">
              <a:solidFill>
                <a:sysClr val="windowText" lastClr="000000"/>
              </a:solidFill>
            </a:rPr>
            <a:t>Reduce CH4 output per unit of intake </a:t>
          </a:r>
        </a:p>
      </dgm:t>
    </dgm:pt>
    <dgm:pt modelId="{EE590B0F-CEBC-49C9-AEE1-2F1A44C2889E}" type="parTrans" cxnId="{947F8131-E63F-4C26-BFA3-957E012A9F1C}">
      <dgm:prSet/>
      <dgm:spPr/>
      <dgm:t>
        <a:bodyPr/>
        <a:lstStyle/>
        <a:p>
          <a:endParaRPr lang="en-AU"/>
        </a:p>
      </dgm:t>
    </dgm:pt>
    <dgm:pt modelId="{E7F0BBED-42DD-49FB-9E83-F9817DE09AEE}" type="sibTrans" cxnId="{947F8131-E63F-4C26-BFA3-957E012A9F1C}">
      <dgm:prSet/>
      <dgm:spPr/>
      <dgm:t>
        <a:bodyPr/>
        <a:lstStyle/>
        <a:p>
          <a:endParaRPr lang="en-AU"/>
        </a:p>
      </dgm:t>
    </dgm:pt>
    <dgm:pt modelId="{EE53CECF-0159-4A3E-9E53-59EA1EE7B945}">
      <dgm:prSet phldrT="[Text]" custT="1"/>
      <dgm:spPr>
        <a:solidFill>
          <a:schemeClr val="accent3">
            <a:lumMod val="20000"/>
            <a:lumOff val="80000"/>
          </a:schemeClr>
        </a:solidFill>
        <a:ln>
          <a:noFill/>
        </a:ln>
      </dgm:spPr>
      <dgm:t>
        <a:bodyPr/>
        <a:lstStyle/>
        <a:p>
          <a:pPr algn="ctr">
            <a:lnSpc>
              <a:spcPct val="110000"/>
            </a:lnSpc>
            <a:spcAft>
              <a:spcPts val="0"/>
            </a:spcAft>
          </a:pPr>
          <a:r>
            <a:rPr lang="en-AU" sz="800">
              <a:solidFill>
                <a:sysClr val="windowText" lastClr="000000"/>
              </a:solidFill>
            </a:rPr>
            <a:t>CH4 energy output as a percentage of GE intake can range quite considerably due to both animal and dietary factors . Based on inventory calculations of Australian dairy farms, the average is 6.9% (ranging between 6.3% and 7.7%) although literature has found a range of less 4% up to 10%. </a:t>
          </a:r>
        </a:p>
      </dgm:t>
    </dgm:pt>
    <dgm:pt modelId="{0DF2453D-B88C-4476-9906-984FFEE8D9D1}" type="parTrans" cxnId="{996C52BD-0A57-4D1C-AE16-240A29B74554}">
      <dgm:prSet/>
      <dgm:spPr/>
      <dgm:t>
        <a:bodyPr/>
        <a:lstStyle/>
        <a:p>
          <a:endParaRPr lang="en-AU"/>
        </a:p>
      </dgm:t>
    </dgm:pt>
    <dgm:pt modelId="{92FD7813-3965-4897-836E-5AFC79B88304}" type="sibTrans" cxnId="{996C52BD-0A57-4D1C-AE16-240A29B74554}">
      <dgm:prSet/>
      <dgm:spPr/>
      <dgm:t>
        <a:bodyPr/>
        <a:lstStyle/>
        <a:p>
          <a:endParaRPr lang="en-AU"/>
        </a:p>
      </dgm:t>
    </dgm:pt>
    <dgm:pt modelId="{93A36F70-6CFA-4EF3-8917-CF33D892AD2B}">
      <dgm:prSet phldrT="[Text]" custT="1"/>
      <dgm:spPr>
        <a:solidFill>
          <a:schemeClr val="accent2">
            <a:lumMod val="20000"/>
            <a:lumOff val="80000"/>
          </a:schemeClr>
        </a:solidFill>
      </dgm:spPr>
      <dgm:t>
        <a:bodyPr/>
        <a:lstStyle/>
        <a:p>
          <a:r>
            <a:rPr lang="en-AU" sz="1100">
              <a:solidFill>
                <a:sysClr val="windowText" lastClr="000000"/>
              </a:solidFill>
            </a:rPr>
            <a:t>Increase efficiency  for which energy is converted into milk</a:t>
          </a:r>
        </a:p>
      </dgm:t>
    </dgm:pt>
    <dgm:pt modelId="{DD206DED-7FC5-4EEA-8C87-BF6615CC14B0}" type="parTrans" cxnId="{64B4731F-943E-4688-B290-7A306FCFE823}">
      <dgm:prSet/>
      <dgm:spPr/>
      <dgm:t>
        <a:bodyPr/>
        <a:lstStyle/>
        <a:p>
          <a:endParaRPr lang="en-AU"/>
        </a:p>
      </dgm:t>
    </dgm:pt>
    <dgm:pt modelId="{DB2DEC31-D6D5-4E4B-B011-8EFD542E285A}" type="sibTrans" cxnId="{64B4731F-943E-4688-B290-7A306FCFE823}">
      <dgm:prSet/>
      <dgm:spPr/>
      <dgm:t>
        <a:bodyPr/>
        <a:lstStyle/>
        <a:p>
          <a:endParaRPr lang="en-AU"/>
        </a:p>
      </dgm:t>
    </dgm:pt>
    <dgm:pt modelId="{3F2837BE-7DB0-4240-97FA-5D38AA7C0DF0}">
      <dgm:prSet phldrT="[Text]" custT="1"/>
      <dgm:spPr>
        <a:solidFill>
          <a:schemeClr val="accent3">
            <a:lumMod val="20000"/>
            <a:lumOff val="80000"/>
          </a:schemeClr>
        </a:solidFill>
      </dgm:spPr>
      <dgm:t>
        <a:bodyPr anchor="ctr"/>
        <a:lstStyle/>
        <a:p>
          <a:pPr algn="ctr"/>
          <a:r>
            <a:rPr lang="en-AU" sz="800">
              <a:solidFill>
                <a:sysClr val="windowText" lastClr="000000"/>
              </a:solidFill>
            </a:rPr>
            <a:t>Milk production relative to intake can vary due to both animal and dietary factors . </a:t>
          </a:r>
        </a:p>
        <a:p>
          <a:pPr algn="ctr"/>
          <a:r>
            <a:rPr lang="en-AU" sz="800">
              <a:solidFill>
                <a:sysClr val="windowText" lastClr="000000"/>
              </a:solidFill>
            </a:rPr>
            <a:t>Milk production (MP) is calculated MP = (Mi x k x Qm x 18.4)/NE </a:t>
          </a:r>
        </a:p>
        <a:p>
          <a:pPr algn="ctr"/>
          <a:r>
            <a:rPr lang="en-AU" sz="800">
              <a:solidFill>
                <a:sysClr val="windowText" lastClr="000000"/>
              </a:solidFill>
            </a:rPr>
            <a:t>Where Mi = Intake for milk production </a:t>
          </a:r>
        </a:p>
        <a:p>
          <a:pPr algn="ctr"/>
          <a:r>
            <a:rPr lang="en-AU" sz="800">
              <a:solidFill>
                <a:sysClr val="windowText" lastClr="000000"/>
              </a:solidFill>
            </a:rPr>
            <a:t>K = efficiency of use of ME for milk production (0.6) </a:t>
          </a:r>
        </a:p>
        <a:p>
          <a:pPr algn="ctr"/>
          <a:r>
            <a:rPr lang="en-AU" sz="800">
              <a:solidFill>
                <a:sysClr val="windowText" lastClr="000000"/>
              </a:solidFill>
            </a:rPr>
            <a:t>Qm = ratio of ME/GE calculated as 0.00795DMD - 0.0014 </a:t>
          </a:r>
        </a:p>
        <a:p>
          <a:pPr algn="ctr"/>
          <a:r>
            <a:rPr lang="en-AU" sz="800">
              <a:solidFill>
                <a:sysClr val="windowText" lastClr="000000"/>
              </a:solidFill>
            </a:rPr>
            <a:t>NE = 3.054 MJ net energy/kg milk.  </a:t>
          </a:r>
        </a:p>
      </dgm:t>
    </dgm:pt>
    <dgm:pt modelId="{ED763B38-1452-435A-831E-0529E51E153D}" type="parTrans" cxnId="{B0F78CBB-5F31-4907-AC85-EDB8523722DE}">
      <dgm:prSet/>
      <dgm:spPr/>
      <dgm:t>
        <a:bodyPr/>
        <a:lstStyle/>
        <a:p>
          <a:endParaRPr lang="en-AU"/>
        </a:p>
      </dgm:t>
    </dgm:pt>
    <dgm:pt modelId="{F4040F99-2ADB-40A5-89A2-1A3E4D3DC040}" type="sibTrans" cxnId="{B0F78CBB-5F31-4907-AC85-EDB8523722DE}">
      <dgm:prSet/>
      <dgm:spPr/>
      <dgm:t>
        <a:bodyPr/>
        <a:lstStyle/>
        <a:p>
          <a:endParaRPr lang="en-AU"/>
        </a:p>
      </dgm:t>
    </dgm:pt>
    <dgm:pt modelId="{3904B684-D811-4FAA-98ED-69AF90F8C4A4}">
      <dgm:prSet phldrT="[Text]" custT="1"/>
      <dgm:spPr>
        <a:solidFill>
          <a:schemeClr val="bg2"/>
        </a:solidFill>
      </dgm:spPr>
      <dgm:t>
        <a:bodyPr/>
        <a:lstStyle/>
        <a:p>
          <a:r>
            <a:rPr lang="en-AU" sz="1600" b="1">
              <a:solidFill>
                <a:sysClr val="windowText" lastClr="000000"/>
              </a:solidFill>
              <a:latin typeface="+mn-lt"/>
              <a:ea typeface="+mn-ea"/>
              <a:cs typeface="+mn-cs"/>
            </a:rPr>
            <a:t>Herd  and breeding management for reducing enteric methane emissions </a:t>
          </a:r>
          <a:endParaRPr lang="en-AU" sz="1600" b="1" i="1">
            <a:solidFill>
              <a:sysClr val="windowText" lastClr="000000"/>
            </a:solidFill>
          </a:endParaRPr>
        </a:p>
      </dgm:t>
    </dgm:pt>
    <dgm:pt modelId="{D07CB52D-1753-44D3-99EC-4887A2D85D4C}" type="sibTrans" cxnId="{F6CC5EAC-22E6-42DC-A2D1-2DCCDE519489}">
      <dgm:prSet/>
      <dgm:spPr/>
      <dgm:t>
        <a:bodyPr/>
        <a:lstStyle/>
        <a:p>
          <a:endParaRPr lang="en-AU"/>
        </a:p>
      </dgm:t>
    </dgm:pt>
    <dgm:pt modelId="{4B12A093-9B39-4C88-B894-F80BC799F723}" type="parTrans" cxnId="{F6CC5EAC-22E6-42DC-A2D1-2DCCDE519489}">
      <dgm:prSet/>
      <dgm:spPr/>
      <dgm:t>
        <a:bodyPr/>
        <a:lstStyle/>
        <a:p>
          <a:endParaRPr lang="en-AU"/>
        </a:p>
      </dgm:t>
    </dgm:pt>
    <dgm:pt modelId="{ACAD03E5-6C76-40D2-8C7B-229FD5378AF9}">
      <dgm:prSet custT="1"/>
      <dgm:spPr>
        <a:solidFill>
          <a:schemeClr val="accent2">
            <a:lumMod val="20000"/>
            <a:lumOff val="80000"/>
          </a:schemeClr>
        </a:solidFill>
      </dgm:spPr>
      <dgm:t>
        <a:bodyPr/>
        <a:lstStyle/>
        <a:p>
          <a:r>
            <a:rPr lang="en-AU" sz="1100">
              <a:solidFill>
                <a:sysClr val="windowText" lastClr="000000"/>
              </a:solidFill>
            </a:rPr>
            <a:t>Increase intake relative to maintenance</a:t>
          </a:r>
        </a:p>
      </dgm:t>
    </dgm:pt>
    <dgm:pt modelId="{9DC5AD1F-70F0-41C6-BB2E-9D3B683019F0}" type="parTrans" cxnId="{647A906B-7FF8-4BCF-9A3B-D4FEA2EF95CC}">
      <dgm:prSet/>
      <dgm:spPr/>
      <dgm:t>
        <a:bodyPr/>
        <a:lstStyle/>
        <a:p>
          <a:endParaRPr lang="en-AU"/>
        </a:p>
      </dgm:t>
    </dgm:pt>
    <dgm:pt modelId="{A454A0FA-5C89-4E02-BA49-D76747D77E67}" type="sibTrans" cxnId="{647A906B-7FF8-4BCF-9A3B-D4FEA2EF95CC}">
      <dgm:prSet/>
      <dgm:spPr/>
      <dgm:t>
        <a:bodyPr/>
        <a:lstStyle/>
        <a:p>
          <a:endParaRPr lang="en-AU"/>
        </a:p>
      </dgm:t>
    </dgm:pt>
    <dgm:pt modelId="{4CE40385-803B-4982-B1AE-C8EE08F0D3B9}">
      <dgm:prSet custT="1"/>
      <dgm:spPr>
        <a:solidFill>
          <a:schemeClr val="accent3">
            <a:lumMod val="40000"/>
            <a:lumOff val="60000"/>
          </a:schemeClr>
        </a:solidFill>
      </dgm:spPr>
      <dgm:t>
        <a:bodyPr/>
        <a:lstStyle/>
        <a:p>
          <a:r>
            <a:rPr lang="en-AU" sz="1000">
              <a:solidFill>
                <a:sysClr val="windowText" lastClr="000000"/>
              </a:solidFill>
            </a:rPr>
            <a:t>Target: Reduce the percentage gross energy intake as methane by 10% </a:t>
          </a:r>
        </a:p>
      </dgm:t>
    </dgm:pt>
    <dgm:pt modelId="{ABC47020-6CAA-443C-AD0C-3602C8B06D12}" type="parTrans" cxnId="{BF71F523-D38E-4B30-A45A-61702899DCB3}">
      <dgm:prSet/>
      <dgm:spPr/>
      <dgm:t>
        <a:bodyPr/>
        <a:lstStyle/>
        <a:p>
          <a:endParaRPr lang="en-AU"/>
        </a:p>
      </dgm:t>
    </dgm:pt>
    <dgm:pt modelId="{07EB3123-AB1F-483F-A3F2-6037962EFECE}" type="sibTrans" cxnId="{BF71F523-D38E-4B30-A45A-61702899DCB3}">
      <dgm:prSet/>
      <dgm:spPr/>
      <dgm:t>
        <a:bodyPr/>
        <a:lstStyle/>
        <a:p>
          <a:endParaRPr lang="en-AU"/>
        </a:p>
      </dgm:t>
    </dgm:pt>
    <dgm:pt modelId="{98FB3FB6-098E-409C-AB08-6756AAEC4132}">
      <dgm:prSet custT="1"/>
      <dgm:spPr>
        <a:solidFill>
          <a:schemeClr val="accent4">
            <a:lumMod val="40000"/>
            <a:lumOff val="60000"/>
          </a:schemeClr>
        </a:solidFill>
      </dgm:spPr>
      <dgm:t>
        <a:bodyPr/>
        <a:lstStyle/>
        <a:p>
          <a:r>
            <a:rPr lang="en-AU" sz="1000">
              <a:solidFill>
                <a:sysClr val="windowText" lastClr="000000"/>
              </a:solidFill>
            </a:rPr>
            <a:t>Impact:  Based on the A4N dataset, reduced on-farm GHG emissions  by on average  123 t CO2e/farm.  Reduced GHG emissions intensity  by on average 0.06 kg CO2e/kg FPCM if no additional milk or by 0.08 kg CO2e/kg FPCM if all the energy not emitted as CH4 is converted into milk    </a:t>
          </a:r>
        </a:p>
      </dgm:t>
    </dgm:pt>
    <dgm:pt modelId="{184AFB3E-F66A-40C4-A790-7C77356158C1}" type="parTrans" cxnId="{BDC34965-B066-4006-AF43-3E9CA9756DB9}">
      <dgm:prSet/>
      <dgm:spPr/>
      <dgm:t>
        <a:bodyPr/>
        <a:lstStyle/>
        <a:p>
          <a:endParaRPr lang="en-AU"/>
        </a:p>
      </dgm:t>
    </dgm:pt>
    <dgm:pt modelId="{D2259FAA-974A-434A-99D6-D7A0D60A1BED}" type="sibTrans" cxnId="{BDC34965-B066-4006-AF43-3E9CA9756DB9}">
      <dgm:prSet/>
      <dgm:spPr/>
      <dgm:t>
        <a:bodyPr/>
        <a:lstStyle/>
        <a:p>
          <a:endParaRPr lang="en-AU"/>
        </a:p>
      </dgm:t>
    </dgm:pt>
    <dgm:pt modelId="{D853020C-DEA9-492C-A09C-8010E74E4939}">
      <dgm:prSet custT="1"/>
      <dgm:spPr>
        <a:solidFill>
          <a:schemeClr val="accent3">
            <a:lumMod val="40000"/>
            <a:lumOff val="60000"/>
          </a:schemeClr>
        </a:solidFill>
      </dgm:spPr>
      <dgm:t>
        <a:bodyPr/>
        <a:lstStyle/>
        <a:p>
          <a:r>
            <a:rPr lang="en-AU" sz="1000">
              <a:solidFill>
                <a:sysClr val="windowText" lastClr="000000"/>
              </a:solidFill>
            </a:rPr>
            <a:t>Target - Increase the efficiency of use of metabolizable energy (k) for milk production from 0.6 to 0.65 </a:t>
          </a:r>
        </a:p>
      </dgm:t>
    </dgm:pt>
    <dgm:pt modelId="{036BBA54-C30F-4318-8E02-C38D689AE49F}" type="parTrans" cxnId="{66C65E27-AF68-400A-B504-326D3A5E9F66}">
      <dgm:prSet/>
      <dgm:spPr/>
      <dgm:t>
        <a:bodyPr/>
        <a:lstStyle/>
        <a:p>
          <a:endParaRPr lang="en-AU"/>
        </a:p>
      </dgm:t>
    </dgm:pt>
    <dgm:pt modelId="{13C4BAD1-5B7B-4582-B7FA-7F6D1AD7B20B}" type="sibTrans" cxnId="{66C65E27-AF68-400A-B504-326D3A5E9F66}">
      <dgm:prSet/>
      <dgm:spPr/>
      <dgm:t>
        <a:bodyPr/>
        <a:lstStyle/>
        <a:p>
          <a:endParaRPr lang="en-AU"/>
        </a:p>
      </dgm:t>
    </dgm:pt>
    <dgm:pt modelId="{E9CAD23E-388D-4F66-A915-36321F3FEFEA}">
      <dgm:prSet custT="1"/>
      <dgm:spPr>
        <a:solidFill>
          <a:schemeClr val="accent4">
            <a:lumMod val="40000"/>
            <a:lumOff val="60000"/>
          </a:schemeClr>
        </a:solidFill>
      </dgm:spPr>
      <dgm:t>
        <a:bodyPr/>
        <a:lstStyle/>
        <a:p>
          <a:r>
            <a:rPr lang="en-AU" sz="1000">
              <a:solidFill>
                <a:sysClr val="windowText" lastClr="000000"/>
              </a:solidFill>
            </a:rPr>
            <a:t>Impact:  Based on the A4N dataset, no change to on-farm GHG emissions but on average an additional 188 t FPCM per farm.  Reduced GHG emissions intensity  by on average 0.06 kg CO2e/kg FPCM </a:t>
          </a:r>
        </a:p>
      </dgm:t>
    </dgm:pt>
    <dgm:pt modelId="{FFFC5664-134A-4D10-A422-28E9F3FDC00F}" type="parTrans" cxnId="{B1062FA8-5623-4103-B867-7564B9CA69B4}">
      <dgm:prSet/>
      <dgm:spPr/>
      <dgm:t>
        <a:bodyPr/>
        <a:lstStyle/>
        <a:p>
          <a:endParaRPr lang="en-AU"/>
        </a:p>
      </dgm:t>
    </dgm:pt>
    <dgm:pt modelId="{6F33328E-DE99-420F-A043-A0EC0D33543D}" type="sibTrans" cxnId="{B1062FA8-5623-4103-B867-7564B9CA69B4}">
      <dgm:prSet/>
      <dgm:spPr/>
      <dgm:t>
        <a:bodyPr/>
        <a:lstStyle/>
        <a:p>
          <a:endParaRPr lang="en-AU"/>
        </a:p>
      </dgm:t>
    </dgm:pt>
    <dgm:pt modelId="{D818CA55-5845-4510-8199-51B5D4EAC96D}">
      <dgm:prSet custT="1"/>
      <dgm:spPr>
        <a:solidFill>
          <a:schemeClr val="accent1">
            <a:lumMod val="40000"/>
            <a:lumOff val="60000"/>
          </a:schemeClr>
        </a:solidFill>
      </dgm:spPr>
      <dgm:t>
        <a:bodyPr/>
        <a:lstStyle/>
        <a:p>
          <a:r>
            <a:rPr lang="en-AU" sz="1000" b="1">
              <a:solidFill>
                <a:sysClr val="windowText" lastClr="000000"/>
              </a:solidFill>
            </a:rPr>
            <a:t>Strategy : Breeding </a:t>
          </a:r>
          <a:endParaRPr lang="en-AU" sz="1000">
            <a:solidFill>
              <a:sysClr val="windowText" lastClr="000000"/>
            </a:solidFill>
          </a:endParaRPr>
        </a:p>
      </dgm:t>
    </dgm:pt>
    <dgm:pt modelId="{439280A1-7D3A-491D-9BCD-03F68A89A939}" type="parTrans" cxnId="{5EADCA0A-96A9-4D5D-B1BE-6EC102FFAF0B}">
      <dgm:prSet/>
      <dgm:spPr/>
      <dgm:t>
        <a:bodyPr/>
        <a:lstStyle/>
        <a:p>
          <a:endParaRPr lang="en-AU"/>
        </a:p>
      </dgm:t>
    </dgm:pt>
    <dgm:pt modelId="{A7CAAC14-EE85-4149-9789-33F42DBBC4A6}" type="sibTrans" cxnId="{5EADCA0A-96A9-4D5D-B1BE-6EC102FFAF0B}">
      <dgm:prSet/>
      <dgm:spPr/>
      <dgm:t>
        <a:bodyPr/>
        <a:lstStyle/>
        <a:p>
          <a:endParaRPr lang="en-AU"/>
        </a:p>
      </dgm:t>
    </dgm:pt>
    <dgm:pt modelId="{CE41F070-B7FF-4D72-9779-CADB9ECDB834}">
      <dgm:prSet custT="1"/>
      <dgm:spPr>
        <a:solidFill>
          <a:schemeClr val="accent3">
            <a:lumMod val="20000"/>
            <a:lumOff val="80000"/>
          </a:schemeClr>
        </a:solidFill>
      </dgm:spPr>
      <dgm:t>
        <a:bodyPr/>
        <a:lstStyle/>
        <a:p>
          <a:pPr>
            <a:lnSpc>
              <a:spcPct val="110000"/>
            </a:lnSpc>
            <a:spcAft>
              <a:spcPts val="0"/>
            </a:spcAft>
          </a:pPr>
          <a:r>
            <a:rPr lang="en-AU" sz="800">
              <a:solidFill>
                <a:sysClr val="windowText" lastClr="000000"/>
              </a:solidFill>
            </a:rPr>
            <a:t>The percentage GEI that is yielded as CH4 is given by</a:t>
          </a:r>
        </a:p>
        <a:p>
          <a:pPr>
            <a:lnSpc>
              <a:spcPct val="110000"/>
            </a:lnSpc>
            <a:spcAft>
              <a:spcPts val="0"/>
            </a:spcAft>
          </a:pPr>
          <a:r>
            <a:rPr lang="en-AU" sz="800">
              <a:solidFill>
                <a:sysClr val="windowText" lastClr="000000"/>
              </a:solidFill>
            </a:rPr>
            <a:t>Y = 1.3 + 0.112DMD + L(2.37-0.050DMD)</a:t>
          </a:r>
        </a:p>
        <a:p>
          <a:pPr>
            <a:lnSpc>
              <a:spcPct val="110000"/>
            </a:lnSpc>
            <a:spcAft>
              <a:spcPts val="0"/>
            </a:spcAft>
          </a:pPr>
          <a:r>
            <a:rPr lang="en-AU" sz="800">
              <a:solidFill>
                <a:sysClr val="windowText" lastClr="000000"/>
              </a:solidFill>
            </a:rPr>
            <a:t>Where L  = Intake relative for maintenance  which is calculated </a:t>
          </a:r>
        </a:p>
        <a:p>
          <a:pPr>
            <a:lnSpc>
              <a:spcPct val="110000"/>
            </a:lnSpc>
            <a:spcAft>
              <a:spcPts val="0"/>
            </a:spcAft>
          </a:pPr>
          <a:r>
            <a:rPr lang="en-AU" sz="800">
              <a:solidFill>
                <a:sysClr val="windowText" lastClr="000000"/>
              </a:solidFill>
            </a:rPr>
            <a:t>as total intake divided by maintenance intake</a:t>
          </a:r>
        </a:p>
      </dgm:t>
    </dgm:pt>
    <dgm:pt modelId="{A6194704-638D-4E5B-BE58-520635DD1E10}" type="parTrans" cxnId="{9795ACD0-42F3-4740-9042-56B44849B442}">
      <dgm:prSet/>
      <dgm:spPr/>
      <dgm:t>
        <a:bodyPr/>
        <a:lstStyle/>
        <a:p>
          <a:endParaRPr lang="en-AU"/>
        </a:p>
      </dgm:t>
    </dgm:pt>
    <dgm:pt modelId="{BF114016-A804-4749-AFB9-3F7F22FD8CAE}" type="sibTrans" cxnId="{9795ACD0-42F3-4740-9042-56B44849B442}">
      <dgm:prSet/>
      <dgm:spPr/>
      <dgm:t>
        <a:bodyPr/>
        <a:lstStyle/>
        <a:p>
          <a:endParaRPr lang="en-AU"/>
        </a:p>
      </dgm:t>
    </dgm:pt>
    <dgm:pt modelId="{A25AF142-8B54-443F-A5C1-12DBB16C659A}">
      <dgm:prSet custT="1"/>
      <dgm:spPr>
        <a:solidFill>
          <a:schemeClr val="accent3">
            <a:lumMod val="40000"/>
            <a:lumOff val="60000"/>
          </a:schemeClr>
        </a:solidFill>
      </dgm:spPr>
      <dgm:t>
        <a:bodyPr/>
        <a:lstStyle/>
        <a:p>
          <a:r>
            <a:rPr lang="en-AU" sz="1000">
              <a:solidFill>
                <a:sysClr val="windowText" lastClr="000000"/>
              </a:solidFill>
            </a:rPr>
            <a:t>Target: Increase intake relative to maintenance ratio by 10%</a:t>
          </a:r>
          <a:endParaRPr lang="en-AU" sz="2300">
            <a:solidFill>
              <a:sysClr val="windowText" lastClr="000000"/>
            </a:solidFill>
          </a:endParaRPr>
        </a:p>
      </dgm:t>
    </dgm:pt>
    <dgm:pt modelId="{3C05564B-8AA3-456F-9C11-A63FD39E0DEB}" type="parTrans" cxnId="{FBB453F0-5265-481B-BB92-A93DDE47318B}">
      <dgm:prSet/>
      <dgm:spPr/>
      <dgm:t>
        <a:bodyPr/>
        <a:lstStyle/>
        <a:p>
          <a:endParaRPr lang="en-AU"/>
        </a:p>
      </dgm:t>
    </dgm:pt>
    <dgm:pt modelId="{413F5B99-485C-4889-B72C-6C5BFE363A64}" type="sibTrans" cxnId="{FBB453F0-5265-481B-BB92-A93DDE47318B}">
      <dgm:prSet/>
      <dgm:spPr/>
      <dgm:t>
        <a:bodyPr/>
        <a:lstStyle/>
        <a:p>
          <a:endParaRPr lang="en-AU"/>
        </a:p>
      </dgm:t>
    </dgm:pt>
    <dgm:pt modelId="{4567E575-9C97-484A-8DF0-C51F9C3774CF}">
      <dgm:prSet custT="1"/>
      <dgm:spPr>
        <a:solidFill>
          <a:schemeClr val="accent4">
            <a:lumMod val="40000"/>
            <a:lumOff val="60000"/>
          </a:schemeClr>
        </a:solidFill>
      </dgm:spPr>
      <dgm:t>
        <a:bodyPr/>
        <a:lstStyle/>
        <a:p>
          <a:r>
            <a:rPr lang="en-AU" sz="1000">
              <a:solidFill>
                <a:sysClr val="windowText" lastClr="000000"/>
              </a:solidFill>
            </a:rPr>
            <a:t>Impact:  Potential  to reduce methane emission by 0.2 to 0.4 t CO2-e per cow </a:t>
          </a:r>
        </a:p>
      </dgm:t>
    </dgm:pt>
    <dgm:pt modelId="{A31182A2-12DA-42B6-BD6F-A8319CCDB153}" type="parTrans" cxnId="{1E075F17-9724-45CA-9EED-53ADD16854B8}">
      <dgm:prSet/>
      <dgm:spPr/>
      <dgm:t>
        <a:bodyPr/>
        <a:lstStyle/>
        <a:p>
          <a:endParaRPr lang="en-AU"/>
        </a:p>
      </dgm:t>
    </dgm:pt>
    <dgm:pt modelId="{E1E3E4C0-3405-43D9-B045-3631525755EA}" type="sibTrans" cxnId="{1E075F17-9724-45CA-9EED-53ADD16854B8}">
      <dgm:prSet/>
      <dgm:spPr/>
      <dgm:t>
        <a:bodyPr/>
        <a:lstStyle/>
        <a:p>
          <a:endParaRPr lang="en-AU"/>
        </a:p>
      </dgm:t>
    </dgm:pt>
    <dgm:pt modelId="{E39F7463-6002-4D3B-A7BD-ED8DE0E9B226}" type="asst">
      <dgm:prSet custT="1"/>
      <dgm:spPr>
        <a:solidFill>
          <a:schemeClr val="accent1">
            <a:lumMod val="40000"/>
            <a:lumOff val="60000"/>
          </a:schemeClr>
        </a:solidFill>
      </dgm:spPr>
      <dgm:t>
        <a:bodyPr/>
        <a:lstStyle/>
        <a:p>
          <a:r>
            <a:rPr lang="en-AU" sz="1000" b="1">
              <a:solidFill>
                <a:sysClr val="windowText" lastClr="000000"/>
              </a:solidFill>
            </a:rPr>
            <a:t>Strategy: Extend lactation</a:t>
          </a:r>
        </a:p>
      </dgm:t>
    </dgm:pt>
    <dgm:pt modelId="{E13C9B25-6F2E-4124-931F-53FC6D8E6E90}" type="parTrans" cxnId="{F34AFEBA-CA8C-462E-8484-74F5C6D0AE71}">
      <dgm:prSet/>
      <dgm:spPr/>
      <dgm:t>
        <a:bodyPr/>
        <a:lstStyle/>
        <a:p>
          <a:endParaRPr lang="en-AU"/>
        </a:p>
      </dgm:t>
    </dgm:pt>
    <dgm:pt modelId="{5841CC95-1F8B-438D-87E3-87B3C38CD2E8}" type="sibTrans" cxnId="{F34AFEBA-CA8C-462E-8484-74F5C6D0AE71}">
      <dgm:prSet/>
      <dgm:spPr/>
      <dgm:t>
        <a:bodyPr/>
        <a:lstStyle/>
        <a:p>
          <a:endParaRPr lang="en-AU"/>
        </a:p>
      </dgm:t>
    </dgm:pt>
    <dgm:pt modelId="{CFC0EC99-AC4D-4B3D-A43E-FD5CF65DD5D2}">
      <dgm:prSet custT="1"/>
      <dgm:spPr>
        <a:solidFill>
          <a:schemeClr val="accent1">
            <a:lumMod val="40000"/>
            <a:lumOff val="60000"/>
          </a:schemeClr>
        </a:solidFill>
      </dgm:spPr>
      <dgm:t>
        <a:bodyPr/>
        <a:lstStyle/>
        <a:p>
          <a:r>
            <a:rPr lang="en-AU" sz="1000" b="1">
              <a:solidFill>
                <a:sysClr val="windowText" lastClr="000000"/>
              </a:solidFill>
            </a:rPr>
            <a:t>Strategy : Vaccination </a:t>
          </a:r>
        </a:p>
      </dgm:t>
    </dgm:pt>
    <dgm:pt modelId="{61532884-69A1-4046-BC23-60F91B124EEF}" type="parTrans" cxnId="{9914F833-89E3-4510-9B2F-D9ABE4F8A6BF}">
      <dgm:prSet/>
      <dgm:spPr/>
      <dgm:t>
        <a:bodyPr/>
        <a:lstStyle/>
        <a:p>
          <a:endParaRPr lang="en-AU"/>
        </a:p>
      </dgm:t>
    </dgm:pt>
    <dgm:pt modelId="{4F61F511-184A-4BBE-A170-154EE5892B82}" type="sibTrans" cxnId="{9914F833-89E3-4510-9B2F-D9ABE4F8A6BF}">
      <dgm:prSet/>
      <dgm:spPr/>
      <dgm:t>
        <a:bodyPr/>
        <a:lstStyle/>
        <a:p>
          <a:endParaRPr lang="en-AU"/>
        </a:p>
      </dgm:t>
    </dgm:pt>
    <dgm:pt modelId="{8B69620A-A656-4B78-9CDE-AEE333E1799C}" type="asst">
      <dgm:prSet custT="1"/>
      <dgm:spPr>
        <a:solidFill>
          <a:schemeClr val="accent1">
            <a:lumMod val="40000"/>
            <a:lumOff val="60000"/>
          </a:schemeClr>
        </a:solidFill>
      </dgm:spPr>
      <dgm:t>
        <a:bodyPr/>
        <a:lstStyle/>
        <a:p>
          <a:r>
            <a:rPr lang="en-AU" sz="1000" b="1">
              <a:solidFill>
                <a:sysClr val="windowText" lastClr="000000"/>
              </a:solidFill>
            </a:rPr>
            <a:t>Strategy: Increase longevity in herd by  reducing replacement rates</a:t>
          </a:r>
        </a:p>
      </dgm:t>
    </dgm:pt>
    <dgm:pt modelId="{183CEEE8-6FC4-40FA-83CE-AAB0DAE362C0}" type="sibTrans" cxnId="{8AD23123-68BF-40D0-A895-2CEC62A51A05}">
      <dgm:prSet/>
      <dgm:spPr/>
      <dgm:t>
        <a:bodyPr/>
        <a:lstStyle/>
        <a:p>
          <a:endParaRPr lang="en-AU"/>
        </a:p>
      </dgm:t>
    </dgm:pt>
    <dgm:pt modelId="{BFC4F103-3852-430B-A671-64A1072073E4}" type="parTrans" cxnId="{8AD23123-68BF-40D0-A895-2CEC62A51A05}">
      <dgm:prSet/>
      <dgm:spPr/>
      <dgm:t>
        <a:bodyPr/>
        <a:lstStyle/>
        <a:p>
          <a:endParaRPr lang="en-AU"/>
        </a:p>
      </dgm:t>
    </dgm:pt>
    <dgm:pt modelId="{B2B51FDE-8820-49BF-9281-9D923236081D}" type="asst">
      <dgm:prSet custT="1"/>
      <dgm:spPr>
        <a:solidFill>
          <a:schemeClr val="accent1">
            <a:lumMod val="40000"/>
            <a:lumOff val="60000"/>
          </a:schemeClr>
        </a:solidFill>
      </dgm:spPr>
      <dgm:t>
        <a:bodyPr/>
        <a:lstStyle/>
        <a:p>
          <a:r>
            <a:rPr lang="en-AU" sz="1000" b="1">
              <a:solidFill>
                <a:sysClr val="windowText" lastClr="000000"/>
              </a:solidFill>
            </a:rPr>
            <a:t>Strategy: Reduce daily maintenance requirements through reduced walking, flatter terrain, reduced heat or cold stress</a:t>
          </a:r>
        </a:p>
      </dgm:t>
    </dgm:pt>
    <dgm:pt modelId="{6B986D31-B04F-4B10-96E2-D823648C5E08}" type="parTrans" cxnId="{4DDC8266-5DF7-4213-8AF9-021E15618375}">
      <dgm:prSet/>
      <dgm:spPr/>
      <dgm:t>
        <a:bodyPr/>
        <a:lstStyle/>
        <a:p>
          <a:endParaRPr lang="en-AU"/>
        </a:p>
      </dgm:t>
    </dgm:pt>
    <dgm:pt modelId="{C7EAC4A5-9C95-49E8-9D23-D76581877350}" type="sibTrans" cxnId="{4DDC8266-5DF7-4213-8AF9-021E15618375}">
      <dgm:prSet/>
      <dgm:spPr/>
      <dgm:t>
        <a:bodyPr/>
        <a:lstStyle/>
        <a:p>
          <a:endParaRPr lang="en-AU"/>
        </a:p>
      </dgm:t>
    </dgm:pt>
    <dgm:pt modelId="{EDB4A9DC-5AA0-4408-9D2B-D63AF214E988}" type="asst">
      <dgm:prSet custT="1"/>
      <dgm:spPr>
        <a:solidFill>
          <a:schemeClr val="accent1">
            <a:lumMod val="40000"/>
            <a:lumOff val="60000"/>
          </a:schemeClr>
        </a:solidFill>
      </dgm:spPr>
      <dgm:t>
        <a:bodyPr/>
        <a:lstStyle/>
        <a:p>
          <a:r>
            <a:rPr lang="en-AU" sz="1000" b="1">
              <a:solidFill>
                <a:sysClr val="windowText" lastClr="000000"/>
              </a:solidFill>
            </a:rPr>
            <a:t>Strategy : Breeding </a:t>
          </a:r>
          <a:endParaRPr lang="en-AU" sz="1000"/>
        </a:p>
      </dgm:t>
    </dgm:pt>
    <dgm:pt modelId="{023DD625-57B2-40B2-B13D-32B6473BCECB}" type="parTrans" cxnId="{95C1D5F5-B647-41FF-9BEF-F6B0534DF3D4}">
      <dgm:prSet/>
      <dgm:spPr/>
      <dgm:t>
        <a:bodyPr/>
        <a:lstStyle/>
        <a:p>
          <a:endParaRPr lang="en-AU"/>
        </a:p>
      </dgm:t>
    </dgm:pt>
    <dgm:pt modelId="{545080D2-5A4F-4019-A50B-A26BB0665E95}" type="sibTrans" cxnId="{95C1D5F5-B647-41FF-9BEF-F6B0534DF3D4}">
      <dgm:prSet/>
      <dgm:spPr/>
      <dgm:t>
        <a:bodyPr/>
        <a:lstStyle/>
        <a:p>
          <a:endParaRPr lang="en-AU"/>
        </a:p>
      </dgm:t>
    </dgm:pt>
    <dgm:pt modelId="{B4F6B60A-FB16-4DE4-A153-77223D03B21D}">
      <dgm:prSet custT="1"/>
      <dgm:spPr>
        <a:solidFill>
          <a:schemeClr val="tx2">
            <a:lumMod val="20000"/>
            <a:lumOff val="80000"/>
          </a:schemeClr>
        </a:solidFill>
      </dgm:spPr>
      <dgm:t>
        <a:bodyPr/>
        <a:lstStyle/>
        <a:p>
          <a:r>
            <a:rPr lang="en-AU" sz="1000" b="1">
              <a:solidFill>
                <a:schemeClr val="tx1"/>
              </a:solidFill>
            </a:rPr>
            <a:t>Strategy: Breeding</a:t>
          </a:r>
        </a:p>
      </dgm:t>
    </dgm:pt>
    <dgm:pt modelId="{E78E40EE-1D29-42F8-8372-4C042208DF96}" type="sibTrans" cxnId="{B99CEECD-FA91-477D-9523-C81154245E6A}">
      <dgm:prSet/>
      <dgm:spPr/>
      <dgm:t>
        <a:bodyPr/>
        <a:lstStyle/>
        <a:p>
          <a:endParaRPr lang="en-AU"/>
        </a:p>
      </dgm:t>
    </dgm:pt>
    <dgm:pt modelId="{A3E5D4EF-0BEC-4786-8FEF-1E4D55B97052}" type="parTrans" cxnId="{B99CEECD-FA91-477D-9523-C81154245E6A}">
      <dgm:prSet/>
      <dgm:spPr/>
      <dgm:t>
        <a:bodyPr/>
        <a:lstStyle/>
        <a:p>
          <a:endParaRPr lang="en-AU"/>
        </a:p>
      </dgm:t>
    </dgm:pt>
    <dgm:pt modelId="{552ECB6B-8CE9-4A51-BFEB-7449F8239D84}">
      <dgm:prSet/>
      <dgm:spPr>
        <a:solidFill>
          <a:schemeClr val="accent4">
            <a:lumMod val="40000"/>
            <a:lumOff val="60000"/>
          </a:schemeClr>
        </a:solidFill>
      </dgm:spPr>
      <dgm:t>
        <a:bodyPr/>
        <a:lstStyle/>
        <a:p>
          <a:endParaRPr lang="en-AU"/>
        </a:p>
      </dgm:t>
    </dgm:pt>
    <dgm:pt modelId="{3111121C-949A-4EB5-B4F3-01A69A25F214}" type="sibTrans" cxnId="{01339D1D-F741-40A7-A11C-C91A86FF9624}">
      <dgm:prSet/>
      <dgm:spPr/>
      <dgm:t>
        <a:bodyPr/>
        <a:lstStyle/>
        <a:p>
          <a:endParaRPr lang="en-AU"/>
        </a:p>
      </dgm:t>
    </dgm:pt>
    <dgm:pt modelId="{A70954CE-4E01-4BA4-A13A-EB3D2CA556C0}" type="parTrans" cxnId="{01339D1D-F741-40A7-A11C-C91A86FF9624}">
      <dgm:prSet/>
      <dgm:spPr/>
      <dgm:t>
        <a:bodyPr/>
        <a:lstStyle/>
        <a:p>
          <a:endParaRPr lang="en-AU"/>
        </a:p>
      </dgm:t>
    </dgm:pt>
    <dgm:pt modelId="{300B458B-31E3-4D70-84F6-C7BE587CB187}">
      <dgm:prSet custT="1"/>
      <dgm:spPr>
        <a:solidFill>
          <a:schemeClr val="accent3">
            <a:lumMod val="40000"/>
            <a:lumOff val="60000"/>
          </a:schemeClr>
        </a:solidFill>
      </dgm:spPr>
      <dgm:t>
        <a:bodyPr/>
        <a:lstStyle/>
        <a:p>
          <a:r>
            <a:rPr lang="en-AU" sz="1000">
              <a:solidFill>
                <a:schemeClr val="tx1"/>
              </a:solidFill>
            </a:rPr>
            <a:t>Target: Increase intake relative to live weight by 10% </a:t>
          </a:r>
        </a:p>
      </dgm:t>
    </dgm:pt>
    <dgm:pt modelId="{BF8CE65A-F531-4150-A37C-02258BFBF742}" type="sibTrans" cxnId="{A5520539-82A8-4544-B336-494DAFD8D287}">
      <dgm:prSet/>
      <dgm:spPr/>
      <dgm:t>
        <a:bodyPr/>
        <a:lstStyle/>
        <a:p>
          <a:endParaRPr lang="en-AU"/>
        </a:p>
      </dgm:t>
    </dgm:pt>
    <dgm:pt modelId="{18BF7D01-58F2-478C-A7FB-F94DCBDB73DB}" type="parTrans" cxnId="{A5520539-82A8-4544-B336-494DAFD8D287}">
      <dgm:prSet/>
      <dgm:spPr/>
      <dgm:t>
        <a:bodyPr/>
        <a:lstStyle/>
        <a:p>
          <a:endParaRPr lang="en-AU"/>
        </a:p>
      </dgm:t>
    </dgm:pt>
    <dgm:pt modelId="{E7E797B1-C4F5-4E0B-858C-57D3B9F4828A}">
      <dgm:prSet custT="1"/>
      <dgm:spPr>
        <a:solidFill>
          <a:schemeClr val="accent3">
            <a:lumMod val="20000"/>
            <a:lumOff val="80000"/>
          </a:schemeClr>
        </a:solidFill>
      </dgm:spPr>
      <dgm:t>
        <a:bodyPr/>
        <a:lstStyle/>
        <a:p>
          <a:r>
            <a:rPr lang="en-AU" sz="800">
              <a:solidFill>
                <a:sysClr val="windowText" lastClr="000000"/>
              </a:solidFill>
            </a:rPr>
            <a:t>Daily dry matter intake is relative to many factors including live weight.  Literature suggests DMI as a percentage of live weight ranges between 2 and 4%.  Based on inventory calculations of Australian dairy farms, the average is 3.11% (ranging between 2.33 and 3.83%.) </a:t>
          </a:r>
        </a:p>
      </dgm:t>
    </dgm:pt>
    <dgm:pt modelId="{35949696-5CEE-4029-9A54-79EDD771A38C}" type="sibTrans" cxnId="{0C138743-6C4B-4854-B03B-413AEDF9398E}">
      <dgm:prSet/>
      <dgm:spPr/>
      <dgm:t>
        <a:bodyPr/>
        <a:lstStyle/>
        <a:p>
          <a:endParaRPr lang="en-AU"/>
        </a:p>
      </dgm:t>
    </dgm:pt>
    <dgm:pt modelId="{852A8F61-115B-4B7E-9E0A-AF58AEF8AA38}" type="parTrans" cxnId="{0C138743-6C4B-4854-B03B-413AEDF9398E}">
      <dgm:prSet/>
      <dgm:spPr/>
      <dgm:t>
        <a:bodyPr/>
        <a:lstStyle/>
        <a:p>
          <a:endParaRPr lang="en-AU"/>
        </a:p>
      </dgm:t>
    </dgm:pt>
    <dgm:pt modelId="{1EED611F-772F-402C-A366-5E772729923E}">
      <dgm:prSet custT="1"/>
      <dgm:spPr>
        <a:solidFill>
          <a:schemeClr val="accent2">
            <a:lumMod val="20000"/>
            <a:lumOff val="80000"/>
          </a:schemeClr>
        </a:solidFill>
      </dgm:spPr>
      <dgm:t>
        <a:bodyPr/>
        <a:lstStyle/>
        <a:p>
          <a:r>
            <a:rPr lang="en-AU" sz="1100">
              <a:solidFill>
                <a:sysClr val="windowText" lastClr="000000"/>
              </a:solidFill>
            </a:rPr>
            <a:t>Increase intake relative to bodyweight</a:t>
          </a:r>
        </a:p>
      </dgm:t>
    </dgm:pt>
    <dgm:pt modelId="{DD860143-598C-461D-A9C8-9E7900E3A9B5}" type="sibTrans" cxnId="{B6578DB0-A5CF-4A08-B109-5D2844882950}">
      <dgm:prSet/>
      <dgm:spPr/>
      <dgm:t>
        <a:bodyPr/>
        <a:lstStyle/>
        <a:p>
          <a:endParaRPr lang="en-AU"/>
        </a:p>
      </dgm:t>
    </dgm:pt>
    <dgm:pt modelId="{ED7C2A8D-9472-4DB9-9914-7ECE2B331C8A}" type="parTrans" cxnId="{B6578DB0-A5CF-4A08-B109-5D2844882950}">
      <dgm:prSet/>
      <dgm:spPr/>
      <dgm:t>
        <a:bodyPr/>
        <a:lstStyle/>
        <a:p>
          <a:endParaRPr lang="en-AU"/>
        </a:p>
      </dgm:t>
    </dgm:pt>
    <dgm:pt modelId="{4A2760D8-9B56-49DD-9AD7-318D5FEEDDE7}" type="pres">
      <dgm:prSet presAssocID="{AB4027A1-9C9E-42F6-8317-3DA6D571312E}" presName="hierChild1" presStyleCnt="0">
        <dgm:presLayoutVars>
          <dgm:orgChart val="1"/>
          <dgm:chPref val="1"/>
          <dgm:dir/>
          <dgm:animOne val="branch"/>
          <dgm:animLvl val="lvl"/>
          <dgm:resizeHandles/>
        </dgm:presLayoutVars>
      </dgm:prSet>
      <dgm:spPr/>
    </dgm:pt>
    <dgm:pt modelId="{5D82D2DE-D175-4965-A60D-6567861517E8}" type="pres">
      <dgm:prSet presAssocID="{3904B684-D811-4FAA-98ED-69AF90F8C4A4}" presName="hierRoot1" presStyleCnt="0">
        <dgm:presLayoutVars>
          <dgm:hierBranch val="init"/>
        </dgm:presLayoutVars>
      </dgm:prSet>
      <dgm:spPr/>
    </dgm:pt>
    <dgm:pt modelId="{AD4E8450-F3F1-4B5F-A7CB-16FBCBB6FF7A}" type="pres">
      <dgm:prSet presAssocID="{3904B684-D811-4FAA-98ED-69AF90F8C4A4}" presName="rootComposite1" presStyleCnt="0"/>
      <dgm:spPr/>
    </dgm:pt>
    <dgm:pt modelId="{4A2EABBF-349B-49C0-A0CB-41719314F2B5}" type="pres">
      <dgm:prSet presAssocID="{3904B684-D811-4FAA-98ED-69AF90F8C4A4}" presName="rootText1" presStyleLbl="node0" presStyleIdx="0" presStyleCnt="1" custScaleX="315093">
        <dgm:presLayoutVars>
          <dgm:chPref val="3"/>
        </dgm:presLayoutVars>
      </dgm:prSet>
      <dgm:spPr/>
    </dgm:pt>
    <dgm:pt modelId="{2F326E7E-C25C-417F-9084-225ACF9DFC5B}" type="pres">
      <dgm:prSet presAssocID="{3904B684-D811-4FAA-98ED-69AF90F8C4A4}" presName="rootConnector1" presStyleLbl="node1" presStyleIdx="0" presStyleCnt="0"/>
      <dgm:spPr/>
    </dgm:pt>
    <dgm:pt modelId="{1290AF74-D520-4D33-8E37-15C73193D36E}" type="pres">
      <dgm:prSet presAssocID="{3904B684-D811-4FAA-98ED-69AF90F8C4A4}" presName="hierChild2" presStyleCnt="0"/>
      <dgm:spPr/>
    </dgm:pt>
    <dgm:pt modelId="{E5C47380-3A60-4F1D-B3D0-9479EAA5CE27}" type="pres">
      <dgm:prSet presAssocID="{EE590B0F-CEBC-49C9-AEE1-2F1A44C2889E}" presName="Name37" presStyleLbl="parChTrans1D2" presStyleIdx="0" presStyleCnt="4"/>
      <dgm:spPr/>
    </dgm:pt>
    <dgm:pt modelId="{86104B34-337E-45A2-8C55-8596FBE94084}" type="pres">
      <dgm:prSet presAssocID="{C13E1972-9D6A-40C5-B7F1-4FA99DC39A5D}" presName="hierRoot2" presStyleCnt="0">
        <dgm:presLayoutVars>
          <dgm:hierBranch val="init"/>
        </dgm:presLayoutVars>
      </dgm:prSet>
      <dgm:spPr/>
    </dgm:pt>
    <dgm:pt modelId="{E4B96B6D-FDFF-4CF1-8926-9BCACCD299BD}" type="pres">
      <dgm:prSet presAssocID="{C13E1972-9D6A-40C5-B7F1-4FA99DC39A5D}" presName="rootComposite" presStyleCnt="0"/>
      <dgm:spPr/>
    </dgm:pt>
    <dgm:pt modelId="{6C4E4D41-488F-4AF9-84E4-3A3C4A0286AC}" type="pres">
      <dgm:prSet presAssocID="{C13E1972-9D6A-40C5-B7F1-4FA99DC39A5D}" presName="rootText" presStyleLbl="node2" presStyleIdx="0" presStyleCnt="4" custScaleX="150917">
        <dgm:presLayoutVars>
          <dgm:chPref val="3"/>
        </dgm:presLayoutVars>
      </dgm:prSet>
      <dgm:spPr/>
    </dgm:pt>
    <dgm:pt modelId="{7E01BC41-DF57-4826-9773-FA381A26D3CD}" type="pres">
      <dgm:prSet presAssocID="{C13E1972-9D6A-40C5-B7F1-4FA99DC39A5D}" presName="rootConnector" presStyleLbl="node2" presStyleIdx="0" presStyleCnt="4"/>
      <dgm:spPr/>
    </dgm:pt>
    <dgm:pt modelId="{D62E362A-CB2E-4981-BC21-A427F81B903C}" type="pres">
      <dgm:prSet presAssocID="{C13E1972-9D6A-40C5-B7F1-4FA99DC39A5D}" presName="hierChild4" presStyleCnt="0"/>
      <dgm:spPr/>
    </dgm:pt>
    <dgm:pt modelId="{678DBBD1-C51E-440A-B9CB-F81E3FE4C94C}" type="pres">
      <dgm:prSet presAssocID="{0DF2453D-B88C-4476-9906-984FFEE8D9D1}" presName="Name37" presStyleLbl="parChTrans1D3" presStyleIdx="0" presStyleCnt="4"/>
      <dgm:spPr/>
    </dgm:pt>
    <dgm:pt modelId="{0C5492E7-1093-41BE-A1BB-DB359106D806}" type="pres">
      <dgm:prSet presAssocID="{EE53CECF-0159-4A3E-9E53-59EA1EE7B945}" presName="hierRoot2" presStyleCnt="0">
        <dgm:presLayoutVars>
          <dgm:hierBranch val="init"/>
        </dgm:presLayoutVars>
      </dgm:prSet>
      <dgm:spPr/>
    </dgm:pt>
    <dgm:pt modelId="{9658DA5D-F7C9-40AA-ABE8-FA1B251A1F30}" type="pres">
      <dgm:prSet presAssocID="{EE53CECF-0159-4A3E-9E53-59EA1EE7B945}" presName="rootComposite" presStyleCnt="0"/>
      <dgm:spPr/>
    </dgm:pt>
    <dgm:pt modelId="{ECBA8F24-1EF8-4051-AA71-F1DB379438BE}" type="pres">
      <dgm:prSet presAssocID="{EE53CECF-0159-4A3E-9E53-59EA1EE7B945}" presName="rootText" presStyleLbl="node3" presStyleIdx="0" presStyleCnt="4" custScaleX="211450" custScaleY="146980">
        <dgm:presLayoutVars>
          <dgm:chPref val="3"/>
        </dgm:presLayoutVars>
      </dgm:prSet>
      <dgm:spPr/>
    </dgm:pt>
    <dgm:pt modelId="{23DF4E2F-37E1-454D-889D-93E1EAE0BFD4}" type="pres">
      <dgm:prSet presAssocID="{EE53CECF-0159-4A3E-9E53-59EA1EE7B945}" presName="rootConnector" presStyleLbl="node3" presStyleIdx="0" presStyleCnt="4"/>
      <dgm:spPr/>
    </dgm:pt>
    <dgm:pt modelId="{BB4694F3-569A-47ED-92F9-64284772EEC0}" type="pres">
      <dgm:prSet presAssocID="{EE53CECF-0159-4A3E-9E53-59EA1EE7B945}" presName="hierChild4" presStyleCnt="0"/>
      <dgm:spPr/>
    </dgm:pt>
    <dgm:pt modelId="{1BEAF983-7B9E-40A4-BBB4-82D58B03A7FC}" type="pres">
      <dgm:prSet presAssocID="{ABC47020-6CAA-443C-AD0C-3602C8B06D12}" presName="Name37" presStyleLbl="parChTrans1D4" presStyleIdx="0" presStyleCnt="15"/>
      <dgm:spPr/>
    </dgm:pt>
    <dgm:pt modelId="{E2B2AB06-036F-44D2-A54C-B59CBAFDE391}" type="pres">
      <dgm:prSet presAssocID="{4CE40385-803B-4982-B1AE-C8EE08F0D3B9}" presName="hierRoot2" presStyleCnt="0">
        <dgm:presLayoutVars>
          <dgm:hierBranch val="init"/>
        </dgm:presLayoutVars>
      </dgm:prSet>
      <dgm:spPr/>
    </dgm:pt>
    <dgm:pt modelId="{939305A0-7258-48F2-AF1B-714CBCF68F0B}" type="pres">
      <dgm:prSet presAssocID="{4CE40385-803B-4982-B1AE-C8EE08F0D3B9}" presName="rootComposite" presStyleCnt="0"/>
      <dgm:spPr/>
    </dgm:pt>
    <dgm:pt modelId="{3B4922AD-AF1A-435F-A951-BC076C1DAA8B}" type="pres">
      <dgm:prSet presAssocID="{4CE40385-803B-4982-B1AE-C8EE08F0D3B9}" presName="rootText" presStyleLbl="node4" presStyleIdx="0" presStyleCnt="11" custScaleX="163710" custScaleY="123534">
        <dgm:presLayoutVars>
          <dgm:chPref val="3"/>
        </dgm:presLayoutVars>
      </dgm:prSet>
      <dgm:spPr/>
    </dgm:pt>
    <dgm:pt modelId="{B495E6C4-9AF9-4CDB-9A94-D97267DB5B6B}" type="pres">
      <dgm:prSet presAssocID="{4CE40385-803B-4982-B1AE-C8EE08F0D3B9}" presName="rootConnector" presStyleLbl="node4" presStyleIdx="0" presStyleCnt="11"/>
      <dgm:spPr/>
    </dgm:pt>
    <dgm:pt modelId="{8C036D6A-E9B7-4B74-91D7-92E92AC37781}" type="pres">
      <dgm:prSet presAssocID="{4CE40385-803B-4982-B1AE-C8EE08F0D3B9}" presName="hierChild4" presStyleCnt="0"/>
      <dgm:spPr/>
    </dgm:pt>
    <dgm:pt modelId="{297EE16D-B6D7-418B-BEC4-9193E9CA3C43}" type="pres">
      <dgm:prSet presAssocID="{184AFB3E-F66A-40C4-A790-7C77356158C1}" presName="Name37" presStyleLbl="parChTrans1D4" presStyleIdx="1" presStyleCnt="15"/>
      <dgm:spPr/>
    </dgm:pt>
    <dgm:pt modelId="{E41EFFCE-7FBE-494C-961B-314467F8B6D2}" type="pres">
      <dgm:prSet presAssocID="{98FB3FB6-098E-409C-AB08-6756AAEC4132}" presName="hierRoot2" presStyleCnt="0">
        <dgm:presLayoutVars>
          <dgm:hierBranch val="init"/>
        </dgm:presLayoutVars>
      </dgm:prSet>
      <dgm:spPr/>
    </dgm:pt>
    <dgm:pt modelId="{1D4D2426-1477-4F9F-B1B5-6ADF8B70FC6E}" type="pres">
      <dgm:prSet presAssocID="{98FB3FB6-098E-409C-AB08-6756AAEC4132}" presName="rootComposite" presStyleCnt="0"/>
      <dgm:spPr/>
    </dgm:pt>
    <dgm:pt modelId="{FF715FA8-AED8-4B5E-9BCD-81C3AA535045}" type="pres">
      <dgm:prSet presAssocID="{98FB3FB6-098E-409C-AB08-6756AAEC4132}" presName="rootText" presStyleLbl="node4" presStyleIdx="1" presStyleCnt="11" custScaleX="243933" custScaleY="155611">
        <dgm:presLayoutVars>
          <dgm:chPref val="3"/>
        </dgm:presLayoutVars>
      </dgm:prSet>
      <dgm:spPr/>
    </dgm:pt>
    <dgm:pt modelId="{29C4EAF3-77D0-4D55-A82F-6D1A0F14EA49}" type="pres">
      <dgm:prSet presAssocID="{98FB3FB6-098E-409C-AB08-6756AAEC4132}" presName="rootConnector" presStyleLbl="node4" presStyleIdx="1" presStyleCnt="11"/>
      <dgm:spPr/>
    </dgm:pt>
    <dgm:pt modelId="{C9149A77-3160-48DF-A896-491EDD0C04E8}" type="pres">
      <dgm:prSet presAssocID="{98FB3FB6-098E-409C-AB08-6756AAEC4132}" presName="hierChild4" presStyleCnt="0"/>
      <dgm:spPr/>
    </dgm:pt>
    <dgm:pt modelId="{4AF3245E-B283-4B3C-89B2-430FE9023603}" type="pres">
      <dgm:prSet presAssocID="{61532884-69A1-4046-BC23-60F91B124EEF}" presName="Name37" presStyleLbl="parChTrans1D4" presStyleIdx="2" presStyleCnt="15"/>
      <dgm:spPr/>
    </dgm:pt>
    <dgm:pt modelId="{CC8AFDED-D9C6-4214-81BF-D65679C48F86}" type="pres">
      <dgm:prSet presAssocID="{CFC0EC99-AC4D-4B3D-A43E-FD5CF65DD5D2}" presName="hierRoot2" presStyleCnt="0">
        <dgm:presLayoutVars>
          <dgm:hierBranch val="l"/>
        </dgm:presLayoutVars>
      </dgm:prSet>
      <dgm:spPr/>
    </dgm:pt>
    <dgm:pt modelId="{B98F956F-C6BB-4FEB-8A24-F2820DE6F34C}" type="pres">
      <dgm:prSet presAssocID="{CFC0EC99-AC4D-4B3D-A43E-FD5CF65DD5D2}" presName="rootComposite" presStyleCnt="0"/>
      <dgm:spPr/>
    </dgm:pt>
    <dgm:pt modelId="{2FBB06AF-45C3-4528-A95E-9597A5AECCF5}" type="pres">
      <dgm:prSet presAssocID="{CFC0EC99-AC4D-4B3D-A43E-FD5CF65DD5D2}" presName="rootText" presStyleLbl="node4" presStyleIdx="2" presStyleCnt="11" custScaleY="96235" custLinFactX="-49835" custLinFactY="-50172" custLinFactNeighborX="-100000" custLinFactNeighborY="-100000">
        <dgm:presLayoutVars>
          <dgm:chPref val="3"/>
        </dgm:presLayoutVars>
      </dgm:prSet>
      <dgm:spPr/>
    </dgm:pt>
    <dgm:pt modelId="{DFA67A23-87B1-4D69-AE96-6448EE96E4AD}" type="pres">
      <dgm:prSet presAssocID="{CFC0EC99-AC4D-4B3D-A43E-FD5CF65DD5D2}" presName="rootConnector" presStyleLbl="node4" presStyleIdx="2" presStyleCnt="11"/>
      <dgm:spPr/>
    </dgm:pt>
    <dgm:pt modelId="{D5D0D9A9-134E-4E0F-9DA2-49258E05D5E9}" type="pres">
      <dgm:prSet presAssocID="{CFC0EC99-AC4D-4B3D-A43E-FD5CF65DD5D2}" presName="hierChild4" presStyleCnt="0"/>
      <dgm:spPr/>
    </dgm:pt>
    <dgm:pt modelId="{5408E322-481F-485C-896B-7F2640E8D288}" type="pres">
      <dgm:prSet presAssocID="{CFC0EC99-AC4D-4B3D-A43E-FD5CF65DD5D2}" presName="hierChild5" presStyleCnt="0"/>
      <dgm:spPr/>
    </dgm:pt>
    <dgm:pt modelId="{72E8040B-CA7A-418E-9ECC-5248BAE32ECF}" type="pres">
      <dgm:prSet presAssocID="{98FB3FB6-098E-409C-AB08-6756AAEC4132}" presName="hierChild5" presStyleCnt="0"/>
      <dgm:spPr/>
    </dgm:pt>
    <dgm:pt modelId="{61FC1A42-56AD-4E0E-86E6-2F586F4316D9}" type="pres">
      <dgm:prSet presAssocID="{023DD625-57B2-40B2-B13D-32B6473BCECB}" presName="Name111" presStyleLbl="parChTrans1D4" presStyleIdx="3" presStyleCnt="15"/>
      <dgm:spPr/>
    </dgm:pt>
    <dgm:pt modelId="{A73AE9AF-CC2D-46C9-94F8-8FE6F095E423}" type="pres">
      <dgm:prSet presAssocID="{EDB4A9DC-5AA0-4408-9D2B-D63AF214E988}" presName="hierRoot3" presStyleCnt="0">
        <dgm:presLayoutVars>
          <dgm:hierBranch val="l"/>
        </dgm:presLayoutVars>
      </dgm:prSet>
      <dgm:spPr/>
    </dgm:pt>
    <dgm:pt modelId="{5A9F9A46-28A5-44D5-BA37-DC0558795AA1}" type="pres">
      <dgm:prSet presAssocID="{EDB4A9DC-5AA0-4408-9D2B-D63AF214E988}" presName="rootComposite3" presStyleCnt="0"/>
      <dgm:spPr/>
    </dgm:pt>
    <dgm:pt modelId="{5529491B-720D-4D25-B71F-9EAEA7D8881F}" type="pres">
      <dgm:prSet presAssocID="{EDB4A9DC-5AA0-4408-9D2B-D63AF214E988}" presName="rootText3" presStyleLbl="asst4" presStyleIdx="0" presStyleCnt="4" custScaleY="88236" custLinFactX="20965" custLinFactNeighborX="100000" custLinFactNeighborY="-10232">
        <dgm:presLayoutVars>
          <dgm:chPref val="3"/>
        </dgm:presLayoutVars>
      </dgm:prSet>
      <dgm:spPr/>
    </dgm:pt>
    <dgm:pt modelId="{91646669-AE80-408C-BCDD-30310E260EA9}" type="pres">
      <dgm:prSet presAssocID="{EDB4A9DC-5AA0-4408-9D2B-D63AF214E988}" presName="rootConnector3" presStyleLbl="asst4" presStyleIdx="0" presStyleCnt="4"/>
      <dgm:spPr/>
    </dgm:pt>
    <dgm:pt modelId="{721021FF-80CA-42C3-9BDC-79E389D8F200}" type="pres">
      <dgm:prSet presAssocID="{EDB4A9DC-5AA0-4408-9D2B-D63AF214E988}" presName="hierChild6" presStyleCnt="0"/>
      <dgm:spPr/>
    </dgm:pt>
    <dgm:pt modelId="{0EA32002-5E77-4210-9509-BC3B03A84ACE}" type="pres">
      <dgm:prSet presAssocID="{EDB4A9DC-5AA0-4408-9D2B-D63AF214E988}" presName="hierChild7" presStyleCnt="0"/>
      <dgm:spPr/>
    </dgm:pt>
    <dgm:pt modelId="{D6675EB3-F9F3-46E6-87F0-FAC6EA913646}" type="pres">
      <dgm:prSet presAssocID="{4CE40385-803B-4982-B1AE-C8EE08F0D3B9}" presName="hierChild5" presStyleCnt="0"/>
      <dgm:spPr/>
    </dgm:pt>
    <dgm:pt modelId="{F2096B0F-B2D1-46B9-828D-1E34FED59185}" type="pres">
      <dgm:prSet presAssocID="{EE53CECF-0159-4A3E-9E53-59EA1EE7B945}" presName="hierChild5" presStyleCnt="0"/>
      <dgm:spPr/>
    </dgm:pt>
    <dgm:pt modelId="{3FCEC057-2FF1-4CEC-8551-032C5D24C6E1}" type="pres">
      <dgm:prSet presAssocID="{C13E1972-9D6A-40C5-B7F1-4FA99DC39A5D}" presName="hierChild5" presStyleCnt="0"/>
      <dgm:spPr/>
    </dgm:pt>
    <dgm:pt modelId="{8DAFCA34-1B87-41BB-AB9C-8C899E4C438D}" type="pres">
      <dgm:prSet presAssocID="{DD206DED-7FC5-4EEA-8C87-BF6615CC14B0}" presName="Name37" presStyleLbl="parChTrans1D2" presStyleIdx="1" presStyleCnt="4"/>
      <dgm:spPr/>
    </dgm:pt>
    <dgm:pt modelId="{A6643AF8-BF59-4685-A7B2-9C80CCFA7D40}" type="pres">
      <dgm:prSet presAssocID="{93A36F70-6CFA-4EF3-8917-CF33D892AD2B}" presName="hierRoot2" presStyleCnt="0">
        <dgm:presLayoutVars>
          <dgm:hierBranch val="init"/>
        </dgm:presLayoutVars>
      </dgm:prSet>
      <dgm:spPr/>
    </dgm:pt>
    <dgm:pt modelId="{0AE84D4A-A086-4A3A-9DD8-6840582C05F1}" type="pres">
      <dgm:prSet presAssocID="{93A36F70-6CFA-4EF3-8917-CF33D892AD2B}" presName="rootComposite" presStyleCnt="0"/>
      <dgm:spPr/>
    </dgm:pt>
    <dgm:pt modelId="{BE4DAEA6-7F22-4DC7-81FD-88D797CCE989}" type="pres">
      <dgm:prSet presAssocID="{93A36F70-6CFA-4EF3-8917-CF33D892AD2B}" presName="rootText" presStyleLbl="node2" presStyleIdx="1" presStyleCnt="4" custScaleX="135426">
        <dgm:presLayoutVars>
          <dgm:chPref val="3"/>
        </dgm:presLayoutVars>
      </dgm:prSet>
      <dgm:spPr/>
    </dgm:pt>
    <dgm:pt modelId="{692147EF-7C3D-47F2-9967-73AF7803245F}" type="pres">
      <dgm:prSet presAssocID="{93A36F70-6CFA-4EF3-8917-CF33D892AD2B}" presName="rootConnector" presStyleLbl="node2" presStyleIdx="1" presStyleCnt="4"/>
      <dgm:spPr/>
    </dgm:pt>
    <dgm:pt modelId="{7082E8CB-A295-41B2-86B4-8F549C5B4EBD}" type="pres">
      <dgm:prSet presAssocID="{93A36F70-6CFA-4EF3-8917-CF33D892AD2B}" presName="hierChild4" presStyleCnt="0"/>
      <dgm:spPr/>
    </dgm:pt>
    <dgm:pt modelId="{2C5481D4-6F0F-4826-AAA2-34E9624D1255}" type="pres">
      <dgm:prSet presAssocID="{ED763B38-1452-435A-831E-0529E51E153D}" presName="Name37" presStyleLbl="parChTrans1D3" presStyleIdx="1" presStyleCnt="4"/>
      <dgm:spPr/>
    </dgm:pt>
    <dgm:pt modelId="{F0DD0982-BEA6-4D70-AF3B-0AA4AA92E47B}" type="pres">
      <dgm:prSet presAssocID="{3F2837BE-7DB0-4240-97FA-5D38AA7C0DF0}" presName="hierRoot2" presStyleCnt="0">
        <dgm:presLayoutVars>
          <dgm:hierBranch val="init"/>
        </dgm:presLayoutVars>
      </dgm:prSet>
      <dgm:spPr/>
    </dgm:pt>
    <dgm:pt modelId="{99B54681-733F-4DDC-90EB-69AF05D7F8CA}" type="pres">
      <dgm:prSet presAssocID="{3F2837BE-7DB0-4240-97FA-5D38AA7C0DF0}" presName="rootComposite" presStyleCnt="0"/>
      <dgm:spPr/>
    </dgm:pt>
    <dgm:pt modelId="{955DF2CB-8C32-487F-8CE4-5634CE1C1457}" type="pres">
      <dgm:prSet presAssocID="{3F2837BE-7DB0-4240-97FA-5D38AA7C0DF0}" presName="rootText" presStyleLbl="node3" presStyleIdx="1" presStyleCnt="4" custScaleX="207030" custScaleY="150376" custLinFactNeighborY="-3520">
        <dgm:presLayoutVars>
          <dgm:chPref val="3"/>
        </dgm:presLayoutVars>
      </dgm:prSet>
      <dgm:spPr/>
    </dgm:pt>
    <dgm:pt modelId="{55201589-E569-4CAD-AC99-0497FCF263F6}" type="pres">
      <dgm:prSet presAssocID="{3F2837BE-7DB0-4240-97FA-5D38AA7C0DF0}" presName="rootConnector" presStyleLbl="node3" presStyleIdx="1" presStyleCnt="4"/>
      <dgm:spPr/>
    </dgm:pt>
    <dgm:pt modelId="{ED1D290A-9272-48F1-8AF8-BBA8E72EDB35}" type="pres">
      <dgm:prSet presAssocID="{3F2837BE-7DB0-4240-97FA-5D38AA7C0DF0}" presName="hierChild4" presStyleCnt="0"/>
      <dgm:spPr/>
    </dgm:pt>
    <dgm:pt modelId="{B3A2FCF6-BDDC-43A1-B4B4-7465EEB351F9}" type="pres">
      <dgm:prSet presAssocID="{036BBA54-C30F-4318-8E02-C38D689AE49F}" presName="Name37" presStyleLbl="parChTrans1D4" presStyleIdx="4" presStyleCnt="15"/>
      <dgm:spPr/>
    </dgm:pt>
    <dgm:pt modelId="{528FA10A-4857-4463-9731-4AEDA3A2084F}" type="pres">
      <dgm:prSet presAssocID="{D853020C-DEA9-492C-A09C-8010E74E4939}" presName="hierRoot2" presStyleCnt="0">
        <dgm:presLayoutVars>
          <dgm:hierBranch val="init"/>
        </dgm:presLayoutVars>
      </dgm:prSet>
      <dgm:spPr/>
    </dgm:pt>
    <dgm:pt modelId="{A0BBEE0B-C95A-4C29-AFB5-552AA969DEC5}" type="pres">
      <dgm:prSet presAssocID="{D853020C-DEA9-492C-A09C-8010E74E4939}" presName="rootComposite" presStyleCnt="0"/>
      <dgm:spPr/>
    </dgm:pt>
    <dgm:pt modelId="{3CCA5876-8A27-4F35-AD95-6BF0D45B8EAB}" type="pres">
      <dgm:prSet presAssocID="{D853020C-DEA9-492C-A09C-8010E74E4939}" presName="rootText" presStyleLbl="node4" presStyleIdx="3" presStyleCnt="11" custScaleX="187424" custScaleY="123186">
        <dgm:presLayoutVars>
          <dgm:chPref val="3"/>
        </dgm:presLayoutVars>
      </dgm:prSet>
      <dgm:spPr/>
    </dgm:pt>
    <dgm:pt modelId="{CFAF05B6-DE0F-4D93-8BD4-F6958633D3E3}" type="pres">
      <dgm:prSet presAssocID="{D853020C-DEA9-492C-A09C-8010E74E4939}" presName="rootConnector" presStyleLbl="node4" presStyleIdx="3" presStyleCnt="11"/>
      <dgm:spPr/>
    </dgm:pt>
    <dgm:pt modelId="{73C23942-2DFB-4388-BBCA-12834EB398A6}" type="pres">
      <dgm:prSet presAssocID="{D853020C-DEA9-492C-A09C-8010E74E4939}" presName="hierChild4" presStyleCnt="0"/>
      <dgm:spPr/>
    </dgm:pt>
    <dgm:pt modelId="{5DB911DD-B1FB-4709-B564-E88699AF4550}" type="pres">
      <dgm:prSet presAssocID="{FFFC5664-134A-4D10-A422-28E9F3FDC00F}" presName="Name37" presStyleLbl="parChTrans1D4" presStyleIdx="5" presStyleCnt="15"/>
      <dgm:spPr/>
    </dgm:pt>
    <dgm:pt modelId="{3ADA63C1-4F49-4DB3-9C5C-30DCB8787A9E}" type="pres">
      <dgm:prSet presAssocID="{E9CAD23E-388D-4F66-A915-36321F3FEFEA}" presName="hierRoot2" presStyleCnt="0">
        <dgm:presLayoutVars>
          <dgm:hierBranch val="init"/>
        </dgm:presLayoutVars>
      </dgm:prSet>
      <dgm:spPr/>
    </dgm:pt>
    <dgm:pt modelId="{85C38929-9147-4CE4-A22A-26D877DC99DF}" type="pres">
      <dgm:prSet presAssocID="{E9CAD23E-388D-4F66-A915-36321F3FEFEA}" presName="rootComposite" presStyleCnt="0"/>
      <dgm:spPr/>
    </dgm:pt>
    <dgm:pt modelId="{9F651233-C707-483D-B969-3DD45DADA596}" type="pres">
      <dgm:prSet presAssocID="{E9CAD23E-388D-4F66-A915-36321F3FEFEA}" presName="rootText" presStyleLbl="node4" presStyleIdx="4" presStyleCnt="11" custScaleX="190362" custScaleY="167841">
        <dgm:presLayoutVars>
          <dgm:chPref val="3"/>
        </dgm:presLayoutVars>
      </dgm:prSet>
      <dgm:spPr/>
    </dgm:pt>
    <dgm:pt modelId="{D9A5E4F9-DFC5-477D-B2F2-C92E83D40FDA}" type="pres">
      <dgm:prSet presAssocID="{E9CAD23E-388D-4F66-A915-36321F3FEFEA}" presName="rootConnector" presStyleLbl="node4" presStyleIdx="4" presStyleCnt="11"/>
      <dgm:spPr/>
    </dgm:pt>
    <dgm:pt modelId="{E6A4673C-DA52-4EF6-9513-6B66F19EC248}" type="pres">
      <dgm:prSet presAssocID="{E9CAD23E-388D-4F66-A915-36321F3FEFEA}" presName="hierChild4" presStyleCnt="0"/>
      <dgm:spPr/>
    </dgm:pt>
    <dgm:pt modelId="{5ED4746F-DC73-46C2-B7E2-156C7C658148}" type="pres">
      <dgm:prSet presAssocID="{439280A1-7D3A-491D-9BCD-03F68A89A939}" presName="Name37" presStyleLbl="parChTrans1D4" presStyleIdx="6" presStyleCnt="15"/>
      <dgm:spPr/>
    </dgm:pt>
    <dgm:pt modelId="{DA504AB5-7206-4AE0-B8D3-36E9F58FEF17}" type="pres">
      <dgm:prSet presAssocID="{D818CA55-5845-4510-8199-51B5D4EAC96D}" presName="hierRoot2" presStyleCnt="0">
        <dgm:presLayoutVars>
          <dgm:hierBranch val="init"/>
        </dgm:presLayoutVars>
      </dgm:prSet>
      <dgm:spPr/>
    </dgm:pt>
    <dgm:pt modelId="{24DC36A2-4A24-43DA-A3F3-BCD2CD71A87D}" type="pres">
      <dgm:prSet presAssocID="{D818CA55-5845-4510-8199-51B5D4EAC96D}" presName="rootComposite" presStyleCnt="0"/>
      <dgm:spPr/>
    </dgm:pt>
    <dgm:pt modelId="{43D5122B-5DCF-4B51-8333-74EDBD2CC2AE}" type="pres">
      <dgm:prSet presAssocID="{D818CA55-5845-4510-8199-51B5D4EAC96D}" presName="rootText" presStyleLbl="node4" presStyleIdx="5" presStyleCnt="11">
        <dgm:presLayoutVars>
          <dgm:chPref val="3"/>
        </dgm:presLayoutVars>
      </dgm:prSet>
      <dgm:spPr/>
    </dgm:pt>
    <dgm:pt modelId="{F40D34D8-021A-4483-AE5D-5B75445580C1}" type="pres">
      <dgm:prSet presAssocID="{D818CA55-5845-4510-8199-51B5D4EAC96D}" presName="rootConnector" presStyleLbl="node4" presStyleIdx="5" presStyleCnt="11"/>
      <dgm:spPr/>
    </dgm:pt>
    <dgm:pt modelId="{6837A594-4601-4229-BB57-FF4657A81B58}" type="pres">
      <dgm:prSet presAssocID="{D818CA55-5845-4510-8199-51B5D4EAC96D}" presName="hierChild4" presStyleCnt="0"/>
      <dgm:spPr/>
    </dgm:pt>
    <dgm:pt modelId="{76B7733F-4FAB-4445-B340-C2D72056007F}" type="pres">
      <dgm:prSet presAssocID="{D818CA55-5845-4510-8199-51B5D4EAC96D}" presName="hierChild5" presStyleCnt="0"/>
      <dgm:spPr/>
    </dgm:pt>
    <dgm:pt modelId="{0C749B28-FB97-4C5D-98AC-A97E4B6FCB62}" type="pres">
      <dgm:prSet presAssocID="{E9CAD23E-388D-4F66-A915-36321F3FEFEA}" presName="hierChild5" presStyleCnt="0"/>
      <dgm:spPr/>
    </dgm:pt>
    <dgm:pt modelId="{9C1B1DE0-D9E2-43B0-B811-5FBE758A51B0}" type="pres">
      <dgm:prSet presAssocID="{D853020C-DEA9-492C-A09C-8010E74E4939}" presName="hierChild5" presStyleCnt="0"/>
      <dgm:spPr/>
    </dgm:pt>
    <dgm:pt modelId="{03F447ED-C503-4CE4-9019-B168D0082A88}" type="pres">
      <dgm:prSet presAssocID="{3F2837BE-7DB0-4240-97FA-5D38AA7C0DF0}" presName="hierChild5" presStyleCnt="0"/>
      <dgm:spPr/>
    </dgm:pt>
    <dgm:pt modelId="{59850EB0-2A80-48BE-9B91-ACD7D720D3B3}" type="pres">
      <dgm:prSet presAssocID="{93A36F70-6CFA-4EF3-8917-CF33D892AD2B}" presName="hierChild5" presStyleCnt="0"/>
      <dgm:spPr/>
    </dgm:pt>
    <dgm:pt modelId="{F8F878DE-3698-49C4-866C-9D6D49B690BF}" type="pres">
      <dgm:prSet presAssocID="{9DC5AD1F-70F0-41C6-BB2E-9D3B683019F0}" presName="Name37" presStyleLbl="parChTrans1D2" presStyleIdx="2" presStyleCnt="4"/>
      <dgm:spPr/>
    </dgm:pt>
    <dgm:pt modelId="{71D1FAC7-6D16-429C-B01D-3C3E13E5743F}" type="pres">
      <dgm:prSet presAssocID="{ACAD03E5-6C76-40D2-8C7B-229FD5378AF9}" presName="hierRoot2" presStyleCnt="0">
        <dgm:presLayoutVars>
          <dgm:hierBranch val="init"/>
        </dgm:presLayoutVars>
      </dgm:prSet>
      <dgm:spPr/>
    </dgm:pt>
    <dgm:pt modelId="{B54C6A21-DA4A-452C-9EA3-211FAD5978D6}" type="pres">
      <dgm:prSet presAssocID="{ACAD03E5-6C76-40D2-8C7B-229FD5378AF9}" presName="rootComposite" presStyleCnt="0"/>
      <dgm:spPr/>
    </dgm:pt>
    <dgm:pt modelId="{FF0C1041-3395-46E3-905D-0CC0094881D7}" type="pres">
      <dgm:prSet presAssocID="{ACAD03E5-6C76-40D2-8C7B-229FD5378AF9}" presName="rootText" presStyleLbl="node2" presStyleIdx="2" presStyleCnt="4" custScaleX="174869">
        <dgm:presLayoutVars>
          <dgm:chPref val="3"/>
        </dgm:presLayoutVars>
      </dgm:prSet>
      <dgm:spPr/>
    </dgm:pt>
    <dgm:pt modelId="{5031D92B-3977-49E6-8FF5-A4B3BF7D427B}" type="pres">
      <dgm:prSet presAssocID="{ACAD03E5-6C76-40D2-8C7B-229FD5378AF9}" presName="rootConnector" presStyleLbl="node2" presStyleIdx="2" presStyleCnt="4"/>
      <dgm:spPr/>
    </dgm:pt>
    <dgm:pt modelId="{DA443ED5-03E3-4890-B276-72FC2A10D9AC}" type="pres">
      <dgm:prSet presAssocID="{ACAD03E5-6C76-40D2-8C7B-229FD5378AF9}" presName="hierChild4" presStyleCnt="0"/>
      <dgm:spPr/>
    </dgm:pt>
    <dgm:pt modelId="{BF6D23CB-7F33-40BA-8290-9FE411A93557}" type="pres">
      <dgm:prSet presAssocID="{A6194704-638D-4E5B-BE58-520635DD1E10}" presName="Name37" presStyleLbl="parChTrans1D3" presStyleIdx="2" presStyleCnt="4"/>
      <dgm:spPr/>
    </dgm:pt>
    <dgm:pt modelId="{1575B795-3E3D-476F-A453-084380F48C0C}" type="pres">
      <dgm:prSet presAssocID="{CE41F070-B7FF-4D72-9779-CADB9ECDB834}" presName="hierRoot2" presStyleCnt="0">
        <dgm:presLayoutVars>
          <dgm:hierBranch val="init"/>
        </dgm:presLayoutVars>
      </dgm:prSet>
      <dgm:spPr/>
    </dgm:pt>
    <dgm:pt modelId="{ADC6026A-68BD-4D33-A133-B4A06CFB811D}" type="pres">
      <dgm:prSet presAssocID="{CE41F070-B7FF-4D72-9779-CADB9ECDB834}" presName="rootComposite" presStyleCnt="0"/>
      <dgm:spPr/>
    </dgm:pt>
    <dgm:pt modelId="{1DC14DB0-20D9-44B1-9C0B-2CA2C56BE45F}" type="pres">
      <dgm:prSet presAssocID="{CE41F070-B7FF-4D72-9779-CADB9ECDB834}" presName="rootText" presStyleLbl="node3" presStyleIdx="2" presStyleCnt="4" custScaleX="196836" custScaleY="155997">
        <dgm:presLayoutVars>
          <dgm:chPref val="3"/>
        </dgm:presLayoutVars>
      </dgm:prSet>
      <dgm:spPr/>
    </dgm:pt>
    <dgm:pt modelId="{792FC1BD-339C-4C4A-AFFA-7E962E8BE8B1}" type="pres">
      <dgm:prSet presAssocID="{CE41F070-B7FF-4D72-9779-CADB9ECDB834}" presName="rootConnector" presStyleLbl="node3" presStyleIdx="2" presStyleCnt="4"/>
      <dgm:spPr/>
    </dgm:pt>
    <dgm:pt modelId="{A28D11C1-B104-4DD2-B0CA-7BE431819868}" type="pres">
      <dgm:prSet presAssocID="{CE41F070-B7FF-4D72-9779-CADB9ECDB834}" presName="hierChild4" presStyleCnt="0"/>
      <dgm:spPr/>
    </dgm:pt>
    <dgm:pt modelId="{B11EC0E0-1D04-4C22-B029-3C6F2288A749}" type="pres">
      <dgm:prSet presAssocID="{3C05564B-8AA3-456F-9C11-A63FD39E0DEB}" presName="Name37" presStyleLbl="parChTrans1D4" presStyleIdx="7" presStyleCnt="15"/>
      <dgm:spPr/>
    </dgm:pt>
    <dgm:pt modelId="{C2F3B412-3A1A-437D-BF9E-F74CFDD5C2CB}" type="pres">
      <dgm:prSet presAssocID="{A25AF142-8B54-443F-A5C1-12DBB16C659A}" presName="hierRoot2" presStyleCnt="0">
        <dgm:presLayoutVars>
          <dgm:hierBranch val="init"/>
        </dgm:presLayoutVars>
      </dgm:prSet>
      <dgm:spPr/>
    </dgm:pt>
    <dgm:pt modelId="{AB7224FE-6328-40D7-86A4-255F217B7408}" type="pres">
      <dgm:prSet presAssocID="{A25AF142-8B54-443F-A5C1-12DBB16C659A}" presName="rootComposite" presStyleCnt="0"/>
      <dgm:spPr/>
    </dgm:pt>
    <dgm:pt modelId="{B43F6C84-4113-4E97-946D-DA27B40F06CE}" type="pres">
      <dgm:prSet presAssocID="{A25AF142-8B54-443F-A5C1-12DBB16C659A}" presName="rootText" presStyleLbl="node4" presStyleIdx="6" presStyleCnt="11" custScaleX="195688" custScaleY="129506">
        <dgm:presLayoutVars>
          <dgm:chPref val="3"/>
        </dgm:presLayoutVars>
      </dgm:prSet>
      <dgm:spPr/>
    </dgm:pt>
    <dgm:pt modelId="{E2B14B52-158B-4517-8B41-3B7059D68FF1}" type="pres">
      <dgm:prSet presAssocID="{A25AF142-8B54-443F-A5C1-12DBB16C659A}" presName="rootConnector" presStyleLbl="node4" presStyleIdx="6" presStyleCnt="11"/>
      <dgm:spPr/>
    </dgm:pt>
    <dgm:pt modelId="{1718D16A-632D-444B-B429-D7B72BA2A9B9}" type="pres">
      <dgm:prSet presAssocID="{A25AF142-8B54-443F-A5C1-12DBB16C659A}" presName="hierChild4" presStyleCnt="0"/>
      <dgm:spPr/>
    </dgm:pt>
    <dgm:pt modelId="{38AA9563-A215-42CF-B8D1-2BE905529BCA}" type="pres">
      <dgm:prSet presAssocID="{A31182A2-12DA-42B6-BD6F-A8319CCDB153}" presName="Name37" presStyleLbl="parChTrans1D4" presStyleIdx="8" presStyleCnt="15"/>
      <dgm:spPr/>
    </dgm:pt>
    <dgm:pt modelId="{C6E491C5-257E-49BB-9FB6-10FD679C82D4}" type="pres">
      <dgm:prSet presAssocID="{4567E575-9C97-484A-8DF0-C51F9C3774CF}" presName="hierRoot2" presStyleCnt="0">
        <dgm:presLayoutVars>
          <dgm:hierBranch val="init"/>
        </dgm:presLayoutVars>
      </dgm:prSet>
      <dgm:spPr/>
    </dgm:pt>
    <dgm:pt modelId="{BEA0EF37-ECF1-40E8-9134-7ACA7DC0DC88}" type="pres">
      <dgm:prSet presAssocID="{4567E575-9C97-484A-8DF0-C51F9C3774CF}" presName="rootComposite" presStyleCnt="0"/>
      <dgm:spPr/>
    </dgm:pt>
    <dgm:pt modelId="{1E30188F-1A85-4769-94E5-DDF79B8DCAAA}" type="pres">
      <dgm:prSet presAssocID="{4567E575-9C97-484A-8DF0-C51F9C3774CF}" presName="rootText" presStyleLbl="node4" presStyleIdx="7" presStyleCnt="11" custScaleX="223122" custScaleY="182813">
        <dgm:presLayoutVars>
          <dgm:chPref val="3"/>
        </dgm:presLayoutVars>
      </dgm:prSet>
      <dgm:spPr/>
    </dgm:pt>
    <dgm:pt modelId="{C1D61C69-C2CA-47EA-9680-6E5EC6D892E8}" type="pres">
      <dgm:prSet presAssocID="{4567E575-9C97-484A-8DF0-C51F9C3774CF}" presName="rootConnector" presStyleLbl="node4" presStyleIdx="7" presStyleCnt="11"/>
      <dgm:spPr/>
    </dgm:pt>
    <dgm:pt modelId="{A38CC7FF-57CC-4693-B002-75B2B67A7ECF}" type="pres">
      <dgm:prSet presAssocID="{4567E575-9C97-484A-8DF0-C51F9C3774CF}" presName="hierChild4" presStyleCnt="0"/>
      <dgm:spPr/>
    </dgm:pt>
    <dgm:pt modelId="{AB7F815F-C0A7-41BB-97A1-A7D59722B33C}" type="pres">
      <dgm:prSet presAssocID="{4567E575-9C97-484A-8DF0-C51F9C3774CF}" presName="hierChild5" presStyleCnt="0"/>
      <dgm:spPr/>
    </dgm:pt>
    <dgm:pt modelId="{5F28BDBD-CA0F-4B75-945E-AAD0CA47F8F8}" type="pres">
      <dgm:prSet presAssocID="{E13C9B25-6F2E-4124-931F-53FC6D8E6E90}" presName="Name111" presStyleLbl="parChTrans1D4" presStyleIdx="9" presStyleCnt="15"/>
      <dgm:spPr/>
    </dgm:pt>
    <dgm:pt modelId="{DDA84B2C-CEFA-4203-AEDB-BA89489E10DE}" type="pres">
      <dgm:prSet presAssocID="{E39F7463-6002-4D3B-A7BD-ED8DE0E9B226}" presName="hierRoot3" presStyleCnt="0">
        <dgm:presLayoutVars>
          <dgm:hierBranch val="init"/>
        </dgm:presLayoutVars>
      </dgm:prSet>
      <dgm:spPr/>
    </dgm:pt>
    <dgm:pt modelId="{01884B09-E87E-4F64-9306-7AA4AD804807}" type="pres">
      <dgm:prSet presAssocID="{E39F7463-6002-4D3B-A7BD-ED8DE0E9B226}" presName="rootComposite3" presStyleCnt="0"/>
      <dgm:spPr/>
    </dgm:pt>
    <dgm:pt modelId="{9E998914-DB82-4E0B-956F-1C1C1D6045EE}" type="pres">
      <dgm:prSet presAssocID="{E39F7463-6002-4D3B-A7BD-ED8DE0E9B226}" presName="rootText3" presStyleLbl="asst4" presStyleIdx="1" presStyleCnt="4" custScaleX="128284">
        <dgm:presLayoutVars>
          <dgm:chPref val="3"/>
        </dgm:presLayoutVars>
      </dgm:prSet>
      <dgm:spPr/>
    </dgm:pt>
    <dgm:pt modelId="{D103B1F7-818D-4F28-93E5-D38FA8F95EAF}" type="pres">
      <dgm:prSet presAssocID="{E39F7463-6002-4D3B-A7BD-ED8DE0E9B226}" presName="rootConnector3" presStyleLbl="asst4" presStyleIdx="1" presStyleCnt="4"/>
      <dgm:spPr/>
    </dgm:pt>
    <dgm:pt modelId="{4497CE71-C3DF-4A3C-AC4B-7E5ED8A3DC15}" type="pres">
      <dgm:prSet presAssocID="{E39F7463-6002-4D3B-A7BD-ED8DE0E9B226}" presName="hierChild6" presStyleCnt="0"/>
      <dgm:spPr/>
    </dgm:pt>
    <dgm:pt modelId="{B6F4C742-3060-4D34-8AEE-CF551438F6E1}" type="pres">
      <dgm:prSet presAssocID="{E39F7463-6002-4D3B-A7BD-ED8DE0E9B226}" presName="hierChild7" presStyleCnt="0"/>
      <dgm:spPr/>
    </dgm:pt>
    <dgm:pt modelId="{DC4F5861-2185-44EA-B89B-B5E500A9127C}" type="pres">
      <dgm:prSet presAssocID="{BFC4F103-3852-430B-A671-64A1072073E4}" presName="Name111" presStyleLbl="parChTrans1D4" presStyleIdx="10" presStyleCnt="15"/>
      <dgm:spPr/>
    </dgm:pt>
    <dgm:pt modelId="{BB9DECBF-6ADB-4037-8C6F-459C7840897D}" type="pres">
      <dgm:prSet presAssocID="{8B69620A-A656-4B78-9CDE-AEE333E1799C}" presName="hierRoot3" presStyleCnt="0">
        <dgm:presLayoutVars>
          <dgm:hierBranch val="init"/>
        </dgm:presLayoutVars>
      </dgm:prSet>
      <dgm:spPr/>
    </dgm:pt>
    <dgm:pt modelId="{1BF471BA-73B4-4E60-93C7-179EB37038A4}" type="pres">
      <dgm:prSet presAssocID="{8B69620A-A656-4B78-9CDE-AEE333E1799C}" presName="rootComposite3" presStyleCnt="0"/>
      <dgm:spPr/>
    </dgm:pt>
    <dgm:pt modelId="{09454A95-671A-4C80-9C28-7D3E2CBB243C}" type="pres">
      <dgm:prSet presAssocID="{8B69620A-A656-4B78-9CDE-AEE333E1799C}" presName="rootText3" presStyleLbl="asst4" presStyleIdx="2" presStyleCnt="4" custScaleX="136655">
        <dgm:presLayoutVars>
          <dgm:chPref val="3"/>
        </dgm:presLayoutVars>
      </dgm:prSet>
      <dgm:spPr/>
    </dgm:pt>
    <dgm:pt modelId="{A3A58C25-3122-4773-89F0-3F25C9AB9EE1}" type="pres">
      <dgm:prSet presAssocID="{8B69620A-A656-4B78-9CDE-AEE333E1799C}" presName="rootConnector3" presStyleLbl="asst4" presStyleIdx="2" presStyleCnt="4"/>
      <dgm:spPr/>
    </dgm:pt>
    <dgm:pt modelId="{6DD9A916-CA9B-4820-8AEC-5A390A3AAE80}" type="pres">
      <dgm:prSet presAssocID="{8B69620A-A656-4B78-9CDE-AEE333E1799C}" presName="hierChild6" presStyleCnt="0"/>
      <dgm:spPr/>
    </dgm:pt>
    <dgm:pt modelId="{119348F7-1934-4718-BB97-E0F882D9666E}" type="pres">
      <dgm:prSet presAssocID="{8B69620A-A656-4B78-9CDE-AEE333E1799C}" presName="hierChild7" presStyleCnt="0"/>
      <dgm:spPr/>
    </dgm:pt>
    <dgm:pt modelId="{5EA843BC-97FE-44F8-A265-EE8DA92E767E}" type="pres">
      <dgm:prSet presAssocID="{6B986D31-B04F-4B10-96E2-D823648C5E08}" presName="Name111" presStyleLbl="parChTrans1D4" presStyleIdx="11" presStyleCnt="15"/>
      <dgm:spPr/>
    </dgm:pt>
    <dgm:pt modelId="{17087EC9-AA67-4707-93E4-8D46415877DC}" type="pres">
      <dgm:prSet presAssocID="{B2B51FDE-8820-49BF-9281-9D923236081D}" presName="hierRoot3" presStyleCnt="0">
        <dgm:presLayoutVars>
          <dgm:hierBranch val="init"/>
        </dgm:presLayoutVars>
      </dgm:prSet>
      <dgm:spPr/>
    </dgm:pt>
    <dgm:pt modelId="{F5E1103D-6E4A-46D6-A335-0620DEAAA6CB}" type="pres">
      <dgm:prSet presAssocID="{B2B51FDE-8820-49BF-9281-9D923236081D}" presName="rootComposite3" presStyleCnt="0"/>
      <dgm:spPr/>
    </dgm:pt>
    <dgm:pt modelId="{41CD3CAF-869A-4143-8D54-E8F9993C737A}" type="pres">
      <dgm:prSet presAssocID="{B2B51FDE-8820-49BF-9281-9D923236081D}" presName="rootText3" presStyleLbl="asst4" presStyleIdx="3" presStyleCnt="4" custScaleX="134616">
        <dgm:presLayoutVars>
          <dgm:chPref val="3"/>
        </dgm:presLayoutVars>
      </dgm:prSet>
      <dgm:spPr/>
    </dgm:pt>
    <dgm:pt modelId="{1B66D78D-9E10-4CC9-BB30-C0917FB6CA0C}" type="pres">
      <dgm:prSet presAssocID="{B2B51FDE-8820-49BF-9281-9D923236081D}" presName="rootConnector3" presStyleLbl="asst4" presStyleIdx="3" presStyleCnt="4"/>
      <dgm:spPr/>
    </dgm:pt>
    <dgm:pt modelId="{1CB9876B-BB7B-4A7A-B90C-C3BB94F59B68}" type="pres">
      <dgm:prSet presAssocID="{B2B51FDE-8820-49BF-9281-9D923236081D}" presName="hierChild6" presStyleCnt="0"/>
      <dgm:spPr/>
    </dgm:pt>
    <dgm:pt modelId="{C973E039-4026-4F4B-8E3C-DBEFBEB385C0}" type="pres">
      <dgm:prSet presAssocID="{B2B51FDE-8820-49BF-9281-9D923236081D}" presName="hierChild7" presStyleCnt="0"/>
      <dgm:spPr/>
    </dgm:pt>
    <dgm:pt modelId="{70FB6A0E-47B6-417D-B0B2-EF3B0C0C11A0}" type="pres">
      <dgm:prSet presAssocID="{A25AF142-8B54-443F-A5C1-12DBB16C659A}" presName="hierChild5" presStyleCnt="0"/>
      <dgm:spPr/>
    </dgm:pt>
    <dgm:pt modelId="{BF25C0FB-7D70-4B06-B7D3-14222EB23B46}" type="pres">
      <dgm:prSet presAssocID="{CE41F070-B7FF-4D72-9779-CADB9ECDB834}" presName="hierChild5" presStyleCnt="0"/>
      <dgm:spPr/>
    </dgm:pt>
    <dgm:pt modelId="{504220EF-6CFA-4509-B724-FE48FEC0E42E}" type="pres">
      <dgm:prSet presAssocID="{ACAD03E5-6C76-40D2-8C7B-229FD5378AF9}" presName="hierChild5" presStyleCnt="0"/>
      <dgm:spPr/>
    </dgm:pt>
    <dgm:pt modelId="{14C8092E-CFA6-40D8-81FF-92F61F138120}" type="pres">
      <dgm:prSet presAssocID="{ED7C2A8D-9472-4DB9-9914-7ECE2B331C8A}" presName="Name37" presStyleLbl="parChTrans1D2" presStyleIdx="3" presStyleCnt="4"/>
      <dgm:spPr/>
    </dgm:pt>
    <dgm:pt modelId="{E5F0944A-652D-452F-B972-D725BF51AB2A}" type="pres">
      <dgm:prSet presAssocID="{1EED611F-772F-402C-A366-5E772729923E}" presName="hierRoot2" presStyleCnt="0">
        <dgm:presLayoutVars>
          <dgm:hierBranch val="init"/>
        </dgm:presLayoutVars>
      </dgm:prSet>
      <dgm:spPr/>
    </dgm:pt>
    <dgm:pt modelId="{22BE8D62-1A21-4DE1-88C9-CE78B5096D37}" type="pres">
      <dgm:prSet presAssocID="{1EED611F-772F-402C-A366-5E772729923E}" presName="rootComposite" presStyleCnt="0"/>
      <dgm:spPr/>
    </dgm:pt>
    <dgm:pt modelId="{C451E644-60DC-447A-91DE-158BF7A48365}" type="pres">
      <dgm:prSet presAssocID="{1EED611F-772F-402C-A366-5E772729923E}" presName="rootText" presStyleLbl="node2" presStyleIdx="3" presStyleCnt="4" custScaleX="185944" custLinFactNeighborX="15440">
        <dgm:presLayoutVars>
          <dgm:chPref val="3"/>
        </dgm:presLayoutVars>
      </dgm:prSet>
      <dgm:spPr/>
    </dgm:pt>
    <dgm:pt modelId="{D6D9F8CC-664D-47BC-B3DA-866929BF4661}" type="pres">
      <dgm:prSet presAssocID="{1EED611F-772F-402C-A366-5E772729923E}" presName="rootConnector" presStyleLbl="node2" presStyleIdx="3" presStyleCnt="4"/>
      <dgm:spPr/>
    </dgm:pt>
    <dgm:pt modelId="{74100630-4731-4FAC-B4F1-7F2E86F948C3}" type="pres">
      <dgm:prSet presAssocID="{1EED611F-772F-402C-A366-5E772729923E}" presName="hierChild4" presStyleCnt="0"/>
      <dgm:spPr/>
    </dgm:pt>
    <dgm:pt modelId="{2BA76C43-EEEF-4FDD-91F6-A265D642DB48}" type="pres">
      <dgm:prSet presAssocID="{852A8F61-115B-4B7E-9E0A-AF58AEF8AA38}" presName="Name37" presStyleLbl="parChTrans1D3" presStyleIdx="3" presStyleCnt="4"/>
      <dgm:spPr/>
    </dgm:pt>
    <dgm:pt modelId="{183C98D1-B1E1-4406-B5B3-70B15386D13D}" type="pres">
      <dgm:prSet presAssocID="{E7E797B1-C4F5-4E0B-858C-57D3B9F4828A}" presName="hierRoot2" presStyleCnt="0">
        <dgm:presLayoutVars>
          <dgm:hierBranch val="init"/>
        </dgm:presLayoutVars>
      </dgm:prSet>
      <dgm:spPr/>
    </dgm:pt>
    <dgm:pt modelId="{CEEEAC16-3127-4A5B-B676-6B73B87AB0DC}" type="pres">
      <dgm:prSet presAssocID="{E7E797B1-C4F5-4E0B-858C-57D3B9F4828A}" presName="rootComposite" presStyleCnt="0"/>
      <dgm:spPr/>
    </dgm:pt>
    <dgm:pt modelId="{2758924B-7C90-433C-9B33-4FF4CCFB2E95}" type="pres">
      <dgm:prSet presAssocID="{E7E797B1-C4F5-4E0B-858C-57D3B9F4828A}" presName="rootText" presStyleLbl="node3" presStyleIdx="3" presStyleCnt="4" custScaleX="186909" custScaleY="143521" custLinFactNeighborX="15440" custLinFactNeighborY="-1930">
        <dgm:presLayoutVars>
          <dgm:chPref val="3"/>
        </dgm:presLayoutVars>
      </dgm:prSet>
      <dgm:spPr/>
    </dgm:pt>
    <dgm:pt modelId="{7A377D50-BE0E-4848-97D4-62A612BFD46B}" type="pres">
      <dgm:prSet presAssocID="{E7E797B1-C4F5-4E0B-858C-57D3B9F4828A}" presName="rootConnector" presStyleLbl="node3" presStyleIdx="3" presStyleCnt="4"/>
      <dgm:spPr/>
    </dgm:pt>
    <dgm:pt modelId="{E4BD31E4-C6CB-4229-85E0-A8B2E0B17A6E}" type="pres">
      <dgm:prSet presAssocID="{E7E797B1-C4F5-4E0B-858C-57D3B9F4828A}" presName="hierChild4" presStyleCnt="0"/>
      <dgm:spPr/>
    </dgm:pt>
    <dgm:pt modelId="{73F6ED98-7BDE-4DFD-8630-C308EA9783A1}" type="pres">
      <dgm:prSet presAssocID="{18BF7D01-58F2-478C-A7FB-F94DCBDB73DB}" presName="Name37" presStyleLbl="parChTrans1D4" presStyleIdx="12" presStyleCnt="15"/>
      <dgm:spPr/>
    </dgm:pt>
    <dgm:pt modelId="{305D56E5-0999-41EA-83D2-17F8D6CCCB68}" type="pres">
      <dgm:prSet presAssocID="{300B458B-31E3-4D70-84F6-C7BE587CB187}" presName="hierRoot2" presStyleCnt="0">
        <dgm:presLayoutVars>
          <dgm:hierBranch val="init"/>
        </dgm:presLayoutVars>
      </dgm:prSet>
      <dgm:spPr/>
    </dgm:pt>
    <dgm:pt modelId="{FA557AB8-3948-4143-AAE2-8E9E4E5C8FF0}" type="pres">
      <dgm:prSet presAssocID="{300B458B-31E3-4D70-84F6-C7BE587CB187}" presName="rootComposite" presStyleCnt="0"/>
      <dgm:spPr/>
    </dgm:pt>
    <dgm:pt modelId="{82F920AC-CC69-4026-98B0-16821603935B}" type="pres">
      <dgm:prSet presAssocID="{300B458B-31E3-4D70-84F6-C7BE587CB187}" presName="rootText" presStyleLbl="node4" presStyleIdx="8" presStyleCnt="11" custScaleX="179785" custScaleY="156543" custLinFactNeighborX="15440" custLinFactNeighborY="-1930">
        <dgm:presLayoutVars>
          <dgm:chPref val="3"/>
        </dgm:presLayoutVars>
      </dgm:prSet>
      <dgm:spPr/>
    </dgm:pt>
    <dgm:pt modelId="{F9B8AC2E-F592-413D-AC4C-AE4E1109E466}" type="pres">
      <dgm:prSet presAssocID="{300B458B-31E3-4D70-84F6-C7BE587CB187}" presName="rootConnector" presStyleLbl="node4" presStyleIdx="8" presStyleCnt="11"/>
      <dgm:spPr/>
    </dgm:pt>
    <dgm:pt modelId="{9D604E73-50A5-4F46-AEF4-81DE1DB0D284}" type="pres">
      <dgm:prSet presAssocID="{300B458B-31E3-4D70-84F6-C7BE587CB187}" presName="hierChild4" presStyleCnt="0"/>
      <dgm:spPr/>
    </dgm:pt>
    <dgm:pt modelId="{EC7AA57B-632B-43FC-875B-DAF4E2E0C049}" type="pres">
      <dgm:prSet presAssocID="{A70954CE-4E01-4BA4-A13A-EB3D2CA556C0}" presName="Name37" presStyleLbl="parChTrans1D4" presStyleIdx="13" presStyleCnt="15"/>
      <dgm:spPr/>
    </dgm:pt>
    <dgm:pt modelId="{E8334A93-4A77-4779-8CD8-4A745468F905}" type="pres">
      <dgm:prSet presAssocID="{552ECB6B-8CE9-4A51-BFEB-7449F8239D84}" presName="hierRoot2" presStyleCnt="0">
        <dgm:presLayoutVars>
          <dgm:hierBranch val="init"/>
        </dgm:presLayoutVars>
      </dgm:prSet>
      <dgm:spPr/>
    </dgm:pt>
    <dgm:pt modelId="{B51F630D-088F-4ABB-9318-6DD0665EDAFD}" type="pres">
      <dgm:prSet presAssocID="{552ECB6B-8CE9-4A51-BFEB-7449F8239D84}" presName="rootComposite" presStyleCnt="0"/>
      <dgm:spPr/>
    </dgm:pt>
    <dgm:pt modelId="{3D10997B-3F69-49A2-9A49-1E04D0051D3D}" type="pres">
      <dgm:prSet presAssocID="{552ECB6B-8CE9-4A51-BFEB-7449F8239D84}" presName="rootText" presStyleLbl="node4" presStyleIdx="9" presStyleCnt="11" custScaleX="173030" custScaleY="170541" custLinFactNeighborX="15440" custLinFactNeighborY="-1930">
        <dgm:presLayoutVars>
          <dgm:chPref val="3"/>
        </dgm:presLayoutVars>
      </dgm:prSet>
      <dgm:spPr/>
    </dgm:pt>
    <dgm:pt modelId="{9D8556B7-3600-443D-994D-E773B8F2252C}" type="pres">
      <dgm:prSet presAssocID="{552ECB6B-8CE9-4A51-BFEB-7449F8239D84}" presName="rootConnector" presStyleLbl="node4" presStyleIdx="9" presStyleCnt="11"/>
      <dgm:spPr/>
    </dgm:pt>
    <dgm:pt modelId="{671B8CF3-FBB5-4008-8E5F-A8A612DAD5CC}" type="pres">
      <dgm:prSet presAssocID="{552ECB6B-8CE9-4A51-BFEB-7449F8239D84}" presName="hierChild4" presStyleCnt="0"/>
      <dgm:spPr/>
    </dgm:pt>
    <dgm:pt modelId="{F4B7C6EC-C545-4EB6-B265-9B18F3EB89E6}" type="pres">
      <dgm:prSet presAssocID="{A3E5D4EF-0BEC-4786-8FEF-1E4D55B97052}" presName="Name37" presStyleLbl="parChTrans1D4" presStyleIdx="14" presStyleCnt="15"/>
      <dgm:spPr/>
    </dgm:pt>
    <dgm:pt modelId="{7F13E1A1-A1DE-4EFC-BC11-D39FA238186A}" type="pres">
      <dgm:prSet presAssocID="{B4F6B60A-FB16-4DE4-A153-77223D03B21D}" presName="hierRoot2" presStyleCnt="0">
        <dgm:presLayoutVars>
          <dgm:hierBranch val="init"/>
        </dgm:presLayoutVars>
      </dgm:prSet>
      <dgm:spPr/>
    </dgm:pt>
    <dgm:pt modelId="{C9CC03E3-5347-4C7A-B4DD-9009CB5873E0}" type="pres">
      <dgm:prSet presAssocID="{B4F6B60A-FB16-4DE4-A153-77223D03B21D}" presName="rootComposite" presStyleCnt="0"/>
      <dgm:spPr/>
    </dgm:pt>
    <dgm:pt modelId="{42966676-9CB8-48A0-9C10-4CC8E0BB29A8}" type="pres">
      <dgm:prSet presAssocID="{B4F6B60A-FB16-4DE4-A153-77223D03B21D}" presName="rootText" presStyleLbl="node4" presStyleIdx="10" presStyleCnt="11" custLinFactNeighborX="15923" custLinFactNeighborY="-1930">
        <dgm:presLayoutVars>
          <dgm:chPref val="3"/>
        </dgm:presLayoutVars>
      </dgm:prSet>
      <dgm:spPr/>
    </dgm:pt>
    <dgm:pt modelId="{B671F6EF-432F-4DF0-9BF4-4B0A61EA89BF}" type="pres">
      <dgm:prSet presAssocID="{B4F6B60A-FB16-4DE4-A153-77223D03B21D}" presName="rootConnector" presStyleLbl="node4" presStyleIdx="10" presStyleCnt="11"/>
      <dgm:spPr/>
    </dgm:pt>
    <dgm:pt modelId="{02EFB2E2-1B86-493A-90E6-62368B33F4DB}" type="pres">
      <dgm:prSet presAssocID="{B4F6B60A-FB16-4DE4-A153-77223D03B21D}" presName="hierChild4" presStyleCnt="0"/>
      <dgm:spPr/>
    </dgm:pt>
    <dgm:pt modelId="{8C69DE97-0B06-4FD9-8094-FC7F235341F5}" type="pres">
      <dgm:prSet presAssocID="{B4F6B60A-FB16-4DE4-A153-77223D03B21D}" presName="hierChild5" presStyleCnt="0"/>
      <dgm:spPr/>
    </dgm:pt>
    <dgm:pt modelId="{2CE67953-5E95-45E2-BBFB-4699734CCF41}" type="pres">
      <dgm:prSet presAssocID="{552ECB6B-8CE9-4A51-BFEB-7449F8239D84}" presName="hierChild5" presStyleCnt="0"/>
      <dgm:spPr/>
    </dgm:pt>
    <dgm:pt modelId="{BC24B507-0B49-4D75-B20F-337D366C2616}" type="pres">
      <dgm:prSet presAssocID="{300B458B-31E3-4D70-84F6-C7BE587CB187}" presName="hierChild5" presStyleCnt="0"/>
      <dgm:spPr/>
    </dgm:pt>
    <dgm:pt modelId="{296DAF3E-83B0-4436-9966-B643AE996F43}" type="pres">
      <dgm:prSet presAssocID="{E7E797B1-C4F5-4E0B-858C-57D3B9F4828A}" presName="hierChild5" presStyleCnt="0"/>
      <dgm:spPr/>
    </dgm:pt>
    <dgm:pt modelId="{0949C9E1-6F99-4308-BA57-A143B62EAB84}" type="pres">
      <dgm:prSet presAssocID="{1EED611F-772F-402C-A366-5E772729923E}" presName="hierChild5" presStyleCnt="0"/>
      <dgm:spPr/>
    </dgm:pt>
    <dgm:pt modelId="{CDBDA6AF-F168-4F14-881E-377C73A06E59}" type="pres">
      <dgm:prSet presAssocID="{3904B684-D811-4FAA-98ED-69AF90F8C4A4}" presName="hierChild3" presStyleCnt="0"/>
      <dgm:spPr/>
    </dgm:pt>
  </dgm:ptLst>
  <dgm:cxnLst>
    <dgm:cxn modelId="{8A0EE704-B00C-43FA-980B-33736040DC06}" type="presOf" srcId="{4567E575-9C97-484A-8DF0-C51F9C3774CF}" destId="{1E30188F-1A85-4769-94E5-DDF79B8DCAAA}" srcOrd="0" destOrd="0" presId="urn:microsoft.com/office/officeart/2005/8/layout/orgChart1"/>
    <dgm:cxn modelId="{9485280A-90F4-4CDB-A84A-35F3CB037267}" type="presOf" srcId="{036BBA54-C30F-4318-8E02-C38D689AE49F}" destId="{B3A2FCF6-BDDC-43A1-B4B4-7465EEB351F9}" srcOrd="0" destOrd="0" presId="urn:microsoft.com/office/officeart/2005/8/layout/orgChart1"/>
    <dgm:cxn modelId="{5EADCA0A-96A9-4D5D-B1BE-6EC102FFAF0B}" srcId="{E9CAD23E-388D-4F66-A915-36321F3FEFEA}" destId="{D818CA55-5845-4510-8199-51B5D4EAC96D}" srcOrd="0" destOrd="0" parTransId="{439280A1-7D3A-491D-9BCD-03F68A89A939}" sibTransId="{A7CAAC14-EE85-4149-9789-33F42DBBC4A6}"/>
    <dgm:cxn modelId="{0E61E20B-EB5C-4222-9C0D-057088DB37CD}" type="presOf" srcId="{3F2837BE-7DB0-4240-97FA-5D38AA7C0DF0}" destId="{955DF2CB-8C32-487F-8CE4-5634CE1C1457}" srcOrd="0" destOrd="0" presId="urn:microsoft.com/office/officeart/2005/8/layout/orgChart1"/>
    <dgm:cxn modelId="{5B27440C-DF4E-40C3-8907-1993630E50B2}" type="presOf" srcId="{439280A1-7D3A-491D-9BCD-03F68A89A939}" destId="{5ED4746F-DC73-46C2-B7E2-156C7C658148}" srcOrd="0" destOrd="0" presId="urn:microsoft.com/office/officeart/2005/8/layout/orgChart1"/>
    <dgm:cxn modelId="{10F51A13-EFA8-485D-A173-2F9E3F7DB38F}" type="presOf" srcId="{E7E797B1-C4F5-4E0B-858C-57D3B9F4828A}" destId="{2758924B-7C90-433C-9B33-4FF4CCFB2E95}" srcOrd="0" destOrd="0" presId="urn:microsoft.com/office/officeart/2005/8/layout/orgChart1"/>
    <dgm:cxn modelId="{C8872515-512D-4A9F-8041-9095340380F6}" type="presOf" srcId="{E9CAD23E-388D-4F66-A915-36321F3FEFEA}" destId="{9F651233-C707-483D-B969-3DD45DADA596}" srcOrd="0" destOrd="0" presId="urn:microsoft.com/office/officeart/2005/8/layout/orgChart1"/>
    <dgm:cxn modelId="{1E075F17-9724-45CA-9EED-53ADD16854B8}" srcId="{A25AF142-8B54-443F-A5C1-12DBB16C659A}" destId="{4567E575-9C97-484A-8DF0-C51F9C3774CF}" srcOrd="0" destOrd="0" parTransId="{A31182A2-12DA-42B6-BD6F-A8319CCDB153}" sibTransId="{E1E3E4C0-3405-43D9-B045-3631525755EA}"/>
    <dgm:cxn modelId="{FDE2DA17-932C-4ED4-B3F0-32ADD1CF235E}" type="presOf" srcId="{ABC47020-6CAA-443C-AD0C-3602C8B06D12}" destId="{1BEAF983-7B9E-40A4-BBB4-82D58B03A7FC}" srcOrd="0" destOrd="0" presId="urn:microsoft.com/office/officeart/2005/8/layout/orgChart1"/>
    <dgm:cxn modelId="{10EA0819-0808-4837-B380-7E7728A5B9BF}" type="presOf" srcId="{8B69620A-A656-4B78-9CDE-AEE333E1799C}" destId="{09454A95-671A-4C80-9C28-7D3E2CBB243C}" srcOrd="0" destOrd="0" presId="urn:microsoft.com/office/officeart/2005/8/layout/orgChart1"/>
    <dgm:cxn modelId="{01339D1D-F741-40A7-A11C-C91A86FF9624}" srcId="{300B458B-31E3-4D70-84F6-C7BE587CB187}" destId="{552ECB6B-8CE9-4A51-BFEB-7449F8239D84}" srcOrd="0" destOrd="0" parTransId="{A70954CE-4E01-4BA4-A13A-EB3D2CA556C0}" sibTransId="{3111121C-949A-4EB5-B4F3-01A69A25F214}"/>
    <dgm:cxn modelId="{64B4731F-943E-4688-B290-7A306FCFE823}" srcId="{3904B684-D811-4FAA-98ED-69AF90F8C4A4}" destId="{93A36F70-6CFA-4EF3-8917-CF33D892AD2B}" srcOrd="1" destOrd="0" parTransId="{DD206DED-7FC5-4EEA-8C87-BF6615CC14B0}" sibTransId="{DB2DEC31-D6D5-4E4B-B011-8EFD542E285A}"/>
    <dgm:cxn modelId="{E9C9C822-E4A4-481C-8A59-5D8ABFB60BB9}" type="presOf" srcId="{A25AF142-8B54-443F-A5C1-12DBB16C659A}" destId="{B43F6C84-4113-4E97-946D-DA27B40F06CE}" srcOrd="0" destOrd="0" presId="urn:microsoft.com/office/officeart/2005/8/layout/orgChart1"/>
    <dgm:cxn modelId="{8AD23123-68BF-40D0-A895-2CEC62A51A05}" srcId="{4567E575-9C97-484A-8DF0-C51F9C3774CF}" destId="{8B69620A-A656-4B78-9CDE-AEE333E1799C}" srcOrd="1" destOrd="0" parTransId="{BFC4F103-3852-430B-A671-64A1072073E4}" sibTransId="{183CEEE8-6FC4-40FA-83CE-AAB0DAE362C0}"/>
    <dgm:cxn modelId="{BF71F523-D38E-4B30-A45A-61702899DCB3}" srcId="{EE53CECF-0159-4A3E-9E53-59EA1EE7B945}" destId="{4CE40385-803B-4982-B1AE-C8EE08F0D3B9}" srcOrd="0" destOrd="0" parTransId="{ABC47020-6CAA-443C-AD0C-3602C8B06D12}" sibTransId="{07EB3123-AB1F-483F-A3F2-6037962EFECE}"/>
    <dgm:cxn modelId="{E37B3124-7139-4ABE-A167-BC51B568FB22}" type="presOf" srcId="{B2B51FDE-8820-49BF-9281-9D923236081D}" destId="{41CD3CAF-869A-4143-8D54-E8F9993C737A}" srcOrd="0" destOrd="0" presId="urn:microsoft.com/office/officeart/2005/8/layout/orgChart1"/>
    <dgm:cxn modelId="{F0EE9D26-E5F4-497F-A450-67193D8B63F2}" type="presOf" srcId="{E9CAD23E-388D-4F66-A915-36321F3FEFEA}" destId="{D9A5E4F9-DFC5-477D-B2F2-C92E83D40FDA}" srcOrd="1" destOrd="0" presId="urn:microsoft.com/office/officeart/2005/8/layout/orgChart1"/>
    <dgm:cxn modelId="{66C65E27-AF68-400A-B504-326D3A5E9F66}" srcId="{3F2837BE-7DB0-4240-97FA-5D38AA7C0DF0}" destId="{D853020C-DEA9-492C-A09C-8010E74E4939}" srcOrd="0" destOrd="0" parTransId="{036BBA54-C30F-4318-8E02-C38D689AE49F}" sibTransId="{13C4BAD1-5B7B-4582-B7FA-7F6D1AD7B20B}"/>
    <dgm:cxn modelId="{E5957A27-5118-4ECC-A25F-2EE39FC5B6FB}" type="presOf" srcId="{D853020C-DEA9-492C-A09C-8010E74E4939}" destId="{CFAF05B6-DE0F-4D93-8BD4-F6958633D3E3}" srcOrd="1" destOrd="0" presId="urn:microsoft.com/office/officeart/2005/8/layout/orgChart1"/>
    <dgm:cxn modelId="{6F5EA729-B680-4524-9CDB-DDB1CE3FE78D}" type="presOf" srcId="{852A8F61-115B-4B7E-9E0A-AF58AEF8AA38}" destId="{2BA76C43-EEEF-4FDD-91F6-A265D642DB48}" srcOrd="0" destOrd="0" presId="urn:microsoft.com/office/officeart/2005/8/layout/orgChart1"/>
    <dgm:cxn modelId="{947F8131-E63F-4C26-BFA3-957E012A9F1C}" srcId="{3904B684-D811-4FAA-98ED-69AF90F8C4A4}" destId="{C13E1972-9D6A-40C5-B7F1-4FA99DC39A5D}" srcOrd="0" destOrd="0" parTransId="{EE590B0F-CEBC-49C9-AEE1-2F1A44C2889E}" sibTransId="{E7F0BBED-42DD-49FB-9E83-F9817DE09AEE}"/>
    <dgm:cxn modelId="{2295D731-E7F5-4E46-9C31-10A6E0632E63}" type="presOf" srcId="{A3E5D4EF-0BEC-4786-8FEF-1E4D55B97052}" destId="{F4B7C6EC-C545-4EB6-B265-9B18F3EB89E6}" srcOrd="0" destOrd="0" presId="urn:microsoft.com/office/officeart/2005/8/layout/orgChart1"/>
    <dgm:cxn modelId="{9914F833-89E3-4510-9B2F-D9ABE4F8A6BF}" srcId="{98FB3FB6-098E-409C-AB08-6756AAEC4132}" destId="{CFC0EC99-AC4D-4B3D-A43E-FD5CF65DD5D2}" srcOrd="0" destOrd="0" parTransId="{61532884-69A1-4046-BC23-60F91B124EEF}" sibTransId="{4F61F511-184A-4BBE-A170-154EE5892B82}"/>
    <dgm:cxn modelId="{25F15236-A65B-4AC7-B3E7-33E3F546B76B}" type="presOf" srcId="{C13E1972-9D6A-40C5-B7F1-4FA99DC39A5D}" destId="{7E01BC41-DF57-4826-9773-FA381A26D3CD}" srcOrd="1" destOrd="0" presId="urn:microsoft.com/office/officeart/2005/8/layout/orgChart1"/>
    <dgm:cxn modelId="{A5520539-82A8-4544-B336-494DAFD8D287}" srcId="{E7E797B1-C4F5-4E0B-858C-57D3B9F4828A}" destId="{300B458B-31E3-4D70-84F6-C7BE587CB187}" srcOrd="0" destOrd="0" parTransId="{18BF7D01-58F2-478C-A7FB-F94DCBDB73DB}" sibTransId="{BF8CE65A-F531-4150-A37C-02258BFBF742}"/>
    <dgm:cxn modelId="{CF068E3B-81A7-4728-807B-AD1060EA513E}" type="presOf" srcId="{61532884-69A1-4046-BC23-60F91B124EEF}" destId="{4AF3245E-B283-4B3C-89B2-430FE9023603}" srcOrd="0" destOrd="0" presId="urn:microsoft.com/office/officeart/2005/8/layout/orgChart1"/>
    <dgm:cxn modelId="{A417F83E-90A1-4265-AE89-361FA8120616}" type="presOf" srcId="{FFFC5664-134A-4D10-A422-28E9F3FDC00F}" destId="{5DB911DD-B1FB-4709-B564-E88699AF4550}" srcOrd="0" destOrd="0" presId="urn:microsoft.com/office/officeart/2005/8/layout/orgChart1"/>
    <dgm:cxn modelId="{E46A465F-641A-4B5F-ABC0-0CEF1CEEEC31}" type="presOf" srcId="{552ECB6B-8CE9-4A51-BFEB-7449F8239D84}" destId="{9D8556B7-3600-443D-994D-E773B8F2252C}" srcOrd="1" destOrd="0" presId="urn:microsoft.com/office/officeart/2005/8/layout/orgChart1"/>
    <dgm:cxn modelId="{0C138743-6C4B-4854-B03B-413AEDF9398E}" srcId="{1EED611F-772F-402C-A366-5E772729923E}" destId="{E7E797B1-C4F5-4E0B-858C-57D3B9F4828A}" srcOrd="0" destOrd="0" parTransId="{852A8F61-115B-4B7E-9E0A-AF58AEF8AA38}" sibTransId="{35949696-5CEE-4029-9A54-79EDD771A38C}"/>
    <dgm:cxn modelId="{77456165-C0C9-4DC0-B25F-0E0C32881A4D}" type="presOf" srcId="{CE41F070-B7FF-4D72-9779-CADB9ECDB834}" destId="{1DC14DB0-20D9-44B1-9C0B-2CA2C56BE45F}" srcOrd="0" destOrd="0" presId="urn:microsoft.com/office/officeart/2005/8/layout/orgChart1"/>
    <dgm:cxn modelId="{BDC34965-B066-4006-AF43-3E9CA9756DB9}" srcId="{4CE40385-803B-4982-B1AE-C8EE08F0D3B9}" destId="{98FB3FB6-098E-409C-AB08-6756AAEC4132}" srcOrd="0" destOrd="0" parTransId="{184AFB3E-F66A-40C4-A790-7C77356158C1}" sibTransId="{D2259FAA-974A-434A-99D6-D7A0D60A1BED}"/>
    <dgm:cxn modelId="{78868266-26B8-4307-BC94-787239F4E516}" type="presOf" srcId="{B4F6B60A-FB16-4DE4-A153-77223D03B21D}" destId="{B671F6EF-432F-4DF0-9BF4-4B0A61EA89BF}" srcOrd="1" destOrd="0" presId="urn:microsoft.com/office/officeart/2005/8/layout/orgChart1"/>
    <dgm:cxn modelId="{4DDC8266-5DF7-4213-8AF9-021E15618375}" srcId="{4567E575-9C97-484A-8DF0-C51F9C3774CF}" destId="{B2B51FDE-8820-49BF-9281-9D923236081D}" srcOrd="2" destOrd="0" parTransId="{6B986D31-B04F-4B10-96E2-D823648C5E08}" sibTransId="{C7EAC4A5-9C95-49E8-9D23-D76581877350}"/>
    <dgm:cxn modelId="{647A906B-7FF8-4BCF-9A3B-D4FEA2EF95CC}" srcId="{3904B684-D811-4FAA-98ED-69AF90F8C4A4}" destId="{ACAD03E5-6C76-40D2-8C7B-229FD5378AF9}" srcOrd="2" destOrd="0" parTransId="{9DC5AD1F-70F0-41C6-BB2E-9D3B683019F0}" sibTransId="{A454A0FA-5C89-4E02-BA49-D76747D77E67}"/>
    <dgm:cxn modelId="{73346E6C-CB60-4A5E-85DC-83887E653EBF}" type="presOf" srcId="{ED7C2A8D-9472-4DB9-9914-7ECE2B331C8A}" destId="{14C8092E-CFA6-40D8-81FF-92F61F138120}" srcOrd="0" destOrd="0" presId="urn:microsoft.com/office/officeart/2005/8/layout/orgChart1"/>
    <dgm:cxn modelId="{2278566D-0FEC-43D6-BB75-8AB817A72B4E}" type="presOf" srcId="{300B458B-31E3-4D70-84F6-C7BE587CB187}" destId="{82F920AC-CC69-4026-98B0-16821603935B}" srcOrd="0" destOrd="0" presId="urn:microsoft.com/office/officeart/2005/8/layout/orgChart1"/>
    <dgm:cxn modelId="{F9A6514E-1F88-4A90-990C-C408C65E5ECA}" type="presOf" srcId="{023DD625-57B2-40B2-B13D-32B6473BCECB}" destId="{61FC1A42-56AD-4E0E-86E6-2F586F4316D9}" srcOrd="0" destOrd="0" presId="urn:microsoft.com/office/officeart/2005/8/layout/orgChart1"/>
    <dgm:cxn modelId="{5CCB4874-94B7-4AB6-B2AD-C4C3B7BC925E}" type="presOf" srcId="{3C05564B-8AA3-456F-9C11-A63FD39E0DEB}" destId="{B11EC0E0-1D04-4C22-B029-3C6F2288A749}" srcOrd="0" destOrd="0" presId="urn:microsoft.com/office/officeart/2005/8/layout/orgChart1"/>
    <dgm:cxn modelId="{8EE36A77-5F6F-4659-82F4-8F2756168472}" type="presOf" srcId="{ACAD03E5-6C76-40D2-8C7B-229FD5378AF9}" destId="{FF0C1041-3395-46E3-905D-0CC0094881D7}" srcOrd="0" destOrd="0" presId="urn:microsoft.com/office/officeart/2005/8/layout/orgChart1"/>
    <dgm:cxn modelId="{C8E5CD78-3594-4366-9A9A-85C764185CD1}" type="presOf" srcId="{6B986D31-B04F-4B10-96E2-D823648C5E08}" destId="{5EA843BC-97FE-44F8-A265-EE8DA92E767E}" srcOrd="0" destOrd="0" presId="urn:microsoft.com/office/officeart/2005/8/layout/orgChart1"/>
    <dgm:cxn modelId="{4A96F558-7DEA-4E4D-B9A5-F992DE500A24}" type="presOf" srcId="{8B69620A-A656-4B78-9CDE-AEE333E1799C}" destId="{A3A58C25-3122-4773-89F0-3F25C9AB9EE1}" srcOrd="1" destOrd="0" presId="urn:microsoft.com/office/officeart/2005/8/layout/orgChart1"/>
    <dgm:cxn modelId="{2181B27A-73E9-4B1A-895E-57331941C795}" type="presOf" srcId="{4CE40385-803B-4982-B1AE-C8EE08F0D3B9}" destId="{B495E6C4-9AF9-4CDB-9A94-D97267DB5B6B}" srcOrd="1" destOrd="0" presId="urn:microsoft.com/office/officeart/2005/8/layout/orgChart1"/>
    <dgm:cxn modelId="{B5EFAD7E-1113-4FE2-9CC6-7CF6FCF9A67E}" type="presOf" srcId="{93A36F70-6CFA-4EF3-8917-CF33D892AD2B}" destId="{692147EF-7C3D-47F2-9967-73AF7803245F}" srcOrd="1" destOrd="0" presId="urn:microsoft.com/office/officeart/2005/8/layout/orgChart1"/>
    <dgm:cxn modelId="{8C22AF7E-F03D-48AF-87D5-5BFF63BF95D3}" type="presOf" srcId="{E39F7463-6002-4D3B-A7BD-ED8DE0E9B226}" destId="{D103B1F7-818D-4F28-93E5-D38FA8F95EAF}" srcOrd="1" destOrd="0" presId="urn:microsoft.com/office/officeart/2005/8/layout/orgChart1"/>
    <dgm:cxn modelId="{EEB9177F-39C2-41E5-B29C-8C5F221403E5}" type="presOf" srcId="{ED763B38-1452-435A-831E-0529E51E153D}" destId="{2C5481D4-6F0F-4826-AAA2-34E9624D1255}" srcOrd="0" destOrd="0" presId="urn:microsoft.com/office/officeart/2005/8/layout/orgChart1"/>
    <dgm:cxn modelId="{5358EB7F-9911-4B91-8135-27688C3FD9B9}" type="presOf" srcId="{AB4027A1-9C9E-42F6-8317-3DA6D571312E}" destId="{4A2760D8-9B56-49DD-9AD7-318D5FEEDDE7}" srcOrd="0" destOrd="0" presId="urn:microsoft.com/office/officeart/2005/8/layout/orgChart1"/>
    <dgm:cxn modelId="{048B1C81-2A83-42D6-BD42-A36D95EEB675}" type="presOf" srcId="{A25AF142-8B54-443F-A5C1-12DBB16C659A}" destId="{E2B14B52-158B-4517-8B41-3B7059D68FF1}" srcOrd="1" destOrd="0" presId="urn:microsoft.com/office/officeart/2005/8/layout/orgChart1"/>
    <dgm:cxn modelId="{D2343B89-A178-446C-B63F-E1D0B78DE223}" type="presOf" srcId="{EDB4A9DC-5AA0-4408-9D2B-D63AF214E988}" destId="{91646669-AE80-408C-BCDD-30310E260EA9}" srcOrd="1" destOrd="0" presId="urn:microsoft.com/office/officeart/2005/8/layout/orgChart1"/>
    <dgm:cxn modelId="{A7E8118B-B3C9-434A-A270-89CF22B527F6}" type="presOf" srcId="{3904B684-D811-4FAA-98ED-69AF90F8C4A4}" destId="{2F326E7E-C25C-417F-9084-225ACF9DFC5B}" srcOrd="1" destOrd="0" presId="urn:microsoft.com/office/officeart/2005/8/layout/orgChart1"/>
    <dgm:cxn modelId="{EEC15C8E-E7CB-4B65-B2C9-64907A872686}" type="presOf" srcId="{9DC5AD1F-70F0-41C6-BB2E-9D3B683019F0}" destId="{F8F878DE-3698-49C4-866C-9D6D49B690BF}" srcOrd="0" destOrd="0" presId="urn:microsoft.com/office/officeart/2005/8/layout/orgChart1"/>
    <dgm:cxn modelId="{D1F1848E-6E3B-43DB-AC67-CBEE812E799A}" type="presOf" srcId="{CFC0EC99-AC4D-4B3D-A43E-FD5CF65DD5D2}" destId="{2FBB06AF-45C3-4528-A95E-9597A5AECCF5}" srcOrd="0" destOrd="0" presId="urn:microsoft.com/office/officeart/2005/8/layout/orgChart1"/>
    <dgm:cxn modelId="{3F3C1E8F-A95F-4C40-BCA3-CA05BB15A842}" type="presOf" srcId="{4567E575-9C97-484A-8DF0-C51F9C3774CF}" destId="{C1D61C69-C2CA-47EA-9680-6E5EC6D892E8}" srcOrd="1" destOrd="0" presId="urn:microsoft.com/office/officeart/2005/8/layout/orgChart1"/>
    <dgm:cxn modelId="{13C99895-A060-40AD-9CF3-3D87A6280523}" type="presOf" srcId="{EE53CECF-0159-4A3E-9E53-59EA1EE7B945}" destId="{23DF4E2F-37E1-454D-889D-93E1EAE0BFD4}" srcOrd="1" destOrd="0" presId="urn:microsoft.com/office/officeart/2005/8/layout/orgChart1"/>
    <dgm:cxn modelId="{D36E0598-F316-417E-93E6-F85011D3DF6B}" type="presOf" srcId="{98FB3FB6-098E-409C-AB08-6756AAEC4132}" destId="{29C4EAF3-77D0-4D55-A82F-6D1A0F14EA49}" srcOrd="1" destOrd="0" presId="urn:microsoft.com/office/officeart/2005/8/layout/orgChart1"/>
    <dgm:cxn modelId="{8795B89C-8B45-4572-83ED-A652F845ECC1}" type="presOf" srcId="{4CE40385-803B-4982-B1AE-C8EE08F0D3B9}" destId="{3B4922AD-AF1A-435F-A951-BC076C1DAA8B}" srcOrd="0" destOrd="0" presId="urn:microsoft.com/office/officeart/2005/8/layout/orgChart1"/>
    <dgm:cxn modelId="{4F56FF9F-6F1D-4012-9ADE-93201E651FA4}" type="presOf" srcId="{EE590B0F-CEBC-49C9-AEE1-2F1A44C2889E}" destId="{E5C47380-3A60-4F1D-B3D0-9479EAA5CE27}" srcOrd="0" destOrd="0" presId="urn:microsoft.com/office/officeart/2005/8/layout/orgChart1"/>
    <dgm:cxn modelId="{D9F1ADA2-7478-408D-A578-3BCBA13CCAC1}" type="presOf" srcId="{C13E1972-9D6A-40C5-B7F1-4FA99DC39A5D}" destId="{6C4E4D41-488F-4AF9-84E4-3A3C4A0286AC}" srcOrd="0" destOrd="0" presId="urn:microsoft.com/office/officeart/2005/8/layout/orgChart1"/>
    <dgm:cxn modelId="{5CF5DAA5-5F96-4215-BE2D-70FACC96E1CD}" type="presOf" srcId="{98FB3FB6-098E-409C-AB08-6756AAEC4132}" destId="{FF715FA8-AED8-4B5E-9BCD-81C3AA535045}" srcOrd="0" destOrd="0" presId="urn:microsoft.com/office/officeart/2005/8/layout/orgChart1"/>
    <dgm:cxn modelId="{65E7B6A6-A4AE-44C2-89C7-59824AC11663}" type="presOf" srcId="{93A36F70-6CFA-4EF3-8917-CF33D892AD2B}" destId="{BE4DAEA6-7F22-4DC7-81FD-88D797CCE989}" srcOrd="0" destOrd="0" presId="urn:microsoft.com/office/officeart/2005/8/layout/orgChart1"/>
    <dgm:cxn modelId="{54ECC7A7-A90F-4DA0-8459-EEB42A1E9362}" type="presOf" srcId="{B4F6B60A-FB16-4DE4-A153-77223D03B21D}" destId="{42966676-9CB8-48A0-9C10-4CC8E0BB29A8}" srcOrd="0" destOrd="0" presId="urn:microsoft.com/office/officeart/2005/8/layout/orgChart1"/>
    <dgm:cxn modelId="{B1062FA8-5623-4103-B867-7564B9CA69B4}" srcId="{D853020C-DEA9-492C-A09C-8010E74E4939}" destId="{E9CAD23E-388D-4F66-A915-36321F3FEFEA}" srcOrd="0" destOrd="0" parTransId="{FFFC5664-134A-4D10-A422-28E9F3FDC00F}" sibTransId="{6F33328E-DE99-420F-A043-A0EC0D33543D}"/>
    <dgm:cxn modelId="{7CC120AA-34B3-4347-B410-E05421C6B849}" type="presOf" srcId="{EE53CECF-0159-4A3E-9E53-59EA1EE7B945}" destId="{ECBA8F24-1EF8-4051-AA71-F1DB379438BE}" srcOrd="0" destOrd="0" presId="urn:microsoft.com/office/officeart/2005/8/layout/orgChart1"/>
    <dgm:cxn modelId="{A8B716AB-0BC0-440D-ACB0-78F34FEEA5ED}" type="presOf" srcId="{BFC4F103-3852-430B-A671-64A1072073E4}" destId="{DC4F5861-2185-44EA-B89B-B5E500A9127C}" srcOrd="0" destOrd="0" presId="urn:microsoft.com/office/officeart/2005/8/layout/orgChart1"/>
    <dgm:cxn modelId="{F6CC5EAC-22E6-42DC-A2D1-2DCCDE519489}" srcId="{AB4027A1-9C9E-42F6-8317-3DA6D571312E}" destId="{3904B684-D811-4FAA-98ED-69AF90F8C4A4}" srcOrd="0" destOrd="0" parTransId="{4B12A093-9B39-4C88-B894-F80BC799F723}" sibTransId="{D07CB52D-1753-44D3-99EC-4887A2D85D4C}"/>
    <dgm:cxn modelId="{F31BDFAD-1C49-4164-854B-9941CC4A1A45}" type="presOf" srcId="{300B458B-31E3-4D70-84F6-C7BE587CB187}" destId="{F9B8AC2E-F592-413D-AC4C-AE4E1109E466}" srcOrd="1" destOrd="0" presId="urn:microsoft.com/office/officeart/2005/8/layout/orgChart1"/>
    <dgm:cxn modelId="{91222AB0-E922-4ED9-B5AF-900ABA824865}" type="presOf" srcId="{EDB4A9DC-5AA0-4408-9D2B-D63AF214E988}" destId="{5529491B-720D-4D25-B71F-9EAEA7D8881F}" srcOrd="0" destOrd="0" presId="urn:microsoft.com/office/officeart/2005/8/layout/orgChart1"/>
    <dgm:cxn modelId="{B6578DB0-A5CF-4A08-B109-5D2844882950}" srcId="{3904B684-D811-4FAA-98ED-69AF90F8C4A4}" destId="{1EED611F-772F-402C-A366-5E772729923E}" srcOrd="3" destOrd="0" parTransId="{ED7C2A8D-9472-4DB9-9914-7ECE2B331C8A}" sibTransId="{DD860143-598C-461D-A9C8-9E7900E3A9B5}"/>
    <dgm:cxn modelId="{C996BFB1-5CE3-468C-A48D-97CDE3FB08B1}" type="presOf" srcId="{0DF2453D-B88C-4476-9906-984FFEE8D9D1}" destId="{678DBBD1-C51E-440A-B9CB-F81E3FE4C94C}" srcOrd="0" destOrd="0" presId="urn:microsoft.com/office/officeart/2005/8/layout/orgChart1"/>
    <dgm:cxn modelId="{F34AFEBA-CA8C-462E-8484-74F5C6D0AE71}" srcId="{4567E575-9C97-484A-8DF0-C51F9C3774CF}" destId="{E39F7463-6002-4D3B-A7BD-ED8DE0E9B226}" srcOrd="0" destOrd="0" parTransId="{E13C9B25-6F2E-4124-931F-53FC6D8E6E90}" sibTransId="{5841CC95-1F8B-438D-87E3-87B3C38CD2E8}"/>
    <dgm:cxn modelId="{05E309BB-0FCE-4872-A3F2-969E07A18B6D}" type="presOf" srcId="{E7E797B1-C4F5-4E0B-858C-57D3B9F4828A}" destId="{7A377D50-BE0E-4848-97D4-62A612BFD46B}" srcOrd="1" destOrd="0" presId="urn:microsoft.com/office/officeart/2005/8/layout/orgChart1"/>
    <dgm:cxn modelId="{11297CBB-DC4D-47B9-B6F4-896ABB5B684B}" type="presOf" srcId="{18BF7D01-58F2-478C-A7FB-F94DCBDB73DB}" destId="{73F6ED98-7BDE-4DFD-8630-C308EA9783A1}" srcOrd="0" destOrd="0" presId="urn:microsoft.com/office/officeart/2005/8/layout/orgChart1"/>
    <dgm:cxn modelId="{B0F78CBB-5F31-4907-AC85-EDB8523722DE}" srcId="{93A36F70-6CFA-4EF3-8917-CF33D892AD2B}" destId="{3F2837BE-7DB0-4240-97FA-5D38AA7C0DF0}" srcOrd="0" destOrd="0" parTransId="{ED763B38-1452-435A-831E-0529E51E153D}" sibTransId="{F4040F99-2ADB-40A5-89A2-1A3E4D3DC040}"/>
    <dgm:cxn modelId="{996C52BD-0A57-4D1C-AE16-240A29B74554}" srcId="{C13E1972-9D6A-40C5-B7F1-4FA99DC39A5D}" destId="{EE53CECF-0159-4A3E-9E53-59EA1EE7B945}" srcOrd="0" destOrd="0" parTransId="{0DF2453D-B88C-4476-9906-984FFEE8D9D1}" sibTransId="{92FD7813-3965-4897-836E-5AFC79B88304}"/>
    <dgm:cxn modelId="{26B79DBD-3306-4144-A41D-DE115B974952}" type="presOf" srcId="{DD206DED-7FC5-4EEA-8C87-BF6615CC14B0}" destId="{8DAFCA34-1B87-41BB-AB9C-8C899E4C438D}" srcOrd="0" destOrd="0" presId="urn:microsoft.com/office/officeart/2005/8/layout/orgChart1"/>
    <dgm:cxn modelId="{D89B0EBE-7E76-463E-BB0F-1715EC345AD5}" type="presOf" srcId="{E13C9B25-6F2E-4124-931F-53FC6D8E6E90}" destId="{5F28BDBD-CA0F-4B75-945E-AAD0CA47F8F8}" srcOrd="0" destOrd="0" presId="urn:microsoft.com/office/officeart/2005/8/layout/orgChart1"/>
    <dgm:cxn modelId="{06877DBF-8BF0-4FB2-8DBF-37D6C5D8EFE0}" type="presOf" srcId="{552ECB6B-8CE9-4A51-BFEB-7449F8239D84}" destId="{3D10997B-3F69-49A2-9A49-1E04D0051D3D}" srcOrd="0" destOrd="0" presId="urn:microsoft.com/office/officeart/2005/8/layout/orgChart1"/>
    <dgm:cxn modelId="{70BA05C2-7D7F-46B6-AB06-2CE7C8FD562D}" type="presOf" srcId="{ACAD03E5-6C76-40D2-8C7B-229FD5378AF9}" destId="{5031D92B-3977-49E6-8FF5-A4B3BF7D427B}" srcOrd="1" destOrd="0" presId="urn:microsoft.com/office/officeart/2005/8/layout/orgChart1"/>
    <dgm:cxn modelId="{52A398C4-2628-4C63-B807-FFE3B36E26FD}" type="presOf" srcId="{1EED611F-772F-402C-A366-5E772729923E}" destId="{D6D9F8CC-664D-47BC-B3DA-866929BF4661}" srcOrd="1" destOrd="0" presId="urn:microsoft.com/office/officeart/2005/8/layout/orgChart1"/>
    <dgm:cxn modelId="{E73DC9C5-1D0D-4A48-AFED-7851B884C8EF}" type="presOf" srcId="{D818CA55-5845-4510-8199-51B5D4EAC96D}" destId="{F40D34D8-021A-4483-AE5D-5B75445580C1}" srcOrd="1" destOrd="0" presId="urn:microsoft.com/office/officeart/2005/8/layout/orgChart1"/>
    <dgm:cxn modelId="{AA093BCA-C47C-4975-B6D7-47D27AA20D3B}" type="presOf" srcId="{CFC0EC99-AC4D-4B3D-A43E-FD5CF65DD5D2}" destId="{DFA67A23-87B1-4D69-AE96-6448EE96E4AD}" srcOrd="1" destOrd="0" presId="urn:microsoft.com/office/officeart/2005/8/layout/orgChart1"/>
    <dgm:cxn modelId="{B99CEECD-FA91-477D-9523-C81154245E6A}" srcId="{552ECB6B-8CE9-4A51-BFEB-7449F8239D84}" destId="{B4F6B60A-FB16-4DE4-A153-77223D03B21D}" srcOrd="0" destOrd="0" parTransId="{A3E5D4EF-0BEC-4786-8FEF-1E4D55B97052}" sibTransId="{E78E40EE-1D29-42F8-8372-4C042208DF96}"/>
    <dgm:cxn modelId="{9795ACD0-42F3-4740-9042-56B44849B442}" srcId="{ACAD03E5-6C76-40D2-8C7B-229FD5378AF9}" destId="{CE41F070-B7FF-4D72-9779-CADB9ECDB834}" srcOrd="0" destOrd="0" parTransId="{A6194704-638D-4E5B-BE58-520635DD1E10}" sibTransId="{BF114016-A804-4749-AFB9-3F7F22FD8CAE}"/>
    <dgm:cxn modelId="{69C19AD4-B532-49D5-8606-E309BE2AC2F9}" type="presOf" srcId="{A70954CE-4E01-4BA4-A13A-EB3D2CA556C0}" destId="{EC7AA57B-632B-43FC-875B-DAF4E2E0C049}" srcOrd="0" destOrd="0" presId="urn:microsoft.com/office/officeart/2005/8/layout/orgChart1"/>
    <dgm:cxn modelId="{474237D6-86EB-47B6-8526-B7F5F8D3FA4A}" type="presOf" srcId="{D853020C-DEA9-492C-A09C-8010E74E4939}" destId="{3CCA5876-8A27-4F35-AD95-6BF0D45B8EAB}" srcOrd="0" destOrd="0" presId="urn:microsoft.com/office/officeart/2005/8/layout/orgChart1"/>
    <dgm:cxn modelId="{7D2BA6DC-0D8C-4FB8-8044-5023BD2CD7EC}" type="presOf" srcId="{3904B684-D811-4FAA-98ED-69AF90F8C4A4}" destId="{4A2EABBF-349B-49C0-A0CB-41719314F2B5}" srcOrd="0" destOrd="0" presId="urn:microsoft.com/office/officeart/2005/8/layout/orgChart1"/>
    <dgm:cxn modelId="{6D94B3E2-0BA9-41AD-9332-03A0388C02F6}" type="presOf" srcId="{3F2837BE-7DB0-4240-97FA-5D38AA7C0DF0}" destId="{55201589-E569-4CAD-AC99-0497FCF263F6}" srcOrd="1" destOrd="0" presId="urn:microsoft.com/office/officeart/2005/8/layout/orgChart1"/>
    <dgm:cxn modelId="{2FFAB6E3-B1BE-4BC2-87B0-C832240C0407}" type="presOf" srcId="{CE41F070-B7FF-4D72-9779-CADB9ECDB834}" destId="{792FC1BD-339C-4C4A-AFFA-7E962E8BE8B1}" srcOrd="1" destOrd="0" presId="urn:microsoft.com/office/officeart/2005/8/layout/orgChart1"/>
    <dgm:cxn modelId="{7F8DB1E4-8197-4158-9DC6-E17117FAC83D}" type="presOf" srcId="{A6194704-638D-4E5B-BE58-520635DD1E10}" destId="{BF6D23CB-7F33-40BA-8290-9FE411A93557}" srcOrd="0" destOrd="0" presId="urn:microsoft.com/office/officeart/2005/8/layout/orgChart1"/>
    <dgm:cxn modelId="{548B5AE8-4EC4-4589-85E6-4DC339985CDB}" type="presOf" srcId="{B2B51FDE-8820-49BF-9281-9D923236081D}" destId="{1B66D78D-9E10-4CC9-BB30-C0917FB6CA0C}" srcOrd="1" destOrd="0" presId="urn:microsoft.com/office/officeart/2005/8/layout/orgChart1"/>
    <dgm:cxn modelId="{FBB453F0-5265-481B-BB92-A93DDE47318B}" srcId="{CE41F070-B7FF-4D72-9779-CADB9ECDB834}" destId="{A25AF142-8B54-443F-A5C1-12DBB16C659A}" srcOrd="0" destOrd="0" parTransId="{3C05564B-8AA3-456F-9C11-A63FD39E0DEB}" sibTransId="{413F5B99-485C-4889-B72C-6C5BFE363A64}"/>
    <dgm:cxn modelId="{93F062F2-6B37-4899-8D69-7C665D022FD0}" type="presOf" srcId="{D818CA55-5845-4510-8199-51B5D4EAC96D}" destId="{43D5122B-5DCF-4B51-8333-74EDBD2CC2AE}" srcOrd="0" destOrd="0" presId="urn:microsoft.com/office/officeart/2005/8/layout/orgChart1"/>
    <dgm:cxn modelId="{95C1D5F5-B647-41FF-9BEF-F6B0534DF3D4}" srcId="{98FB3FB6-098E-409C-AB08-6756AAEC4132}" destId="{EDB4A9DC-5AA0-4408-9D2B-D63AF214E988}" srcOrd="1" destOrd="0" parTransId="{023DD625-57B2-40B2-B13D-32B6473BCECB}" sibTransId="{545080D2-5A4F-4019-A50B-A26BB0665E95}"/>
    <dgm:cxn modelId="{26B636F7-C231-4B7F-8F56-5C4AAEFEF65A}" type="presOf" srcId="{184AFB3E-F66A-40C4-A790-7C77356158C1}" destId="{297EE16D-B6D7-418B-BEC4-9193E9CA3C43}" srcOrd="0" destOrd="0" presId="urn:microsoft.com/office/officeart/2005/8/layout/orgChart1"/>
    <dgm:cxn modelId="{B00035FA-7767-4D7E-914F-0BC3BF6AA3CF}" type="presOf" srcId="{A31182A2-12DA-42B6-BD6F-A8319CCDB153}" destId="{38AA9563-A215-42CF-B8D1-2BE905529BCA}" srcOrd="0" destOrd="0" presId="urn:microsoft.com/office/officeart/2005/8/layout/orgChart1"/>
    <dgm:cxn modelId="{101EF8FD-C08E-48B7-AD74-95F1D9BBAA16}" type="presOf" srcId="{1EED611F-772F-402C-A366-5E772729923E}" destId="{C451E644-60DC-447A-91DE-158BF7A48365}" srcOrd="0" destOrd="0" presId="urn:microsoft.com/office/officeart/2005/8/layout/orgChart1"/>
    <dgm:cxn modelId="{D0D0ABFE-47DD-4D87-8C84-D66F57508B00}" type="presOf" srcId="{E39F7463-6002-4D3B-A7BD-ED8DE0E9B226}" destId="{9E998914-DB82-4E0B-956F-1C1C1D6045EE}" srcOrd="0" destOrd="0" presId="urn:microsoft.com/office/officeart/2005/8/layout/orgChart1"/>
    <dgm:cxn modelId="{D1FA8106-5F32-446C-B454-C37BBF1B032A}" type="presParOf" srcId="{4A2760D8-9B56-49DD-9AD7-318D5FEEDDE7}" destId="{5D82D2DE-D175-4965-A60D-6567861517E8}" srcOrd="0" destOrd="0" presId="urn:microsoft.com/office/officeart/2005/8/layout/orgChart1"/>
    <dgm:cxn modelId="{E8F360BB-FFC1-477C-951E-E08C28EDC551}" type="presParOf" srcId="{5D82D2DE-D175-4965-A60D-6567861517E8}" destId="{AD4E8450-F3F1-4B5F-A7CB-16FBCBB6FF7A}" srcOrd="0" destOrd="0" presId="urn:microsoft.com/office/officeart/2005/8/layout/orgChart1"/>
    <dgm:cxn modelId="{6C424707-4C03-44B5-A47C-907AB3D6D055}" type="presParOf" srcId="{AD4E8450-F3F1-4B5F-A7CB-16FBCBB6FF7A}" destId="{4A2EABBF-349B-49C0-A0CB-41719314F2B5}" srcOrd="0" destOrd="0" presId="urn:microsoft.com/office/officeart/2005/8/layout/orgChart1"/>
    <dgm:cxn modelId="{60A7D9E7-BA3B-4350-8C40-3276C9F2DC95}" type="presParOf" srcId="{AD4E8450-F3F1-4B5F-A7CB-16FBCBB6FF7A}" destId="{2F326E7E-C25C-417F-9084-225ACF9DFC5B}" srcOrd="1" destOrd="0" presId="urn:microsoft.com/office/officeart/2005/8/layout/orgChart1"/>
    <dgm:cxn modelId="{F84F1A41-DC7D-4E9D-A40E-A16E1EFB7E74}" type="presParOf" srcId="{5D82D2DE-D175-4965-A60D-6567861517E8}" destId="{1290AF74-D520-4D33-8E37-15C73193D36E}" srcOrd="1" destOrd="0" presId="urn:microsoft.com/office/officeart/2005/8/layout/orgChart1"/>
    <dgm:cxn modelId="{AEB6547F-FA19-4BD9-BB3D-AD20491E58B9}" type="presParOf" srcId="{1290AF74-D520-4D33-8E37-15C73193D36E}" destId="{E5C47380-3A60-4F1D-B3D0-9479EAA5CE27}" srcOrd="0" destOrd="0" presId="urn:microsoft.com/office/officeart/2005/8/layout/orgChart1"/>
    <dgm:cxn modelId="{31A72C91-3CEA-4509-A67E-9C093769C44E}" type="presParOf" srcId="{1290AF74-D520-4D33-8E37-15C73193D36E}" destId="{86104B34-337E-45A2-8C55-8596FBE94084}" srcOrd="1" destOrd="0" presId="urn:microsoft.com/office/officeart/2005/8/layout/orgChart1"/>
    <dgm:cxn modelId="{A8418B9D-8D03-4EDD-AC81-CF3ABCE751E9}" type="presParOf" srcId="{86104B34-337E-45A2-8C55-8596FBE94084}" destId="{E4B96B6D-FDFF-4CF1-8926-9BCACCD299BD}" srcOrd="0" destOrd="0" presId="urn:microsoft.com/office/officeart/2005/8/layout/orgChart1"/>
    <dgm:cxn modelId="{427F91B1-25BA-484F-ACD8-603E68E3284A}" type="presParOf" srcId="{E4B96B6D-FDFF-4CF1-8926-9BCACCD299BD}" destId="{6C4E4D41-488F-4AF9-84E4-3A3C4A0286AC}" srcOrd="0" destOrd="0" presId="urn:microsoft.com/office/officeart/2005/8/layout/orgChart1"/>
    <dgm:cxn modelId="{B5C70A28-6A1C-45D9-BBDB-201F6A970AB3}" type="presParOf" srcId="{E4B96B6D-FDFF-4CF1-8926-9BCACCD299BD}" destId="{7E01BC41-DF57-4826-9773-FA381A26D3CD}" srcOrd="1" destOrd="0" presId="urn:microsoft.com/office/officeart/2005/8/layout/orgChart1"/>
    <dgm:cxn modelId="{D27692D4-14E6-4915-8857-9833F5C740A1}" type="presParOf" srcId="{86104B34-337E-45A2-8C55-8596FBE94084}" destId="{D62E362A-CB2E-4981-BC21-A427F81B903C}" srcOrd="1" destOrd="0" presId="urn:microsoft.com/office/officeart/2005/8/layout/orgChart1"/>
    <dgm:cxn modelId="{FE7F9A86-7082-4165-9044-A53EF1D1C5B1}" type="presParOf" srcId="{D62E362A-CB2E-4981-BC21-A427F81B903C}" destId="{678DBBD1-C51E-440A-B9CB-F81E3FE4C94C}" srcOrd="0" destOrd="0" presId="urn:microsoft.com/office/officeart/2005/8/layout/orgChart1"/>
    <dgm:cxn modelId="{27A39A7A-6665-47BF-BCF0-73A33251C36A}" type="presParOf" srcId="{D62E362A-CB2E-4981-BC21-A427F81B903C}" destId="{0C5492E7-1093-41BE-A1BB-DB359106D806}" srcOrd="1" destOrd="0" presId="urn:microsoft.com/office/officeart/2005/8/layout/orgChart1"/>
    <dgm:cxn modelId="{9144192C-3548-42EF-8801-FC5F219F945A}" type="presParOf" srcId="{0C5492E7-1093-41BE-A1BB-DB359106D806}" destId="{9658DA5D-F7C9-40AA-ABE8-FA1B251A1F30}" srcOrd="0" destOrd="0" presId="urn:microsoft.com/office/officeart/2005/8/layout/orgChart1"/>
    <dgm:cxn modelId="{C6FBBA0A-5D81-4C14-8D0E-529BBDE068CC}" type="presParOf" srcId="{9658DA5D-F7C9-40AA-ABE8-FA1B251A1F30}" destId="{ECBA8F24-1EF8-4051-AA71-F1DB379438BE}" srcOrd="0" destOrd="0" presId="urn:microsoft.com/office/officeart/2005/8/layout/orgChart1"/>
    <dgm:cxn modelId="{70A90D89-78F7-4138-BC2F-0DE002E4B240}" type="presParOf" srcId="{9658DA5D-F7C9-40AA-ABE8-FA1B251A1F30}" destId="{23DF4E2F-37E1-454D-889D-93E1EAE0BFD4}" srcOrd="1" destOrd="0" presId="urn:microsoft.com/office/officeart/2005/8/layout/orgChart1"/>
    <dgm:cxn modelId="{D824DFE4-B796-4BDC-B036-ECCF88FE3981}" type="presParOf" srcId="{0C5492E7-1093-41BE-A1BB-DB359106D806}" destId="{BB4694F3-569A-47ED-92F9-64284772EEC0}" srcOrd="1" destOrd="0" presId="urn:microsoft.com/office/officeart/2005/8/layout/orgChart1"/>
    <dgm:cxn modelId="{1FCB1449-09B2-4536-BCD0-0FF6CA15DC9A}" type="presParOf" srcId="{BB4694F3-569A-47ED-92F9-64284772EEC0}" destId="{1BEAF983-7B9E-40A4-BBB4-82D58B03A7FC}" srcOrd="0" destOrd="0" presId="urn:microsoft.com/office/officeart/2005/8/layout/orgChart1"/>
    <dgm:cxn modelId="{271FEDBE-D126-4BC5-ACB6-3CCE5DD6DDEC}" type="presParOf" srcId="{BB4694F3-569A-47ED-92F9-64284772EEC0}" destId="{E2B2AB06-036F-44D2-A54C-B59CBAFDE391}" srcOrd="1" destOrd="0" presId="urn:microsoft.com/office/officeart/2005/8/layout/orgChart1"/>
    <dgm:cxn modelId="{C8FF8008-2300-45E6-8DB6-7F23F6E785B2}" type="presParOf" srcId="{E2B2AB06-036F-44D2-A54C-B59CBAFDE391}" destId="{939305A0-7258-48F2-AF1B-714CBCF68F0B}" srcOrd="0" destOrd="0" presId="urn:microsoft.com/office/officeart/2005/8/layout/orgChart1"/>
    <dgm:cxn modelId="{AE18EEF6-0704-48E5-850A-A9BB808A7749}" type="presParOf" srcId="{939305A0-7258-48F2-AF1B-714CBCF68F0B}" destId="{3B4922AD-AF1A-435F-A951-BC076C1DAA8B}" srcOrd="0" destOrd="0" presId="urn:microsoft.com/office/officeart/2005/8/layout/orgChart1"/>
    <dgm:cxn modelId="{AF726535-8260-4A4C-9412-6DC2F82ACA4B}" type="presParOf" srcId="{939305A0-7258-48F2-AF1B-714CBCF68F0B}" destId="{B495E6C4-9AF9-4CDB-9A94-D97267DB5B6B}" srcOrd="1" destOrd="0" presId="urn:microsoft.com/office/officeart/2005/8/layout/orgChart1"/>
    <dgm:cxn modelId="{ECB7B451-E214-46CB-A2FB-912470C79582}" type="presParOf" srcId="{E2B2AB06-036F-44D2-A54C-B59CBAFDE391}" destId="{8C036D6A-E9B7-4B74-91D7-92E92AC37781}" srcOrd="1" destOrd="0" presId="urn:microsoft.com/office/officeart/2005/8/layout/orgChart1"/>
    <dgm:cxn modelId="{6B4C1C20-E3B7-4080-B159-461E7AF020BB}" type="presParOf" srcId="{8C036D6A-E9B7-4B74-91D7-92E92AC37781}" destId="{297EE16D-B6D7-418B-BEC4-9193E9CA3C43}" srcOrd="0" destOrd="0" presId="urn:microsoft.com/office/officeart/2005/8/layout/orgChart1"/>
    <dgm:cxn modelId="{20C88316-23CA-4053-8B1A-6D95E66986C8}" type="presParOf" srcId="{8C036D6A-E9B7-4B74-91D7-92E92AC37781}" destId="{E41EFFCE-7FBE-494C-961B-314467F8B6D2}" srcOrd="1" destOrd="0" presId="urn:microsoft.com/office/officeart/2005/8/layout/orgChart1"/>
    <dgm:cxn modelId="{3745196C-EEC7-4BE0-B478-03338A582443}" type="presParOf" srcId="{E41EFFCE-7FBE-494C-961B-314467F8B6D2}" destId="{1D4D2426-1477-4F9F-B1B5-6ADF8B70FC6E}" srcOrd="0" destOrd="0" presId="urn:microsoft.com/office/officeart/2005/8/layout/orgChart1"/>
    <dgm:cxn modelId="{ADAB2425-526F-4425-A785-E051FF2CCCB1}" type="presParOf" srcId="{1D4D2426-1477-4F9F-B1B5-6ADF8B70FC6E}" destId="{FF715FA8-AED8-4B5E-9BCD-81C3AA535045}" srcOrd="0" destOrd="0" presId="urn:microsoft.com/office/officeart/2005/8/layout/orgChart1"/>
    <dgm:cxn modelId="{AD198691-C5A0-45AA-BBBC-BCD519401162}" type="presParOf" srcId="{1D4D2426-1477-4F9F-B1B5-6ADF8B70FC6E}" destId="{29C4EAF3-77D0-4D55-A82F-6D1A0F14EA49}" srcOrd="1" destOrd="0" presId="urn:microsoft.com/office/officeart/2005/8/layout/orgChart1"/>
    <dgm:cxn modelId="{E50687C1-402A-4F59-8B78-4D7F86400E20}" type="presParOf" srcId="{E41EFFCE-7FBE-494C-961B-314467F8B6D2}" destId="{C9149A77-3160-48DF-A896-491EDD0C04E8}" srcOrd="1" destOrd="0" presId="urn:microsoft.com/office/officeart/2005/8/layout/orgChart1"/>
    <dgm:cxn modelId="{9BBE4F69-5B6E-4C43-842A-5F62F7E2DCE5}" type="presParOf" srcId="{C9149A77-3160-48DF-A896-491EDD0C04E8}" destId="{4AF3245E-B283-4B3C-89B2-430FE9023603}" srcOrd="0" destOrd="0" presId="urn:microsoft.com/office/officeart/2005/8/layout/orgChart1"/>
    <dgm:cxn modelId="{06EFE4CA-FB88-4C38-B6C6-E21543B73EDE}" type="presParOf" srcId="{C9149A77-3160-48DF-A896-491EDD0C04E8}" destId="{CC8AFDED-D9C6-4214-81BF-D65679C48F86}" srcOrd="1" destOrd="0" presId="urn:microsoft.com/office/officeart/2005/8/layout/orgChart1"/>
    <dgm:cxn modelId="{1A3F3F1D-A28E-4C1D-87BF-15BAC7EFC112}" type="presParOf" srcId="{CC8AFDED-D9C6-4214-81BF-D65679C48F86}" destId="{B98F956F-C6BB-4FEB-8A24-F2820DE6F34C}" srcOrd="0" destOrd="0" presId="urn:microsoft.com/office/officeart/2005/8/layout/orgChart1"/>
    <dgm:cxn modelId="{646C66B9-C476-434C-99B3-91965E2B79B6}" type="presParOf" srcId="{B98F956F-C6BB-4FEB-8A24-F2820DE6F34C}" destId="{2FBB06AF-45C3-4528-A95E-9597A5AECCF5}" srcOrd="0" destOrd="0" presId="urn:microsoft.com/office/officeart/2005/8/layout/orgChart1"/>
    <dgm:cxn modelId="{94DA9F43-EDE2-46E1-AD17-0EABEEB4A905}" type="presParOf" srcId="{B98F956F-C6BB-4FEB-8A24-F2820DE6F34C}" destId="{DFA67A23-87B1-4D69-AE96-6448EE96E4AD}" srcOrd="1" destOrd="0" presId="urn:microsoft.com/office/officeart/2005/8/layout/orgChart1"/>
    <dgm:cxn modelId="{A86A4E7D-0280-463C-88C3-9BC12CBD26E7}" type="presParOf" srcId="{CC8AFDED-D9C6-4214-81BF-D65679C48F86}" destId="{D5D0D9A9-134E-4E0F-9DA2-49258E05D5E9}" srcOrd="1" destOrd="0" presId="urn:microsoft.com/office/officeart/2005/8/layout/orgChart1"/>
    <dgm:cxn modelId="{889CFDC3-4799-4F58-BD72-B9D97F5104B7}" type="presParOf" srcId="{CC8AFDED-D9C6-4214-81BF-D65679C48F86}" destId="{5408E322-481F-485C-896B-7F2640E8D288}" srcOrd="2" destOrd="0" presId="urn:microsoft.com/office/officeart/2005/8/layout/orgChart1"/>
    <dgm:cxn modelId="{5EC3ABAF-40D8-4034-B7B1-0FA3A68AAEA6}" type="presParOf" srcId="{E41EFFCE-7FBE-494C-961B-314467F8B6D2}" destId="{72E8040B-CA7A-418E-9ECC-5248BAE32ECF}" srcOrd="2" destOrd="0" presId="urn:microsoft.com/office/officeart/2005/8/layout/orgChart1"/>
    <dgm:cxn modelId="{6E83B687-4CAE-4351-8469-6ECC49E3C541}" type="presParOf" srcId="{72E8040B-CA7A-418E-9ECC-5248BAE32ECF}" destId="{61FC1A42-56AD-4E0E-86E6-2F586F4316D9}" srcOrd="0" destOrd="0" presId="urn:microsoft.com/office/officeart/2005/8/layout/orgChart1"/>
    <dgm:cxn modelId="{CFC3F88F-641B-42E8-8351-D525CCA04ABB}" type="presParOf" srcId="{72E8040B-CA7A-418E-9ECC-5248BAE32ECF}" destId="{A73AE9AF-CC2D-46C9-94F8-8FE6F095E423}" srcOrd="1" destOrd="0" presId="urn:microsoft.com/office/officeart/2005/8/layout/orgChart1"/>
    <dgm:cxn modelId="{FB105A28-AF23-4B43-80F7-0DAB7EFB8011}" type="presParOf" srcId="{A73AE9AF-CC2D-46C9-94F8-8FE6F095E423}" destId="{5A9F9A46-28A5-44D5-BA37-DC0558795AA1}" srcOrd="0" destOrd="0" presId="urn:microsoft.com/office/officeart/2005/8/layout/orgChart1"/>
    <dgm:cxn modelId="{EFE2CA0B-E7D6-4800-81EB-DCC10F97C7D8}" type="presParOf" srcId="{5A9F9A46-28A5-44D5-BA37-DC0558795AA1}" destId="{5529491B-720D-4D25-B71F-9EAEA7D8881F}" srcOrd="0" destOrd="0" presId="urn:microsoft.com/office/officeart/2005/8/layout/orgChart1"/>
    <dgm:cxn modelId="{6AE23B29-B68B-444A-A921-F558A8CCFF43}" type="presParOf" srcId="{5A9F9A46-28A5-44D5-BA37-DC0558795AA1}" destId="{91646669-AE80-408C-BCDD-30310E260EA9}" srcOrd="1" destOrd="0" presId="urn:microsoft.com/office/officeart/2005/8/layout/orgChart1"/>
    <dgm:cxn modelId="{D786E1A4-A79E-424E-80A6-57728D4BB347}" type="presParOf" srcId="{A73AE9AF-CC2D-46C9-94F8-8FE6F095E423}" destId="{721021FF-80CA-42C3-9BDC-79E389D8F200}" srcOrd="1" destOrd="0" presId="urn:microsoft.com/office/officeart/2005/8/layout/orgChart1"/>
    <dgm:cxn modelId="{1A755903-9211-40CA-AA39-C3154048706B}" type="presParOf" srcId="{A73AE9AF-CC2D-46C9-94F8-8FE6F095E423}" destId="{0EA32002-5E77-4210-9509-BC3B03A84ACE}" srcOrd="2" destOrd="0" presId="urn:microsoft.com/office/officeart/2005/8/layout/orgChart1"/>
    <dgm:cxn modelId="{A1EB442C-DCB6-4E59-A742-43977C0881F9}" type="presParOf" srcId="{E2B2AB06-036F-44D2-A54C-B59CBAFDE391}" destId="{D6675EB3-F9F3-46E6-87F0-FAC6EA913646}" srcOrd="2" destOrd="0" presId="urn:microsoft.com/office/officeart/2005/8/layout/orgChart1"/>
    <dgm:cxn modelId="{9BE82EBE-D8E8-4B7B-9D20-D0D3E4FCBC1D}" type="presParOf" srcId="{0C5492E7-1093-41BE-A1BB-DB359106D806}" destId="{F2096B0F-B2D1-46B9-828D-1E34FED59185}" srcOrd="2" destOrd="0" presId="urn:microsoft.com/office/officeart/2005/8/layout/orgChart1"/>
    <dgm:cxn modelId="{10F51D02-B8BA-41FC-B39C-D252BDC5E802}" type="presParOf" srcId="{86104B34-337E-45A2-8C55-8596FBE94084}" destId="{3FCEC057-2FF1-4CEC-8551-032C5D24C6E1}" srcOrd="2" destOrd="0" presId="urn:microsoft.com/office/officeart/2005/8/layout/orgChart1"/>
    <dgm:cxn modelId="{538F0284-6433-4D1C-841A-FD13BDD6C3D9}" type="presParOf" srcId="{1290AF74-D520-4D33-8E37-15C73193D36E}" destId="{8DAFCA34-1B87-41BB-AB9C-8C899E4C438D}" srcOrd="2" destOrd="0" presId="urn:microsoft.com/office/officeart/2005/8/layout/orgChart1"/>
    <dgm:cxn modelId="{5A872C09-A0C3-4C0A-9E20-C74BFF571B15}" type="presParOf" srcId="{1290AF74-D520-4D33-8E37-15C73193D36E}" destId="{A6643AF8-BF59-4685-A7B2-9C80CCFA7D40}" srcOrd="3" destOrd="0" presId="urn:microsoft.com/office/officeart/2005/8/layout/orgChart1"/>
    <dgm:cxn modelId="{0AE23CA8-3529-425B-92C2-3B1ABAB47373}" type="presParOf" srcId="{A6643AF8-BF59-4685-A7B2-9C80CCFA7D40}" destId="{0AE84D4A-A086-4A3A-9DD8-6840582C05F1}" srcOrd="0" destOrd="0" presId="urn:microsoft.com/office/officeart/2005/8/layout/orgChart1"/>
    <dgm:cxn modelId="{DBACD437-878E-4A90-A91F-0345DCCF078B}" type="presParOf" srcId="{0AE84D4A-A086-4A3A-9DD8-6840582C05F1}" destId="{BE4DAEA6-7F22-4DC7-81FD-88D797CCE989}" srcOrd="0" destOrd="0" presId="urn:microsoft.com/office/officeart/2005/8/layout/orgChart1"/>
    <dgm:cxn modelId="{0204C3F2-9EFC-4C35-BEE0-8D4FD649405A}" type="presParOf" srcId="{0AE84D4A-A086-4A3A-9DD8-6840582C05F1}" destId="{692147EF-7C3D-47F2-9967-73AF7803245F}" srcOrd="1" destOrd="0" presId="urn:microsoft.com/office/officeart/2005/8/layout/orgChart1"/>
    <dgm:cxn modelId="{78B4B332-BA1D-4DC8-967D-D6E164CDB032}" type="presParOf" srcId="{A6643AF8-BF59-4685-A7B2-9C80CCFA7D40}" destId="{7082E8CB-A295-41B2-86B4-8F549C5B4EBD}" srcOrd="1" destOrd="0" presId="urn:microsoft.com/office/officeart/2005/8/layout/orgChart1"/>
    <dgm:cxn modelId="{34A74236-4C4A-4CD9-8838-07CD43BF16EB}" type="presParOf" srcId="{7082E8CB-A295-41B2-86B4-8F549C5B4EBD}" destId="{2C5481D4-6F0F-4826-AAA2-34E9624D1255}" srcOrd="0" destOrd="0" presId="urn:microsoft.com/office/officeart/2005/8/layout/orgChart1"/>
    <dgm:cxn modelId="{0A544A23-E30F-4613-B941-69B4073E19D4}" type="presParOf" srcId="{7082E8CB-A295-41B2-86B4-8F549C5B4EBD}" destId="{F0DD0982-BEA6-4D70-AF3B-0AA4AA92E47B}" srcOrd="1" destOrd="0" presId="urn:microsoft.com/office/officeart/2005/8/layout/orgChart1"/>
    <dgm:cxn modelId="{86091C44-6CBE-457B-BC07-4BE5FCD551E2}" type="presParOf" srcId="{F0DD0982-BEA6-4D70-AF3B-0AA4AA92E47B}" destId="{99B54681-733F-4DDC-90EB-69AF05D7F8CA}" srcOrd="0" destOrd="0" presId="urn:microsoft.com/office/officeart/2005/8/layout/orgChart1"/>
    <dgm:cxn modelId="{44BE14D4-5D87-46A5-8245-1EA0D07F6405}" type="presParOf" srcId="{99B54681-733F-4DDC-90EB-69AF05D7F8CA}" destId="{955DF2CB-8C32-487F-8CE4-5634CE1C1457}" srcOrd="0" destOrd="0" presId="urn:microsoft.com/office/officeart/2005/8/layout/orgChart1"/>
    <dgm:cxn modelId="{6D3619B9-EE06-441A-968F-EF4F19812939}" type="presParOf" srcId="{99B54681-733F-4DDC-90EB-69AF05D7F8CA}" destId="{55201589-E569-4CAD-AC99-0497FCF263F6}" srcOrd="1" destOrd="0" presId="urn:microsoft.com/office/officeart/2005/8/layout/orgChart1"/>
    <dgm:cxn modelId="{C6829FD3-481E-4C83-A87E-A172D9CCD982}" type="presParOf" srcId="{F0DD0982-BEA6-4D70-AF3B-0AA4AA92E47B}" destId="{ED1D290A-9272-48F1-8AF8-BBA8E72EDB35}" srcOrd="1" destOrd="0" presId="urn:microsoft.com/office/officeart/2005/8/layout/orgChart1"/>
    <dgm:cxn modelId="{116A8ACC-0A94-41CE-B5B3-DF711E3D57BC}" type="presParOf" srcId="{ED1D290A-9272-48F1-8AF8-BBA8E72EDB35}" destId="{B3A2FCF6-BDDC-43A1-B4B4-7465EEB351F9}" srcOrd="0" destOrd="0" presId="urn:microsoft.com/office/officeart/2005/8/layout/orgChart1"/>
    <dgm:cxn modelId="{24310178-84D6-4846-826C-76F5570F1BF8}" type="presParOf" srcId="{ED1D290A-9272-48F1-8AF8-BBA8E72EDB35}" destId="{528FA10A-4857-4463-9731-4AEDA3A2084F}" srcOrd="1" destOrd="0" presId="urn:microsoft.com/office/officeart/2005/8/layout/orgChart1"/>
    <dgm:cxn modelId="{B530B6C4-ED2A-46C1-829B-636C62681645}" type="presParOf" srcId="{528FA10A-4857-4463-9731-4AEDA3A2084F}" destId="{A0BBEE0B-C95A-4C29-AFB5-552AA969DEC5}" srcOrd="0" destOrd="0" presId="urn:microsoft.com/office/officeart/2005/8/layout/orgChart1"/>
    <dgm:cxn modelId="{58EFA0D7-52C4-4A20-AE29-F3689AEC33FA}" type="presParOf" srcId="{A0BBEE0B-C95A-4C29-AFB5-552AA969DEC5}" destId="{3CCA5876-8A27-4F35-AD95-6BF0D45B8EAB}" srcOrd="0" destOrd="0" presId="urn:microsoft.com/office/officeart/2005/8/layout/orgChart1"/>
    <dgm:cxn modelId="{6BB8E453-EB53-48F3-ADB1-F459F9EA584A}" type="presParOf" srcId="{A0BBEE0B-C95A-4C29-AFB5-552AA969DEC5}" destId="{CFAF05B6-DE0F-4D93-8BD4-F6958633D3E3}" srcOrd="1" destOrd="0" presId="urn:microsoft.com/office/officeart/2005/8/layout/orgChart1"/>
    <dgm:cxn modelId="{E032C9F9-8752-43E8-8EA3-68567BC4972B}" type="presParOf" srcId="{528FA10A-4857-4463-9731-4AEDA3A2084F}" destId="{73C23942-2DFB-4388-BBCA-12834EB398A6}" srcOrd="1" destOrd="0" presId="urn:microsoft.com/office/officeart/2005/8/layout/orgChart1"/>
    <dgm:cxn modelId="{4BC5D2BF-54C3-4030-A50A-085913E524C3}" type="presParOf" srcId="{73C23942-2DFB-4388-BBCA-12834EB398A6}" destId="{5DB911DD-B1FB-4709-B564-E88699AF4550}" srcOrd="0" destOrd="0" presId="urn:microsoft.com/office/officeart/2005/8/layout/orgChart1"/>
    <dgm:cxn modelId="{A0A5E096-B52A-42AF-A1B8-F825146A29F6}" type="presParOf" srcId="{73C23942-2DFB-4388-BBCA-12834EB398A6}" destId="{3ADA63C1-4F49-4DB3-9C5C-30DCB8787A9E}" srcOrd="1" destOrd="0" presId="urn:microsoft.com/office/officeart/2005/8/layout/orgChart1"/>
    <dgm:cxn modelId="{31C8F4E7-9B0F-457A-A637-99DA12F48EB4}" type="presParOf" srcId="{3ADA63C1-4F49-4DB3-9C5C-30DCB8787A9E}" destId="{85C38929-9147-4CE4-A22A-26D877DC99DF}" srcOrd="0" destOrd="0" presId="urn:microsoft.com/office/officeart/2005/8/layout/orgChart1"/>
    <dgm:cxn modelId="{78DC18BB-9591-4DAD-BD5E-5F45DA20F073}" type="presParOf" srcId="{85C38929-9147-4CE4-A22A-26D877DC99DF}" destId="{9F651233-C707-483D-B969-3DD45DADA596}" srcOrd="0" destOrd="0" presId="urn:microsoft.com/office/officeart/2005/8/layout/orgChart1"/>
    <dgm:cxn modelId="{398212B3-CFC8-4ED8-9979-EF69A7FE4928}" type="presParOf" srcId="{85C38929-9147-4CE4-A22A-26D877DC99DF}" destId="{D9A5E4F9-DFC5-477D-B2F2-C92E83D40FDA}" srcOrd="1" destOrd="0" presId="urn:microsoft.com/office/officeart/2005/8/layout/orgChart1"/>
    <dgm:cxn modelId="{63D6B36C-195C-4093-A5C4-63C39AB992B4}" type="presParOf" srcId="{3ADA63C1-4F49-4DB3-9C5C-30DCB8787A9E}" destId="{E6A4673C-DA52-4EF6-9513-6B66F19EC248}" srcOrd="1" destOrd="0" presId="urn:microsoft.com/office/officeart/2005/8/layout/orgChart1"/>
    <dgm:cxn modelId="{BA14DEFB-6A93-4C45-8FD4-013AFFE65F31}" type="presParOf" srcId="{E6A4673C-DA52-4EF6-9513-6B66F19EC248}" destId="{5ED4746F-DC73-46C2-B7E2-156C7C658148}" srcOrd="0" destOrd="0" presId="urn:microsoft.com/office/officeart/2005/8/layout/orgChart1"/>
    <dgm:cxn modelId="{DBF77526-994C-466D-9733-345C952A14CF}" type="presParOf" srcId="{E6A4673C-DA52-4EF6-9513-6B66F19EC248}" destId="{DA504AB5-7206-4AE0-B8D3-36E9F58FEF17}" srcOrd="1" destOrd="0" presId="urn:microsoft.com/office/officeart/2005/8/layout/orgChart1"/>
    <dgm:cxn modelId="{0A8E864C-CAD4-4FC6-AB9D-84C16D70E474}" type="presParOf" srcId="{DA504AB5-7206-4AE0-B8D3-36E9F58FEF17}" destId="{24DC36A2-4A24-43DA-A3F3-BCD2CD71A87D}" srcOrd="0" destOrd="0" presId="urn:microsoft.com/office/officeart/2005/8/layout/orgChart1"/>
    <dgm:cxn modelId="{A8649180-3F10-4ABF-A911-C223BD51FD95}" type="presParOf" srcId="{24DC36A2-4A24-43DA-A3F3-BCD2CD71A87D}" destId="{43D5122B-5DCF-4B51-8333-74EDBD2CC2AE}" srcOrd="0" destOrd="0" presId="urn:microsoft.com/office/officeart/2005/8/layout/orgChart1"/>
    <dgm:cxn modelId="{D6CF4E53-BDA6-4378-A8B0-68C5FDD08FF5}" type="presParOf" srcId="{24DC36A2-4A24-43DA-A3F3-BCD2CD71A87D}" destId="{F40D34D8-021A-4483-AE5D-5B75445580C1}" srcOrd="1" destOrd="0" presId="urn:microsoft.com/office/officeart/2005/8/layout/orgChart1"/>
    <dgm:cxn modelId="{6D76CC91-877B-4B7E-8F0D-7C2092BC3D00}" type="presParOf" srcId="{DA504AB5-7206-4AE0-B8D3-36E9F58FEF17}" destId="{6837A594-4601-4229-BB57-FF4657A81B58}" srcOrd="1" destOrd="0" presId="urn:microsoft.com/office/officeart/2005/8/layout/orgChart1"/>
    <dgm:cxn modelId="{8C5E04F2-E81A-45AD-9928-6E60C0D6D03C}" type="presParOf" srcId="{DA504AB5-7206-4AE0-B8D3-36E9F58FEF17}" destId="{76B7733F-4FAB-4445-B340-C2D72056007F}" srcOrd="2" destOrd="0" presId="urn:microsoft.com/office/officeart/2005/8/layout/orgChart1"/>
    <dgm:cxn modelId="{47EE42A5-F75B-4313-B502-71000E70D261}" type="presParOf" srcId="{3ADA63C1-4F49-4DB3-9C5C-30DCB8787A9E}" destId="{0C749B28-FB97-4C5D-98AC-A97E4B6FCB62}" srcOrd="2" destOrd="0" presId="urn:microsoft.com/office/officeart/2005/8/layout/orgChart1"/>
    <dgm:cxn modelId="{7A274B77-3C47-4023-AF18-1583C6D7F0F1}" type="presParOf" srcId="{528FA10A-4857-4463-9731-4AEDA3A2084F}" destId="{9C1B1DE0-D9E2-43B0-B811-5FBE758A51B0}" srcOrd="2" destOrd="0" presId="urn:microsoft.com/office/officeart/2005/8/layout/orgChart1"/>
    <dgm:cxn modelId="{D9ABAA66-3208-43E1-BC49-452024F740C8}" type="presParOf" srcId="{F0DD0982-BEA6-4D70-AF3B-0AA4AA92E47B}" destId="{03F447ED-C503-4CE4-9019-B168D0082A88}" srcOrd="2" destOrd="0" presId="urn:microsoft.com/office/officeart/2005/8/layout/orgChart1"/>
    <dgm:cxn modelId="{B97AB2CB-6274-430C-A75F-8A1DBCE48BC5}" type="presParOf" srcId="{A6643AF8-BF59-4685-A7B2-9C80CCFA7D40}" destId="{59850EB0-2A80-48BE-9B91-ACD7D720D3B3}" srcOrd="2" destOrd="0" presId="urn:microsoft.com/office/officeart/2005/8/layout/orgChart1"/>
    <dgm:cxn modelId="{6BB8A132-AA0E-4997-AC82-D55440D9F14D}" type="presParOf" srcId="{1290AF74-D520-4D33-8E37-15C73193D36E}" destId="{F8F878DE-3698-49C4-866C-9D6D49B690BF}" srcOrd="4" destOrd="0" presId="urn:microsoft.com/office/officeart/2005/8/layout/orgChart1"/>
    <dgm:cxn modelId="{41D23526-9016-4FD8-BAB9-109E787270D3}" type="presParOf" srcId="{1290AF74-D520-4D33-8E37-15C73193D36E}" destId="{71D1FAC7-6D16-429C-B01D-3C3E13E5743F}" srcOrd="5" destOrd="0" presId="urn:microsoft.com/office/officeart/2005/8/layout/orgChart1"/>
    <dgm:cxn modelId="{6CBB321D-E5EE-471B-A982-6EF1D3936D8E}" type="presParOf" srcId="{71D1FAC7-6D16-429C-B01D-3C3E13E5743F}" destId="{B54C6A21-DA4A-452C-9EA3-211FAD5978D6}" srcOrd="0" destOrd="0" presId="urn:microsoft.com/office/officeart/2005/8/layout/orgChart1"/>
    <dgm:cxn modelId="{0D8520F2-E281-4821-A274-410C04F48E6A}" type="presParOf" srcId="{B54C6A21-DA4A-452C-9EA3-211FAD5978D6}" destId="{FF0C1041-3395-46E3-905D-0CC0094881D7}" srcOrd="0" destOrd="0" presId="urn:microsoft.com/office/officeart/2005/8/layout/orgChart1"/>
    <dgm:cxn modelId="{B8291CBF-4BEA-46BA-BCE5-0E9EC560BEAA}" type="presParOf" srcId="{B54C6A21-DA4A-452C-9EA3-211FAD5978D6}" destId="{5031D92B-3977-49E6-8FF5-A4B3BF7D427B}" srcOrd="1" destOrd="0" presId="urn:microsoft.com/office/officeart/2005/8/layout/orgChart1"/>
    <dgm:cxn modelId="{8455A1FD-197A-47C8-A32B-B784931709E3}" type="presParOf" srcId="{71D1FAC7-6D16-429C-B01D-3C3E13E5743F}" destId="{DA443ED5-03E3-4890-B276-72FC2A10D9AC}" srcOrd="1" destOrd="0" presId="urn:microsoft.com/office/officeart/2005/8/layout/orgChart1"/>
    <dgm:cxn modelId="{A6BDBF5A-8814-4DAD-A1F2-3CFF191CB6EA}" type="presParOf" srcId="{DA443ED5-03E3-4890-B276-72FC2A10D9AC}" destId="{BF6D23CB-7F33-40BA-8290-9FE411A93557}" srcOrd="0" destOrd="0" presId="urn:microsoft.com/office/officeart/2005/8/layout/orgChart1"/>
    <dgm:cxn modelId="{2B748F8D-A040-432A-9174-0472DA5B53CF}" type="presParOf" srcId="{DA443ED5-03E3-4890-B276-72FC2A10D9AC}" destId="{1575B795-3E3D-476F-A453-084380F48C0C}" srcOrd="1" destOrd="0" presId="urn:microsoft.com/office/officeart/2005/8/layout/orgChart1"/>
    <dgm:cxn modelId="{7D6D589A-66E9-4CA9-A688-94AC862ED9B1}" type="presParOf" srcId="{1575B795-3E3D-476F-A453-084380F48C0C}" destId="{ADC6026A-68BD-4D33-A133-B4A06CFB811D}" srcOrd="0" destOrd="0" presId="urn:microsoft.com/office/officeart/2005/8/layout/orgChart1"/>
    <dgm:cxn modelId="{A8D82E84-E52A-4CB2-8252-E425DD58B290}" type="presParOf" srcId="{ADC6026A-68BD-4D33-A133-B4A06CFB811D}" destId="{1DC14DB0-20D9-44B1-9C0B-2CA2C56BE45F}" srcOrd="0" destOrd="0" presId="urn:microsoft.com/office/officeart/2005/8/layout/orgChart1"/>
    <dgm:cxn modelId="{5BBCB97D-D241-4AB0-A5A4-16DAC5E06DA8}" type="presParOf" srcId="{ADC6026A-68BD-4D33-A133-B4A06CFB811D}" destId="{792FC1BD-339C-4C4A-AFFA-7E962E8BE8B1}" srcOrd="1" destOrd="0" presId="urn:microsoft.com/office/officeart/2005/8/layout/orgChart1"/>
    <dgm:cxn modelId="{00FFBB66-BE8A-4F10-8C8D-6735CD0E2897}" type="presParOf" srcId="{1575B795-3E3D-476F-A453-084380F48C0C}" destId="{A28D11C1-B104-4DD2-B0CA-7BE431819868}" srcOrd="1" destOrd="0" presId="urn:microsoft.com/office/officeart/2005/8/layout/orgChart1"/>
    <dgm:cxn modelId="{022B6E4F-C8FB-4F72-9F3C-54B5280A8940}" type="presParOf" srcId="{A28D11C1-B104-4DD2-B0CA-7BE431819868}" destId="{B11EC0E0-1D04-4C22-B029-3C6F2288A749}" srcOrd="0" destOrd="0" presId="urn:microsoft.com/office/officeart/2005/8/layout/orgChart1"/>
    <dgm:cxn modelId="{7AC2B66E-1D29-4BAE-AD8D-A8C41AA47D4B}" type="presParOf" srcId="{A28D11C1-B104-4DD2-B0CA-7BE431819868}" destId="{C2F3B412-3A1A-437D-BF9E-F74CFDD5C2CB}" srcOrd="1" destOrd="0" presId="urn:microsoft.com/office/officeart/2005/8/layout/orgChart1"/>
    <dgm:cxn modelId="{20EE0837-9399-40A4-94C0-457071C0FAB9}" type="presParOf" srcId="{C2F3B412-3A1A-437D-BF9E-F74CFDD5C2CB}" destId="{AB7224FE-6328-40D7-86A4-255F217B7408}" srcOrd="0" destOrd="0" presId="urn:microsoft.com/office/officeart/2005/8/layout/orgChart1"/>
    <dgm:cxn modelId="{15D6A3A8-6A5C-4817-B851-C58FCF956897}" type="presParOf" srcId="{AB7224FE-6328-40D7-86A4-255F217B7408}" destId="{B43F6C84-4113-4E97-946D-DA27B40F06CE}" srcOrd="0" destOrd="0" presId="urn:microsoft.com/office/officeart/2005/8/layout/orgChart1"/>
    <dgm:cxn modelId="{6D9E8428-664C-4163-8D06-1904F50DB949}" type="presParOf" srcId="{AB7224FE-6328-40D7-86A4-255F217B7408}" destId="{E2B14B52-158B-4517-8B41-3B7059D68FF1}" srcOrd="1" destOrd="0" presId="urn:microsoft.com/office/officeart/2005/8/layout/orgChart1"/>
    <dgm:cxn modelId="{6057C899-C314-43B7-A8EC-14156A3ED4D3}" type="presParOf" srcId="{C2F3B412-3A1A-437D-BF9E-F74CFDD5C2CB}" destId="{1718D16A-632D-444B-B429-D7B72BA2A9B9}" srcOrd="1" destOrd="0" presId="urn:microsoft.com/office/officeart/2005/8/layout/orgChart1"/>
    <dgm:cxn modelId="{C9DDC8E2-30F0-43C2-89ED-B3824FBAC8C2}" type="presParOf" srcId="{1718D16A-632D-444B-B429-D7B72BA2A9B9}" destId="{38AA9563-A215-42CF-B8D1-2BE905529BCA}" srcOrd="0" destOrd="0" presId="urn:microsoft.com/office/officeart/2005/8/layout/orgChart1"/>
    <dgm:cxn modelId="{D55F9EA7-3F4C-436C-87F7-853EC545B760}" type="presParOf" srcId="{1718D16A-632D-444B-B429-D7B72BA2A9B9}" destId="{C6E491C5-257E-49BB-9FB6-10FD679C82D4}" srcOrd="1" destOrd="0" presId="urn:microsoft.com/office/officeart/2005/8/layout/orgChart1"/>
    <dgm:cxn modelId="{57872862-364D-4EE4-B278-5247788C0E3B}" type="presParOf" srcId="{C6E491C5-257E-49BB-9FB6-10FD679C82D4}" destId="{BEA0EF37-ECF1-40E8-9134-7ACA7DC0DC88}" srcOrd="0" destOrd="0" presId="urn:microsoft.com/office/officeart/2005/8/layout/orgChart1"/>
    <dgm:cxn modelId="{81748A64-6696-45A5-A664-E3C0C898F5B5}" type="presParOf" srcId="{BEA0EF37-ECF1-40E8-9134-7ACA7DC0DC88}" destId="{1E30188F-1A85-4769-94E5-DDF79B8DCAAA}" srcOrd="0" destOrd="0" presId="urn:microsoft.com/office/officeart/2005/8/layout/orgChart1"/>
    <dgm:cxn modelId="{94A06B20-DFA1-4B01-96CC-B770C63D21C0}" type="presParOf" srcId="{BEA0EF37-ECF1-40E8-9134-7ACA7DC0DC88}" destId="{C1D61C69-C2CA-47EA-9680-6E5EC6D892E8}" srcOrd="1" destOrd="0" presId="urn:microsoft.com/office/officeart/2005/8/layout/orgChart1"/>
    <dgm:cxn modelId="{B8236648-4162-4A6C-B34F-05174A15EE42}" type="presParOf" srcId="{C6E491C5-257E-49BB-9FB6-10FD679C82D4}" destId="{A38CC7FF-57CC-4693-B002-75B2B67A7ECF}" srcOrd="1" destOrd="0" presId="urn:microsoft.com/office/officeart/2005/8/layout/orgChart1"/>
    <dgm:cxn modelId="{7F4CB167-A735-4D4B-80E0-B8419176B748}" type="presParOf" srcId="{C6E491C5-257E-49BB-9FB6-10FD679C82D4}" destId="{AB7F815F-C0A7-41BB-97A1-A7D59722B33C}" srcOrd="2" destOrd="0" presId="urn:microsoft.com/office/officeart/2005/8/layout/orgChart1"/>
    <dgm:cxn modelId="{A39E7828-00ED-4875-B6D9-1E0C483447E6}" type="presParOf" srcId="{AB7F815F-C0A7-41BB-97A1-A7D59722B33C}" destId="{5F28BDBD-CA0F-4B75-945E-AAD0CA47F8F8}" srcOrd="0" destOrd="0" presId="urn:microsoft.com/office/officeart/2005/8/layout/orgChart1"/>
    <dgm:cxn modelId="{E744022D-D503-42BF-98E9-6DD5CB05BD83}" type="presParOf" srcId="{AB7F815F-C0A7-41BB-97A1-A7D59722B33C}" destId="{DDA84B2C-CEFA-4203-AEDB-BA89489E10DE}" srcOrd="1" destOrd="0" presId="urn:microsoft.com/office/officeart/2005/8/layout/orgChart1"/>
    <dgm:cxn modelId="{61BAD657-4518-40A2-939F-007D5FA1AEE4}" type="presParOf" srcId="{DDA84B2C-CEFA-4203-AEDB-BA89489E10DE}" destId="{01884B09-E87E-4F64-9306-7AA4AD804807}" srcOrd="0" destOrd="0" presId="urn:microsoft.com/office/officeart/2005/8/layout/orgChart1"/>
    <dgm:cxn modelId="{1CEB8A94-F22F-4BCA-96CC-918C4E409A56}" type="presParOf" srcId="{01884B09-E87E-4F64-9306-7AA4AD804807}" destId="{9E998914-DB82-4E0B-956F-1C1C1D6045EE}" srcOrd="0" destOrd="0" presId="urn:microsoft.com/office/officeart/2005/8/layout/orgChart1"/>
    <dgm:cxn modelId="{DC12FB2D-F68A-4468-B7B0-E400CF8028FD}" type="presParOf" srcId="{01884B09-E87E-4F64-9306-7AA4AD804807}" destId="{D103B1F7-818D-4F28-93E5-D38FA8F95EAF}" srcOrd="1" destOrd="0" presId="urn:microsoft.com/office/officeart/2005/8/layout/orgChart1"/>
    <dgm:cxn modelId="{604EB6A8-95E5-40D0-94FD-992AD9DE2756}" type="presParOf" srcId="{DDA84B2C-CEFA-4203-AEDB-BA89489E10DE}" destId="{4497CE71-C3DF-4A3C-AC4B-7E5ED8A3DC15}" srcOrd="1" destOrd="0" presId="urn:microsoft.com/office/officeart/2005/8/layout/orgChart1"/>
    <dgm:cxn modelId="{87D72283-BF83-406B-A601-D6DACDEA2610}" type="presParOf" srcId="{DDA84B2C-CEFA-4203-AEDB-BA89489E10DE}" destId="{B6F4C742-3060-4D34-8AEE-CF551438F6E1}" srcOrd="2" destOrd="0" presId="urn:microsoft.com/office/officeart/2005/8/layout/orgChart1"/>
    <dgm:cxn modelId="{1671A8D9-EC9F-4BB8-8A34-AD36D9E19629}" type="presParOf" srcId="{AB7F815F-C0A7-41BB-97A1-A7D59722B33C}" destId="{DC4F5861-2185-44EA-B89B-B5E500A9127C}" srcOrd="2" destOrd="0" presId="urn:microsoft.com/office/officeart/2005/8/layout/orgChart1"/>
    <dgm:cxn modelId="{FF087D7A-578A-4182-A8D8-C99456513C9D}" type="presParOf" srcId="{AB7F815F-C0A7-41BB-97A1-A7D59722B33C}" destId="{BB9DECBF-6ADB-4037-8C6F-459C7840897D}" srcOrd="3" destOrd="0" presId="urn:microsoft.com/office/officeart/2005/8/layout/orgChart1"/>
    <dgm:cxn modelId="{3E40ACDC-2FFC-493A-A510-BE48D2B6F3C3}" type="presParOf" srcId="{BB9DECBF-6ADB-4037-8C6F-459C7840897D}" destId="{1BF471BA-73B4-4E60-93C7-179EB37038A4}" srcOrd="0" destOrd="0" presId="urn:microsoft.com/office/officeart/2005/8/layout/orgChart1"/>
    <dgm:cxn modelId="{ACCD3A5D-A048-49EF-BE51-96A1F0986BEA}" type="presParOf" srcId="{1BF471BA-73B4-4E60-93C7-179EB37038A4}" destId="{09454A95-671A-4C80-9C28-7D3E2CBB243C}" srcOrd="0" destOrd="0" presId="urn:microsoft.com/office/officeart/2005/8/layout/orgChart1"/>
    <dgm:cxn modelId="{2BFE4AE0-58F0-4BD2-BDAD-334BF1B80EFD}" type="presParOf" srcId="{1BF471BA-73B4-4E60-93C7-179EB37038A4}" destId="{A3A58C25-3122-4773-89F0-3F25C9AB9EE1}" srcOrd="1" destOrd="0" presId="urn:microsoft.com/office/officeart/2005/8/layout/orgChart1"/>
    <dgm:cxn modelId="{5F9E70FF-3CC7-4652-B553-7001811F3843}" type="presParOf" srcId="{BB9DECBF-6ADB-4037-8C6F-459C7840897D}" destId="{6DD9A916-CA9B-4820-8AEC-5A390A3AAE80}" srcOrd="1" destOrd="0" presId="urn:microsoft.com/office/officeart/2005/8/layout/orgChart1"/>
    <dgm:cxn modelId="{9620F635-C7A3-4FC0-A467-D60DB55DF8E4}" type="presParOf" srcId="{BB9DECBF-6ADB-4037-8C6F-459C7840897D}" destId="{119348F7-1934-4718-BB97-E0F882D9666E}" srcOrd="2" destOrd="0" presId="urn:microsoft.com/office/officeart/2005/8/layout/orgChart1"/>
    <dgm:cxn modelId="{357F3539-B920-48AE-B0A1-FC390D965233}" type="presParOf" srcId="{AB7F815F-C0A7-41BB-97A1-A7D59722B33C}" destId="{5EA843BC-97FE-44F8-A265-EE8DA92E767E}" srcOrd="4" destOrd="0" presId="urn:microsoft.com/office/officeart/2005/8/layout/orgChart1"/>
    <dgm:cxn modelId="{B6709DBB-3D07-43EB-9790-3E166F7916F3}" type="presParOf" srcId="{AB7F815F-C0A7-41BB-97A1-A7D59722B33C}" destId="{17087EC9-AA67-4707-93E4-8D46415877DC}" srcOrd="5" destOrd="0" presId="urn:microsoft.com/office/officeart/2005/8/layout/orgChart1"/>
    <dgm:cxn modelId="{940DB176-C5F2-4413-B6DD-830A2BC9299A}" type="presParOf" srcId="{17087EC9-AA67-4707-93E4-8D46415877DC}" destId="{F5E1103D-6E4A-46D6-A335-0620DEAAA6CB}" srcOrd="0" destOrd="0" presId="urn:microsoft.com/office/officeart/2005/8/layout/orgChart1"/>
    <dgm:cxn modelId="{2671D5DA-77D5-421F-A04B-105DBA34D5F9}" type="presParOf" srcId="{F5E1103D-6E4A-46D6-A335-0620DEAAA6CB}" destId="{41CD3CAF-869A-4143-8D54-E8F9993C737A}" srcOrd="0" destOrd="0" presId="urn:microsoft.com/office/officeart/2005/8/layout/orgChart1"/>
    <dgm:cxn modelId="{ADE33939-4FBA-466F-B157-5E87CDA4F8B3}" type="presParOf" srcId="{F5E1103D-6E4A-46D6-A335-0620DEAAA6CB}" destId="{1B66D78D-9E10-4CC9-BB30-C0917FB6CA0C}" srcOrd="1" destOrd="0" presId="urn:microsoft.com/office/officeart/2005/8/layout/orgChart1"/>
    <dgm:cxn modelId="{44F83B84-6FA5-41FE-969B-653A38DF552D}" type="presParOf" srcId="{17087EC9-AA67-4707-93E4-8D46415877DC}" destId="{1CB9876B-BB7B-4A7A-B90C-C3BB94F59B68}" srcOrd="1" destOrd="0" presId="urn:microsoft.com/office/officeart/2005/8/layout/orgChart1"/>
    <dgm:cxn modelId="{0E2D1E77-3C21-49EE-8C96-63F9CF105438}" type="presParOf" srcId="{17087EC9-AA67-4707-93E4-8D46415877DC}" destId="{C973E039-4026-4F4B-8E3C-DBEFBEB385C0}" srcOrd="2" destOrd="0" presId="urn:microsoft.com/office/officeart/2005/8/layout/orgChart1"/>
    <dgm:cxn modelId="{93D1CCEB-25B6-47DB-9241-9BE997469F61}" type="presParOf" srcId="{C2F3B412-3A1A-437D-BF9E-F74CFDD5C2CB}" destId="{70FB6A0E-47B6-417D-B0B2-EF3B0C0C11A0}" srcOrd="2" destOrd="0" presId="urn:microsoft.com/office/officeart/2005/8/layout/orgChart1"/>
    <dgm:cxn modelId="{414B745F-DC99-4F34-B3B8-6D5B26BBBC94}" type="presParOf" srcId="{1575B795-3E3D-476F-A453-084380F48C0C}" destId="{BF25C0FB-7D70-4B06-B7D3-14222EB23B46}" srcOrd="2" destOrd="0" presId="urn:microsoft.com/office/officeart/2005/8/layout/orgChart1"/>
    <dgm:cxn modelId="{C088D23C-D7B9-4215-86BE-3AFE0A183B9B}" type="presParOf" srcId="{71D1FAC7-6D16-429C-B01D-3C3E13E5743F}" destId="{504220EF-6CFA-4509-B724-FE48FEC0E42E}" srcOrd="2" destOrd="0" presId="urn:microsoft.com/office/officeart/2005/8/layout/orgChart1"/>
    <dgm:cxn modelId="{DFC61C6B-C962-43C9-80B3-6F414798117B}" type="presParOf" srcId="{1290AF74-D520-4D33-8E37-15C73193D36E}" destId="{14C8092E-CFA6-40D8-81FF-92F61F138120}" srcOrd="6" destOrd="0" presId="urn:microsoft.com/office/officeart/2005/8/layout/orgChart1"/>
    <dgm:cxn modelId="{C996BF0A-07F4-4790-A67A-8DA8CD5CEA33}" type="presParOf" srcId="{1290AF74-D520-4D33-8E37-15C73193D36E}" destId="{E5F0944A-652D-452F-B972-D725BF51AB2A}" srcOrd="7" destOrd="0" presId="urn:microsoft.com/office/officeart/2005/8/layout/orgChart1"/>
    <dgm:cxn modelId="{1120AA57-5D60-4EE8-83E1-F365068A7334}" type="presParOf" srcId="{E5F0944A-652D-452F-B972-D725BF51AB2A}" destId="{22BE8D62-1A21-4DE1-88C9-CE78B5096D37}" srcOrd="0" destOrd="0" presId="urn:microsoft.com/office/officeart/2005/8/layout/orgChart1"/>
    <dgm:cxn modelId="{636E6E0F-70AA-441F-88D2-0574EB5FFE0D}" type="presParOf" srcId="{22BE8D62-1A21-4DE1-88C9-CE78B5096D37}" destId="{C451E644-60DC-447A-91DE-158BF7A48365}" srcOrd="0" destOrd="0" presId="urn:microsoft.com/office/officeart/2005/8/layout/orgChart1"/>
    <dgm:cxn modelId="{D35B14E3-5066-446C-AD8A-E8E24AD8ED4B}" type="presParOf" srcId="{22BE8D62-1A21-4DE1-88C9-CE78B5096D37}" destId="{D6D9F8CC-664D-47BC-B3DA-866929BF4661}" srcOrd="1" destOrd="0" presId="urn:microsoft.com/office/officeart/2005/8/layout/orgChart1"/>
    <dgm:cxn modelId="{107AC04A-1406-4E66-B95E-3D53DEA91839}" type="presParOf" srcId="{E5F0944A-652D-452F-B972-D725BF51AB2A}" destId="{74100630-4731-4FAC-B4F1-7F2E86F948C3}" srcOrd="1" destOrd="0" presId="urn:microsoft.com/office/officeart/2005/8/layout/orgChart1"/>
    <dgm:cxn modelId="{7484F0B0-A419-48E9-9BAB-94008018BF18}" type="presParOf" srcId="{74100630-4731-4FAC-B4F1-7F2E86F948C3}" destId="{2BA76C43-EEEF-4FDD-91F6-A265D642DB48}" srcOrd="0" destOrd="0" presId="urn:microsoft.com/office/officeart/2005/8/layout/orgChart1"/>
    <dgm:cxn modelId="{05656C86-2A41-4334-83CA-35B7C23EDEEF}" type="presParOf" srcId="{74100630-4731-4FAC-B4F1-7F2E86F948C3}" destId="{183C98D1-B1E1-4406-B5B3-70B15386D13D}" srcOrd="1" destOrd="0" presId="urn:microsoft.com/office/officeart/2005/8/layout/orgChart1"/>
    <dgm:cxn modelId="{08F52854-D6FB-4910-87FD-139FCC60532E}" type="presParOf" srcId="{183C98D1-B1E1-4406-B5B3-70B15386D13D}" destId="{CEEEAC16-3127-4A5B-B676-6B73B87AB0DC}" srcOrd="0" destOrd="0" presId="urn:microsoft.com/office/officeart/2005/8/layout/orgChart1"/>
    <dgm:cxn modelId="{B988AAF5-9396-4DCA-AB55-056758C78DDB}" type="presParOf" srcId="{CEEEAC16-3127-4A5B-B676-6B73B87AB0DC}" destId="{2758924B-7C90-433C-9B33-4FF4CCFB2E95}" srcOrd="0" destOrd="0" presId="urn:microsoft.com/office/officeart/2005/8/layout/orgChart1"/>
    <dgm:cxn modelId="{1FEE3FE1-05E9-490A-BFE9-6E68D281182F}" type="presParOf" srcId="{CEEEAC16-3127-4A5B-B676-6B73B87AB0DC}" destId="{7A377D50-BE0E-4848-97D4-62A612BFD46B}" srcOrd="1" destOrd="0" presId="urn:microsoft.com/office/officeart/2005/8/layout/orgChart1"/>
    <dgm:cxn modelId="{57EE48A0-631A-41B4-A63A-20ED34B18542}" type="presParOf" srcId="{183C98D1-B1E1-4406-B5B3-70B15386D13D}" destId="{E4BD31E4-C6CB-4229-85E0-A8B2E0B17A6E}" srcOrd="1" destOrd="0" presId="urn:microsoft.com/office/officeart/2005/8/layout/orgChart1"/>
    <dgm:cxn modelId="{6EFF49A1-23AC-4E56-B698-47A6DE2BA9F9}" type="presParOf" srcId="{E4BD31E4-C6CB-4229-85E0-A8B2E0B17A6E}" destId="{73F6ED98-7BDE-4DFD-8630-C308EA9783A1}" srcOrd="0" destOrd="0" presId="urn:microsoft.com/office/officeart/2005/8/layout/orgChart1"/>
    <dgm:cxn modelId="{7A4E67CB-0F5F-4DD3-B0CE-B9D3625C3B6E}" type="presParOf" srcId="{E4BD31E4-C6CB-4229-85E0-A8B2E0B17A6E}" destId="{305D56E5-0999-41EA-83D2-17F8D6CCCB68}" srcOrd="1" destOrd="0" presId="urn:microsoft.com/office/officeart/2005/8/layout/orgChart1"/>
    <dgm:cxn modelId="{DD893C51-0041-4A08-A1B9-C1A2E3D12733}" type="presParOf" srcId="{305D56E5-0999-41EA-83D2-17F8D6CCCB68}" destId="{FA557AB8-3948-4143-AAE2-8E9E4E5C8FF0}" srcOrd="0" destOrd="0" presId="urn:microsoft.com/office/officeart/2005/8/layout/orgChart1"/>
    <dgm:cxn modelId="{96BB0F7C-FA81-4B4D-B113-74521A3BA454}" type="presParOf" srcId="{FA557AB8-3948-4143-AAE2-8E9E4E5C8FF0}" destId="{82F920AC-CC69-4026-98B0-16821603935B}" srcOrd="0" destOrd="0" presId="urn:microsoft.com/office/officeart/2005/8/layout/orgChart1"/>
    <dgm:cxn modelId="{577BDBF1-CBED-46C6-A158-B7F98481C325}" type="presParOf" srcId="{FA557AB8-3948-4143-AAE2-8E9E4E5C8FF0}" destId="{F9B8AC2E-F592-413D-AC4C-AE4E1109E466}" srcOrd="1" destOrd="0" presId="urn:microsoft.com/office/officeart/2005/8/layout/orgChart1"/>
    <dgm:cxn modelId="{A24C9C89-7B01-4E51-9368-FBFF3DD4FA64}" type="presParOf" srcId="{305D56E5-0999-41EA-83D2-17F8D6CCCB68}" destId="{9D604E73-50A5-4F46-AEF4-81DE1DB0D284}" srcOrd="1" destOrd="0" presId="urn:microsoft.com/office/officeart/2005/8/layout/orgChart1"/>
    <dgm:cxn modelId="{E4D3ACCB-2024-4F5A-8125-FFD4F9F2173A}" type="presParOf" srcId="{9D604E73-50A5-4F46-AEF4-81DE1DB0D284}" destId="{EC7AA57B-632B-43FC-875B-DAF4E2E0C049}" srcOrd="0" destOrd="0" presId="urn:microsoft.com/office/officeart/2005/8/layout/orgChart1"/>
    <dgm:cxn modelId="{D050C4BF-00CE-4470-8E58-AC11D229C61A}" type="presParOf" srcId="{9D604E73-50A5-4F46-AEF4-81DE1DB0D284}" destId="{E8334A93-4A77-4779-8CD8-4A745468F905}" srcOrd="1" destOrd="0" presId="urn:microsoft.com/office/officeart/2005/8/layout/orgChart1"/>
    <dgm:cxn modelId="{A9C9404D-EDD6-40A5-8468-36C14FE989F7}" type="presParOf" srcId="{E8334A93-4A77-4779-8CD8-4A745468F905}" destId="{B51F630D-088F-4ABB-9318-6DD0665EDAFD}" srcOrd="0" destOrd="0" presId="urn:microsoft.com/office/officeart/2005/8/layout/orgChart1"/>
    <dgm:cxn modelId="{5444C2A4-9A80-44D8-B071-63D2E6863430}" type="presParOf" srcId="{B51F630D-088F-4ABB-9318-6DD0665EDAFD}" destId="{3D10997B-3F69-49A2-9A49-1E04D0051D3D}" srcOrd="0" destOrd="0" presId="urn:microsoft.com/office/officeart/2005/8/layout/orgChart1"/>
    <dgm:cxn modelId="{E4F446D7-8E06-4218-A4F0-EF49760562E3}" type="presParOf" srcId="{B51F630D-088F-4ABB-9318-6DD0665EDAFD}" destId="{9D8556B7-3600-443D-994D-E773B8F2252C}" srcOrd="1" destOrd="0" presId="urn:microsoft.com/office/officeart/2005/8/layout/orgChart1"/>
    <dgm:cxn modelId="{E0D37AAF-3708-475D-BD82-BED29D073582}" type="presParOf" srcId="{E8334A93-4A77-4779-8CD8-4A745468F905}" destId="{671B8CF3-FBB5-4008-8E5F-A8A612DAD5CC}" srcOrd="1" destOrd="0" presId="urn:microsoft.com/office/officeart/2005/8/layout/orgChart1"/>
    <dgm:cxn modelId="{3EA7D8E3-B14A-44C9-A790-D4EE5A84DF29}" type="presParOf" srcId="{671B8CF3-FBB5-4008-8E5F-A8A612DAD5CC}" destId="{F4B7C6EC-C545-4EB6-B265-9B18F3EB89E6}" srcOrd="0" destOrd="0" presId="urn:microsoft.com/office/officeart/2005/8/layout/orgChart1"/>
    <dgm:cxn modelId="{9369C9C2-7524-4EF5-8550-10FF69E21705}" type="presParOf" srcId="{671B8CF3-FBB5-4008-8E5F-A8A612DAD5CC}" destId="{7F13E1A1-A1DE-4EFC-BC11-D39FA238186A}" srcOrd="1" destOrd="0" presId="urn:microsoft.com/office/officeart/2005/8/layout/orgChart1"/>
    <dgm:cxn modelId="{ED536D22-046B-4613-ABC3-67B0BF436CC5}" type="presParOf" srcId="{7F13E1A1-A1DE-4EFC-BC11-D39FA238186A}" destId="{C9CC03E3-5347-4C7A-B4DD-9009CB5873E0}" srcOrd="0" destOrd="0" presId="urn:microsoft.com/office/officeart/2005/8/layout/orgChart1"/>
    <dgm:cxn modelId="{D410B365-52C8-440A-8629-65A24C6B3DF0}" type="presParOf" srcId="{C9CC03E3-5347-4C7A-B4DD-9009CB5873E0}" destId="{42966676-9CB8-48A0-9C10-4CC8E0BB29A8}" srcOrd="0" destOrd="0" presId="urn:microsoft.com/office/officeart/2005/8/layout/orgChart1"/>
    <dgm:cxn modelId="{42552153-AA7C-41FB-9183-50F641F52E89}" type="presParOf" srcId="{C9CC03E3-5347-4C7A-B4DD-9009CB5873E0}" destId="{B671F6EF-432F-4DF0-9BF4-4B0A61EA89BF}" srcOrd="1" destOrd="0" presId="urn:microsoft.com/office/officeart/2005/8/layout/orgChart1"/>
    <dgm:cxn modelId="{E9D0CBA5-20F5-44D5-8EB0-FEF4581CE0F9}" type="presParOf" srcId="{7F13E1A1-A1DE-4EFC-BC11-D39FA238186A}" destId="{02EFB2E2-1B86-493A-90E6-62368B33F4DB}" srcOrd="1" destOrd="0" presId="urn:microsoft.com/office/officeart/2005/8/layout/orgChart1"/>
    <dgm:cxn modelId="{1B1F9EF0-278B-4677-B936-956272AF2215}" type="presParOf" srcId="{7F13E1A1-A1DE-4EFC-BC11-D39FA238186A}" destId="{8C69DE97-0B06-4FD9-8094-FC7F235341F5}" srcOrd="2" destOrd="0" presId="urn:microsoft.com/office/officeart/2005/8/layout/orgChart1"/>
    <dgm:cxn modelId="{66C62BBD-3F2F-4243-A1EB-34F554AC8639}" type="presParOf" srcId="{E8334A93-4A77-4779-8CD8-4A745468F905}" destId="{2CE67953-5E95-45E2-BBFB-4699734CCF41}" srcOrd="2" destOrd="0" presId="urn:microsoft.com/office/officeart/2005/8/layout/orgChart1"/>
    <dgm:cxn modelId="{CCADAA12-B415-4180-913E-1109AC0C2BA6}" type="presParOf" srcId="{305D56E5-0999-41EA-83D2-17F8D6CCCB68}" destId="{BC24B507-0B49-4D75-B20F-337D366C2616}" srcOrd="2" destOrd="0" presId="urn:microsoft.com/office/officeart/2005/8/layout/orgChart1"/>
    <dgm:cxn modelId="{9B732519-4174-4A86-BCC4-3ACEC226F224}" type="presParOf" srcId="{183C98D1-B1E1-4406-B5B3-70B15386D13D}" destId="{296DAF3E-83B0-4436-9966-B643AE996F43}" srcOrd="2" destOrd="0" presId="urn:microsoft.com/office/officeart/2005/8/layout/orgChart1"/>
    <dgm:cxn modelId="{68E7077A-869B-4E5A-87B8-962AB7663F6D}" type="presParOf" srcId="{E5F0944A-652D-452F-B972-D725BF51AB2A}" destId="{0949C9E1-6F99-4308-BA57-A143B62EAB84}" srcOrd="2" destOrd="0" presId="urn:microsoft.com/office/officeart/2005/8/layout/orgChart1"/>
    <dgm:cxn modelId="{54DF2459-FDA5-41A9-8C76-3699FB1F28B5}" type="presParOf" srcId="{5D82D2DE-D175-4965-A60D-6567861517E8}" destId="{CDBDA6AF-F168-4F14-881E-377C73A06E5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B4027A1-9C9E-42F6-8317-3DA6D571312E}" type="doc">
      <dgm:prSet loTypeId="urn:microsoft.com/office/officeart/2005/8/layout/orgChart1" loCatId="hierarchy" qsTypeId="urn:microsoft.com/office/officeart/2005/8/quickstyle/simple5" qsCatId="simple" csTypeId="urn:microsoft.com/office/officeart/2005/8/colors/accent1_2" csCatId="accent1" phldr="1"/>
      <dgm:spPr/>
      <dgm:t>
        <a:bodyPr/>
        <a:lstStyle/>
        <a:p>
          <a:endParaRPr lang="en-AU"/>
        </a:p>
      </dgm:t>
    </dgm:pt>
    <dgm:pt modelId="{C13E1972-9D6A-40C5-B7F1-4FA99DC39A5D}">
      <dgm:prSet phldrT="[Text]" custT="1"/>
      <dgm:spPr>
        <a:solidFill>
          <a:schemeClr val="accent2">
            <a:lumMod val="20000"/>
            <a:lumOff val="80000"/>
          </a:schemeClr>
        </a:solidFill>
      </dgm:spPr>
      <dgm:t>
        <a:bodyPr/>
        <a:lstStyle/>
        <a:p>
          <a:r>
            <a:rPr lang="en-AU" sz="1100">
              <a:solidFill>
                <a:sysClr val="windowText" lastClr="000000"/>
              </a:solidFill>
            </a:rPr>
            <a:t>Reduce direct  and indirect emissions from nitrogen-based fertilisers</a:t>
          </a:r>
        </a:p>
      </dgm:t>
    </dgm:pt>
    <dgm:pt modelId="{EE590B0F-CEBC-49C9-AEE1-2F1A44C2889E}" type="parTrans" cxnId="{947F8131-E63F-4C26-BFA3-957E012A9F1C}">
      <dgm:prSet/>
      <dgm:spPr/>
      <dgm:t>
        <a:bodyPr/>
        <a:lstStyle/>
        <a:p>
          <a:endParaRPr lang="en-AU"/>
        </a:p>
      </dgm:t>
    </dgm:pt>
    <dgm:pt modelId="{E7F0BBED-42DD-49FB-9E83-F9817DE09AEE}" type="sibTrans" cxnId="{947F8131-E63F-4C26-BFA3-957E012A9F1C}">
      <dgm:prSet/>
      <dgm:spPr/>
      <dgm:t>
        <a:bodyPr/>
        <a:lstStyle/>
        <a:p>
          <a:endParaRPr lang="en-AU"/>
        </a:p>
      </dgm:t>
    </dgm:pt>
    <dgm:pt modelId="{EE53CECF-0159-4A3E-9E53-59EA1EE7B945}">
      <dgm:prSet phldrT="[Text]" custT="1"/>
      <dgm:spPr>
        <a:solidFill>
          <a:schemeClr val="accent3">
            <a:lumMod val="20000"/>
            <a:lumOff val="80000"/>
          </a:schemeClr>
        </a:solidFill>
        <a:ln>
          <a:noFill/>
        </a:ln>
      </dgm:spPr>
      <dgm:t>
        <a:bodyPr/>
        <a:lstStyle/>
        <a:p>
          <a:pPr algn="ctr">
            <a:lnSpc>
              <a:spcPct val="110000"/>
            </a:lnSpc>
            <a:spcAft>
              <a:spcPts val="0"/>
            </a:spcAft>
          </a:pPr>
          <a:r>
            <a:rPr lang="en-AU" sz="800">
              <a:solidFill>
                <a:sysClr val="windowText" lastClr="000000"/>
              </a:solidFill>
            </a:rPr>
            <a:t>National inventory assumes an emission factor of 0.4% and 0.3% for direct N2O emissions for N-based fertilisers applied to pastures and crops</a:t>
          </a:r>
        </a:p>
      </dgm:t>
    </dgm:pt>
    <dgm:pt modelId="{0DF2453D-B88C-4476-9906-984FFEE8D9D1}" type="parTrans" cxnId="{996C52BD-0A57-4D1C-AE16-240A29B74554}">
      <dgm:prSet/>
      <dgm:spPr/>
      <dgm:t>
        <a:bodyPr/>
        <a:lstStyle/>
        <a:p>
          <a:endParaRPr lang="en-AU"/>
        </a:p>
      </dgm:t>
    </dgm:pt>
    <dgm:pt modelId="{92FD7813-3965-4897-836E-5AFC79B88304}" type="sibTrans" cxnId="{996C52BD-0A57-4D1C-AE16-240A29B74554}">
      <dgm:prSet/>
      <dgm:spPr/>
      <dgm:t>
        <a:bodyPr/>
        <a:lstStyle/>
        <a:p>
          <a:endParaRPr lang="en-AU"/>
        </a:p>
      </dgm:t>
    </dgm:pt>
    <dgm:pt modelId="{93A36F70-6CFA-4EF3-8917-CF33D892AD2B}">
      <dgm:prSet phldrT="[Text]" custT="1"/>
      <dgm:spPr>
        <a:solidFill>
          <a:schemeClr val="accent2">
            <a:lumMod val="20000"/>
            <a:lumOff val="80000"/>
          </a:schemeClr>
        </a:solidFill>
      </dgm:spPr>
      <dgm:t>
        <a:bodyPr/>
        <a:lstStyle/>
        <a:p>
          <a:r>
            <a:rPr lang="en-AU" sz="1100">
              <a:solidFill>
                <a:sysClr val="windowText" lastClr="000000"/>
              </a:solidFill>
            </a:rPr>
            <a:t>Reduce direct and indirect emissions from animal waste</a:t>
          </a:r>
        </a:p>
      </dgm:t>
    </dgm:pt>
    <dgm:pt modelId="{DD206DED-7FC5-4EEA-8C87-BF6615CC14B0}" type="parTrans" cxnId="{64B4731F-943E-4688-B290-7A306FCFE823}">
      <dgm:prSet/>
      <dgm:spPr/>
      <dgm:t>
        <a:bodyPr/>
        <a:lstStyle/>
        <a:p>
          <a:endParaRPr lang="en-AU"/>
        </a:p>
      </dgm:t>
    </dgm:pt>
    <dgm:pt modelId="{DB2DEC31-D6D5-4E4B-B011-8EFD542E285A}" type="sibTrans" cxnId="{64B4731F-943E-4688-B290-7A306FCFE823}">
      <dgm:prSet/>
      <dgm:spPr/>
      <dgm:t>
        <a:bodyPr/>
        <a:lstStyle/>
        <a:p>
          <a:endParaRPr lang="en-AU"/>
        </a:p>
      </dgm:t>
    </dgm:pt>
    <dgm:pt modelId="{3F2837BE-7DB0-4240-97FA-5D38AA7C0DF0}">
      <dgm:prSet phldrT="[Text]" custT="1"/>
      <dgm:spPr>
        <a:solidFill>
          <a:schemeClr val="accent3">
            <a:lumMod val="20000"/>
            <a:lumOff val="80000"/>
          </a:schemeClr>
        </a:solidFill>
      </dgm:spPr>
      <dgm:t>
        <a:bodyPr anchor="ctr"/>
        <a:lstStyle/>
        <a:p>
          <a:pPr algn="ctr"/>
          <a:r>
            <a:rPr lang="en-AU" sz="800">
              <a:solidFill>
                <a:sysClr val="windowText" lastClr="000000"/>
              </a:solidFill>
            </a:rPr>
            <a:t>National inventory assumes an emission factor of 0.5% for direct N2O emissions from dung deposition, 0.4% for direct N2O emissions from urine deposition, 0.01% for direct N2O emissions from manures during their storage phase and then 1.0%  once they are spread and 0.375% for indirect N2O emissions from dung and urine deposition and the spreading of manures</a:t>
          </a:r>
        </a:p>
      </dgm:t>
    </dgm:pt>
    <dgm:pt modelId="{ED763B38-1452-435A-831E-0529E51E153D}" type="parTrans" cxnId="{B0F78CBB-5F31-4907-AC85-EDB8523722DE}">
      <dgm:prSet/>
      <dgm:spPr/>
      <dgm:t>
        <a:bodyPr/>
        <a:lstStyle/>
        <a:p>
          <a:endParaRPr lang="en-AU"/>
        </a:p>
      </dgm:t>
    </dgm:pt>
    <dgm:pt modelId="{F4040F99-2ADB-40A5-89A2-1A3E4D3DC040}" type="sibTrans" cxnId="{B0F78CBB-5F31-4907-AC85-EDB8523722DE}">
      <dgm:prSet/>
      <dgm:spPr/>
      <dgm:t>
        <a:bodyPr/>
        <a:lstStyle/>
        <a:p>
          <a:endParaRPr lang="en-AU"/>
        </a:p>
      </dgm:t>
    </dgm:pt>
    <dgm:pt modelId="{3904B684-D811-4FAA-98ED-69AF90F8C4A4}">
      <dgm:prSet phldrT="[Text]" custT="1"/>
      <dgm:spPr>
        <a:solidFill>
          <a:schemeClr val="bg2"/>
        </a:solidFill>
      </dgm:spPr>
      <dgm:t>
        <a:bodyPr/>
        <a:lstStyle/>
        <a:p>
          <a:r>
            <a:rPr lang="en-AU" sz="1600" b="1">
              <a:solidFill>
                <a:sysClr val="windowText" lastClr="000000"/>
              </a:solidFill>
              <a:latin typeface="+mn-lt"/>
              <a:ea typeface="+mn-ea"/>
              <a:cs typeface="+mn-cs"/>
            </a:rPr>
            <a:t>Feedbase management for reducing nitrous oxide emissions</a:t>
          </a:r>
          <a:endParaRPr lang="en-AU" sz="1600" b="1" i="1">
            <a:solidFill>
              <a:sysClr val="windowText" lastClr="000000"/>
            </a:solidFill>
          </a:endParaRPr>
        </a:p>
      </dgm:t>
    </dgm:pt>
    <dgm:pt modelId="{D07CB52D-1753-44D3-99EC-4887A2D85D4C}" type="sibTrans" cxnId="{F6CC5EAC-22E6-42DC-A2D1-2DCCDE519489}">
      <dgm:prSet/>
      <dgm:spPr/>
      <dgm:t>
        <a:bodyPr/>
        <a:lstStyle/>
        <a:p>
          <a:endParaRPr lang="en-AU"/>
        </a:p>
      </dgm:t>
    </dgm:pt>
    <dgm:pt modelId="{4B12A093-9B39-4C88-B894-F80BC799F723}" type="parTrans" cxnId="{F6CC5EAC-22E6-42DC-A2D1-2DCCDE519489}">
      <dgm:prSet/>
      <dgm:spPr/>
      <dgm:t>
        <a:bodyPr/>
        <a:lstStyle/>
        <a:p>
          <a:endParaRPr lang="en-AU"/>
        </a:p>
      </dgm:t>
    </dgm:pt>
    <dgm:pt modelId="{ACAD03E5-6C76-40D2-8C7B-229FD5378AF9}">
      <dgm:prSet custT="1"/>
      <dgm:spPr>
        <a:solidFill>
          <a:schemeClr val="accent2">
            <a:lumMod val="20000"/>
            <a:lumOff val="80000"/>
          </a:schemeClr>
        </a:solidFill>
      </dgm:spPr>
      <dgm:t>
        <a:bodyPr/>
        <a:lstStyle/>
        <a:p>
          <a:r>
            <a:rPr lang="en-AU" sz="1100">
              <a:solidFill>
                <a:sysClr val="windowText" lastClr="000000"/>
              </a:solidFill>
            </a:rPr>
            <a:t>Increase the clover content of pastures to reduce reliance on N fertilisers</a:t>
          </a:r>
        </a:p>
      </dgm:t>
    </dgm:pt>
    <dgm:pt modelId="{9DC5AD1F-70F0-41C6-BB2E-9D3B683019F0}" type="parTrans" cxnId="{647A906B-7FF8-4BCF-9A3B-D4FEA2EF95CC}">
      <dgm:prSet/>
      <dgm:spPr/>
      <dgm:t>
        <a:bodyPr/>
        <a:lstStyle/>
        <a:p>
          <a:endParaRPr lang="en-AU"/>
        </a:p>
      </dgm:t>
    </dgm:pt>
    <dgm:pt modelId="{A454A0FA-5C89-4E02-BA49-D76747D77E67}" type="sibTrans" cxnId="{647A906B-7FF8-4BCF-9A3B-D4FEA2EF95CC}">
      <dgm:prSet/>
      <dgm:spPr/>
      <dgm:t>
        <a:bodyPr/>
        <a:lstStyle/>
        <a:p>
          <a:endParaRPr lang="en-AU"/>
        </a:p>
      </dgm:t>
    </dgm:pt>
    <dgm:pt modelId="{4CE40385-803B-4982-B1AE-C8EE08F0D3B9}">
      <dgm:prSet custT="1"/>
      <dgm:spPr>
        <a:solidFill>
          <a:schemeClr val="accent3">
            <a:lumMod val="40000"/>
            <a:lumOff val="60000"/>
          </a:schemeClr>
        </a:solidFill>
      </dgm:spPr>
      <dgm:t>
        <a:bodyPr/>
        <a:lstStyle/>
        <a:p>
          <a:r>
            <a:rPr lang="en-AU" sz="1000">
              <a:solidFill>
                <a:sysClr val="windowText" lastClr="000000"/>
              </a:solidFill>
            </a:rPr>
            <a:t>Target: Reduce the direct  and indirect leached N2O emissions from N-based fertilisers by 40%  per annum </a:t>
          </a:r>
        </a:p>
      </dgm:t>
    </dgm:pt>
    <dgm:pt modelId="{ABC47020-6CAA-443C-AD0C-3602C8B06D12}" type="parTrans" cxnId="{BF71F523-D38E-4B30-A45A-61702899DCB3}">
      <dgm:prSet/>
      <dgm:spPr/>
      <dgm:t>
        <a:bodyPr/>
        <a:lstStyle/>
        <a:p>
          <a:endParaRPr lang="en-AU"/>
        </a:p>
      </dgm:t>
    </dgm:pt>
    <dgm:pt modelId="{07EB3123-AB1F-483F-A3F2-6037962EFECE}" type="sibTrans" cxnId="{BF71F523-D38E-4B30-A45A-61702899DCB3}">
      <dgm:prSet/>
      <dgm:spPr/>
      <dgm:t>
        <a:bodyPr/>
        <a:lstStyle/>
        <a:p>
          <a:endParaRPr lang="en-AU"/>
        </a:p>
      </dgm:t>
    </dgm:pt>
    <dgm:pt modelId="{98FB3FB6-098E-409C-AB08-6756AAEC4132}">
      <dgm:prSet custT="1"/>
      <dgm:spPr>
        <a:solidFill>
          <a:schemeClr val="accent4">
            <a:lumMod val="40000"/>
            <a:lumOff val="60000"/>
          </a:schemeClr>
        </a:solidFill>
      </dgm:spPr>
      <dgm:t>
        <a:bodyPr/>
        <a:lstStyle/>
        <a:p>
          <a:r>
            <a:rPr lang="en-AU" sz="1000">
              <a:solidFill>
                <a:sysClr val="windowText" lastClr="000000"/>
              </a:solidFill>
            </a:rPr>
            <a:t>Impact: Based on the A4N dataset and farms that applied N fertiliser, reduced on-farm GHG emissions  by on average 38 t CO2e/farm.  Reduced GHG emissions intensity  by on average 0.02 kg CO2e/kg FPCM  </a:t>
          </a:r>
        </a:p>
      </dgm:t>
    </dgm:pt>
    <dgm:pt modelId="{184AFB3E-F66A-40C4-A790-7C77356158C1}" type="parTrans" cxnId="{BDC34965-B066-4006-AF43-3E9CA9756DB9}">
      <dgm:prSet/>
      <dgm:spPr/>
      <dgm:t>
        <a:bodyPr/>
        <a:lstStyle/>
        <a:p>
          <a:endParaRPr lang="en-AU"/>
        </a:p>
      </dgm:t>
    </dgm:pt>
    <dgm:pt modelId="{D2259FAA-974A-434A-99D6-D7A0D60A1BED}" type="sibTrans" cxnId="{BDC34965-B066-4006-AF43-3E9CA9756DB9}">
      <dgm:prSet/>
      <dgm:spPr/>
      <dgm:t>
        <a:bodyPr/>
        <a:lstStyle/>
        <a:p>
          <a:endParaRPr lang="en-AU"/>
        </a:p>
      </dgm:t>
    </dgm:pt>
    <dgm:pt modelId="{D853020C-DEA9-492C-A09C-8010E74E4939}">
      <dgm:prSet custT="1"/>
      <dgm:spPr>
        <a:solidFill>
          <a:schemeClr val="accent3">
            <a:lumMod val="40000"/>
            <a:lumOff val="60000"/>
          </a:schemeClr>
        </a:solidFill>
      </dgm:spPr>
      <dgm:t>
        <a:bodyPr/>
        <a:lstStyle/>
        <a:p>
          <a:r>
            <a:rPr lang="en-AU" sz="1000">
              <a:solidFill>
                <a:sysClr val="windowText" lastClr="000000"/>
              </a:solidFill>
            </a:rPr>
            <a:t>Target - Reduce the direct and indirect N2O emissions from animal urine by 40% autumn through to spring </a:t>
          </a:r>
        </a:p>
      </dgm:t>
    </dgm:pt>
    <dgm:pt modelId="{036BBA54-C30F-4318-8E02-C38D689AE49F}" type="parTrans" cxnId="{66C65E27-AF68-400A-B504-326D3A5E9F66}">
      <dgm:prSet/>
      <dgm:spPr/>
      <dgm:t>
        <a:bodyPr/>
        <a:lstStyle/>
        <a:p>
          <a:endParaRPr lang="en-AU"/>
        </a:p>
      </dgm:t>
    </dgm:pt>
    <dgm:pt modelId="{13C4BAD1-5B7B-4582-B7FA-7F6D1AD7B20B}" type="sibTrans" cxnId="{66C65E27-AF68-400A-B504-326D3A5E9F66}">
      <dgm:prSet/>
      <dgm:spPr/>
      <dgm:t>
        <a:bodyPr/>
        <a:lstStyle/>
        <a:p>
          <a:endParaRPr lang="en-AU"/>
        </a:p>
      </dgm:t>
    </dgm:pt>
    <dgm:pt modelId="{E9CAD23E-388D-4F66-A915-36321F3FEFEA}">
      <dgm:prSet custT="1"/>
      <dgm:spPr>
        <a:solidFill>
          <a:schemeClr val="accent4">
            <a:lumMod val="40000"/>
            <a:lumOff val="60000"/>
          </a:schemeClr>
        </a:solidFill>
      </dgm:spPr>
      <dgm:t>
        <a:bodyPr/>
        <a:lstStyle/>
        <a:p>
          <a:r>
            <a:rPr lang="en-AU" sz="1000">
              <a:solidFill>
                <a:sysClr val="windowText" lastClr="000000"/>
              </a:solidFill>
            </a:rPr>
            <a:t>Impact: Based on the A4N dataset , reduced on-farm GHG emissions  by on average  109 t CO2e/farm.  Reduced GHG emissions intensity  by on average 0.05 kg CO2e/kg FPCM  </a:t>
          </a:r>
        </a:p>
      </dgm:t>
    </dgm:pt>
    <dgm:pt modelId="{FFFC5664-134A-4D10-A422-28E9F3FDC00F}" type="parTrans" cxnId="{B1062FA8-5623-4103-B867-7564B9CA69B4}">
      <dgm:prSet/>
      <dgm:spPr/>
      <dgm:t>
        <a:bodyPr/>
        <a:lstStyle/>
        <a:p>
          <a:endParaRPr lang="en-AU"/>
        </a:p>
      </dgm:t>
    </dgm:pt>
    <dgm:pt modelId="{6F33328E-DE99-420F-A043-A0EC0D33543D}" type="sibTrans" cxnId="{B1062FA8-5623-4103-B867-7564B9CA69B4}">
      <dgm:prSet/>
      <dgm:spPr/>
      <dgm:t>
        <a:bodyPr/>
        <a:lstStyle/>
        <a:p>
          <a:endParaRPr lang="en-AU"/>
        </a:p>
      </dgm:t>
    </dgm:pt>
    <dgm:pt modelId="{D818CA55-5845-4510-8199-51B5D4EAC96D}">
      <dgm:prSet custT="1"/>
      <dgm:spPr>
        <a:solidFill>
          <a:schemeClr val="accent1">
            <a:lumMod val="40000"/>
            <a:lumOff val="60000"/>
          </a:schemeClr>
        </a:solidFill>
      </dgm:spPr>
      <dgm:t>
        <a:bodyPr/>
        <a:lstStyle/>
        <a:p>
          <a:r>
            <a:rPr lang="en-AU" sz="1000" b="1">
              <a:solidFill>
                <a:sysClr val="windowText" lastClr="000000"/>
              </a:solidFill>
            </a:rPr>
            <a:t>Strategy : Nitrification inhibitor</a:t>
          </a:r>
          <a:endParaRPr lang="en-AU" sz="1000">
            <a:solidFill>
              <a:sysClr val="windowText" lastClr="000000"/>
            </a:solidFill>
          </a:endParaRPr>
        </a:p>
      </dgm:t>
    </dgm:pt>
    <dgm:pt modelId="{439280A1-7D3A-491D-9BCD-03F68A89A939}" type="parTrans" cxnId="{5EADCA0A-96A9-4D5D-B1BE-6EC102FFAF0B}">
      <dgm:prSet/>
      <dgm:spPr/>
      <dgm:t>
        <a:bodyPr/>
        <a:lstStyle/>
        <a:p>
          <a:endParaRPr lang="en-AU"/>
        </a:p>
      </dgm:t>
    </dgm:pt>
    <dgm:pt modelId="{A7CAAC14-EE85-4149-9789-33F42DBBC4A6}" type="sibTrans" cxnId="{5EADCA0A-96A9-4D5D-B1BE-6EC102FFAF0B}">
      <dgm:prSet/>
      <dgm:spPr/>
      <dgm:t>
        <a:bodyPr/>
        <a:lstStyle/>
        <a:p>
          <a:endParaRPr lang="en-AU"/>
        </a:p>
      </dgm:t>
    </dgm:pt>
    <dgm:pt modelId="{CE41F070-B7FF-4D72-9779-CADB9ECDB834}">
      <dgm:prSet custT="1"/>
      <dgm:spPr>
        <a:solidFill>
          <a:schemeClr val="accent3">
            <a:lumMod val="20000"/>
            <a:lumOff val="80000"/>
          </a:schemeClr>
        </a:solidFill>
      </dgm:spPr>
      <dgm:t>
        <a:bodyPr/>
        <a:lstStyle/>
        <a:p>
          <a:pPr>
            <a:lnSpc>
              <a:spcPct val="110000"/>
            </a:lnSpc>
            <a:spcAft>
              <a:spcPts val="0"/>
            </a:spcAft>
          </a:pPr>
          <a:endParaRPr lang="en-AU" sz="800">
            <a:solidFill>
              <a:sysClr val="windowText" lastClr="000000"/>
            </a:solidFill>
          </a:endParaRPr>
        </a:p>
      </dgm:t>
    </dgm:pt>
    <dgm:pt modelId="{A6194704-638D-4E5B-BE58-520635DD1E10}" type="parTrans" cxnId="{9795ACD0-42F3-4740-9042-56B44849B442}">
      <dgm:prSet/>
      <dgm:spPr/>
      <dgm:t>
        <a:bodyPr/>
        <a:lstStyle/>
        <a:p>
          <a:endParaRPr lang="en-AU"/>
        </a:p>
      </dgm:t>
    </dgm:pt>
    <dgm:pt modelId="{BF114016-A804-4749-AFB9-3F7F22FD8CAE}" type="sibTrans" cxnId="{9795ACD0-42F3-4740-9042-56B44849B442}">
      <dgm:prSet/>
      <dgm:spPr/>
      <dgm:t>
        <a:bodyPr/>
        <a:lstStyle/>
        <a:p>
          <a:endParaRPr lang="en-AU"/>
        </a:p>
      </dgm:t>
    </dgm:pt>
    <dgm:pt modelId="{A25AF142-8B54-443F-A5C1-12DBB16C659A}">
      <dgm:prSet custT="1"/>
      <dgm:spPr>
        <a:solidFill>
          <a:schemeClr val="accent3">
            <a:lumMod val="40000"/>
            <a:lumOff val="60000"/>
          </a:schemeClr>
        </a:solidFill>
      </dgm:spPr>
      <dgm:t>
        <a:bodyPr/>
        <a:lstStyle/>
        <a:p>
          <a:r>
            <a:rPr lang="en-AU" sz="1000">
              <a:solidFill>
                <a:sysClr val="windowText" lastClr="000000"/>
              </a:solidFill>
            </a:rPr>
            <a:t>Target: </a:t>
          </a:r>
          <a:endParaRPr lang="en-AU" sz="2300">
            <a:solidFill>
              <a:sysClr val="windowText" lastClr="000000"/>
            </a:solidFill>
          </a:endParaRPr>
        </a:p>
      </dgm:t>
    </dgm:pt>
    <dgm:pt modelId="{3C05564B-8AA3-456F-9C11-A63FD39E0DEB}" type="parTrans" cxnId="{FBB453F0-5265-481B-BB92-A93DDE47318B}">
      <dgm:prSet/>
      <dgm:spPr/>
      <dgm:t>
        <a:bodyPr/>
        <a:lstStyle/>
        <a:p>
          <a:endParaRPr lang="en-AU"/>
        </a:p>
      </dgm:t>
    </dgm:pt>
    <dgm:pt modelId="{413F5B99-485C-4889-B72C-6C5BFE363A64}" type="sibTrans" cxnId="{FBB453F0-5265-481B-BB92-A93DDE47318B}">
      <dgm:prSet/>
      <dgm:spPr/>
      <dgm:t>
        <a:bodyPr/>
        <a:lstStyle/>
        <a:p>
          <a:endParaRPr lang="en-AU"/>
        </a:p>
      </dgm:t>
    </dgm:pt>
    <dgm:pt modelId="{4567E575-9C97-484A-8DF0-C51F9C3774CF}">
      <dgm:prSet custT="1"/>
      <dgm:spPr>
        <a:solidFill>
          <a:schemeClr val="accent4">
            <a:lumMod val="40000"/>
            <a:lumOff val="60000"/>
          </a:schemeClr>
        </a:solidFill>
      </dgm:spPr>
      <dgm:t>
        <a:bodyPr/>
        <a:lstStyle/>
        <a:p>
          <a:r>
            <a:rPr lang="en-AU" sz="1000">
              <a:solidFill>
                <a:sysClr val="windowText" lastClr="000000"/>
              </a:solidFill>
            </a:rPr>
            <a:t>Impact:  </a:t>
          </a:r>
        </a:p>
      </dgm:t>
    </dgm:pt>
    <dgm:pt modelId="{A31182A2-12DA-42B6-BD6F-A8319CCDB153}" type="parTrans" cxnId="{1E075F17-9724-45CA-9EED-53ADD16854B8}">
      <dgm:prSet/>
      <dgm:spPr/>
      <dgm:t>
        <a:bodyPr/>
        <a:lstStyle/>
        <a:p>
          <a:endParaRPr lang="en-AU"/>
        </a:p>
      </dgm:t>
    </dgm:pt>
    <dgm:pt modelId="{E1E3E4C0-3405-43D9-B045-3631525755EA}" type="sibTrans" cxnId="{1E075F17-9724-45CA-9EED-53ADD16854B8}">
      <dgm:prSet/>
      <dgm:spPr/>
      <dgm:t>
        <a:bodyPr/>
        <a:lstStyle/>
        <a:p>
          <a:endParaRPr lang="en-AU"/>
        </a:p>
      </dgm:t>
    </dgm:pt>
    <dgm:pt modelId="{CFC0EC99-AC4D-4B3D-A43E-FD5CF65DD5D2}">
      <dgm:prSet custT="1"/>
      <dgm:spPr>
        <a:solidFill>
          <a:schemeClr val="accent1">
            <a:lumMod val="40000"/>
            <a:lumOff val="60000"/>
          </a:schemeClr>
        </a:solidFill>
      </dgm:spPr>
      <dgm:t>
        <a:bodyPr/>
        <a:lstStyle/>
        <a:p>
          <a:r>
            <a:rPr lang="en-AU" sz="1000" b="1">
              <a:solidFill>
                <a:sysClr val="windowText" lastClr="000000"/>
              </a:solidFill>
            </a:rPr>
            <a:t>Strategy : Nitrification inhibitor </a:t>
          </a:r>
        </a:p>
      </dgm:t>
    </dgm:pt>
    <dgm:pt modelId="{61532884-69A1-4046-BC23-60F91B124EEF}" type="parTrans" cxnId="{9914F833-89E3-4510-9B2F-D9ABE4F8A6BF}">
      <dgm:prSet/>
      <dgm:spPr/>
      <dgm:t>
        <a:bodyPr/>
        <a:lstStyle/>
        <a:p>
          <a:endParaRPr lang="en-AU"/>
        </a:p>
      </dgm:t>
    </dgm:pt>
    <dgm:pt modelId="{4F61F511-184A-4BBE-A170-154EE5892B82}" type="sibTrans" cxnId="{9914F833-89E3-4510-9B2F-D9ABE4F8A6BF}">
      <dgm:prSet/>
      <dgm:spPr/>
      <dgm:t>
        <a:bodyPr/>
        <a:lstStyle/>
        <a:p>
          <a:endParaRPr lang="en-AU"/>
        </a:p>
      </dgm:t>
    </dgm:pt>
    <dgm:pt modelId="{A4F463A6-10AD-4DF5-A649-BDDFB11043D2}">
      <dgm:prSet custT="1"/>
      <dgm:spPr>
        <a:solidFill>
          <a:schemeClr val="accent2">
            <a:lumMod val="20000"/>
            <a:lumOff val="80000"/>
          </a:schemeClr>
        </a:solidFill>
      </dgm:spPr>
      <dgm:t>
        <a:bodyPr/>
        <a:lstStyle/>
        <a:p>
          <a:r>
            <a:rPr lang="en-AU" sz="1100">
              <a:solidFill>
                <a:sysClr val="windowText" lastClr="000000"/>
              </a:solidFill>
            </a:rPr>
            <a:t>Reduce N intake in the diet to reduce urinary N content</a:t>
          </a:r>
        </a:p>
      </dgm:t>
    </dgm:pt>
    <dgm:pt modelId="{29FCA002-24EB-4CF6-9D18-0AE996611112}" type="parTrans" cxnId="{777A6E7F-7F3D-4C99-B64B-CCA1F520435B}">
      <dgm:prSet/>
      <dgm:spPr/>
      <dgm:t>
        <a:bodyPr/>
        <a:lstStyle/>
        <a:p>
          <a:endParaRPr lang="en-AU"/>
        </a:p>
      </dgm:t>
    </dgm:pt>
    <dgm:pt modelId="{F18F7B2E-BC0A-4914-9595-1F191A845E4C}" type="sibTrans" cxnId="{777A6E7F-7F3D-4C99-B64B-CCA1F520435B}">
      <dgm:prSet/>
      <dgm:spPr/>
      <dgm:t>
        <a:bodyPr/>
        <a:lstStyle/>
        <a:p>
          <a:endParaRPr lang="en-AU"/>
        </a:p>
      </dgm:t>
    </dgm:pt>
    <dgm:pt modelId="{93404F1D-526C-4104-91B7-698FB7EA6CA6}">
      <dgm:prSet custT="1"/>
      <dgm:spPr>
        <a:solidFill>
          <a:schemeClr val="accent3">
            <a:lumMod val="20000"/>
            <a:lumOff val="80000"/>
          </a:schemeClr>
        </a:solidFill>
      </dgm:spPr>
      <dgm:t>
        <a:bodyPr/>
        <a:lstStyle/>
        <a:p>
          <a:endParaRPr lang="en-AU" sz="800">
            <a:solidFill>
              <a:schemeClr val="tx1"/>
            </a:solidFill>
          </a:endParaRPr>
        </a:p>
      </dgm:t>
    </dgm:pt>
    <dgm:pt modelId="{680484F0-7ED2-4D03-B472-B15CCF594F74}" type="parTrans" cxnId="{B228FB83-7EF1-4DB2-8740-EEE44329E968}">
      <dgm:prSet/>
      <dgm:spPr/>
      <dgm:t>
        <a:bodyPr/>
        <a:lstStyle/>
        <a:p>
          <a:endParaRPr lang="en-AU"/>
        </a:p>
      </dgm:t>
    </dgm:pt>
    <dgm:pt modelId="{B9C08C13-E0CC-49BD-8B49-2896FB4C8445}" type="sibTrans" cxnId="{B228FB83-7EF1-4DB2-8740-EEE44329E968}">
      <dgm:prSet/>
      <dgm:spPr/>
      <dgm:t>
        <a:bodyPr/>
        <a:lstStyle/>
        <a:p>
          <a:endParaRPr lang="en-AU"/>
        </a:p>
      </dgm:t>
    </dgm:pt>
    <dgm:pt modelId="{F4F71F2B-64E5-41D4-9A50-6F5DB95362DB}">
      <dgm:prSet custT="1"/>
      <dgm:spPr>
        <a:solidFill>
          <a:schemeClr val="accent3">
            <a:lumMod val="40000"/>
            <a:lumOff val="60000"/>
          </a:schemeClr>
        </a:solidFill>
      </dgm:spPr>
      <dgm:t>
        <a:bodyPr/>
        <a:lstStyle/>
        <a:p>
          <a:endParaRPr lang="en-AU" sz="1000">
            <a:solidFill>
              <a:schemeClr val="tx1"/>
            </a:solidFill>
          </a:endParaRPr>
        </a:p>
      </dgm:t>
    </dgm:pt>
    <dgm:pt modelId="{58A31632-917E-49D7-AFBD-E57D2316433A}" type="parTrans" cxnId="{6DEF93FE-6942-402C-B8A3-ED6E42B1124C}">
      <dgm:prSet/>
      <dgm:spPr/>
      <dgm:t>
        <a:bodyPr/>
        <a:lstStyle/>
        <a:p>
          <a:endParaRPr lang="en-AU"/>
        </a:p>
      </dgm:t>
    </dgm:pt>
    <dgm:pt modelId="{9BEF8F28-B6A2-49C3-85F9-9F9DC4C31EE6}" type="sibTrans" cxnId="{6DEF93FE-6942-402C-B8A3-ED6E42B1124C}">
      <dgm:prSet/>
      <dgm:spPr/>
      <dgm:t>
        <a:bodyPr/>
        <a:lstStyle/>
        <a:p>
          <a:endParaRPr lang="en-AU"/>
        </a:p>
      </dgm:t>
    </dgm:pt>
    <dgm:pt modelId="{A3735C0A-0F4B-4F87-9A27-2A68DA50DD1D}">
      <dgm:prSet custT="1"/>
      <dgm:spPr>
        <a:solidFill>
          <a:schemeClr val="accent4">
            <a:lumMod val="40000"/>
            <a:lumOff val="60000"/>
          </a:schemeClr>
        </a:solidFill>
      </dgm:spPr>
      <dgm:t>
        <a:bodyPr/>
        <a:lstStyle/>
        <a:p>
          <a:endParaRPr lang="en-AU" sz="1000">
            <a:solidFill>
              <a:schemeClr val="tx1"/>
            </a:solidFill>
          </a:endParaRPr>
        </a:p>
      </dgm:t>
    </dgm:pt>
    <dgm:pt modelId="{580B13EF-F018-4BDE-B29A-A2DFEA6A52E3}" type="parTrans" cxnId="{6346F5D8-8056-4F3F-80B3-8E725D45A173}">
      <dgm:prSet/>
      <dgm:spPr/>
      <dgm:t>
        <a:bodyPr/>
        <a:lstStyle/>
        <a:p>
          <a:endParaRPr lang="en-AU"/>
        </a:p>
      </dgm:t>
    </dgm:pt>
    <dgm:pt modelId="{AFBE367A-B391-43C6-A3EB-23EEDF40EA78}" type="sibTrans" cxnId="{6346F5D8-8056-4F3F-80B3-8E725D45A173}">
      <dgm:prSet/>
      <dgm:spPr/>
      <dgm:t>
        <a:bodyPr/>
        <a:lstStyle/>
        <a:p>
          <a:endParaRPr lang="en-AU"/>
        </a:p>
      </dgm:t>
    </dgm:pt>
    <dgm:pt modelId="{737D705F-80C4-4CB5-9310-D870A56219B1}">
      <dgm:prSet custT="1"/>
      <dgm:spPr>
        <a:solidFill>
          <a:schemeClr val="accent1">
            <a:lumMod val="40000"/>
            <a:lumOff val="60000"/>
          </a:schemeClr>
        </a:solidFill>
      </dgm:spPr>
      <dgm:t>
        <a:bodyPr/>
        <a:lstStyle/>
        <a:p>
          <a:r>
            <a:rPr lang="en-AU" sz="1000" b="1">
              <a:solidFill>
                <a:schemeClr val="tx1"/>
              </a:solidFill>
            </a:rPr>
            <a:t>Strategy: Pasture species selection</a:t>
          </a:r>
        </a:p>
      </dgm:t>
    </dgm:pt>
    <dgm:pt modelId="{8A84A97B-D006-4D31-8800-37C9219F6F33}" type="parTrans" cxnId="{F33928D3-D6D5-41AA-8CC8-59A098BF5472}">
      <dgm:prSet/>
      <dgm:spPr/>
      <dgm:t>
        <a:bodyPr/>
        <a:lstStyle/>
        <a:p>
          <a:endParaRPr lang="en-AU"/>
        </a:p>
      </dgm:t>
    </dgm:pt>
    <dgm:pt modelId="{D8792806-0551-4721-AD68-9045AA7827C2}" type="sibTrans" cxnId="{F33928D3-D6D5-41AA-8CC8-59A098BF5472}">
      <dgm:prSet/>
      <dgm:spPr/>
      <dgm:t>
        <a:bodyPr/>
        <a:lstStyle/>
        <a:p>
          <a:endParaRPr lang="en-AU"/>
        </a:p>
      </dgm:t>
    </dgm:pt>
    <dgm:pt modelId="{9F05B197-0D87-43D1-885F-52BE174A76FE}">
      <dgm:prSet/>
      <dgm:spPr>
        <a:solidFill>
          <a:schemeClr val="tx2">
            <a:lumMod val="20000"/>
            <a:lumOff val="80000"/>
          </a:schemeClr>
        </a:solidFill>
      </dgm:spPr>
      <dgm:t>
        <a:bodyPr/>
        <a:lstStyle/>
        <a:p>
          <a:endParaRPr lang="en-AU"/>
        </a:p>
      </dgm:t>
    </dgm:pt>
    <dgm:pt modelId="{4344CC42-6997-4199-973C-47D90E3287A8}" type="parTrans" cxnId="{F671CDD4-618A-4259-961C-CECC28B2BD8B}">
      <dgm:prSet/>
      <dgm:spPr/>
      <dgm:t>
        <a:bodyPr/>
        <a:lstStyle/>
        <a:p>
          <a:endParaRPr lang="en-AU"/>
        </a:p>
      </dgm:t>
    </dgm:pt>
    <dgm:pt modelId="{BDCB486B-6761-4E67-A27B-8228FCD2DD52}" type="sibTrans" cxnId="{F671CDD4-618A-4259-961C-CECC28B2BD8B}">
      <dgm:prSet/>
      <dgm:spPr/>
      <dgm:t>
        <a:bodyPr/>
        <a:lstStyle/>
        <a:p>
          <a:endParaRPr lang="en-AU"/>
        </a:p>
      </dgm:t>
    </dgm:pt>
    <dgm:pt modelId="{4A2760D8-9B56-49DD-9AD7-318D5FEEDDE7}" type="pres">
      <dgm:prSet presAssocID="{AB4027A1-9C9E-42F6-8317-3DA6D571312E}" presName="hierChild1" presStyleCnt="0">
        <dgm:presLayoutVars>
          <dgm:orgChart val="1"/>
          <dgm:chPref val="1"/>
          <dgm:dir/>
          <dgm:animOne val="branch"/>
          <dgm:animLvl val="lvl"/>
          <dgm:resizeHandles/>
        </dgm:presLayoutVars>
      </dgm:prSet>
      <dgm:spPr/>
    </dgm:pt>
    <dgm:pt modelId="{5D82D2DE-D175-4965-A60D-6567861517E8}" type="pres">
      <dgm:prSet presAssocID="{3904B684-D811-4FAA-98ED-69AF90F8C4A4}" presName="hierRoot1" presStyleCnt="0">
        <dgm:presLayoutVars>
          <dgm:hierBranch val="init"/>
        </dgm:presLayoutVars>
      </dgm:prSet>
      <dgm:spPr/>
    </dgm:pt>
    <dgm:pt modelId="{AD4E8450-F3F1-4B5F-A7CB-16FBCBB6FF7A}" type="pres">
      <dgm:prSet presAssocID="{3904B684-D811-4FAA-98ED-69AF90F8C4A4}" presName="rootComposite1" presStyleCnt="0"/>
      <dgm:spPr/>
    </dgm:pt>
    <dgm:pt modelId="{4A2EABBF-349B-49C0-A0CB-41719314F2B5}" type="pres">
      <dgm:prSet presAssocID="{3904B684-D811-4FAA-98ED-69AF90F8C4A4}" presName="rootText1" presStyleLbl="node0" presStyleIdx="0" presStyleCnt="1" custScaleX="315093">
        <dgm:presLayoutVars>
          <dgm:chPref val="3"/>
        </dgm:presLayoutVars>
      </dgm:prSet>
      <dgm:spPr/>
    </dgm:pt>
    <dgm:pt modelId="{2F326E7E-C25C-417F-9084-225ACF9DFC5B}" type="pres">
      <dgm:prSet presAssocID="{3904B684-D811-4FAA-98ED-69AF90F8C4A4}" presName="rootConnector1" presStyleLbl="node1" presStyleIdx="0" presStyleCnt="0"/>
      <dgm:spPr/>
    </dgm:pt>
    <dgm:pt modelId="{1290AF74-D520-4D33-8E37-15C73193D36E}" type="pres">
      <dgm:prSet presAssocID="{3904B684-D811-4FAA-98ED-69AF90F8C4A4}" presName="hierChild2" presStyleCnt="0"/>
      <dgm:spPr/>
    </dgm:pt>
    <dgm:pt modelId="{E5C47380-3A60-4F1D-B3D0-9479EAA5CE27}" type="pres">
      <dgm:prSet presAssocID="{EE590B0F-CEBC-49C9-AEE1-2F1A44C2889E}" presName="Name37" presStyleLbl="parChTrans1D2" presStyleIdx="0" presStyleCnt="4"/>
      <dgm:spPr/>
    </dgm:pt>
    <dgm:pt modelId="{86104B34-337E-45A2-8C55-8596FBE94084}" type="pres">
      <dgm:prSet presAssocID="{C13E1972-9D6A-40C5-B7F1-4FA99DC39A5D}" presName="hierRoot2" presStyleCnt="0">
        <dgm:presLayoutVars>
          <dgm:hierBranch val="init"/>
        </dgm:presLayoutVars>
      </dgm:prSet>
      <dgm:spPr/>
    </dgm:pt>
    <dgm:pt modelId="{E4B96B6D-FDFF-4CF1-8926-9BCACCD299BD}" type="pres">
      <dgm:prSet presAssocID="{C13E1972-9D6A-40C5-B7F1-4FA99DC39A5D}" presName="rootComposite" presStyleCnt="0"/>
      <dgm:spPr/>
    </dgm:pt>
    <dgm:pt modelId="{6C4E4D41-488F-4AF9-84E4-3A3C4A0286AC}" type="pres">
      <dgm:prSet presAssocID="{C13E1972-9D6A-40C5-B7F1-4FA99DC39A5D}" presName="rootText" presStyleLbl="node2" presStyleIdx="0" presStyleCnt="4" custScaleX="150917">
        <dgm:presLayoutVars>
          <dgm:chPref val="3"/>
        </dgm:presLayoutVars>
      </dgm:prSet>
      <dgm:spPr/>
    </dgm:pt>
    <dgm:pt modelId="{7E01BC41-DF57-4826-9773-FA381A26D3CD}" type="pres">
      <dgm:prSet presAssocID="{C13E1972-9D6A-40C5-B7F1-4FA99DC39A5D}" presName="rootConnector" presStyleLbl="node2" presStyleIdx="0" presStyleCnt="4"/>
      <dgm:spPr/>
    </dgm:pt>
    <dgm:pt modelId="{D62E362A-CB2E-4981-BC21-A427F81B903C}" type="pres">
      <dgm:prSet presAssocID="{C13E1972-9D6A-40C5-B7F1-4FA99DC39A5D}" presName="hierChild4" presStyleCnt="0"/>
      <dgm:spPr/>
    </dgm:pt>
    <dgm:pt modelId="{678DBBD1-C51E-440A-B9CB-F81E3FE4C94C}" type="pres">
      <dgm:prSet presAssocID="{0DF2453D-B88C-4476-9906-984FFEE8D9D1}" presName="Name37" presStyleLbl="parChTrans1D3" presStyleIdx="0" presStyleCnt="4"/>
      <dgm:spPr/>
    </dgm:pt>
    <dgm:pt modelId="{0C5492E7-1093-41BE-A1BB-DB359106D806}" type="pres">
      <dgm:prSet presAssocID="{EE53CECF-0159-4A3E-9E53-59EA1EE7B945}" presName="hierRoot2" presStyleCnt="0">
        <dgm:presLayoutVars>
          <dgm:hierBranch val="init"/>
        </dgm:presLayoutVars>
      </dgm:prSet>
      <dgm:spPr/>
    </dgm:pt>
    <dgm:pt modelId="{9658DA5D-F7C9-40AA-ABE8-FA1B251A1F30}" type="pres">
      <dgm:prSet presAssocID="{EE53CECF-0159-4A3E-9E53-59EA1EE7B945}" presName="rootComposite" presStyleCnt="0"/>
      <dgm:spPr/>
    </dgm:pt>
    <dgm:pt modelId="{ECBA8F24-1EF8-4051-AA71-F1DB379438BE}" type="pres">
      <dgm:prSet presAssocID="{EE53CECF-0159-4A3E-9E53-59EA1EE7B945}" presName="rootText" presStyleLbl="node3" presStyleIdx="0" presStyleCnt="4" custScaleX="211450" custScaleY="150596" custLinFactNeighborY="-2084">
        <dgm:presLayoutVars>
          <dgm:chPref val="3"/>
        </dgm:presLayoutVars>
      </dgm:prSet>
      <dgm:spPr/>
    </dgm:pt>
    <dgm:pt modelId="{23DF4E2F-37E1-454D-889D-93E1EAE0BFD4}" type="pres">
      <dgm:prSet presAssocID="{EE53CECF-0159-4A3E-9E53-59EA1EE7B945}" presName="rootConnector" presStyleLbl="node3" presStyleIdx="0" presStyleCnt="4"/>
      <dgm:spPr/>
    </dgm:pt>
    <dgm:pt modelId="{BB4694F3-569A-47ED-92F9-64284772EEC0}" type="pres">
      <dgm:prSet presAssocID="{EE53CECF-0159-4A3E-9E53-59EA1EE7B945}" presName="hierChild4" presStyleCnt="0"/>
      <dgm:spPr/>
    </dgm:pt>
    <dgm:pt modelId="{1BEAF983-7B9E-40A4-BBB4-82D58B03A7FC}" type="pres">
      <dgm:prSet presAssocID="{ABC47020-6CAA-443C-AD0C-3602C8B06D12}" presName="Name37" presStyleLbl="parChTrans1D4" presStyleIdx="0" presStyleCnt="12"/>
      <dgm:spPr/>
    </dgm:pt>
    <dgm:pt modelId="{E2B2AB06-036F-44D2-A54C-B59CBAFDE391}" type="pres">
      <dgm:prSet presAssocID="{4CE40385-803B-4982-B1AE-C8EE08F0D3B9}" presName="hierRoot2" presStyleCnt="0">
        <dgm:presLayoutVars>
          <dgm:hierBranch val="init"/>
        </dgm:presLayoutVars>
      </dgm:prSet>
      <dgm:spPr/>
    </dgm:pt>
    <dgm:pt modelId="{939305A0-7258-48F2-AF1B-714CBCF68F0B}" type="pres">
      <dgm:prSet presAssocID="{4CE40385-803B-4982-B1AE-C8EE08F0D3B9}" presName="rootComposite" presStyleCnt="0"/>
      <dgm:spPr/>
    </dgm:pt>
    <dgm:pt modelId="{3B4922AD-AF1A-435F-A951-BC076C1DAA8B}" type="pres">
      <dgm:prSet presAssocID="{4CE40385-803B-4982-B1AE-C8EE08F0D3B9}" presName="rootText" presStyleLbl="node4" presStyleIdx="0" presStyleCnt="12" custScaleX="163710" custScaleY="123534">
        <dgm:presLayoutVars>
          <dgm:chPref val="3"/>
        </dgm:presLayoutVars>
      </dgm:prSet>
      <dgm:spPr/>
    </dgm:pt>
    <dgm:pt modelId="{B495E6C4-9AF9-4CDB-9A94-D97267DB5B6B}" type="pres">
      <dgm:prSet presAssocID="{4CE40385-803B-4982-B1AE-C8EE08F0D3B9}" presName="rootConnector" presStyleLbl="node4" presStyleIdx="0" presStyleCnt="12"/>
      <dgm:spPr/>
    </dgm:pt>
    <dgm:pt modelId="{8C036D6A-E9B7-4B74-91D7-92E92AC37781}" type="pres">
      <dgm:prSet presAssocID="{4CE40385-803B-4982-B1AE-C8EE08F0D3B9}" presName="hierChild4" presStyleCnt="0"/>
      <dgm:spPr/>
    </dgm:pt>
    <dgm:pt modelId="{297EE16D-B6D7-418B-BEC4-9193E9CA3C43}" type="pres">
      <dgm:prSet presAssocID="{184AFB3E-F66A-40C4-A790-7C77356158C1}" presName="Name37" presStyleLbl="parChTrans1D4" presStyleIdx="1" presStyleCnt="12"/>
      <dgm:spPr/>
    </dgm:pt>
    <dgm:pt modelId="{E41EFFCE-7FBE-494C-961B-314467F8B6D2}" type="pres">
      <dgm:prSet presAssocID="{98FB3FB6-098E-409C-AB08-6756AAEC4132}" presName="hierRoot2" presStyleCnt="0">
        <dgm:presLayoutVars>
          <dgm:hierBranch val="init"/>
        </dgm:presLayoutVars>
      </dgm:prSet>
      <dgm:spPr/>
    </dgm:pt>
    <dgm:pt modelId="{1D4D2426-1477-4F9F-B1B5-6ADF8B70FC6E}" type="pres">
      <dgm:prSet presAssocID="{98FB3FB6-098E-409C-AB08-6756AAEC4132}" presName="rootComposite" presStyleCnt="0"/>
      <dgm:spPr/>
    </dgm:pt>
    <dgm:pt modelId="{FF715FA8-AED8-4B5E-9BCD-81C3AA535045}" type="pres">
      <dgm:prSet presAssocID="{98FB3FB6-098E-409C-AB08-6756AAEC4132}" presName="rootText" presStyleLbl="node4" presStyleIdx="1" presStyleCnt="12" custScaleX="211725" custScaleY="118714">
        <dgm:presLayoutVars>
          <dgm:chPref val="3"/>
        </dgm:presLayoutVars>
      </dgm:prSet>
      <dgm:spPr/>
    </dgm:pt>
    <dgm:pt modelId="{29C4EAF3-77D0-4D55-A82F-6D1A0F14EA49}" type="pres">
      <dgm:prSet presAssocID="{98FB3FB6-098E-409C-AB08-6756AAEC4132}" presName="rootConnector" presStyleLbl="node4" presStyleIdx="1" presStyleCnt="12"/>
      <dgm:spPr/>
    </dgm:pt>
    <dgm:pt modelId="{C9149A77-3160-48DF-A896-491EDD0C04E8}" type="pres">
      <dgm:prSet presAssocID="{98FB3FB6-098E-409C-AB08-6756AAEC4132}" presName="hierChild4" presStyleCnt="0"/>
      <dgm:spPr/>
    </dgm:pt>
    <dgm:pt modelId="{4AF3245E-B283-4B3C-89B2-430FE9023603}" type="pres">
      <dgm:prSet presAssocID="{61532884-69A1-4046-BC23-60F91B124EEF}" presName="Name37" presStyleLbl="parChTrans1D4" presStyleIdx="2" presStyleCnt="12"/>
      <dgm:spPr/>
    </dgm:pt>
    <dgm:pt modelId="{CC8AFDED-D9C6-4214-81BF-D65679C48F86}" type="pres">
      <dgm:prSet presAssocID="{CFC0EC99-AC4D-4B3D-A43E-FD5CF65DD5D2}" presName="hierRoot2" presStyleCnt="0">
        <dgm:presLayoutVars>
          <dgm:hierBranch val="l"/>
        </dgm:presLayoutVars>
      </dgm:prSet>
      <dgm:spPr/>
    </dgm:pt>
    <dgm:pt modelId="{B98F956F-C6BB-4FEB-8A24-F2820DE6F34C}" type="pres">
      <dgm:prSet presAssocID="{CFC0EC99-AC4D-4B3D-A43E-FD5CF65DD5D2}" presName="rootComposite" presStyleCnt="0"/>
      <dgm:spPr/>
    </dgm:pt>
    <dgm:pt modelId="{2FBB06AF-45C3-4528-A95E-9597A5AECCF5}" type="pres">
      <dgm:prSet presAssocID="{CFC0EC99-AC4D-4B3D-A43E-FD5CF65DD5D2}" presName="rootText" presStyleLbl="node4" presStyleIdx="2" presStyleCnt="12" custScaleY="96235" custLinFactNeighborX="-16131" custLinFactNeighborY="-25138">
        <dgm:presLayoutVars>
          <dgm:chPref val="3"/>
        </dgm:presLayoutVars>
      </dgm:prSet>
      <dgm:spPr/>
    </dgm:pt>
    <dgm:pt modelId="{DFA67A23-87B1-4D69-AE96-6448EE96E4AD}" type="pres">
      <dgm:prSet presAssocID="{CFC0EC99-AC4D-4B3D-A43E-FD5CF65DD5D2}" presName="rootConnector" presStyleLbl="node4" presStyleIdx="2" presStyleCnt="12"/>
      <dgm:spPr/>
    </dgm:pt>
    <dgm:pt modelId="{D5D0D9A9-134E-4E0F-9DA2-49258E05D5E9}" type="pres">
      <dgm:prSet presAssocID="{CFC0EC99-AC4D-4B3D-A43E-FD5CF65DD5D2}" presName="hierChild4" presStyleCnt="0"/>
      <dgm:spPr/>
    </dgm:pt>
    <dgm:pt modelId="{5408E322-481F-485C-896B-7F2640E8D288}" type="pres">
      <dgm:prSet presAssocID="{CFC0EC99-AC4D-4B3D-A43E-FD5CF65DD5D2}" presName="hierChild5" presStyleCnt="0"/>
      <dgm:spPr/>
    </dgm:pt>
    <dgm:pt modelId="{72E8040B-CA7A-418E-9ECC-5248BAE32ECF}" type="pres">
      <dgm:prSet presAssocID="{98FB3FB6-098E-409C-AB08-6756AAEC4132}" presName="hierChild5" presStyleCnt="0"/>
      <dgm:spPr/>
    </dgm:pt>
    <dgm:pt modelId="{D6675EB3-F9F3-46E6-87F0-FAC6EA913646}" type="pres">
      <dgm:prSet presAssocID="{4CE40385-803B-4982-B1AE-C8EE08F0D3B9}" presName="hierChild5" presStyleCnt="0"/>
      <dgm:spPr/>
    </dgm:pt>
    <dgm:pt modelId="{F2096B0F-B2D1-46B9-828D-1E34FED59185}" type="pres">
      <dgm:prSet presAssocID="{EE53CECF-0159-4A3E-9E53-59EA1EE7B945}" presName="hierChild5" presStyleCnt="0"/>
      <dgm:spPr/>
    </dgm:pt>
    <dgm:pt modelId="{3FCEC057-2FF1-4CEC-8551-032C5D24C6E1}" type="pres">
      <dgm:prSet presAssocID="{C13E1972-9D6A-40C5-B7F1-4FA99DC39A5D}" presName="hierChild5" presStyleCnt="0"/>
      <dgm:spPr/>
    </dgm:pt>
    <dgm:pt modelId="{8DAFCA34-1B87-41BB-AB9C-8C899E4C438D}" type="pres">
      <dgm:prSet presAssocID="{DD206DED-7FC5-4EEA-8C87-BF6615CC14B0}" presName="Name37" presStyleLbl="parChTrans1D2" presStyleIdx="1" presStyleCnt="4"/>
      <dgm:spPr/>
    </dgm:pt>
    <dgm:pt modelId="{A6643AF8-BF59-4685-A7B2-9C80CCFA7D40}" type="pres">
      <dgm:prSet presAssocID="{93A36F70-6CFA-4EF3-8917-CF33D892AD2B}" presName="hierRoot2" presStyleCnt="0">
        <dgm:presLayoutVars>
          <dgm:hierBranch val="init"/>
        </dgm:presLayoutVars>
      </dgm:prSet>
      <dgm:spPr/>
    </dgm:pt>
    <dgm:pt modelId="{0AE84D4A-A086-4A3A-9DD8-6840582C05F1}" type="pres">
      <dgm:prSet presAssocID="{93A36F70-6CFA-4EF3-8917-CF33D892AD2B}" presName="rootComposite" presStyleCnt="0"/>
      <dgm:spPr/>
    </dgm:pt>
    <dgm:pt modelId="{BE4DAEA6-7F22-4DC7-81FD-88D797CCE989}" type="pres">
      <dgm:prSet presAssocID="{93A36F70-6CFA-4EF3-8917-CF33D892AD2B}" presName="rootText" presStyleLbl="node2" presStyleIdx="1" presStyleCnt="4" custScaleX="135426" custLinFactNeighborX="4689">
        <dgm:presLayoutVars>
          <dgm:chPref val="3"/>
        </dgm:presLayoutVars>
      </dgm:prSet>
      <dgm:spPr/>
    </dgm:pt>
    <dgm:pt modelId="{692147EF-7C3D-47F2-9967-73AF7803245F}" type="pres">
      <dgm:prSet presAssocID="{93A36F70-6CFA-4EF3-8917-CF33D892AD2B}" presName="rootConnector" presStyleLbl="node2" presStyleIdx="1" presStyleCnt="4"/>
      <dgm:spPr/>
    </dgm:pt>
    <dgm:pt modelId="{7082E8CB-A295-41B2-86B4-8F549C5B4EBD}" type="pres">
      <dgm:prSet presAssocID="{93A36F70-6CFA-4EF3-8917-CF33D892AD2B}" presName="hierChild4" presStyleCnt="0"/>
      <dgm:spPr/>
    </dgm:pt>
    <dgm:pt modelId="{2C5481D4-6F0F-4826-AAA2-34E9624D1255}" type="pres">
      <dgm:prSet presAssocID="{ED763B38-1452-435A-831E-0529E51E153D}" presName="Name37" presStyleLbl="parChTrans1D3" presStyleIdx="1" presStyleCnt="4"/>
      <dgm:spPr/>
    </dgm:pt>
    <dgm:pt modelId="{F0DD0982-BEA6-4D70-AF3B-0AA4AA92E47B}" type="pres">
      <dgm:prSet presAssocID="{3F2837BE-7DB0-4240-97FA-5D38AA7C0DF0}" presName="hierRoot2" presStyleCnt="0">
        <dgm:presLayoutVars>
          <dgm:hierBranch val="init"/>
        </dgm:presLayoutVars>
      </dgm:prSet>
      <dgm:spPr/>
    </dgm:pt>
    <dgm:pt modelId="{99B54681-733F-4DDC-90EB-69AF05D7F8CA}" type="pres">
      <dgm:prSet presAssocID="{3F2837BE-7DB0-4240-97FA-5D38AA7C0DF0}" presName="rootComposite" presStyleCnt="0"/>
      <dgm:spPr/>
    </dgm:pt>
    <dgm:pt modelId="{955DF2CB-8C32-487F-8CE4-5634CE1C1457}" type="pres">
      <dgm:prSet presAssocID="{3F2837BE-7DB0-4240-97FA-5D38AA7C0DF0}" presName="rootText" presStyleLbl="node3" presStyleIdx="1" presStyleCnt="4" custScaleX="207030" custScaleY="150376" custLinFactNeighborX="4689" custLinFactNeighborY="-3520">
        <dgm:presLayoutVars>
          <dgm:chPref val="3"/>
        </dgm:presLayoutVars>
      </dgm:prSet>
      <dgm:spPr/>
    </dgm:pt>
    <dgm:pt modelId="{55201589-E569-4CAD-AC99-0497FCF263F6}" type="pres">
      <dgm:prSet presAssocID="{3F2837BE-7DB0-4240-97FA-5D38AA7C0DF0}" presName="rootConnector" presStyleLbl="node3" presStyleIdx="1" presStyleCnt="4"/>
      <dgm:spPr/>
    </dgm:pt>
    <dgm:pt modelId="{ED1D290A-9272-48F1-8AF8-BBA8E72EDB35}" type="pres">
      <dgm:prSet presAssocID="{3F2837BE-7DB0-4240-97FA-5D38AA7C0DF0}" presName="hierChild4" presStyleCnt="0"/>
      <dgm:spPr/>
    </dgm:pt>
    <dgm:pt modelId="{B3A2FCF6-BDDC-43A1-B4B4-7465EEB351F9}" type="pres">
      <dgm:prSet presAssocID="{036BBA54-C30F-4318-8E02-C38D689AE49F}" presName="Name37" presStyleLbl="parChTrans1D4" presStyleIdx="3" presStyleCnt="12"/>
      <dgm:spPr/>
    </dgm:pt>
    <dgm:pt modelId="{528FA10A-4857-4463-9731-4AEDA3A2084F}" type="pres">
      <dgm:prSet presAssocID="{D853020C-DEA9-492C-A09C-8010E74E4939}" presName="hierRoot2" presStyleCnt="0">
        <dgm:presLayoutVars>
          <dgm:hierBranch val="init"/>
        </dgm:presLayoutVars>
      </dgm:prSet>
      <dgm:spPr/>
    </dgm:pt>
    <dgm:pt modelId="{A0BBEE0B-C95A-4C29-AFB5-552AA969DEC5}" type="pres">
      <dgm:prSet presAssocID="{D853020C-DEA9-492C-A09C-8010E74E4939}" presName="rootComposite" presStyleCnt="0"/>
      <dgm:spPr/>
    </dgm:pt>
    <dgm:pt modelId="{3CCA5876-8A27-4F35-AD95-6BF0D45B8EAB}" type="pres">
      <dgm:prSet presAssocID="{D853020C-DEA9-492C-A09C-8010E74E4939}" presName="rootText" presStyleLbl="node4" presStyleIdx="3" presStyleCnt="12" custScaleX="187424" custScaleY="123186" custLinFactNeighborX="4689">
        <dgm:presLayoutVars>
          <dgm:chPref val="3"/>
        </dgm:presLayoutVars>
      </dgm:prSet>
      <dgm:spPr/>
    </dgm:pt>
    <dgm:pt modelId="{CFAF05B6-DE0F-4D93-8BD4-F6958633D3E3}" type="pres">
      <dgm:prSet presAssocID="{D853020C-DEA9-492C-A09C-8010E74E4939}" presName="rootConnector" presStyleLbl="node4" presStyleIdx="3" presStyleCnt="12"/>
      <dgm:spPr/>
    </dgm:pt>
    <dgm:pt modelId="{73C23942-2DFB-4388-BBCA-12834EB398A6}" type="pres">
      <dgm:prSet presAssocID="{D853020C-DEA9-492C-A09C-8010E74E4939}" presName="hierChild4" presStyleCnt="0"/>
      <dgm:spPr/>
    </dgm:pt>
    <dgm:pt modelId="{5DB911DD-B1FB-4709-B564-E88699AF4550}" type="pres">
      <dgm:prSet presAssocID="{FFFC5664-134A-4D10-A422-28E9F3FDC00F}" presName="Name37" presStyleLbl="parChTrans1D4" presStyleIdx="4" presStyleCnt="12"/>
      <dgm:spPr/>
    </dgm:pt>
    <dgm:pt modelId="{3ADA63C1-4F49-4DB3-9C5C-30DCB8787A9E}" type="pres">
      <dgm:prSet presAssocID="{E9CAD23E-388D-4F66-A915-36321F3FEFEA}" presName="hierRoot2" presStyleCnt="0">
        <dgm:presLayoutVars>
          <dgm:hierBranch val="init"/>
        </dgm:presLayoutVars>
      </dgm:prSet>
      <dgm:spPr/>
    </dgm:pt>
    <dgm:pt modelId="{85C38929-9147-4CE4-A22A-26D877DC99DF}" type="pres">
      <dgm:prSet presAssocID="{E9CAD23E-388D-4F66-A915-36321F3FEFEA}" presName="rootComposite" presStyleCnt="0"/>
      <dgm:spPr/>
    </dgm:pt>
    <dgm:pt modelId="{9F651233-C707-483D-B969-3DD45DADA596}" type="pres">
      <dgm:prSet presAssocID="{E9CAD23E-388D-4F66-A915-36321F3FEFEA}" presName="rootText" presStyleLbl="node4" presStyleIdx="4" presStyleCnt="12" custScaleX="190362" custScaleY="132492" custLinFactNeighborX="4689">
        <dgm:presLayoutVars>
          <dgm:chPref val="3"/>
        </dgm:presLayoutVars>
      </dgm:prSet>
      <dgm:spPr/>
    </dgm:pt>
    <dgm:pt modelId="{D9A5E4F9-DFC5-477D-B2F2-C92E83D40FDA}" type="pres">
      <dgm:prSet presAssocID="{E9CAD23E-388D-4F66-A915-36321F3FEFEA}" presName="rootConnector" presStyleLbl="node4" presStyleIdx="4" presStyleCnt="12"/>
      <dgm:spPr/>
    </dgm:pt>
    <dgm:pt modelId="{E6A4673C-DA52-4EF6-9513-6B66F19EC248}" type="pres">
      <dgm:prSet presAssocID="{E9CAD23E-388D-4F66-A915-36321F3FEFEA}" presName="hierChild4" presStyleCnt="0"/>
      <dgm:spPr/>
    </dgm:pt>
    <dgm:pt modelId="{5ED4746F-DC73-46C2-B7E2-156C7C658148}" type="pres">
      <dgm:prSet presAssocID="{439280A1-7D3A-491D-9BCD-03F68A89A939}" presName="Name37" presStyleLbl="parChTrans1D4" presStyleIdx="5" presStyleCnt="12"/>
      <dgm:spPr/>
    </dgm:pt>
    <dgm:pt modelId="{DA504AB5-7206-4AE0-B8D3-36E9F58FEF17}" type="pres">
      <dgm:prSet presAssocID="{D818CA55-5845-4510-8199-51B5D4EAC96D}" presName="hierRoot2" presStyleCnt="0">
        <dgm:presLayoutVars>
          <dgm:hierBranch val="init"/>
        </dgm:presLayoutVars>
      </dgm:prSet>
      <dgm:spPr/>
    </dgm:pt>
    <dgm:pt modelId="{24DC36A2-4A24-43DA-A3F3-BCD2CD71A87D}" type="pres">
      <dgm:prSet presAssocID="{D818CA55-5845-4510-8199-51B5D4EAC96D}" presName="rootComposite" presStyleCnt="0"/>
      <dgm:spPr/>
    </dgm:pt>
    <dgm:pt modelId="{43D5122B-5DCF-4B51-8333-74EDBD2CC2AE}" type="pres">
      <dgm:prSet presAssocID="{D818CA55-5845-4510-8199-51B5D4EAC96D}" presName="rootText" presStyleLbl="node4" presStyleIdx="5" presStyleCnt="12">
        <dgm:presLayoutVars>
          <dgm:chPref val="3"/>
        </dgm:presLayoutVars>
      </dgm:prSet>
      <dgm:spPr/>
    </dgm:pt>
    <dgm:pt modelId="{F40D34D8-021A-4483-AE5D-5B75445580C1}" type="pres">
      <dgm:prSet presAssocID="{D818CA55-5845-4510-8199-51B5D4EAC96D}" presName="rootConnector" presStyleLbl="node4" presStyleIdx="5" presStyleCnt="12"/>
      <dgm:spPr/>
    </dgm:pt>
    <dgm:pt modelId="{6837A594-4601-4229-BB57-FF4657A81B58}" type="pres">
      <dgm:prSet presAssocID="{D818CA55-5845-4510-8199-51B5D4EAC96D}" presName="hierChild4" presStyleCnt="0"/>
      <dgm:spPr/>
    </dgm:pt>
    <dgm:pt modelId="{76B7733F-4FAB-4445-B340-C2D72056007F}" type="pres">
      <dgm:prSet presAssocID="{D818CA55-5845-4510-8199-51B5D4EAC96D}" presName="hierChild5" presStyleCnt="0"/>
      <dgm:spPr/>
    </dgm:pt>
    <dgm:pt modelId="{0C749B28-FB97-4C5D-98AC-A97E4B6FCB62}" type="pres">
      <dgm:prSet presAssocID="{E9CAD23E-388D-4F66-A915-36321F3FEFEA}" presName="hierChild5" presStyleCnt="0"/>
      <dgm:spPr/>
    </dgm:pt>
    <dgm:pt modelId="{9C1B1DE0-D9E2-43B0-B811-5FBE758A51B0}" type="pres">
      <dgm:prSet presAssocID="{D853020C-DEA9-492C-A09C-8010E74E4939}" presName="hierChild5" presStyleCnt="0"/>
      <dgm:spPr/>
    </dgm:pt>
    <dgm:pt modelId="{03F447ED-C503-4CE4-9019-B168D0082A88}" type="pres">
      <dgm:prSet presAssocID="{3F2837BE-7DB0-4240-97FA-5D38AA7C0DF0}" presName="hierChild5" presStyleCnt="0"/>
      <dgm:spPr/>
    </dgm:pt>
    <dgm:pt modelId="{59850EB0-2A80-48BE-9B91-ACD7D720D3B3}" type="pres">
      <dgm:prSet presAssocID="{93A36F70-6CFA-4EF3-8917-CF33D892AD2B}" presName="hierChild5" presStyleCnt="0"/>
      <dgm:spPr/>
    </dgm:pt>
    <dgm:pt modelId="{F8F878DE-3698-49C4-866C-9D6D49B690BF}" type="pres">
      <dgm:prSet presAssocID="{9DC5AD1F-70F0-41C6-BB2E-9D3B683019F0}" presName="Name37" presStyleLbl="parChTrans1D2" presStyleIdx="2" presStyleCnt="4"/>
      <dgm:spPr/>
    </dgm:pt>
    <dgm:pt modelId="{71D1FAC7-6D16-429C-B01D-3C3E13E5743F}" type="pres">
      <dgm:prSet presAssocID="{ACAD03E5-6C76-40D2-8C7B-229FD5378AF9}" presName="hierRoot2" presStyleCnt="0">
        <dgm:presLayoutVars>
          <dgm:hierBranch val="init"/>
        </dgm:presLayoutVars>
      </dgm:prSet>
      <dgm:spPr/>
    </dgm:pt>
    <dgm:pt modelId="{B54C6A21-DA4A-452C-9EA3-211FAD5978D6}" type="pres">
      <dgm:prSet presAssocID="{ACAD03E5-6C76-40D2-8C7B-229FD5378AF9}" presName="rootComposite" presStyleCnt="0"/>
      <dgm:spPr/>
    </dgm:pt>
    <dgm:pt modelId="{FF0C1041-3395-46E3-905D-0CC0094881D7}" type="pres">
      <dgm:prSet presAssocID="{ACAD03E5-6C76-40D2-8C7B-229FD5378AF9}" presName="rootText" presStyleLbl="node2" presStyleIdx="2" presStyleCnt="4" custScaleX="174869">
        <dgm:presLayoutVars>
          <dgm:chPref val="3"/>
        </dgm:presLayoutVars>
      </dgm:prSet>
      <dgm:spPr/>
    </dgm:pt>
    <dgm:pt modelId="{5031D92B-3977-49E6-8FF5-A4B3BF7D427B}" type="pres">
      <dgm:prSet presAssocID="{ACAD03E5-6C76-40D2-8C7B-229FD5378AF9}" presName="rootConnector" presStyleLbl="node2" presStyleIdx="2" presStyleCnt="4"/>
      <dgm:spPr/>
    </dgm:pt>
    <dgm:pt modelId="{DA443ED5-03E3-4890-B276-72FC2A10D9AC}" type="pres">
      <dgm:prSet presAssocID="{ACAD03E5-6C76-40D2-8C7B-229FD5378AF9}" presName="hierChild4" presStyleCnt="0"/>
      <dgm:spPr/>
    </dgm:pt>
    <dgm:pt modelId="{BF6D23CB-7F33-40BA-8290-9FE411A93557}" type="pres">
      <dgm:prSet presAssocID="{A6194704-638D-4E5B-BE58-520635DD1E10}" presName="Name37" presStyleLbl="parChTrans1D3" presStyleIdx="2" presStyleCnt="4"/>
      <dgm:spPr/>
    </dgm:pt>
    <dgm:pt modelId="{1575B795-3E3D-476F-A453-084380F48C0C}" type="pres">
      <dgm:prSet presAssocID="{CE41F070-B7FF-4D72-9779-CADB9ECDB834}" presName="hierRoot2" presStyleCnt="0">
        <dgm:presLayoutVars>
          <dgm:hierBranch val="init"/>
        </dgm:presLayoutVars>
      </dgm:prSet>
      <dgm:spPr/>
    </dgm:pt>
    <dgm:pt modelId="{ADC6026A-68BD-4D33-A133-B4A06CFB811D}" type="pres">
      <dgm:prSet presAssocID="{CE41F070-B7FF-4D72-9779-CADB9ECDB834}" presName="rootComposite" presStyleCnt="0"/>
      <dgm:spPr/>
    </dgm:pt>
    <dgm:pt modelId="{1DC14DB0-20D9-44B1-9C0B-2CA2C56BE45F}" type="pres">
      <dgm:prSet presAssocID="{CE41F070-B7FF-4D72-9779-CADB9ECDB834}" presName="rootText" presStyleLbl="node3" presStyleIdx="2" presStyleCnt="4" custScaleX="196836" custScaleY="155997">
        <dgm:presLayoutVars>
          <dgm:chPref val="3"/>
        </dgm:presLayoutVars>
      </dgm:prSet>
      <dgm:spPr/>
    </dgm:pt>
    <dgm:pt modelId="{792FC1BD-339C-4C4A-AFFA-7E962E8BE8B1}" type="pres">
      <dgm:prSet presAssocID="{CE41F070-B7FF-4D72-9779-CADB9ECDB834}" presName="rootConnector" presStyleLbl="node3" presStyleIdx="2" presStyleCnt="4"/>
      <dgm:spPr/>
    </dgm:pt>
    <dgm:pt modelId="{A28D11C1-B104-4DD2-B0CA-7BE431819868}" type="pres">
      <dgm:prSet presAssocID="{CE41F070-B7FF-4D72-9779-CADB9ECDB834}" presName="hierChild4" presStyleCnt="0"/>
      <dgm:spPr/>
    </dgm:pt>
    <dgm:pt modelId="{B11EC0E0-1D04-4C22-B029-3C6F2288A749}" type="pres">
      <dgm:prSet presAssocID="{3C05564B-8AA3-456F-9C11-A63FD39E0DEB}" presName="Name37" presStyleLbl="parChTrans1D4" presStyleIdx="6" presStyleCnt="12"/>
      <dgm:spPr/>
    </dgm:pt>
    <dgm:pt modelId="{C2F3B412-3A1A-437D-BF9E-F74CFDD5C2CB}" type="pres">
      <dgm:prSet presAssocID="{A25AF142-8B54-443F-A5C1-12DBB16C659A}" presName="hierRoot2" presStyleCnt="0">
        <dgm:presLayoutVars>
          <dgm:hierBranch val="init"/>
        </dgm:presLayoutVars>
      </dgm:prSet>
      <dgm:spPr/>
    </dgm:pt>
    <dgm:pt modelId="{AB7224FE-6328-40D7-86A4-255F217B7408}" type="pres">
      <dgm:prSet presAssocID="{A25AF142-8B54-443F-A5C1-12DBB16C659A}" presName="rootComposite" presStyleCnt="0"/>
      <dgm:spPr/>
    </dgm:pt>
    <dgm:pt modelId="{B43F6C84-4113-4E97-946D-DA27B40F06CE}" type="pres">
      <dgm:prSet presAssocID="{A25AF142-8B54-443F-A5C1-12DBB16C659A}" presName="rootText" presStyleLbl="node4" presStyleIdx="6" presStyleCnt="12" custScaleX="195688" custScaleY="129506">
        <dgm:presLayoutVars>
          <dgm:chPref val="3"/>
        </dgm:presLayoutVars>
      </dgm:prSet>
      <dgm:spPr/>
    </dgm:pt>
    <dgm:pt modelId="{E2B14B52-158B-4517-8B41-3B7059D68FF1}" type="pres">
      <dgm:prSet presAssocID="{A25AF142-8B54-443F-A5C1-12DBB16C659A}" presName="rootConnector" presStyleLbl="node4" presStyleIdx="6" presStyleCnt="12"/>
      <dgm:spPr/>
    </dgm:pt>
    <dgm:pt modelId="{1718D16A-632D-444B-B429-D7B72BA2A9B9}" type="pres">
      <dgm:prSet presAssocID="{A25AF142-8B54-443F-A5C1-12DBB16C659A}" presName="hierChild4" presStyleCnt="0"/>
      <dgm:spPr/>
    </dgm:pt>
    <dgm:pt modelId="{38AA9563-A215-42CF-B8D1-2BE905529BCA}" type="pres">
      <dgm:prSet presAssocID="{A31182A2-12DA-42B6-BD6F-A8319CCDB153}" presName="Name37" presStyleLbl="parChTrans1D4" presStyleIdx="7" presStyleCnt="12"/>
      <dgm:spPr/>
    </dgm:pt>
    <dgm:pt modelId="{C6E491C5-257E-49BB-9FB6-10FD679C82D4}" type="pres">
      <dgm:prSet presAssocID="{4567E575-9C97-484A-8DF0-C51F9C3774CF}" presName="hierRoot2" presStyleCnt="0">
        <dgm:presLayoutVars>
          <dgm:hierBranch val="init"/>
        </dgm:presLayoutVars>
      </dgm:prSet>
      <dgm:spPr/>
    </dgm:pt>
    <dgm:pt modelId="{BEA0EF37-ECF1-40E8-9134-7ACA7DC0DC88}" type="pres">
      <dgm:prSet presAssocID="{4567E575-9C97-484A-8DF0-C51F9C3774CF}" presName="rootComposite" presStyleCnt="0"/>
      <dgm:spPr/>
    </dgm:pt>
    <dgm:pt modelId="{1E30188F-1A85-4769-94E5-DDF79B8DCAAA}" type="pres">
      <dgm:prSet presAssocID="{4567E575-9C97-484A-8DF0-C51F9C3774CF}" presName="rootText" presStyleLbl="node4" presStyleIdx="7" presStyleCnt="12" custScaleX="223122">
        <dgm:presLayoutVars>
          <dgm:chPref val="3"/>
        </dgm:presLayoutVars>
      </dgm:prSet>
      <dgm:spPr/>
    </dgm:pt>
    <dgm:pt modelId="{C1D61C69-C2CA-47EA-9680-6E5EC6D892E8}" type="pres">
      <dgm:prSet presAssocID="{4567E575-9C97-484A-8DF0-C51F9C3774CF}" presName="rootConnector" presStyleLbl="node4" presStyleIdx="7" presStyleCnt="12"/>
      <dgm:spPr/>
    </dgm:pt>
    <dgm:pt modelId="{A38CC7FF-57CC-4693-B002-75B2B67A7ECF}" type="pres">
      <dgm:prSet presAssocID="{4567E575-9C97-484A-8DF0-C51F9C3774CF}" presName="hierChild4" presStyleCnt="0"/>
      <dgm:spPr/>
    </dgm:pt>
    <dgm:pt modelId="{3E562180-6E1F-4119-862E-E280D1503BAA}" type="pres">
      <dgm:prSet presAssocID="{4344CC42-6997-4199-973C-47D90E3287A8}" presName="Name37" presStyleLbl="parChTrans1D4" presStyleIdx="8" presStyleCnt="12"/>
      <dgm:spPr/>
    </dgm:pt>
    <dgm:pt modelId="{951A510A-36E9-4F7F-BBE1-CDA42665841C}" type="pres">
      <dgm:prSet presAssocID="{9F05B197-0D87-43D1-885F-52BE174A76FE}" presName="hierRoot2" presStyleCnt="0">
        <dgm:presLayoutVars>
          <dgm:hierBranch val="init"/>
        </dgm:presLayoutVars>
      </dgm:prSet>
      <dgm:spPr/>
    </dgm:pt>
    <dgm:pt modelId="{2E7F541D-653B-48FB-9964-6116FBE18DB1}" type="pres">
      <dgm:prSet presAssocID="{9F05B197-0D87-43D1-885F-52BE174A76FE}" presName="rootComposite" presStyleCnt="0"/>
      <dgm:spPr/>
    </dgm:pt>
    <dgm:pt modelId="{1E9592AB-E990-4FA7-88C4-AB6C7BAF521F}" type="pres">
      <dgm:prSet presAssocID="{9F05B197-0D87-43D1-885F-52BE174A76FE}" presName="rootText" presStyleLbl="node4" presStyleIdx="8" presStyleCnt="12">
        <dgm:presLayoutVars>
          <dgm:chPref val="3"/>
        </dgm:presLayoutVars>
      </dgm:prSet>
      <dgm:spPr/>
    </dgm:pt>
    <dgm:pt modelId="{4F93A26A-9FB5-43BF-AA31-0C89BFE50D3D}" type="pres">
      <dgm:prSet presAssocID="{9F05B197-0D87-43D1-885F-52BE174A76FE}" presName="rootConnector" presStyleLbl="node4" presStyleIdx="8" presStyleCnt="12"/>
      <dgm:spPr/>
    </dgm:pt>
    <dgm:pt modelId="{88956BD9-099E-48B6-9174-46C58B7F749D}" type="pres">
      <dgm:prSet presAssocID="{9F05B197-0D87-43D1-885F-52BE174A76FE}" presName="hierChild4" presStyleCnt="0"/>
      <dgm:spPr/>
    </dgm:pt>
    <dgm:pt modelId="{52EA9945-C4BE-4AFD-85CE-CA55F8A6D767}" type="pres">
      <dgm:prSet presAssocID="{9F05B197-0D87-43D1-885F-52BE174A76FE}" presName="hierChild5" presStyleCnt="0"/>
      <dgm:spPr/>
    </dgm:pt>
    <dgm:pt modelId="{AB7F815F-C0A7-41BB-97A1-A7D59722B33C}" type="pres">
      <dgm:prSet presAssocID="{4567E575-9C97-484A-8DF0-C51F9C3774CF}" presName="hierChild5" presStyleCnt="0"/>
      <dgm:spPr/>
    </dgm:pt>
    <dgm:pt modelId="{70FB6A0E-47B6-417D-B0B2-EF3B0C0C11A0}" type="pres">
      <dgm:prSet presAssocID="{A25AF142-8B54-443F-A5C1-12DBB16C659A}" presName="hierChild5" presStyleCnt="0"/>
      <dgm:spPr/>
    </dgm:pt>
    <dgm:pt modelId="{BF25C0FB-7D70-4B06-B7D3-14222EB23B46}" type="pres">
      <dgm:prSet presAssocID="{CE41F070-B7FF-4D72-9779-CADB9ECDB834}" presName="hierChild5" presStyleCnt="0"/>
      <dgm:spPr/>
    </dgm:pt>
    <dgm:pt modelId="{504220EF-6CFA-4509-B724-FE48FEC0E42E}" type="pres">
      <dgm:prSet presAssocID="{ACAD03E5-6C76-40D2-8C7B-229FD5378AF9}" presName="hierChild5" presStyleCnt="0"/>
      <dgm:spPr/>
    </dgm:pt>
    <dgm:pt modelId="{BD24B26F-6C47-4034-A845-606AD47FE2A6}" type="pres">
      <dgm:prSet presAssocID="{29FCA002-24EB-4CF6-9D18-0AE996611112}" presName="Name37" presStyleLbl="parChTrans1D2" presStyleIdx="3" presStyleCnt="4"/>
      <dgm:spPr/>
    </dgm:pt>
    <dgm:pt modelId="{10C5B0F4-B5B7-49E3-987B-2BF7E2EFE96B}" type="pres">
      <dgm:prSet presAssocID="{A4F463A6-10AD-4DF5-A649-BDDFB11043D2}" presName="hierRoot2" presStyleCnt="0">
        <dgm:presLayoutVars>
          <dgm:hierBranch val="init"/>
        </dgm:presLayoutVars>
      </dgm:prSet>
      <dgm:spPr/>
    </dgm:pt>
    <dgm:pt modelId="{A23BC38B-A509-487C-AADE-70430CBE832D}" type="pres">
      <dgm:prSet presAssocID="{A4F463A6-10AD-4DF5-A649-BDDFB11043D2}" presName="rootComposite" presStyleCnt="0"/>
      <dgm:spPr/>
    </dgm:pt>
    <dgm:pt modelId="{A6962E8E-154C-4944-826F-1C22A6B96937}" type="pres">
      <dgm:prSet presAssocID="{A4F463A6-10AD-4DF5-A649-BDDFB11043D2}" presName="rootText" presStyleLbl="node2" presStyleIdx="3" presStyleCnt="4" custScaleX="174869">
        <dgm:presLayoutVars>
          <dgm:chPref val="3"/>
        </dgm:presLayoutVars>
      </dgm:prSet>
      <dgm:spPr/>
    </dgm:pt>
    <dgm:pt modelId="{D1F0879E-495B-442C-B02D-8478DC8D7D98}" type="pres">
      <dgm:prSet presAssocID="{A4F463A6-10AD-4DF5-A649-BDDFB11043D2}" presName="rootConnector" presStyleLbl="node2" presStyleIdx="3" presStyleCnt="4"/>
      <dgm:spPr/>
    </dgm:pt>
    <dgm:pt modelId="{ACAC2B07-6B77-4C21-AE63-F1556752BE85}" type="pres">
      <dgm:prSet presAssocID="{A4F463A6-10AD-4DF5-A649-BDDFB11043D2}" presName="hierChild4" presStyleCnt="0"/>
      <dgm:spPr/>
    </dgm:pt>
    <dgm:pt modelId="{698E6077-9225-45D9-AB17-A1B557DF0E18}" type="pres">
      <dgm:prSet presAssocID="{680484F0-7ED2-4D03-B472-B15CCF594F74}" presName="Name37" presStyleLbl="parChTrans1D3" presStyleIdx="3" presStyleCnt="4"/>
      <dgm:spPr/>
    </dgm:pt>
    <dgm:pt modelId="{4ADFF63E-5305-4F9D-95E3-74B7680B26EE}" type="pres">
      <dgm:prSet presAssocID="{93404F1D-526C-4104-91B7-698FB7EA6CA6}" presName="hierRoot2" presStyleCnt="0">
        <dgm:presLayoutVars>
          <dgm:hierBranch val="init"/>
        </dgm:presLayoutVars>
      </dgm:prSet>
      <dgm:spPr/>
    </dgm:pt>
    <dgm:pt modelId="{895D76AC-B498-4A02-8272-608A1C2980A1}" type="pres">
      <dgm:prSet presAssocID="{93404F1D-526C-4104-91B7-698FB7EA6CA6}" presName="rootComposite" presStyleCnt="0"/>
      <dgm:spPr/>
    </dgm:pt>
    <dgm:pt modelId="{938C4007-265A-4CB8-970F-C76131073387}" type="pres">
      <dgm:prSet presAssocID="{93404F1D-526C-4104-91B7-698FB7EA6CA6}" presName="rootText" presStyleLbl="node3" presStyleIdx="3" presStyleCnt="4" custScaleX="181066" custScaleY="146986">
        <dgm:presLayoutVars>
          <dgm:chPref val="3"/>
        </dgm:presLayoutVars>
      </dgm:prSet>
      <dgm:spPr/>
    </dgm:pt>
    <dgm:pt modelId="{479CED1F-8D75-4337-844A-DE309284C527}" type="pres">
      <dgm:prSet presAssocID="{93404F1D-526C-4104-91B7-698FB7EA6CA6}" presName="rootConnector" presStyleLbl="node3" presStyleIdx="3" presStyleCnt="4"/>
      <dgm:spPr/>
    </dgm:pt>
    <dgm:pt modelId="{ACDB48CA-D7AA-4987-8221-FE1C1C9A9376}" type="pres">
      <dgm:prSet presAssocID="{93404F1D-526C-4104-91B7-698FB7EA6CA6}" presName="hierChild4" presStyleCnt="0"/>
      <dgm:spPr/>
    </dgm:pt>
    <dgm:pt modelId="{84C51B1C-BE1B-4670-968C-D42D7C2F81E0}" type="pres">
      <dgm:prSet presAssocID="{58A31632-917E-49D7-AFBD-E57D2316433A}" presName="Name37" presStyleLbl="parChTrans1D4" presStyleIdx="9" presStyleCnt="12"/>
      <dgm:spPr/>
    </dgm:pt>
    <dgm:pt modelId="{AF282931-3129-4254-AC95-F0B7D78BE49F}" type="pres">
      <dgm:prSet presAssocID="{F4F71F2B-64E5-41D4-9A50-6F5DB95362DB}" presName="hierRoot2" presStyleCnt="0">
        <dgm:presLayoutVars>
          <dgm:hierBranch val="init"/>
        </dgm:presLayoutVars>
      </dgm:prSet>
      <dgm:spPr/>
    </dgm:pt>
    <dgm:pt modelId="{75F350EF-075D-4F0E-9695-138EDCB2EBBE}" type="pres">
      <dgm:prSet presAssocID="{F4F71F2B-64E5-41D4-9A50-6F5DB95362DB}" presName="rootComposite" presStyleCnt="0"/>
      <dgm:spPr/>
    </dgm:pt>
    <dgm:pt modelId="{49930909-EE16-4EEE-9A1A-087016A96041}" type="pres">
      <dgm:prSet presAssocID="{F4F71F2B-64E5-41D4-9A50-6F5DB95362DB}" presName="rootText" presStyleLbl="node4" presStyleIdx="9" presStyleCnt="12" custScaleX="183336" custScaleY="145933">
        <dgm:presLayoutVars>
          <dgm:chPref val="3"/>
        </dgm:presLayoutVars>
      </dgm:prSet>
      <dgm:spPr/>
    </dgm:pt>
    <dgm:pt modelId="{74E6EB56-1C39-46BD-BC44-43B53184B49F}" type="pres">
      <dgm:prSet presAssocID="{F4F71F2B-64E5-41D4-9A50-6F5DB95362DB}" presName="rootConnector" presStyleLbl="node4" presStyleIdx="9" presStyleCnt="12"/>
      <dgm:spPr/>
    </dgm:pt>
    <dgm:pt modelId="{E515A85B-DEF3-48E5-AB54-A3690B8DFEC6}" type="pres">
      <dgm:prSet presAssocID="{F4F71F2B-64E5-41D4-9A50-6F5DB95362DB}" presName="hierChild4" presStyleCnt="0"/>
      <dgm:spPr/>
    </dgm:pt>
    <dgm:pt modelId="{E5C8494D-3DC0-42A7-BD96-6CEFB7BF801B}" type="pres">
      <dgm:prSet presAssocID="{580B13EF-F018-4BDE-B29A-A2DFEA6A52E3}" presName="Name37" presStyleLbl="parChTrans1D4" presStyleIdx="10" presStyleCnt="12"/>
      <dgm:spPr/>
    </dgm:pt>
    <dgm:pt modelId="{4A3A0498-A147-48B5-AB6A-5CD0FDED0813}" type="pres">
      <dgm:prSet presAssocID="{A3735C0A-0F4B-4F87-9A27-2A68DA50DD1D}" presName="hierRoot2" presStyleCnt="0">
        <dgm:presLayoutVars>
          <dgm:hierBranch val="init"/>
        </dgm:presLayoutVars>
      </dgm:prSet>
      <dgm:spPr/>
    </dgm:pt>
    <dgm:pt modelId="{020F963D-4344-4A8B-8688-3894057414F9}" type="pres">
      <dgm:prSet presAssocID="{A3735C0A-0F4B-4F87-9A27-2A68DA50DD1D}" presName="rootComposite" presStyleCnt="0"/>
      <dgm:spPr/>
    </dgm:pt>
    <dgm:pt modelId="{72448E95-ABFD-4635-A416-031D24627E75}" type="pres">
      <dgm:prSet presAssocID="{A3735C0A-0F4B-4F87-9A27-2A68DA50DD1D}" presName="rootText" presStyleLbl="node4" presStyleIdx="10" presStyleCnt="12" custScaleX="182790">
        <dgm:presLayoutVars>
          <dgm:chPref val="3"/>
        </dgm:presLayoutVars>
      </dgm:prSet>
      <dgm:spPr/>
    </dgm:pt>
    <dgm:pt modelId="{EA6840A1-F3A7-4F48-8A1E-1770C3E79AA3}" type="pres">
      <dgm:prSet presAssocID="{A3735C0A-0F4B-4F87-9A27-2A68DA50DD1D}" presName="rootConnector" presStyleLbl="node4" presStyleIdx="10" presStyleCnt="12"/>
      <dgm:spPr/>
    </dgm:pt>
    <dgm:pt modelId="{CFE3A314-F428-409B-A007-F966EA799F5A}" type="pres">
      <dgm:prSet presAssocID="{A3735C0A-0F4B-4F87-9A27-2A68DA50DD1D}" presName="hierChild4" presStyleCnt="0"/>
      <dgm:spPr/>
    </dgm:pt>
    <dgm:pt modelId="{746419E4-008E-4198-8D50-40EB02E616E8}" type="pres">
      <dgm:prSet presAssocID="{8A84A97B-D006-4D31-8800-37C9219F6F33}" presName="Name37" presStyleLbl="parChTrans1D4" presStyleIdx="11" presStyleCnt="12"/>
      <dgm:spPr/>
    </dgm:pt>
    <dgm:pt modelId="{B608A6A2-8692-4E65-B53F-ACCFA1CD31EE}" type="pres">
      <dgm:prSet presAssocID="{737D705F-80C4-4CB5-9310-D870A56219B1}" presName="hierRoot2" presStyleCnt="0">
        <dgm:presLayoutVars>
          <dgm:hierBranch val="init"/>
        </dgm:presLayoutVars>
      </dgm:prSet>
      <dgm:spPr/>
    </dgm:pt>
    <dgm:pt modelId="{1AB5573F-27B3-479F-B2B7-19EDC4CEA956}" type="pres">
      <dgm:prSet presAssocID="{737D705F-80C4-4CB5-9310-D870A56219B1}" presName="rootComposite" presStyleCnt="0"/>
      <dgm:spPr/>
    </dgm:pt>
    <dgm:pt modelId="{7D72120F-5E12-4A77-976E-1B0604E596EA}" type="pres">
      <dgm:prSet presAssocID="{737D705F-80C4-4CB5-9310-D870A56219B1}" presName="rootText" presStyleLbl="node4" presStyleIdx="11" presStyleCnt="12">
        <dgm:presLayoutVars>
          <dgm:chPref val="3"/>
        </dgm:presLayoutVars>
      </dgm:prSet>
      <dgm:spPr/>
    </dgm:pt>
    <dgm:pt modelId="{827AF001-276B-4603-8362-22FF9C8CA66A}" type="pres">
      <dgm:prSet presAssocID="{737D705F-80C4-4CB5-9310-D870A56219B1}" presName="rootConnector" presStyleLbl="node4" presStyleIdx="11" presStyleCnt="12"/>
      <dgm:spPr/>
    </dgm:pt>
    <dgm:pt modelId="{B9481303-1663-4FE7-B9F0-C34B95E8F43C}" type="pres">
      <dgm:prSet presAssocID="{737D705F-80C4-4CB5-9310-D870A56219B1}" presName="hierChild4" presStyleCnt="0"/>
      <dgm:spPr/>
    </dgm:pt>
    <dgm:pt modelId="{E0FA9239-50D0-4C0C-BF78-013D0037888E}" type="pres">
      <dgm:prSet presAssocID="{737D705F-80C4-4CB5-9310-D870A56219B1}" presName="hierChild5" presStyleCnt="0"/>
      <dgm:spPr/>
    </dgm:pt>
    <dgm:pt modelId="{0DC5C66A-8C1A-42AD-B73B-C9CBF00B949B}" type="pres">
      <dgm:prSet presAssocID="{A3735C0A-0F4B-4F87-9A27-2A68DA50DD1D}" presName="hierChild5" presStyleCnt="0"/>
      <dgm:spPr/>
    </dgm:pt>
    <dgm:pt modelId="{D3277A40-EEE3-43B1-8EB1-D97D8A080F04}" type="pres">
      <dgm:prSet presAssocID="{F4F71F2B-64E5-41D4-9A50-6F5DB95362DB}" presName="hierChild5" presStyleCnt="0"/>
      <dgm:spPr/>
    </dgm:pt>
    <dgm:pt modelId="{9F8CD809-2BF7-4C88-8C42-79A8399A21F3}" type="pres">
      <dgm:prSet presAssocID="{93404F1D-526C-4104-91B7-698FB7EA6CA6}" presName="hierChild5" presStyleCnt="0"/>
      <dgm:spPr/>
    </dgm:pt>
    <dgm:pt modelId="{A53424E7-5E75-459C-B2FD-4A75D4414066}" type="pres">
      <dgm:prSet presAssocID="{A4F463A6-10AD-4DF5-A649-BDDFB11043D2}" presName="hierChild5" presStyleCnt="0"/>
      <dgm:spPr/>
    </dgm:pt>
    <dgm:pt modelId="{CDBDA6AF-F168-4F14-881E-377C73A06E59}" type="pres">
      <dgm:prSet presAssocID="{3904B684-D811-4FAA-98ED-69AF90F8C4A4}" presName="hierChild3" presStyleCnt="0"/>
      <dgm:spPr/>
    </dgm:pt>
  </dgm:ptLst>
  <dgm:cxnLst>
    <dgm:cxn modelId="{18148E06-112A-40D3-A0DB-F3565895366B}" type="presOf" srcId="{4CE40385-803B-4982-B1AE-C8EE08F0D3B9}" destId="{3B4922AD-AF1A-435F-A951-BC076C1DAA8B}" srcOrd="0" destOrd="0" presId="urn:microsoft.com/office/officeart/2005/8/layout/orgChart1"/>
    <dgm:cxn modelId="{C3493407-2E11-483A-B450-C35A0A5BBBC0}" type="presOf" srcId="{F4F71F2B-64E5-41D4-9A50-6F5DB95362DB}" destId="{74E6EB56-1C39-46BD-BC44-43B53184B49F}" srcOrd="1" destOrd="0" presId="urn:microsoft.com/office/officeart/2005/8/layout/orgChart1"/>
    <dgm:cxn modelId="{5EADCA0A-96A9-4D5D-B1BE-6EC102FFAF0B}" srcId="{E9CAD23E-388D-4F66-A915-36321F3FEFEA}" destId="{D818CA55-5845-4510-8199-51B5D4EAC96D}" srcOrd="0" destOrd="0" parTransId="{439280A1-7D3A-491D-9BCD-03F68A89A939}" sibTransId="{A7CAAC14-EE85-4149-9789-33F42DBBC4A6}"/>
    <dgm:cxn modelId="{B8B0220D-EB73-4241-A33B-06FBC57CD877}" type="presOf" srcId="{EE53CECF-0159-4A3E-9E53-59EA1EE7B945}" destId="{ECBA8F24-1EF8-4051-AA71-F1DB379438BE}" srcOrd="0" destOrd="0" presId="urn:microsoft.com/office/officeart/2005/8/layout/orgChart1"/>
    <dgm:cxn modelId="{F463A70D-DDBC-4D8C-97E8-4DDBA3CE2C3C}" type="presOf" srcId="{AB4027A1-9C9E-42F6-8317-3DA6D571312E}" destId="{4A2760D8-9B56-49DD-9AD7-318D5FEEDDE7}" srcOrd="0" destOrd="0" presId="urn:microsoft.com/office/officeart/2005/8/layout/orgChart1"/>
    <dgm:cxn modelId="{5E2DC90E-C791-4B19-877D-D57F49C8FEA4}" type="presOf" srcId="{EE590B0F-CEBC-49C9-AEE1-2F1A44C2889E}" destId="{E5C47380-3A60-4F1D-B3D0-9479EAA5CE27}" srcOrd="0" destOrd="0" presId="urn:microsoft.com/office/officeart/2005/8/layout/orgChart1"/>
    <dgm:cxn modelId="{DECB260F-7AD6-4E10-A4DF-391174935EAB}" type="presOf" srcId="{61532884-69A1-4046-BC23-60F91B124EEF}" destId="{4AF3245E-B283-4B3C-89B2-430FE9023603}" srcOrd="0" destOrd="0" presId="urn:microsoft.com/office/officeart/2005/8/layout/orgChart1"/>
    <dgm:cxn modelId="{5C4A6E12-759D-4170-A4CB-57CB58325C67}" type="presOf" srcId="{0DF2453D-B88C-4476-9906-984FFEE8D9D1}" destId="{678DBBD1-C51E-440A-B9CB-F81E3FE4C94C}" srcOrd="0" destOrd="0" presId="urn:microsoft.com/office/officeart/2005/8/layout/orgChart1"/>
    <dgm:cxn modelId="{1E075F17-9724-45CA-9EED-53ADD16854B8}" srcId="{A25AF142-8B54-443F-A5C1-12DBB16C659A}" destId="{4567E575-9C97-484A-8DF0-C51F9C3774CF}" srcOrd="0" destOrd="0" parTransId="{A31182A2-12DA-42B6-BD6F-A8319CCDB153}" sibTransId="{E1E3E4C0-3405-43D9-B045-3631525755EA}"/>
    <dgm:cxn modelId="{36A0381D-1EEB-4626-8E12-58073D71C15E}" type="presOf" srcId="{98FB3FB6-098E-409C-AB08-6756AAEC4132}" destId="{29C4EAF3-77D0-4D55-A82F-6D1A0F14EA49}" srcOrd="1" destOrd="0" presId="urn:microsoft.com/office/officeart/2005/8/layout/orgChart1"/>
    <dgm:cxn modelId="{64B4731F-943E-4688-B290-7A306FCFE823}" srcId="{3904B684-D811-4FAA-98ED-69AF90F8C4A4}" destId="{93A36F70-6CFA-4EF3-8917-CF33D892AD2B}" srcOrd="1" destOrd="0" parTransId="{DD206DED-7FC5-4EEA-8C87-BF6615CC14B0}" sibTransId="{DB2DEC31-D6D5-4E4B-B011-8EFD542E285A}"/>
    <dgm:cxn modelId="{BF71F523-D38E-4B30-A45A-61702899DCB3}" srcId="{EE53CECF-0159-4A3E-9E53-59EA1EE7B945}" destId="{4CE40385-803B-4982-B1AE-C8EE08F0D3B9}" srcOrd="0" destOrd="0" parTransId="{ABC47020-6CAA-443C-AD0C-3602C8B06D12}" sibTransId="{07EB3123-AB1F-483F-A3F2-6037962EFECE}"/>
    <dgm:cxn modelId="{756E6A25-5783-42DE-91EE-B3BC68E98CEE}" type="presOf" srcId="{DD206DED-7FC5-4EEA-8C87-BF6615CC14B0}" destId="{8DAFCA34-1B87-41BB-AB9C-8C899E4C438D}" srcOrd="0" destOrd="0" presId="urn:microsoft.com/office/officeart/2005/8/layout/orgChart1"/>
    <dgm:cxn modelId="{66C65E27-AF68-400A-B504-326D3A5E9F66}" srcId="{3F2837BE-7DB0-4240-97FA-5D38AA7C0DF0}" destId="{D853020C-DEA9-492C-A09C-8010E74E4939}" srcOrd="0" destOrd="0" parTransId="{036BBA54-C30F-4318-8E02-C38D689AE49F}" sibTransId="{13C4BAD1-5B7B-4582-B7FA-7F6D1AD7B20B}"/>
    <dgm:cxn modelId="{C513592B-6C7D-44D4-BFD9-B4F0E1226FC1}" type="presOf" srcId="{C13E1972-9D6A-40C5-B7F1-4FA99DC39A5D}" destId="{6C4E4D41-488F-4AF9-84E4-3A3C4A0286AC}" srcOrd="0" destOrd="0" presId="urn:microsoft.com/office/officeart/2005/8/layout/orgChart1"/>
    <dgm:cxn modelId="{947F8131-E63F-4C26-BFA3-957E012A9F1C}" srcId="{3904B684-D811-4FAA-98ED-69AF90F8C4A4}" destId="{C13E1972-9D6A-40C5-B7F1-4FA99DC39A5D}" srcOrd="0" destOrd="0" parTransId="{EE590B0F-CEBC-49C9-AEE1-2F1A44C2889E}" sibTransId="{E7F0BBED-42DD-49FB-9E83-F9817DE09AEE}"/>
    <dgm:cxn modelId="{16508233-6CF8-43CF-9D3C-E40BA09CD60C}" type="presOf" srcId="{3904B684-D811-4FAA-98ED-69AF90F8C4A4}" destId="{2F326E7E-C25C-417F-9084-225ACF9DFC5B}" srcOrd="1" destOrd="0" presId="urn:microsoft.com/office/officeart/2005/8/layout/orgChart1"/>
    <dgm:cxn modelId="{9914F833-89E3-4510-9B2F-D9ABE4F8A6BF}" srcId="{98FB3FB6-098E-409C-AB08-6756AAEC4132}" destId="{CFC0EC99-AC4D-4B3D-A43E-FD5CF65DD5D2}" srcOrd="0" destOrd="0" parTransId="{61532884-69A1-4046-BC23-60F91B124EEF}" sibTransId="{4F61F511-184A-4BBE-A170-154EE5892B82}"/>
    <dgm:cxn modelId="{7E50D63D-9745-4F76-A95D-7B2EB7741722}" type="presOf" srcId="{93404F1D-526C-4104-91B7-698FB7EA6CA6}" destId="{938C4007-265A-4CB8-970F-C76131073387}" srcOrd="0" destOrd="0" presId="urn:microsoft.com/office/officeart/2005/8/layout/orgChart1"/>
    <dgm:cxn modelId="{C021673F-7E9B-4C43-8684-8ABC57B1861C}" type="presOf" srcId="{A3735C0A-0F4B-4F87-9A27-2A68DA50DD1D}" destId="{72448E95-ABFD-4635-A416-031D24627E75}" srcOrd="0" destOrd="0" presId="urn:microsoft.com/office/officeart/2005/8/layout/orgChart1"/>
    <dgm:cxn modelId="{21442E62-F232-4B71-BA92-12909516010F}" type="presOf" srcId="{ACAD03E5-6C76-40D2-8C7B-229FD5378AF9}" destId="{5031D92B-3977-49E6-8FF5-A4B3BF7D427B}" srcOrd="1" destOrd="0" presId="urn:microsoft.com/office/officeart/2005/8/layout/orgChart1"/>
    <dgm:cxn modelId="{D9122E64-0223-4048-89ED-06AA049D37EB}" type="presOf" srcId="{184AFB3E-F66A-40C4-A790-7C77356158C1}" destId="{297EE16D-B6D7-418B-BEC4-9193E9CA3C43}" srcOrd="0" destOrd="0" presId="urn:microsoft.com/office/officeart/2005/8/layout/orgChart1"/>
    <dgm:cxn modelId="{BDC34965-B066-4006-AF43-3E9CA9756DB9}" srcId="{4CE40385-803B-4982-B1AE-C8EE08F0D3B9}" destId="{98FB3FB6-098E-409C-AB08-6756AAEC4132}" srcOrd="0" destOrd="0" parTransId="{184AFB3E-F66A-40C4-A790-7C77356158C1}" sibTransId="{D2259FAA-974A-434A-99D6-D7A0D60A1BED}"/>
    <dgm:cxn modelId="{8D34A346-AEDE-4253-9C48-BC17A2208C8F}" type="presOf" srcId="{CE41F070-B7FF-4D72-9779-CADB9ECDB834}" destId="{792FC1BD-339C-4C4A-AFFA-7E962E8BE8B1}" srcOrd="1" destOrd="0" presId="urn:microsoft.com/office/officeart/2005/8/layout/orgChart1"/>
    <dgm:cxn modelId="{149DC947-0C2A-4E56-9EC8-DDDFF18111C9}" type="presOf" srcId="{C13E1972-9D6A-40C5-B7F1-4FA99DC39A5D}" destId="{7E01BC41-DF57-4826-9773-FA381A26D3CD}" srcOrd="1" destOrd="0" presId="urn:microsoft.com/office/officeart/2005/8/layout/orgChart1"/>
    <dgm:cxn modelId="{46D40C68-6038-423B-B5E2-C25EC160B11A}" type="presOf" srcId="{A4F463A6-10AD-4DF5-A649-BDDFB11043D2}" destId="{D1F0879E-495B-442C-B02D-8478DC8D7D98}" srcOrd="1" destOrd="0" presId="urn:microsoft.com/office/officeart/2005/8/layout/orgChart1"/>
    <dgm:cxn modelId="{62204068-C1B0-409D-8289-B38C2775FF38}" type="presOf" srcId="{ED763B38-1452-435A-831E-0529E51E153D}" destId="{2C5481D4-6F0F-4826-AAA2-34E9624D1255}" srcOrd="0" destOrd="0" presId="urn:microsoft.com/office/officeart/2005/8/layout/orgChart1"/>
    <dgm:cxn modelId="{5B4A0949-0C41-4AE7-8283-657388CEA17F}" type="presOf" srcId="{D853020C-DEA9-492C-A09C-8010E74E4939}" destId="{3CCA5876-8A27-4F35-AD95-6BF0D45B8EAB}" srcOrd="0" destOrd="0" presId="urn:microsoft.com/office/officeart/2005/8/layout/orgChart1"/>
    <dgm:cxn modelId="{D7061549-E123-4D85-89B8-AA7275987423}" type="presOf" srcId="{D818CA55-5845-4510-8199-51B5D4EAC96D}" destId="{F40D34D8-021A-4483-AE5D-5B75445580C1}" srcOrd="1" destOrd="0" presId="urn:microsoft.com/office/officeart/2005/8/layout/orgChart1"/>
    <dgm:cxn modelId="{B84E6D49-0028-48A9-A608-FBE0EEB583E0}" type="presOf" srcId="{4CE40385-803B-4982-B1AE-C8EE08F0D3B9}" destId="{B495E6C4-9AF9-4CDB-9A94-D97267DB5B6B}" srcOrd="1" destOrd="0" presId="urn:microsoft.com/office/officeart/2005/8/layout/orgChart1"/>
    <dgm:cxn modelId="{B74F526B-B8FF-4CF9-8256-B6409575BE56}" type="presOf" srcId="{93A36F70-6CFA-4EF3-8917-CF33D892AD2B}" destId="{BE4DAEA6-7F22-4DC7-81FD-88D797CCE989}" srcOrd="0" destOrd="0" presId="urn:microsoft.com/office/officeart/2005/8/layout/orgChart1"/>
    <dgm:cxn modelId="{647A906B-7FF8-4BCF-9A3B-D4FEA2EF95CC}" srcId="{3904B684-D811-4FAA-98ED-69AF90F8C4A4}" destId="{ACAD03E5-6C76-40D2-8C7B-229FD5378AF9}" srcOrd="2" destOrd="0" parTransId="{9DC5AD1F-70F0-41C6-BB2E-9D3B683019F0}" sibTransId="{A454A0FA-5C89-4E02-BA49-D76747D77E67}"/>
    <dgm:cxn modelId="{7528CF72-4311-4926-932E-54C155792B7F}" type="presOf" srcId="{A6194704-638D-4E5B-BE58-520635DD1E10}" destId="{BF6D23CB-7F33-40BA-8290-9FE411A93557}" srcOrd="0" destOrd="0" presId="urn:microsoft.com/office/officeart/2005/8/layout/orgChart1"/>
    <dgm:cxn modelId="{FBA1DA53-A33B-4BA7-B03F-BF5AE7F3229E}" type="presOf" srcId="{4567E575-9C97-484A-8DF0-C51F9C3774CF}" destId="{1E30188F-1A85-4769-94E5-DDF79B8DCAAA}" srcOrd="0" destOrd="0" presId="urn:microsoft.com/office/officeart/2005/8/layout/orgChart1"/>
    <dgm:cxn modelId="{07695777-9BB0-4770-95D8-9B46D09A53F4}" type="presOf" srcId="{9DC5AD1F-70F0-41C6-BB2E-9D3B683019F0}" destId="{F8F878DE-3698-49C4-866C-9D6D49B690BF}" srcOrd="0" destOrd="0" presId="urn:microsoft.com/office/officeart/2005/8/layout/orgChart1"/>
    <dgm:cxn modelId="{BCBD7F57-7AB3-468A-AA45-E4F01036538C}" type="presOf" srcId="{3C05564B-8AA3-456F-9C11-A63FD39E0DEB}" destId="{B11EC0E0-1D04-4C22-B029-3C6F2288A749}" srcOrd="0" destOrd="0" presId="urn:microsoft.com/office/officeart/2005/8/layout/orgChart1"/>
    <dgm:cxn modelId="{6CEEF477-F9D5-452F-AD68-31BE62B99803}" type="presOf" srcId="{737D705F-80C4-4CB5-9310-D870A56219B1}" destId="{7D72120F-5E12-4A77-976E-1B0604E596EA}" srcOrd="0" destOrd="0" presId="urn:microsoft.com/office/officeart/2005/8/layout/orgChart1"/>
    <dgm:cxn modelId="{E1CB1759-5318-4B3D-945F-A18B9B6EE0EE}" type="presOf" srcId="{EE53CECF-0159-4A3E-9E53-59EA1EE7B945}" destId="{23DF4E2F-37E1-454D-889D-93E1EAE0BFD4}" srcOrd="1" destOrd="0" presId="urn:microsoft.com/office/officeart/2005/8/layout/orgChart1"/>
    <dgm:cxn modelId="{2C2E3D79-429C-4EC9-BB6B-831DDA5875B6}" type="presOf" srcId="{680484F0-7ED2-4D03-B472-B15CCF594F74}" destId="{698E6077-9225-45D9-AB17-A1B557DF0E18}" srcOrd="0" destOrd="0" presId="urn:microsoft.com/office/officeart/2005/8/layout/orgChart1"/>
    <dgm:cxn modelId="{DB9BE57B-F886-484D-9FCE-57B813AD42F7}" type="presOf" srcId="{9F05B197-0D87-43D1-885F-52BE174A76FE}" destId="{1E9592AB-E990-4FA7-88C4-AB6C7BAF521F}" srcOrd="0" destOrd="0" presId="urn:microsoft.com/office/officeart/2005/8/layout/orgChart1"/>
    <dgm:cxn modelId="{55BC087C-4F88-4BD7-B3D3-B07164977473}" type="presOf" srcId="{439280A1-7D3A-491D-9BCD-03F68A89A939}" destId="{5ED4746F-DC73-46C2-B7E2-156C7C658148}" srcOrd="0" destOrd="0" presId="urn:microsoft.com/office/officeart/2005/8/layout/orgChart1"/>
    <dgm:cxn modelId="{777A6E7F-7F3D-4C99-B64B-CCA1F520435B}" srcId="{3904B684-D811-4FAA-98ED-69AF90F8C4A4}" destId="{A4F463A6-10AD-4DF5-A649-BDDFB11043D2}" srcOrd="3" destOrd="0" parTransId="{29FCA002-24EB-4CF6-9D18-0AE996611112}" sibTransId="{F18F7B2E-BC0A-4914-9595-1F191A845E4C}"/>
    <dgm:cxn modelId="{1D076981-943B-4050-A874-CC21573E28BF}" type="presOf" srcId="{4567E575-9C97-484A-8DF0-C51F9C3774CF}" destId="{C1D61C69-C2CA-47EA-9680-6E5EC6D892E8}" srcOrd="1" destOrd="0" presId="urn:microsoft.com/office/officeart/2005/8/layout/orgChart1"/>
    <dgm:cxn modelId="{B228FB83-7EF1-4DB2-8740-EEE44329E968}" srcId="{A4F463A6-10AD-4DF5-A649-BDDFB11043D2}" destId="{93404F1D-526C-4104-91B7-698FB7EA6CA6}" srcOrd="0" destOrd="0" parTransId="{680484F0-7ED2-4D03-B472-B15CCF594F74}" sibTransId="{B9C08C13-E0CC-49BD-8B49-2896FB4C8445}"/>
    <dgm:cxn modelId="{2FF9988A-03D5-4073-B11B-4D4C8FB05AEE}" type="presOf" srcId="{A3735C0A-0F4B-4F87-9A27-2A68DA50DD1D}" destId="{EA6840A1-F3A7-4F48-8A1E-1770C3E79AA3}" srcOrd="1" destOrd="0" presId="urn:microsoft.com/office/officeart/2005/8/layout/orgChart1"/>
    <dgm:cxn modelId="{3EB8DF94-A689-4FF3-B75E-151DF7DE6062}" type="presOf" srcId="{036BBA54-C30F-4318-8E02-C38D689AE49F}" destId="{B3A2FCF6-BDDC-43A1-B4B4-7465EEB351F9}" srcOrd="0" destOrd="0" presId="urn:microsoft.com/office/officeart/2005/8/layout/orgChart1"/>
    <dgm:cxn modelId="{95B77496-A2B6-467A-89E7-1E960717955B}" type="presOf" srcId="{93404F1D-526C-4104-91B7-698FB7EA6CA6}" destId="{479CED1F-8D75-4337-844A-DE309284C527}" srcOrd="1" destOrd="0" presId="urn:microsoft.com/office/officeart/2005/8/layout/orgChart1"/>
    <dgm:cxn modelId="{A55FF098-9919-4851-B589-E713FA1DEDF8}" type="presOf" srcId="{58A31632-917E-49D7-AFBD-E57D2316433A}" destId="{84C51B1C-BE1B-4670-968C-D42D7C2F81E0}" srcOrd="0" destOrd="0" presId="urn:microsoft.com/office/officeart/2005/8/layout/orgChart1"/>
    <dgm:cxn modelId="{3F22CF9A-65E3-44E2-B1B7-DA1703835001}" type="presOf" srcId="{580B13EF-F018-4BDE-B29A-A2DFEA6A52E3}" destId="{E5C8494D-3DC0-42A7-BD96-6CEFB7BF801B}" srcOrd="0" destOrd="0" presId="urn:microsoft.com/office/officeart/2005/8/layout/orgChart1"/>
    <dgm:cxn modelId="{77D8B29F-E747-446C-A3DE-8821EED927EC}" type="presOf" srcId="{737D705F-80C4-4CB5-9310-D870A56219B1}" destId="{827AF001-276B-4603-8362-22FF9C8CA66A}" srcOrd="1" destOrd="0" presId="urn:microsoft.com/office/officeart/2005/8/layout/orgChart1"/>
    <dgm:cxn modelId="{29CF88A5-11AD-4405-ACCD-A7A46E997E37}" type="presOf" srcId="{D853020C-DEA9-492C-A09C-8010E74E4939}" destId="{CFAF05B6-DE0F-4D93-8BD4-F6958633D3E3}" srcOrd="1" destOrd="0" presId="urn:microsoft.com/office/officeart/2005/8/layout/orgChart1"/>
    <dgm:cxn modelId="{B1062FA8-5623-4103-B867-7564B9CA69B4}" srcId="{D853020C-DEA9-492C-A09C-8010E74E4939}" destId="{E9CAD23E-388D-4F66-A915-36321F3FEFEA}" srcOrd="0" destOrd="0" parTransId="{FFFC5664-134A-4D10-A422-28E9F3FDC00F}" sibTransId="{6F33328E-DE99-420F-A043-A0EC0D33543D}"/>
    <dgm:cxn modelId="{A643BBA8-F8FC-42BB-9E15-E9106B0C5C81}" type="presOf" srcId="{3F2837BE-7DB0-4240-97FA-5D38AA7C0DF0}" destId="{955DF2CB-8C32-487F-8CE4-5634CE1C1457}" srcOrd="0" destOrd="0" presId="urn:microsoft.com/office/officeart/2005/8/layout/orgChart1"/>
    <dgm:cxn modelId="{F6CC5EAC-22E6-42DC-A2D1-2DCCDE519489}" srcId="{AB4027A1-9C9E-42F6-8317-3DA6D571312E}" destId="{3904B684-D811-4FAA-98ED-69AF90F8C4A4}" srcOrd="0" destOrd="0" parTransId="{4B12A093-9B39-4C88-B894-F80BC799F723}" sibTransId="{D07CB52D-1753-44D3-99EC-4887A2D85D4C}"/>
    <dgm:cxn modelId="{9EC386B7-770E-48A7-9D91-C5110024BEC8}" type="presOf" srcId="{E9CAD23E-388D-4F66-A915-36321F3FEFEA}" destId="{D9A5E4F9-DFC5-477D-B2F2-C92E83D40FDA}" srcOrd="1" destOrd="0" presId="urn:microsoft.com/office/officeart/2005/8/layout/orgChart1"/>
    <dgm:cxn modelId="{4D5367BB-3F33-4C82-850C-8087493CC228}" type="presOf" srcId="{ABC47020-6CAA-443C-AD0C-3602C8B06D12}" destId="{1BEAF983-7B9E-40A4-BBB4-82D58B03A7FC}" srcOrd="0" destOrd="0" presId="urn:microsoft.com/office/officeart/2005/8/layout/orgChart1"/>
    <dgm:cxn modelId="{B0F78CBB-5F31-4907-AC85-EDB8523722DE}" srcId="{93A36F70-6CFA-4EF3-8917-CF33D892AD2B}" destId="{3F2837BE-7DB0-4240-97FA-5D38AA7C0DF0}" srcOrd="0" destOrd="0" parTransId="{ED763B38-1452-435A-831E-0529E51E153D}" sibTransId="{F4040F99-2ADB-40A5-89A2-1A3E4D3DC040}"/>
    <dgm:cxn modelId="{31D58DBC-9C27-47C9-9246-195EDF86999C}" type="presOf" srcId="{3F2837BE-7DB0-4240-97FA-5D38AA7C0DF0}" destId="{55201589-E569-4CAD-AC99-0497FCF263F6}" srcOrd="1" destOrd="0" presId="urn:microsoft.com/office/officeart/2005/8/layout/orgChart1"/>
    <dgm:cxn modelId="{996C52BD-0A57-4D1C-AE16-240A29B74554}" srcId="{C13E1972-9D6A-40C5-B7F1-4FA99DC39A5D}" destId="{EE53CECF-0159-4A3E-9E53-59EA1EE7B945}" srcOrd="0" destOrd="0" parTransId="{0DF2453D-B88C-4476-9906-984FFEE8D9D1}" sibTransId="{92FD7813-3965-4897-836E-5AFC79B88304}"/>
    <dgm:cxn modelId="{45A61FBF-C106-479C-BDCE-121B7B2630C2}" type="presOf" srcId="{A4F463A6-10AD-4DF5-A649-BDDFB11043D2}" destId="{A6962E8E-154C-4944-826F-1C22A6B96937}" srcOrd="0" destOrd="0" presId="urn:microsoft.com/office/officeart/2005/8/layout/orgChart1"/>
    <dgm:cxn modelId="{D7C14CC5-59BD-4C19-AC51-23EB84F7E2F3}" type="presOf" srcId="{8A84A97B-D006-4D31-8800-37C9219F6F33}" destId="{746419E4-008E-4198-8D50-40EB02E616E8}" srcOrd="0" destOrd="0" presId="urn:microsoft.com/office/officeart/2005/8/layout/orgChart1"/>
    <dgm:cxn modelId="{E1DFA9C6-7CCC-476C-B48D-8AC69A2A7EC3}" type="presOf" srcId="{CFC0EC99-AC4D-4B3D-A43E-FD5CF65DD5D2}" destId="{DFA67A23-87B1-4D69-AE96-6448EE96E4AD}" srcOrd="1" destOrd="0" presId="urn:microsoft.com/office/officeart/2005/8/layout/orgChart1"/>
    <dgm:cxn modelId="{E55512CA-B0C8-4AA6-B8CA-7D62408AEDC2}" type="presOf" srcId="{A31182A2-12DA-42B6-BD6F-A8319CCDB153}" destId="{38AA9563-A215-42CF-B8D1-2BE905529BCA}" srcOrd="0" destOrd="0" presId="urn:microsoft.com/office/officeart/2005/8/layout/orgChart1"/>
    <dgm:cxn modelId="{C8B3A1CE-8493-4887-8E2C-B36E1CB55FA1}" type="presOf" srcId="{98FB3FB6-098E-409C-AB08-6756AAEC4132}" destId="{FF715FA8-AED8-4B5E-9BCD-81C3AA535045}" srcOrd="0" destOrd="0" presId="urn:microsoft.com/office/officeart/2005/8/layout/orgChart1"/>
    <dgm:cxn modelId="{BE5BD0CE-6AB1-4267-A3EF-A279AD32451B}" type="presOf" srcId="{FFFC5664-134A-4D10-A422-28E9F3FDC00F}" destId="{5DB911DD-B1FB-4709-B564-E88699AF4550}" srcOrd="0" destOrd="0" presId="urn:microsoft.com/office/officeart/2005/8/layout/orgChart1"/>
    <dgm:cxn modelId="{9795ACD0-42F3-4740-9042-56B44849B442}" srcId="{ACAD03E5-6C76-40D2-8C7B-229FD5378AF9}" destId="{CE41F070-B7FF-4D72-9779-CADB9ECDB834}" srcOrd="0" destOrd="0" parTransId="{A6194704-638D-4E5B-BE58-520635DD1E10}" sibTransId="{BF114016-A804-4749-AFB9-3F7F22FD8CAE}"/>
    <dgm:cxn modelId="{F33928D3-D6D5-41AA-8CC8-59A098BF5472}" srcId="{A3735C0A-0F4B-4F87-9A27-2A68DA50DD1D}" destId="{737D705F-80C4-4CB5-9310-D870A56219B1}" srcOrd="0" destOrd="0" parTransId="{8A84A97B-D006-4D31-8800-37C9219F6F33}" sibTransId="{D8792806-0551-4721-AD68-9045AA7827C2}"/>
    <dgm:cxn modelId="{3EA175D3-8FDF-4B2D-A729-D3AAF7BDDC68}" type="presOf" srcId="{A25AF142-8B54-443F-A5C1-12DBB16C659A}" destId="{B43F6C84-4113-4E97-946D-DA27B40F06CE}" srcOrd="0" destOrd="0" presId="urn:microsoft.com/office/officeart/2005/8/layout/orgChart1"/>
    <dgm:cxn modelId="{F671CDD4-618A-4259-961C-CECC28B2BD8B}" srcId="{4567E575-9C97-484A-8DF0-C51F9C3774CF}" destId="{9F05B197-0D87-43D1-885F-52BE174A76FE}" srcOrd="0" destOrd="0" parTransId="{4344CC42-6997-4199-973C-47D90E3287A8}" sibTransId="{BDCB486B-6761-4E67-A27B-8228FCD2DD52}"/>
    <dgm:cxn modelId="{4A88F2D4-398E-47C8-A561-BF90A4A8F1D9}" type="presOf" srcId="{3904B684-D811-4FAA-98ED-69AF90F8C4A4}" destId="{4A2EABBF-349B-49C0-A0CB-41719314F2B5}" srcOrd="0" destOrd="0" presId="urn:microsoft.com/office/officeart/2005/8/layout/orgChart1"/>
    <dgm:cxn modelId="{80803FD5-0058-4865-BDC8-A9648C84F763}" type="presOf" srcId="{29FCA002-24EB-4CF6-9D18-0AE996611112}" destId="{BD24B26F-6C47-4034-A845-606AD47FE2A6}" srcOrd="0" destOrd="0" presId="urn:microsoft.com/office/officeart/2005/8/layout/orgChart1"/>
    <dgm:cxn modelId="{940299D6-170E-4799-8614-49A18A7C9EDB}" type="presOf" srcId="{9F05B197-0D87-43D1-885F-52BE174A76FE}" destId="{4F93A26A-9FB5-43BF-AA31-0C89BFE50D3D}" srcOrd="1" destOrd="0" presId="urn:microsoft.com/office/officeart/2005/8/layout/orgChart1"/>
    <dgm:cxn modelId="{6346F5D8-8056-4F3F-80B3-8E725D45A173}" srcId="{F4F71F2B-64E5-41D4-9A50-6F5DB95362DB}" destId="{A3735C0A-0F4B-4F87-9A27-2A68DA50DD1D}" srcOrd="0" destOrd="0" parTransId="{580B13EF-F018-4BDE-B29A-A2DFEA6A52E3}" sibTransId="{AFBE367A-B391-43C6-A3EB-23EEDF40EA78}"/>
    <dgm:cxn modelId="{02E34DDA-ADEE-42FB-B1BD-9B41E5AF609B}" type="presOf" srcId="{93A36F70-6CFA-4EF3-8917-CF33D892AD2B}" destId="{692147EF-7C3D-47F2-9967-73AF7803245F}" srcOrd="1" destOrd="0" presId="urn:microsoft.com/office/officeart/2005/8/layout/orgChart1"/>
    <dgm:cxn modelId="{A34A4BDE-15C4-4226-9E5F-C88EC4250E91}" type="presOf" srcId="{D818CA55-5845-4510-8199-51B5D4EAC96D}" destId="{43D5122B-5DCF-4B51-8333-74EDBD2CC2AE}" srcOrd="0" destOrd="0" presId="urn:microsoft.com/office/officeart/2005/8/layout/orgChart1"/>
    <dgm:cxn modelId="{A1B3D7E4-1857-4FE8-8115-B48A8F587E2A}" type="presOf" srcId="{E9CAD23E-388D-4F66-A915-36321F3FEFEA}" destId="{9F651233-C707-483D-B969-3DD45DADA596}" srcOrd="0" destOrd="0" presId="urn:microsoft.com/office/officeart/2005/8/layout/orgChart1"/>
    <dgm:cxn modelId="{335897E5-EA09-420C-ADED-73A716120D37}" type="presOf" srcId="{F4F71F2B-64E5-41D4-9A50-6F5DB95362DB}" destId="{49930909-EE16-4EEE-9A1A-087016A96041}" srcOrd="0" destOrd="0" presId="urn:microsoft.com/office/officeart/2005/8/layout/orgChart1"/>
    <dgm:cxn modelId="{4375AEE7-B853-4B95-AA80-2D7863E132CD}" type="presOf" srcId="{4344CC42-6997-4199-973C-47D90E3287A8}" destId="{3E562180-6E1F-4119-862E-E280D1503BAA}" srcOrd="0" destOrd="0" presId="urn:microsoft.com/office/officeart/2005/8/layout/orgChart1"/>
    <dgm:cxn modelId="{6E9BE9E7-615F-4EDE-91A5-57EB55B17F41}" type="presOf" srcId="{A25AF142-8B54-443F-A5C1-12DBB16C659A}" destId="{E2B14B52-158B-4517-8B41-3B7059D68FF1}" srcOrd="1" destOrd="0" presId="urn:microsoft.com/office/officeart/2005/8/layout/orgChart1"/>
    <dgm:cxn modelId="{EF9AD9EB-D422-4EE3-882A-0755F2635192}" type="presOf" srcId="{CE41F070-B7FF-4D72-9779-CADB9ECDB834}" destId="{1DC14DB0-20D9-44B1-9C0B-2CA2C56BE45F}" srcOrd="0" destOrd="0" presId="urn:microsoft.com/office/officeart/2005/8/layout/orgChart1"/>
    <dgm:cxn modelId="{8C300EEF-A440-44AB-9B5F-7E2A2CDDCA8F}" type="presOf" srcId="{CFC0EC99-AC4D-4B3D-A43E-FD5CF65DD5D2}" destId="{2FBB06AF-45C3-4528-A95E-9597A5AECCF5}" srcOrd="0" destOrd="0" presId="urn:microsoft.com/office/officeart/2005/8/layout/orgChart1"/>
    <dgm:cxn modelId="{FBB453F0-5265-481B-BB92-A93DDE47318B}" srcId="{CE41F070-B7FF-4D72-9779-CADB9ECDB834}" destId="{A25AF142-8B54-443F-A5C1-12DBB16C659A}" srcOrd="0" destOrd="0" parTransId="{3C05564B-8AA3-456F-9C11-A63FD39E0DEB}" sibTransId="{413F5B99-485C-4889-B72C-6C5BFE363A64}"/>
    <dgm:cxn modelId="{CF9806F4-31EC-4200-8957-97E97D56BAD2}" type="presOf" srcId="{ACAD03E5-6C76-40D2-8C7B-229FD5378AF9}" destId="{FF0C1041-3395-46E3-905D-0CC0094881D7}" srcOrd="0" destOrd="0" presId="urn:microsoft.com/office/officeart/2005/8/layout/orgChart1"/>
    <dgm:cxn modelId="{6DEF93FE-6942-402C-B8A3-ED6E42B1124C}" srcId="{93404F1D-526C-4104-91B7-698FB7EA6CA6}" destId="{F4F71F2B-64E5-41D4-9A50-6F5DB95362DB}" srcOrd="0" destOrd="0" parTransId="{58A31632-917E-49D7-AFBD-E57D2316433A}" sibTransId="{9BEF8F28-B6A2-49C3-85F9-9F9DC4C31EE6}"/>
    <dgm:cxn modelId="{2407EA52-AFC9-42CF-BC20-27CC3759874F}" type="presParOf" srcId="{4A2760D8-9B56-49DD-9AD7-318D5FEEDDE7}" destId="{5D82D2DE-D175-4965-A60D-6567861517E8}" srcOrd="0" destOrd="0" presId="urn:microsoft.com/office/officeart/2005/8/layout/orgChart1"/>
    <dgm:cxn modelId="{B1624003-798E-4B4F-BA9F-D17F8386D965}" type="presParOf" srcId="{5D82D2DE-D175-4965-A60D-6567861517E8}" destId="{AD4E8450-F3F1-4B5F-A7CB-16FBCBB6FF7A}" srcOrd="0" destOrd="0" presId="urn:microsoft.com/office/officeart/2005/8/layout/orgChart1"/>
    <dgm:cxn modelId="{59D6BCFE-2702-4CA5-B5A2-A92DFD732B90}" type="presParOf" srcId="{AD4E8450-F3F1-4B5F-A7CB-16FBCBB6FF7A}" destId="{4A2EABBF-349B-49C0-A0CB-41719314F2B5}" srcOrd="0" destOrd="0" presId="urn:microsoft.com/office/officeart/2005/8/layout/orgChart1"/>
    <dgm:cxn modelId="{921137D9-1AA0-4142-95EE-B57B98841D66}" type="presParOf" srcId="{AD4E8450-F3F1-4B5F-A7CB-16FBCBB6FF7A}" destId="{2F326E7E-C25C-417F-9084-225ACF9DFC5B}" srcOrd="1" destOrd="0" presId="urn:microsoft.com/office/officeart/2005/8/layout/orgChart1"/>
    <dgm:cxn modelId="{7C99F4AF-5007-43EA-965F-C7D223A01AC4}" type="presParOf" srcId="{5D82D2DE-D175-4965-A60D-6567861517E8}" destId="{1290AF74-D520-4D33-8E37-15C73193D36E}" srcOrd="1" destOrd="0" presId="urn:microsoft.com/office/officeart/2005/8/layout/orgChart1"/>
    <dgm:cxn modelId="{288691E5-B795-42C2-8705-6502B885F22C}" type="presParOf" srcId="{1290AF74-D520-4D33-8E37-15C73193D36E}" destId="{E5C47380-3A60-4F1D-B3D0-9479EAA5CE27}" srcOrd="0" destOrd="0" presId="urn:microsoft.com/office/officeart/2005/8/layout/orgChart1"/>
    <dgm:cxn modelId="{2BFA2DD7-0E17-4A5C-A28E-559686C0BBF4}" type="presParOf" srcId="{1290AF74-D520-4D33-8E37-15C73193D36E}" destId="{86104B34-337E-45A2-8C55-8596FBE94084}" srcOrd="1" destOrd="0" presId="urn:microsoft.com/office/officeart/2005/8/layout/orgChart1"/>
    <dgm:cxn modelId="{86C721F8-FFF1-4AC3-915C-5F6192670E0A}" type="presParOf" srcId="{86104B34-337E-45A2-8C55-8596FBE94084}" destId="{E4B96B6D-FDFF-4CF1-8926-9BCACCD299BD}" srcOrd="0" destOrd="0" presId="urn:microsoft.com/office/officeart/2005/8/layout/orgChart1"/>
    <dgm:cxn modelId="{0B91AEAB-E341-46E5-B028-C75A30A85370}" type="presParOf" srcId="{E4B96B6D-FDFF-4CF1-8926-9BCACCD299BD}" destId="{6C4E4D41-488F-4AF9-84E4-3A3C4A0286AC}" srcOrd="0" destOrd="0" presId="urn:microsoft.com/office/officeart/2005/8/layout/orgChart1"/>
    <dgm:cxn modelId="{1862E1C3-3125-4513-961C-68C110874525}" type="presParOf" srcId="{E4B96B6D-FDFF-4CF1-8926-9BCACCD299BD}" destId="{7E01BC41-DF57-4826-9773-FA381A26D3CD}" srcOrd="1" destOrd="0" presId="urn:microsoft.com/office/officeart/2005/8/layout/orgChart1"/>
    <dgm:cxn modelId="{357C4496-0145-484A-BCF2-E4DCF0138F57}" type="presParOf" srcId="{86104B34-337E-45A2-8C55-8596FBE94084}" destId="{D62E362A-CB2E-4981-BC21-A427F81B903C}" srcOrd="1" destOrd="0" presId="urn:microsoft.com/office/officeart/2005/8/layout/orgChart1"/>
    <dgm:cxn modelId="{BED6FBD5-A50D-4CB0-BDD7-4D3758F1BA0F}" type="presParOf" srcId="{D62E362A-CB2E-4981-BC21-A427F81B903C}" destId="{678DBBD1-C51E-440A-B9CB-F81E3FE4C94C}" srcOrd="0" destOrd="0" presId="urn:microsoft.com/office/officeart/2005/8/layout/orgChart1"/>
    <dgm:cxn modelId="{268A4FEF-A2DD-4140-8618-E210337B4CDF}" type="presParOf" srcId="{D62E362A-CB2E-4981-BC21-A427F81B903C}" destId="{0C5492E7-1093-41BE-A1BB-DB359106D806}" srcOrd="1" destOrd="0" presId="urn:microsoft.com/office/officeart/2005/8/layout/orgChart1"/>
    <dgm:cxn modelId="{A09042DB-2C44-420B-A668-468C09AD9764}" type="presParOf" srcId="{0C5492E7-1093-41BE-A1BB-DB359106D806}" destId="{9658DA5D-F7C9-40AA-ABE8-FA1B251A1F30}" srcOrd="0" destOrd="0" presId="urn:microsoft.com/office/officeart/2005/8/layout/orgChart1"/>
    <dgm:cxn modelId="{8FB06325-2662-4E12-8F94-249C0E82DF2C}" type="presParOf" srcId="{9658DA5D-F7C9-40AA-ABE8-FA1B251A1F30}" destId="{ECBA8F24-1EF8-4051-AA71-F1DB379438BE}" srcOrd="0" destOrd="0" presId="urn:microsoft.com/office/officeart/2005/8/layout/orgChart1"/>
    <dgm:cxn modelId="{29840008-9F2D-4FC9-9750-689E0B477920}" type="presParOf" srcId="{9658DA5D-F7C9-40AA-ABE8-FA1B251A1F30}" destId="{23DF4E2F-37E1-454D-889D-93E1EAE0BFD4}" srcOrd="1" destOrd="0" presId="urn:microsoft.com/office/officeart/2005/8/layout/orgChart1"/>
    <dgm:cxn modelId="{9BFE1EEF-962B-4BDC-A232-C9BC1CEC5583}" type="presParOf" srcId="{0C5492E7-1093-41BE-A1BB-DB359106D806}" destId="{BB4694F3-569A-47ED-92F9-64284772EEC0}" srcOrd="1" destOrd="0" presId="urn:microsoft.com/office/officeart/2005/8/layout/orgChart1"/>
    <dgm:cxn modelId="{42009D90-8232-4023-B354-1EF016244FD9}" type="presParOf" srcId="{BB4694F3-569A-47ED-92F9-64284772EEC0}" destId="{1BEAF983-7B9E-40A4-BBB4-82D58B03A7FC}" srcOrd="0" destOrd="0" presId="urn:microsoft.com/office/officeart/2005/8/layout/orgChart1"/>
    <dgm:cxn modelId="{DC086B6E-1B37-4F66-9DED-1D666B5C206D}" type="presParOf" srcId="{BB4694F3-569A-47ED-92F9-64284772EEC0}" destId="{E2B2AB06-036F-44D2-A54C-B59CBAFDE391}" srcOrd="1" destOrd="0" presId="urn:microsoft.com/office/officeart/2005/8/layout/orgChart1"/>
    <dgm:cxn modelId="{C4662759-D84B-4E5F-B9B5-39CC359C08B4}" type="presParOf" srcId="{E2B2AB06-036F-44D2-A54C-B59CBAFDE391}" destId="{939305A0-7258-48F2-AF1B-714CBCF68F0B}" srcOrd="0" destOrd="0" presId="urn:microsoft.com/office/officeart/2005/8/layout/orgChart1"/>
    <dgm:cxn modelId="{68A61447-69DA-4BA0-A0C7-91B0BD398F40}" type="presParOf" srcId="{939305A0-7258-48F2-AF1B-714CBCF68F0B}" destId="{3B4922AD-AF1A-435F-A951-BC076C1DAA8B}" srcOrd="0" destOrd="0" presId="urn:microsoft.com/office/officeart/2005/8/layout/orgChart1"/>
    <dgm:cxn modelId="{71A39E35-6358-4DF7-BF8A-C3393B131F1A}" type="presParOf" srcId="{939305A0-7258-48F2-AF1B-714CBCF68F0B}" destId="{B495E6C4-9AF9-4CDB-9A94-D97267DB5B6B}" srcOrd="1" destOrd="0" presId="urn:microsoft.com/office/officeart/2005/8/layout/orgChart1"/>
    <dgm:cxn modelId="{923BD529-B130-4BB1-A6A6-DAEBE2786994}" type="presParOf" srcId="{E2B2AB06-036F-44D2-A54C-B59CBAFDE391}" destId="{8C036D6A-E9B7-4B74-91D7-92E92AC37781}" srcOrd="1" destOrd="0" presId="urn:microsoft.com/office/officeart/2005/8/layout/orgChart1"/>
    <dgm:cxn modelId="{876DB88C-8F80-47E4-B906-B1DBAC60E3AB}" type="presParOf" srcId="{8C036D6A-E9B7-4B74-91D7-92E92AC37781}" destId="{297EE16D-B6D7-418B-BEC4-9193E9CA3C43}" srcOrd="0" destOrd="0" presId="urn:microsoft.com/office/officeart/2005/8/layout/orgChart1"/>
    <dgm:cxn modelId="{BE113782-0FC3-4CB6-BEE7-111C4E0FB19F}" type="presParOf" srcId="{8C036D6A-E9B7-4B74-91D7-92E92AC37781}" destId="{E41EFFCE-7FBE-494C-961B-314467F8B6D2}" srcOrd="1" destOrd="0" presId="urn:microsoft.com/office/officeart/2005/8/layout/orgChart1"/>
    <dgm:cxn modelId="{33373518-37EF-4105-B2A9-D51964437A28}" type="presParOf" srcId="{E41EFFCE-7FBE-494C-961B-314467F8B6D2}" destId="{1D4D2426-1477-4F9F-B1B5-6ADF8B70FC6E}" srcOrd="0" destOrd="0" presId="urn:microsoft.com/office/officeart/2005/8/layout/orgChart1"/>
    <dgm:cxn modelId="{21F1F03F-C91E-4253-AD60-E7F4A4045EB7}" type="presParOf" srcId="{1D4D2426-1477-4F9F-B1B5-6ADF8B70FC6E}" destId="{FF715FA8-AED8-4B5E-9BCD-81C3AA535045}" srcOrd="0" destOrd="0" presId="urn:microsoft.com/office/officeart/2005/8/layout/orgChart1"/>
    <dgm:cxn modelId="{24512EF9-C090-4EE0-AF43-CC7A452DFA73}" type="presParOf" srcId="{1D4D2426-1477-4F9F-B1B5-6ADF8B70FC6E}" destId="{29C4EAF3-77D0-4D55-A82F-6D1A0F14EA49}" srcOrd="1" destOrd="0" presId="urn:microsoft.com/office/officeart/2005/8/layout/orgChart1"/>
    <dgm:cxn modelId="{6D68399A-7F49-4D6C-A411-3CF6E9247D9D}" type="presParOf" srcId="{E41EFFCE-7FBE-494C-961B-314467F8B6D2}" destId="{C9149A77-3160-48DF-A896-491EDD0C04E8}" srcOrd="1" destOrd="0" presId="urn:microsoft.com/office/officeart/2005/8/layout/orgChart1"/>
    <dgm:cxn modelId="{A416C68C-F62C-4F5A-92A8-B5A871FCC46B}" type="presParOf" srcId="{C9149A77-3160-48DF-A896-491EDD0C04E8}" destId="{4AF3245E-B283-4B3C-89B2-430FE9023603}" srcOrd="0" destOrd="0" presId="urn:microsoft.com/office/officeart/2005/8/layout/orgChart1"/>
    <dgm:cxn modelId="{ECCDB472-114F-4662-9789-41B6A653332F}" type="presParOf" srcId="{C9149A77-3160-48DF-A896-491EDD0C04E8}" destId="{CC8AFDED-D9C6-4214-81BF-D65679C48F86}" srcOrd="1" destOrd="0" presId="urn:microsoft.com/office/officeart/2005/8/layout/orgChart1"/>
    <dgm:cxn modelId="{C7FD8E35-383A-4AB8-BAB9-75D82AF6536B}" type="presParOf" srcId="{CC8AFDED-D9C6-4214-81BF-D65679C48F86}" destId="{B98F956F-C6BB-4FEB-8A24-F2820DE6F34C}" srcOrd="0" destOrd="0" presId="urn:microsoft.com/office/officeart/2005/8/layout/orgChart1"/>
    <dgm:cxn modelId="{2C938759-C8E0-4EDD-995E-06C79BDC539A}" type="presParOf" srcId="{B98F956F-C6BB-4FEB-8A24-F2820DE6F34C}" destId="{2FBB06AF-45C3-4528-A95E-9597A5AECCF5}" srcOrd="0" destOrd="0" presId="urn:microsoft.com/office/officeart/2005/8/layout/orgChart1"/>
    <dgm:cxn modelId="{C9297AB3-B577-4FB8-8A36-48DF9B45D11E}" type="presParOf" srcId="{B98F956F-C6BB-4FEB-8A24-F2820DE6F34C}" destId="{DFA67A23-87B1-4D69-AE96-6448EE96E4AD}" srcOrd="1" destOrd="0" presId="urn:microsoft.com/office/officeart/2005/8/layout/orgChart1"/>
    <dgm:cxn modelId="{47550AE8-CE8C-4F7A-8C58-1B4C6DF71FF7}" type="presParOf" srcId="{CC8AFDED-D9C6-4214-81BF-D65679C48F86}" destId="{D5D0D9A9-134E-4E0F-9DA2-49258E05D5E9}" srcOrd="1" destOrd="0" presId="urn:microsoft.com/office/officeart/2005/8/layout/orgChart1"/>
    <dgm:cxn modelId="{44AA30CE-BD94-46E6-8A21-5E518A5D72FD}" type="presParOf" srcId="{CC8AFDED-D9C6-4214-81BF-D65679C48F86}" destId="{5408E322-481F-485C-896B-7F2640E8D288}" srcOrd="2" destOrd="0" presId="urn:microsoft.com/office/officeart/2005/8/layout/orgChart1"/>
    <dgm:cxn modelId="{BACDF87C-4EDD-42F7-9AB8-8BA600B2AB83}" type="presParOf" srcId="{E41EFFCE-7FBE-494C-961B-314467F8B6D2}" destId="{72E8040B-CA7A-418E-9ECC-5248BAE32ECF}" srcOrd="2" destOrd="0" presId="urn:microsoft.com/office/officeart/2005/8/layout/orgChart1"/>
    <dgm:cxn modelId="{87BDC6CB-B4CD-4965-B5E4-E3CB3CC4AD07}" type="presParOf" srcId="{E2B2AB06-036F-44D2-A54C-B59CBAFDE391}" destId="{D6675EB3-F9F3-46E6-87F0-FAC6EA913646}" srcOrd="2" destOrd="0" presId="urn:microsoft.com/office/officeart/2005/8/layout/orgChart1"/>
    <dgm:cxn modelId="{D4A551C2-C9A7-49A7-BEA4-A80FC2FFE085}" type="presParOf" srcId="{0C5492E7-1093-41BE-A1BB-DB359106D806}" destId="{F2096B0F-B2D1-46B9-828D-1E34FED59185}" srcOrd="2" destOrd="0" presId="urn:microsoft.com/office/officeart/2005/8/layout/orgChart1"/>
    <dgm:cxn modelId="{BE7398F8-D3D4-49CF-B2FB-2236BBD216FE}" type="presParOf" srcId="{86104B34-337E-45A2-8C55-8596FBE94084}" destId="{3FCEC057-2FF1-4CEC-8551-032C5D24C6E1}" srcOrd="2" destOrd="0" presId="urn:microsoft.com/office/officeart/2005/8/layout/orgChart1"/>
    <dgm:cxn modelId="{238B8987-C133-441E-BBDD-2BE35EB00C6D}" type="presParOf" srcId="{1290AF74-D520-4D33-8E37-15C73193D36E}" destId="{8DAFCA34-1B87-41BB-AB9C-8C899E4C438D}" srcOrd="2" destOrd="0" presId="urn:microsoft.com/office/officeart/2005/8/layout/orgChart1"/>
    <dgm:cxn modelId="{AD6AF22F-53AA-4785-93D7-B30FE30240DE}" type="presParOf" srcId="{1290AF74-D520-4D33-8E37-15C73193D36E}" destId="{A6643AF8-BF59-4685-A7B2-9C80CCFA7D40}" srcOrd="3" destOrd="0" presId="urn:microsoft.com/office/officeart/2005/8/layout/orgChart1"/>
    <dgm:cxn modelId="{DE4F2DED-330D-4494-BBCA-609D1B0C0356}" type="presParOf" srcId="{A6643AF8-BF59-4685-A7B2-9C80CCFA7D40}" destId="{0AE84D4A-A086-4A3A-9DD8-6840582C05F1}" srcOrd="0" destOrd="0" presId="urn:microsoft.com/office/officeart/2005/8/layout/orgChart1"/>
    <dgm:cxn modelId="{29B82517-83F0-41D3-B80E-12BD7C5409E7}" type="presParOf" srcId="{0AE84D4A-A086-4A3A-9DD8-6840582C05F1}" destId="{BE4DAEA6-7F22-4DC7-81FD-88D797CCE989}" srcOrd="0" destOrd="0" presId="urn:microsoft.com/office/officeart/2005/8/layout/orgChart1"/>
    <dgm:cxn modelId="{ABF62450-6627-47B8-9AFA-8147ED1A993C}" type="presParOf" srcId="{0AE84D4A-A086-4A3A-9DD8-6840582C05F1}" destId="{692147EF-7C3D-47F2-9967-73AF7803245F}" srcOrd="1" destOrd="0" presId="urn:microsoft.com/office/officeart/2005/8/layout/orgChart1"/>
    <dgm:cxn modelId="{A7502526-20E7-47C8-A512-25406E2F2D53}" type="presParOf" srcId="{A6643AF8-BF59-4685-A7B2-9C80CCFA7D40}" destId="{7082E8CB-A295-41B2-86B4-8F549C5B4EBD}" srcOrd="1" destOrd="0" presId="urn:microsoft.com/office/officeart/2005/8/layout/orgChart1"/>
    <dgm:cxn modelId="{6664F7A8-EA16-4880-B370-D9877C4148CF}" type="presParOf" srcId="{7082E8CB-A295-41B2-86B4-8F549C5B4EBD}" destId="{2C5481D4-6F0F-4826-AAA2-34E9624D1255}" srcOrd="0" destOrd="0" presId="urn:microsoft.com/office/officeart/2005/8/layout/orgChart1"/>
    <dgm:cxn modelId="{9B128E75-7BD1-4AB7-A930-220B7AB85F33}" type="presParOf" srcId="{7082E8CB-A295-41B2-86B4-8F549C5B4EBD}" destId="{F0DD0982-BEA6-4D70-AF3B-0AA4AA92E47B}" srcOrd="1" destOrd="0" presId="urn:microsoft.com/office/officeart/2005/8/layout/orgChart1"/>
    <dgm:cxn modelId="{C16053AA-CDFF-4A86-98B5-0F1C6D17363A}" type="presParOf" srcId="{F0DD0982-BEA6-4D70-AF3B-0AA4AA92E47B}" destId="{99B54681-733F-4DDC-90EB-69AF05D7F8CA}" srcOrd="0" destOrd="0" presId="urn:microsoft.com/office/officeart/2005/8/layout/orgChart1"/>
    <dgm:cxn modelId="{44ACF5E4-8E21-4538-BF47-605F0F54C47D}" type="presParOf" srcId="{99B54681-733F-4DDC-90EB-69AF05D7F8CA}" destId="{955DF2CB-8C32-487F-8CE4-5634CE1C1457}" srcOrd="0" destOrd="0" presId="urn:microsoft.com/office/officeart/2005/8/layout/orgChart1"/>
    <dgm:cxn modelId="{EA20963A-BEA0-46BF-B513-C6796541B9E0}" type="presParOf" srcId="{99B54681-733F-4DDC-90EB-69AF05D7F8CA}" destId="{55201589-E569-4CAD-AC99-0497FCF263F6}" srcOrd="1" destOrd="0" presId="urn:microsoft.com/office/officeart/2005/8/layout/orgChart1"/>
    <dgm:cxn modelId="{5DE80329-3FCF-4007-AF12-58E9907A5B82}" type="presParOf" srcId="{F0DD0982-BEA6-4D70-AF3B-0AA4AA92E47B}" destId="{ED1D290A-9272-48F1-8AF8-BBA8E72EDB35}" srcOrd="1" destOrd="0" presId="urn:microsoft.com/office/officeart/2005/8/layout/orgChart1"/>
    <dgm:cxn modelId="{47B6CF9C-46F9-44BC-B9C2-753A16C41444}" type="presParOf" srcId="{ED1D290A-9272-48F1-8AF8-BBA8E72EDB35}" destId="{B3A2FCF6-BDDC-43A1-B4B4-7465EEB351F9}" srcOrd="0" destOrd="0" presId="urn:microsoft.com/office/officeart/2005/8/layout/orgChart1"/>
    <dgm:cxn modelId="{29736EBE-81C2-4A54-99B9-D2FD1854A2C5}" type="presParOf" srcId="{ED1D290A-9272-48F1-8AF8-BBA8E72EDB35}" destId="{528FA10A-4857-4463-9731-4AEDA3A2084F}" srcOrd="1" destOrd="0" presId="urn:microsoft.com/office/officeart/2005/8/layout/orgChart1"/>
    <dgm:cxn modelId="{2E183277-F9A5-468F-8A22-DE4F3F3BAD6B}" type="presParOf" srcId="{528FA10A-4857-4463-9731-4AEDA3A2084F}" destId="{A0BBEE0B-C95A-4C29-AFB5-552AA969DEC5}" srcOrd="0" destOrd="0" presId="urn:microsoft.com/office/officeart/2005/8/layout/orgChart1"/>
    <dgm:cxn modelId="{5058E65B-5C63-4390-9CF6-857CE699C99F}" type="presParOf" srcId="{A0BBEE0B-C95A-4C29-AFB5-552AA969DEC5}" destId="{3CCA5876-8A27-4F35-AD95-6BF0D45B8EAB}" srcOrd="0" destOrd="0" presId="urn:microsoft.com/office/officeart/2005/8/layout/orgChart1"/>
    <dgm:cxn modelId="{33D7D54E-9CF8-45F7-999F-D4DF05F94E05}" type="presParOf" srcId="{A0BBEE0B-C95A-4C29-AFB5-552AA969DEC5}" destId="{CFAF05B6-DE0F-4D93-8BD4-F6958633D3E3}" srcOrd="1" destOrd="0" presId="urn:microsoft.com/office/officeart/2005/8/layout/orgChart1"/>
    <dgm:cxn modelId="{E6436152-9B63-449C-A1E1-6B953E0D3F6B}" type="presParOf" srcId="{528FA10A-4857-4463-9731-4AEDA3A2084F}" destId="{73C23942-2DFB-4388-BBCA-12834EB398A6}" srcOrd="1" destOrd="0" presId="urn:microsoft.com/office/officeart/2005/8/layout/orgChart1"/>
    <dgm:cxn modelId="{FFBB8BC9-4FE7-43C8-AEFA-D73D9AC9FFC1}" type="presParOf" srcId="{73C23942-2DFB-4388-BBCA-12834EB398A6}" destId="{5DB911DD-B1FB-4709-B564-E88699AF4550}" srcOrd="0" destOrd="0" presId="urn:microsoft.com/office/officeart/2005/8/layout/orgChart1"/>
    <dgm:cxn modelId="{FF61CD99-045D-4D44-9C68-2EB9AF3D1675}" type="presParOf" srcId="{73C23942-2DFB-4388-BBCA-12834EB398A6}" destId="{3ADA63C1-4F49-4DB3-9C5C-30DCB8787A9E}" srcOrd="1" destOrd="0" presId="urn:microsoft.com/office/officeart/2005/8/layout/orgChart1"/>
    <dgm:cxn modelId="{3AB9600E-231A-42BD-A3E8-31F1551AFD52}" type="presParOf" srcId="{3ADA63C1-4F49-4DB3-9C5C-30DCB8787A9E}" destId="{85C38929-9147-4CE4-A22A-26D877DC99DF}" srcOrd="0" destOrd="0" presId="urn:microsoft.com/office/officeart/2005/8/layout/orgChart1"/>
    <dgm:cxn modelId="{99B436CE-6E44-4123-A6D5-1A9FDEAF38C9}" type="presParOf" srcId="{85C38929-9147-4CE4-A22A-26D877DC99DF}" destId="{9F651233-C707-483D-B969-3DD45DADA596}" srcOrd="0" destOrd="0" presId="urn:microsoft.com/office/officeart/2005/8/layout/orgChart1"/>
    <dgm:cxn modelId="{BFA5FF19-0B57-4193-A824-7A8251BD2454}" type="presParOf" srcId="{85C38929-9147-4CE4-A22A-26D877DC99DF}" destId="{D9A5E4F9-DFC5-477D-B2F2-C92E83D40FDA}" srcOrd="1" destOrd="0" presId="urn:microsoft.com/office/officeart/2005/8/layout/orgChart1"/>
    <dgm:cxn modelId="{ED594A6F-8D8C-4FB7-9457-06C7DAF12C0A}" type="presParOf" srcId="{3ADA63C1-4F49-4DB3-9C5C-30DCB8787A9E}" destId="{E6A4673C-DA52-4EF6-9513-6B66F19EC248}" srcOrd="1" destOrd="0" presId="urn:microsoft.com/office/officeart/2005/8/layout/orgChart1"/>
    <dgm:cxn modelId="{15608F88-8634-4164-9774-AEF6BE0EF43E}" type="presParOf" srcId="{E6A4673C-DA52-4EF6-9513-6B66F19EC248}" destId="{5ED4746F-DC73-46C2-B7E2-156C7C658148}" srcOrd="0" destOrd="0" presId="urn:microsoft.com/office/officeart/2005/8/layout/orgChart1"/>
    <dgm:cxn modelId="{3C2D9CE6-B6A7-415D-8E68-D1480820EA75}" type="presParOf" srcId="{E6A4673C-DA52-4EF6-9513-6B66F19EC248}" destId="{DA504AB5-7206-4AE0-B8D3-36E9F58FEF17}" srcOrd="1" destOrd="0" presId="urn:microsoft.com/office/officeart/2005/8/layout/orgChart1"/>
    <dgm:cxn modelId="{D954CB9E-7809-43E8-B05E-1C0368591A6D}" type="presParOf" srcId="{DA504AB5-7206-4AE0-B8D3-36E9F58FEF17}" destId="{24DC36A2-4A24-43DA-A3F3-BCD2CD71A87D}" srcOrd="0" destOrd="0" presId="urn:microsoft.com/office/officeart/2005/8/layout/orgChart1"/>
    <dgm:cxn modelId="{B960E62E-7278-4978-8266-91C115E65B58}" type="presParOf" srcId="{24DC36A2-4A24-43DA-A3F3-BCD2CD71A87D}" destId="{43D5122B-5DCF-4B51-8333-74EDBD2CC2AE}" srcOrd="0" destOrd="0" presId="urn:microsoft.com/office/officeart/2005/8/layout/orgChart1"/>
    <dgm:cxn modelId="{C185938B-E639-4070-9D48-F9F09CE98589}" type="presParOf" srcId="{24DC36A2-4A24-43DA-A3F3-BCD2CD71A87D}" destId="{F40D34D8-021A-4483-AE5D-5B75445580C1}" srcOrd="1" destOrd="0" presId="urn:microsoft.com/office/officeart/2005/8/layout/orgChart1"/>
    <dgm:cxn modelId="{0A1A3635-4DD7-4A14-A455-571BC6F14E69}" type="presParOf" srcId="{DA504AB5-7206-4AE0-B8D3-36E9F58FEF17}" destId="{6837A594-4601-4229-BB57-FF4657A81B58}" srcOrd="1" destOrd="0" presId="urn:microsoft.com/office/officeart/2005/8/layout/orgChart1"/>
    <dgm:cxn modelId="{C2CDD045-D0D4-4446-A2DB-89D895090830}" type="presParOf" srcId="{DA504AB5-7206-4AE0-B8D3-36E9F58FEF17}" destId="{76B7733F-4FAB-4445-B340-C2D72056007F}" srcOrd="2" destOrd="0" presId="urn:microsoft.com/office/officeart/2005/8/layout/orgChart1"/>
    <dgm:cxn modelId="{4A1DECCA-9871-42BE-A605-D8DBED3BCF96}" type="presParOf" srcId="{3ADA63C1-4F49-4DB3-9C5C-30DCB8787A9E}" destId="{0C749B28-FB97-4C5D-98AC-A97E4B6FCB62}" srcOrd="2" destOrd="0" presId="urn:microsoft.com/office/officeart/2005/8/layout/orgChart1"/>
    <dgm:cxn modelId="{0D1CE581-68D2-4D06-8842-53382D03E193}" type="presParOf" srcId="{528FA10A-4857-4463-9731-4AEDA3A2084F}" destId="{9C1B1DE0-D9E2-43B0-B811-5FBE758A51B0}" srcOrd="2" destOrd="0" presId="urn:microsoft.com/office/officeart/2005/8/layout/orgChart1"/>
    <dgm:cxn modelId="{09C7E2D5-706E-4385-8F8A-0BA06448F018}" type="presParOf" srcId="{F0DD0982-BEA6-4D70-AF3B-0AA4AA92E47B}" destId="{03F447ED-C503-4CE4-9019-B168D0082A88}" srcOrd="2" destOrd="0" presId="urn:microsoft.com/office/officeart/2005/8/layout/orgChart1"/>
    <dgm:cxn modelId="{19894DD9-988F-4388-ADC9-238849C9BC0C}" type="presParOf" srcId="{A6643AF8-BF59-4685-A7B2-9C80CCFA7D40}" destId="{59850EB0-2A80-48BE-9B91-ACD7D720D3B3}" srcOrd="2" destOrd="0" presId="urn:microsoft.com/office/officeart/2005/8/layout/orgChart1"/>
    <dgm:cxn modelId="{9B5489D1-1D9C-43E3-A590-272B989F0C36}" type="presParOf" srcId="{1290AF74-D520-4D33-8E37-15C73193D36E}" destId="{F8F878DE-3698-49C4-866C-9D6D49B690BF}" srcOrd="4" destOrd="0" presId="urn:microsoft.com/office/officeart/2005/8/layout/orgChart1"/>
    <dgm:cxn modelId="{AD5655E5-3286-4A2C-BBC2-166857A4F4F0}" type="presParOf" srcId="{1290AF74-D520-4D33-8E37-15C73193D36E}" destId="{71D1FAC7-6D16-429C-B01D-3C3E13E5743F}" srcOrd="5" destOrd="0" presId="urn:microsoft.com/office/officeart/2005/8/layout/orgChart1"/>
    <dgm:cxn modelId="{942316C7-147A-4434-ACF9-C32FF6FB4339}" type="presParOf" srcId="{71D1FAC7-6D16-429C-B01D-3C3E13E5743F}" destId="{B54C6A21-DA4A-452C-9EA3-211FAD5978D6}" srcOrd="0" destOrd="0" presId="urn:microsoft.com/office/officeart/2005/8/layout/orgChart1"/>
    <dgm:cxn modelId="{27730ABA-47E5-488F-87A6-0FA7B766E281}" type="presParOf" srcId="{B54C6A21-DA4A-452C-9EA3-211FAD5978D6}" destId="{FF0C1041-3395-46E3-905D-0CC0094881D7}" srcOrd="0" destOrd="0" presId="urn:microsoft.com/office/officeart/2005/8/layout/orgChart1"/>
    <dgm:cxn modelId="{2D7BA127-5C9C-4E2A-A1AA-1662A631F573}" type="presParOf" srcId="{B54C6A21-DA4A-452C-9EA3-211FAD5978D6}" destId="{5031D92B-3977-49E6-8FF5-A4B3BF7D427B}" srcOrd="1" destOrd="0" presId="urn:microsoft.com/office/officeart/2005/8/layout/orgChart1"/>
    <dgm:cxn modelId="{9A0DC8C6-9AFF-4C5E-BFDA-B05D885C1532}" type="presParOf" srcId="{71D1FAC7-6D16-429C-B01D-3C3E13E5743F}" destId="{DA443ED5-03E3-4890-B276-72FC2A10D9AC}" srcOrd="1" destOrd="0" presId="urn:microsoft.com/office/officeart/2005/8/layout/orgChart1"/>
    <dgm:cxn modelId="{3721140D-6CF7-4519-BEDD-6981E16FC0F3}" type="presParOf" srcId="{DA443ED5-03E3-4890-B276-72FC2A10D9AC}" destId="{BF6D23CB-7F33-40BA-8290-9FE411A93557}" srcOrd="0" destOrd="0" presId="urn:microsoft.com/office/officeart/2005/8/layout/orgChart1"/>
    <dgm:cxn modelId="{CA22A991-2118-41E4-A2F2-34B1262A9E6F}" type="presParOf" srcId="{DA443ED5-03E3-4890-B276-72FC2A10D9AC}" destId="{1575B795-3E3D-476F-A453-084380F48C0C}" srcOrd="1" destOrd="0" presId="urn:microsoft.com/office/officeart/2005/8/layout/orgChart1"/>
    <dgm:cxn modelId="{8554C913-C971-4A62-BC2C-1C0BC5EB3104}" type="presParOf" srcId="{1575B795-3E3D-476F-A453-084380F48C0C}" destId="{ADC6026A-68BD-4D33-A133-B4A06CFB811D}" srcOrd="0" destOrd="0" presId="urn:microsoft.com/office/officeart/2005/8/layout/orgChart1"/>
    <dgm:cxn modelId="{5A27C409-8728-4404-B93A-4AF5B092CC5C}" type="presParOf" srcId="{ADC6026A-68BD-4D33-A133-B4A06CFB811D}" destId="{1DC14DB0-20D9-44B1-9C0B-2CA2C56BE45F}" srcOrd="0" destOrd="0" presId="urn:microsoft.com/office/officeart/2005/8/layout/orgChart1"/>
    <dgm:cxn modelId="{40F0CE3F-D2EB-4EE1-B19E-BAE959661230}" type="presParOf" srcId="{ADC6026A-68BD-4D33-A133-B4A06CFB811D}" destId="{792FC1BD-339C-4C4A-AFFA-7E962E8BE8B1}" srcOrd="1" destOrd="0" presId="urn:microsoft.com/office/officeart/2005/8/layout/orgChart1"/>
    <dgm:cxn modelId="{42F12AFD-C374-430B-84FA-9B696E1CE6A2}" type="presParOf" srcId="{1575B795-3E3D-476F-A453-084380F48C0C}" destId="{A28D11C1-B104-4DD2-B0CA-7BE431819868}" srcOrd="1" destOrd="0" presId="urn:microsoft.com/office/officeart/2005/8/layout/orgChart1"/>
    <dgm:cxn modelId="{77C59238-E523-4069-9ED6-9E21293F1C3A}" type="presParOf" srcId="{A28D11C1-B104-4DD2-B0CA-7BE431819868}" destId="{B11EC0E0-1D04-4C22-B029-3C6F2288A749}" srcOrd="0" destOrd="0" presId="urn:microsoft.com/office/officeart/2005/8/layout/orgChart1"/>
    <dgm:cxn modelId="{0DE5A0D9-5336-44B9-8F96-2C1B3F937141}" type="presParOf" srcId="{A28D11C1-B104-4DD2-B0CA-7BE431819868}" destId="{C2F3B412-3A1A-437D-BF9E-F74CFDD5C2CB}" srcOrd="1" destOrd="0" presId="urn:microsoft.com/office/officeart/2005/8/layout/orgChart1"/>
    <dgm:cxn modelId="{6C691A3D-6211-401F-8090-D1B5BFB9FF0E}" type="presParOf" srcId="{C2F3B412-3A1A-437D-BF9E-F74CFDD5C2CB}" destId="{AB7224FE-6328-40D7-86A4-255F217B7408}" srcOrd="0" destOrd="0" presId="urn:microsoft.com/office/officeart/2005/8/layout/orgChart1"/>
    <dgm:cxn modelId="{2A95F149-11E9-468E-A9CC-783A1126CF0B}" type="presParOf" srcId="{AB7224FE-6328-40D7-86A4-255F217B7408}" destId="{B43F6C84-4113-4E97-946D-DA27B40F06CE}" srcOrd="0" destOrd="0" presId="urn:microsoft.com/office/officeart/2005/8/layout/orgChart1"/>
    <dgm:cxn modelId="{791D1AD3-6139-46FD-B580-87E177E87DC2}" type="presParOf" srcId="{AB7224FE-6328-40D7-86A4-255F217B7408}" destId="{E2B14B52-158B-4517-8B41-3B7059D68FF1}" srcOrd="1" destOrd="0" presId="urn:microsoft.com/office/officeart/2005/8/layout/orgChart1"/>
    <dgm:cxn modelId="{BC6C75B6-AFAA-479D-BB4E-44793BD71356}" type="presParOf" srcId="{C2F3B412-3A1A-437D-BF9E-F74CFDD5C2CB}" destId="{1718D16A-632D-444B-B429-D7B72BA2A9B9}" srcOrd="1" destOrd="0" presId="urn:microsoft.com/office/officeart/2005/8/layout/orgChart1"/>
    <dgm:cxn modelId="{5EA2AE00-EF48-47CA-A678-BFC600E5850B}" type="presParOf" srcId="{1718D16A-632D-444B-B429-D7B72BA2A9B9}" destId="{38AA9563-A215-42CF-B8D1-2BE905529BCA}" srcOrd="0" destOrd="0" presId="urn:microsoft.com/office/officeart/2005/8/layout/orgChart1"/>
    <dgm:cxn modelId="{E7A0D79C-54B9-4365-813A-6FFC4D502C52}" type="presParOf" srcId="{1718D16A-632D-444B-B429-D7B72BA2A9B9}" destId="{C6E491C5-257E-49BB-9FB6-10FD679C82D4}" srcOrd="1" destOrd="0" presId="urn:microsoft.com/office/officeart/2005/8/layout/orgChart1"/>
    <dgm:cxn modelId="{C1CEF966-2BCD-411E-9998-36DC5CEA3778}" type="presParOf" srcId="{C6E491C5-257E-49BB-9FB6-10FD679C82D4}" destId="{BEA0EF37-ECF1-40E8-9134-7ACA7DC0DC88}" srcOrd="0" destOrd="0" presId="urn:microsoft.com/office/officeart/2005/8/layout/orgChart1"/>
    <dgm:cxn modelId="{5D487101-4AFD-4317-B781-9EF923E16BF7}" type="presParOf" srcId="{BEA0EF37-ECF1-40E8-9134-7ACA7DC0DC88}" destId="{1E30188F-1A85-4769-94E5-DDF79B8DCAAA}" srcOrd="0" destOrd="0" presId="urn:microsoft.com/office/officeart/2005/8/layout/orgChart1"/>
    <dgm:cxn modelId="{8DBC7852-7D53-4BA8-9E83-19E4E98606A0}" type="presParOf" srcId="{BEA0EF37-ECF1-40E8-9134-7ACA7DC0DC88}" destId="{C1D61C69-C2CA-47EA-9680-6E5EC6D892E8}" srcOrd="1" destOrd="0" presId="urn:microsoft.com/office/officeart/2005/8/layout/orgChart1"/>
    <dgm:cxn modelId="{AE194EB8-46CF-4C89-A4EF-BA316CE24960}" type="presParOf" srcId="{C6E491C5-257E-49BB-9FB6-10FD679C82D4}" destId="{A38CC7FF-57CC-4693-B002-75B2B67A7ECF}" srcOrd="1" destOrd="0" presId="urn:microsoft.com/office/officeart/2005/8/layout/orgChart1"/>
    <dgm:cxn modelId="{E759793C-1F49-42EE-A18D-819BAEB2D714}" type="presParOf" srcId="{A38CC7FF-57CC-4693-B002-75B2B67A7ECF}" destId="{3E562180-6E1F-4119-862E-E280D1503BAA}" srcOrd="0" destOrd="0" presId="urn:microsoft.com/office/officeart/2005/8/layout/orgChart1"/>
    <dgm:cxn modelId="{C89A449A-0BE1-4C77-B73E-137425A83A1D}" type="presParOf" srcId="{A38CC7FF-57CC-4693-B002-75B2B67A7ECF}" destId="{951A510A-36E9-4F7F-BBE1-CDA42665841C}" srcOrd="1" destOrd="0" presId="urn:microsoft.com/office/officeart/2005/8/layout/orgChart1"/>
    <dgm:cxn modelId="{ACB26E53-8867-4BA0-969C-E6291017A961}" type="presParOf" srcId="{951A510A-36E9-4F7F-BBE1-CDA42665841C}" destId="{2E7F541D-653B-48FB-9964-6116FBE18DB1}" srcOrd="0" destOrd="0" presId="urn:microsoft.com/office/officeart/2005/8/layout/orgChart1"/>
    <dgm:cxn modelId="{3537149D-BEF6-4AFC-97C1-1AAC31276FC8}" type="presParOf" srcId="{2E7F541D-653B-48FB-9964-6116FBE18DB1}" destId="{1E9592AB-E990-4FA7-88C4-AB6C7BAF521F}" srcOrd="0" destOrd="0" presId="urn:microsoft.com/office/officeart/2005/8/layout/orgChart1"/>
    <dgm:cxn modelId="{B995AA45-3D75-4AD1-896A-A52000B64097}" type="presParOf" srcId="{2E7F541D-653B-48FB-9964-6116FBE18DB1}" destId="{4F93A26A-9FB5-43BF-AA31-0C89BFE50D3D}" srcOrd="1" destOrd="0" presId="urn:microsoft.com/office/officeart/2005/8/layout/orgChart1"/>
    <dgm:cxn modelId="{79E9577C-7258-4A08-B0F0-5120B54DCF50}" type="presParOf" srcId="{951A510A-36E9-4F7F-BBE1-CDA42665841C}" destId="{88956BD9-099E-48B6-9174-46C58B7F749D}" srcOrd="1" destOrd="0" presId="urn:microsoft.com/office/officeart/2005/8/layout/orgChart1"/>
    <dgm:cxn modelId="{F4CF42AC-79B0-45AB-A87C-D4078593D183}" type="presParOf" srcId="{951A510A-36E9-4F7F-BBE1-CDA42665841C}" destId="{52EA9945-C4BE-4AFD-85CE-CA55F8A6D767}" srcOrd="2" destOrd="0" presId="urn:microsoft.com/office/officeart/2005/8/layout/orgChart1"/>
    <dgm:cxn modelId="{8D1EA556-26E0-4859-8382-A7174EAF1239}" type="presParOf" srcId="{C6E491C5-257E-49BB-9FB6-10FD679C82D4}" destId="{AB7F815F-C0A7-41BB-97A1-A7D59722B33C}" srcOrd="2" destOrd="0" presId="urn:microsoft.com/office/officeart/2005/8/layout/orgChart1"/>
    <dgm:cxn modelId="{07DA0D5C-0BDA-49A3-A1D2-FCA67191E383}" type="presParOf" srcId="{C2F3B412-3A1A-437D-BF9E-F74CFDD5C2CB}" destId="{70FB6A0E-47B6-417D-B0B2-EF3B0C0C11A0}" srcOrd="2" destOrd="0" presId="urn:microsoft.com/office/officeart/2005/8/layout/orgChart1"/>
    <dgm:cxn modelId="{B290F756-7E29-4323-A1C6-58E7E6444AD2}" type="presParOf" srcId="{1575B795-3E3D-476F-A453-084380F48C0C}" destId="{BF25C0FB-7D70-4B06-B7D3-14222EB23B46}" srcOrd="2" destOrd="0" presId="urn:microsoft.com/office/officeart/2005/8/layout/orgChart1"/>
    <dgm:cxn modelId="{09813B12-DC02-4148-BB58-9346DC717BBE}" type="presParOf" srcId="{71D1FAC7-6D16-429C-B01D-3C3E13E5743F}" destId="{504220EF-6CFA-4509-B724-FE48FEC0E42E}" srcOrd="2" destOrd="0" presId="urn:microsoft.com/office/officeart/2005/8/layout/orgChart1"/>
    <dgm:cxn modelId="{7F31414F-0E10-4365-A542-423BDEF4CB6D}" type="presParOf" srcId="{1290AF74-D520-4D33-8E37-15C73193D36E}" destId="{BD24B26F-6C47-4034-A845-606AD47FE2A6}" srcOrd="6" destOrd="0" presId="urn:microsoft.com/office/officeart/2005/8/layout/orgChart1"/>
    <dgm:cxn modelId="{6B50A3DC-6F46-4250-BE30-C13CCEFFD68B}" type="presParOf" srcId="{1290AF74-D520-4D33-8E37-15C73193D36E}" destId="{10C5B0F4-B5B7-49E3-987B-2BF7E2EFE96B}" srcOrd="7" destOrd="0" presId="urn:microsoft.com/office/officeart/2005/8/layout/orgChart1"/>
    <dgm:cxn modelId="{EEA27467-FD39-43DD-862E-160FCD86F36E}" type="presParOf" srcId="{10C5B0F4-B5B7-49E3-987B-2BF7E2EFE96B}" destId="{A23BC38B-A509-487C-AADE-70430CBE832D}" srcOrd="0" destOrd="0" presId="urn:microsoft.com/office/officeart/2005/8/layout/orgChart1"/>
    <dgm:cxn modelId="{3C08AF6F-6770-43D4-981E-0E34B526CF4E}" type="presParOf" srcId="{A23BC38B-A509-487C-AADE-70430CBE832D}" destId="{A6962E8E-154C-4944-826F-1C22A6B96937}" srcOrd="0" destOrd="0" presId="urn:microsoft.com/office/officeart/2005/8/layout/orgChart1"/>
    <dgm:cxn modelId="{994D6416-0AAA-4657-A60B-5838390D6D4D}" type="presParOf" srcId="{A23BC38B-A509-487C-AADE-70430CBE832D}" destId="{D1F0879E-495B-442C-B02D-8478DC8D7D98}" srcOrd="1" destOrd="0" presId="urn:microsoft.com/office/officeart/2005/8/layout/orgChart1"/>
    <dgm:cxn modelId="{63052DFE-E3F3-4FA9-8E70-5C277177B57F}" type="presParOf" srcId="{10C5B0F4-B5B7-49E3-987B-2BF7E2EFE96B}" destId="{ACAC2B07-6B77-4C21-AE63-F1556752BE85}" srcOrd="1" destOrd="0" presId="urn:microsoft.com/office/officeart/2005/8/layout/orgChart1"/>
    <dgm:cxn modelId="{3446BCA6-A778-4168-A057-C0DA7517E79A}" type="presParOf" srcId="{ACAC2B07-6B77-4C21-AE63-F1556752BE85}" destId="{698E6077-9225-45D9-AB17-A1B557DF0E18}" srcOrd="0" destOrd="0" presId="urn:microsoft.com/office/officeart/2005/8/layout/orgChart1"/>
    <dgm:cxn modelId="{30685CB0-673A-49D4-A415-823152A14520}" type="presParOf" srcId="{ACAC2B07-6B77-4C21-AE63-F1556752BE85}" destId="{4ADFF63E-5305-4F9D-95E3-74B7680B26EE}" srcOrd="1" destOrd="0" presId="urn:microsoft.com/office/officeart/2005/8/layout/orgChart1"/>
    <dgm:cxn modelId="{C25DFD67-006D-49A1-8E53-3FF8EF86838A}" type="presParOf" srcId="{4ADFF63E-5305-4F9D-95E3-74B7680B26EE}" destId="{895D76AC-B498-4A02-8272-608A1C2980A1}" srcOrd="0" destOrd="0" presId="urn:microsoft.com/office/officeart/2005/8/layout/orgChart1"/>
    <dgm:cxn modelId="{650A56E7-4E0F-4C49-AEC8-FFA279B02FB1}" type="presParOf" srcId="{895D76AC-B498-4A02-8272-608A1C2980A1}" destId="{938C4007-265A-4CB8-970F-C76131073387}" srcOrd="0" destOrd="0" presId="urn:microsoft.com/office/officeart/2005/8/layout/orgChart1"/>
    <dgm:cxn modelId="{CA27EB18-3034-4B04-A5BD-5D16B41B1264}" type="presParOf" srcId="{895D76AC-B498-4A02-8272-608A1C2980A1}" destId="{479CED1F-8D75-4337-844A-DE309284C527}" srcOrd="1" destOrd="0" presId="urn:microsoft.com/office/officeart/2005/8/layout/orgChart1"/>
    <dgm:cxn modelId="{07386ECF-6C9D-476F-9E75-B30B419323BE}" type="presParOf" srcId="{4ADFF63E-5305-4F9D-95E3-74B7680B26EE}" destId="{ACDB48CA-D7AA-4987-8221-FE1C1C9A9376}" srcOrd="1" destOrd="0" presId="urn:microsoft.com/office/officeart/2005/8/layout/orgChart1"/>
    <dgm:cxn modelId="{1D1BF034-7C68-4D57-AE6A-404819B8816A}" type="presParOf" srcId="{ACDB48CA-D7AA-4987-8221-FE1C1C9A9376}" destId="{84C51B1C-BE1B-4670-968C-D42D7C2F81E0}" srcOrd="0" destOrd="0" presId="urn:microsoft.com/office/officeart/2005/8/layout/orgChart1"/>
    <dgm:cxn modelId="{18560800-F1D0-45F6-9AF1-346C066ACADC}" type="presParOf" srcId="{ACDB48CA-D7AA-4987-8221-FE1C1C9A9376}" destId="{AF282931-3129-4254-AC95-F0B7D78BE49F}" srcOrd="1" destOrd="0" presId="urn:microsoft.com/office/officeart/2005/8/layout/orgChart1"/>
    <dgm:cxn modelId="{B53FD9E9-A70C-4BDB-987E-8F6BF9115A19}" type="presParOf" srcId="{AF282931-3129-4254-AC95-F0B7D78BE49F}" destId="{75F350EF-075D-4F0E-9695-138EDCB2EBBE}" srcOrd="0" destOrd="0" presId="urn:microsoft.com/office/officeart/2005/8/layout/orgChart1"/>
    <dgm:cxn modelId="{3C91FEFC-F0EF-404A-AC85-4C37899E8EC3}" type="presParOf" srcId="{75F350EF-075D-4F0E-9695-138EDCB2EBBE}" destId="{49930909-EE16-4EEE-9A1A-087016A96041}" srcOrd="0" destOrd="0" presId="urn:microsoft.com/office/officeart/2005/8/layout/orgChart1"/>
    <dgm:cxn modelId="{559E9F6D-EEEF-4C41-A3A2-03470083B227}" type="presParOf" srcId="{75F350EF-075D-4F0E-9695-138EDCB2EBBE}" destId="{74E6EB56-1C39-46BD-BC44-43B53184B49F}" srcOrd="1" destOrd="0" presId="urn:microsoft.com/office/officeart/2005/8/layout/orgChart1"/>
    <dgm:cxn modelId="{EB7133A5-9403-47B5-B425-4B80173A21D9}" type="presParOf" srcId="{AF282931-3129-4254-AC95-F0B7D78BE49F}" destId="{E515A85B-DEF3-48E5-AB54-A3690B8DFEC6}" srcOrd="1" destOrd="0" presId="urn:microsoft.com/office/officeart/2005/8/layout/orgChart1"/>
    <dgm:cxn modelId="{28CDFD69-A876-4147-88DD-3B401FB0B14E}" type="presParOf" srcId="{E515A85B-DEF3-48E5-AB54-A3690B8DFEC6}" destId="{E5C8494D-3DC0-42A7-BD96-6CEFB7BF801B}" srcOrd="0" destOrd="0" presId="urn:microsoft.com/office/officeart/2005/8/layout/orgChart1"/>
    <dgm:cxn modelId="{4730B940-40EA-4A6A-9E96-F8B811E1CD74}" type="presParOf" srcId="{E515A85B-DEF3-48E5-AB54-A3690B8DFEC6}" destId="{4A3A0498-A147-48B5-AB6A-5CD0FDED0813}" srcOrd="1" destOrd="0" presId="urn:microsoft.com/office/officeart/2005/8/layout/orgChart1"/>
    <dgm:cxn modelId="{D46C9AFE-002F-422A-BDB2-84231463D394}" type="presParOf" srcId="{4A3A0498-A147-48B5-AB6A-5CD0FDED0813}" destId="{020F963D-4344-4A8B-8688-3894057414F9}" srcOrd="0" destOrd="0" presId="urn:microsoft.com/office/officeart/2005/8/layout/orgChart1"/>
    <dgm:cxn modelId="{6A7AEA19-8B9A-4671-8CFC-4812960533D6}" type="presParOf" srcId="{020F963D-4344-4A8B-8688-3894057414F9}" destId="{72448E95-ABFD-4635-A416-031D24627E75}" srcOrd="0" destOrd="0" presId="urn:microsoft.com/office/officeart/2005/8/layout/orgChart1"/>
    <dgm:cxn modelId="{50D8AA4F-12AD-438C-8098-C983009A982C}" type="presParOf" srcId="{020F963D-4344-4A8B-8688-3894057414F9}" destId="{EA6840A1-F3A7-4F48-8A1E-1770C3E79AA3}" srcOrd="1" destOrd="0" presId="urn:microsoft.com/office/officeart/2005/8/layout/orgChart1"/>
    <dgm:cxn modelId="{BE331355-5606-48CA-BEE5-8C8B2502E4F9}" type="presParOf" srcId="{4A3A0498-A147-48B5-AB6A-5CD0FDED0813}" destId="{CFE3A314-F428-409B-A007-F966EA799F5A}" srcOrd="1" destOrd="0" presId="urn:microsoft.com/office/officeart/2005/8/layout/orgChart1"/>
    <dgm:cxn modelId="{0FF62E35-D34B-4EA8-BE2E-3FEAA5D28133}" type="presParOf" srcId="{CFE3A314-F428-409B-A007-F966EA799F5A}" destId="{746419E4-008E-4198-8D50-40EB02E616E8}" srcOrd="0" destOrd="0" presId="urn:microsoft.com/office/officeart/2005/8/layout/orgChart1"/>
    <dgm:cxn modelId="{5FFF73C5-66AC-4FBE-AFCC-5313E862C080}" type="presParOf" srcId="{CFE3A314-F428-409B-A007-F966EA799F5A}" destId="{B608A6A2-8692-4E65-B53F-ACCFA1CD31EE}" srcOrd="1" destOrd="0" presId="urn:microsoft.com/office/officeart/2005/8/layout/orgChart1"/>
    <dgm:cxn modelId="{109B20E4-D9FC-4792-AD40-C9893ADA67BB}" type="presParOf" srcId="{B608A6A2-8692-4E65-B53F-ACCFA1CD31EE}" destId="{1AB5573F-27B3-479F-B2B7-19EDC4CEA956}" srcOrd="0" destOrd="0" presId="urn:microsoft.com/office/officeart/2005/8/layout/orgChart1"/>
    <dgm:cxn modelId="{5801B3D7-7EE2-4D32-BBB3-7BA5930B99EC}" type="presParOf" srcId="{1AB5573F-27B3-479F-B2B7-19EDC4CEA956}" destId="{7D72120F-5E12-4A77-976E-1B0604E596EA}" srcOrd="0" destOrd="0" presId="urn:microsoft.com/office/officeart/2005/8/layout/orgChart1"/>
    <dgm:cxn modelId="{DD7D559E-8D32-45BD-9295-48D810E5A58F}" type="presParOf" srcId="{1AB5573F-27B3-479F-B2B7-19EDC4CEA956}" destId="{827AF001-276B-4603-8362-22FF9C8CA66A}" srcOrd="1" destOrd="0" presId="urn:microsoft.com/office/officeart/2005/8/layout/orgChart1"/>
    <dgm:cxn modelId="{5F64B8B9-A72B-4608-B1AC-1B21D06C49CC}" type="presParOf" srcId="{B608A6A2-8692-4E65-B53F-ACCFA1CD31EE}" destId="{B9481303-1663-4FE7-B9F0-C34B95E8F43C}" srcOrd="1" destOrd="0" presId="urn:microsoft.com/office/officeart/2005/8/layout/orgChart1"/>
    <dgm:cxn modelId="{F68ABA54-5464-498C-A327-46BD61503589}" type="presParOf" srcId="{B608A6A2-8692-4E65-B53F-ACCFA1CD31EE}" destId="{E0FA9239-50D0-4C0C-BF78-013D0037888E}" srcOrd="2" destOrd="0" presId="urn:microsoft.com/office/officeart/2005/8/layout/orgChart1"/>
    <dgm:cxn modelId="{EE10551F-E6FE-4984-9376-2C41C5BF6D4A}" type="presParOf" srcId="{4A3A0498-A147-48B5-AB6A-5CD0FDED0813}" destId="{0DC5C66A-8C1A-42AD-B73B-C9CBF00B949B}" srcOrd="2" destOrd="0" presId="urn:microsoft.com/office/officeart/2005/8/layout/orgChart1"/>
    <dgm:cxn modelId="{A7EB60BE-D81F-452E-97BC-95E196826413}" type="presParOf" srcId="{AF282931-3129-4254-AC95-F0B7D78BE49F}" destId="{D3277A40-EEE3-43B1-8EB1-D97D8A080F04}" srcOrd="2" destOrd="0" presId="urn:microsoft.com/office/officeart/2005/8/layout/orgChart1"/>
    <dgm:cxn modelId="{8791D177-30FA-463B-99D3-ADB648376590}" type="presParOf" srcId="{4ADFF63E-5305-4F9D-95E3-74B7680B26EE}" destId="{9F8CD809-2BF7-4C88-8C42-79A8399A21F3}" srcOrd="2" destOrd="0" presId="urn:microsoft.com/office/officeart/2005/8/layout/orgChart1"/>
    <dgm:cxn modelId="{1448717C-23B5-4282-B53C-E65644B7922D}" type="presParOf" srcId="{10C5B0F4-B5B7-49E3-987B-2BF7E2EFE96B}" destId="{A53424E7-5E75-459C-B2FD-4A75D4414066}" srcOrd="2" destOrd="0" presId="urn:microsoft.com/office/officeart/2005/8/layout/orgChart1"/>
    <dgm:cxn modelId="{DBE5D56D-D15D-4F12-A715-8546984C9A86}" type="presParOf" srcId="{5D82D2DE-D175-4965-A60D-6567861517E8}" destId="{CDBDA6AF-F168-4F14-881E-377C73A06E5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AB4027A1-9C9E-42F6-8317-3DA6D571312E}" type="doc">
      <dgm:prSet loTypeId="urn:microsoft.com/office/officeart/2005/8/layout/orgChart1" loCatId="hierarchy" qsTypeId="urn:microsoft.com/office/officeart/2005/8/quickstyle/simple5" qsCatId="simple" csTypeId="urn:microsoft.com/office/officeart/2005/8/colors/accent1_2" csCatId="accent1" phldr="1"/>
      <dgm:spPr/>
      <dgm:t>
        <a:bodyPr/>
        <a:lstStyle/>
        <a:p>
          <a:endParaRPr lang="en-AU"/>
        </a:p>
      </dgm:t>
    </dgm:pt>
    <dgm:pt modelId="{C13E1972-9D6A-40C5-B7F1-4FA99DC39A5D}">
      <dgm:prSet phldrT="[Text]" custT="1"/>
      <dgm:spPr>
        <a:solidFill>
          <a:schemeClr val="accent2">
            <a:lumMod val="20000"/>
            <a:lumOff val="80000"/>
          </a:schemeClr>
        </a:solidFill>
      </dgm:spPr>
      <dgm:t>
        <a:bodyPr/>
        <a:lstStyle/>
        <a:p>
          <a:r>
            <a:rPr lang="en-AU" sz="1100">
              <a:solidFill>
                <a:sysClr val="windowText" lastClr="000000"/>
              </a:solidFill>
            </a:rPr>
            <a:t>Feed a source of dietary fat to reduce enteric CH4 emissions</a:t>
          </a:r>
        </a:p>
      </dgm:t>
    </dgm:pt>
    <dgm:pt modelId="{EE590B0F-CEBC-49C9-AEE1-2F1A44C2889E}" type="parTrans" cxnId="{947F8131-E63F-4C26-BFA3-957E012A9F1C}">
      <dgm:prSet/>
      <dgm:spPr/>
      <dgm:t>
        <a:bodyPr/>
        <a:lstStyle/>
        <a:p>
          <a:endParaRPr lang="en-AU"/>
        </a:p>
      </dgm:t>
    </dgm:pt>
    <dgm:pt modelId="{E7F0BBED-42DD-49FB-9E83-F9817DE09AEE}" type="sibTrans" cxnId="{947F8131-E63F-4C26-BFA3-957E012A9F1C}">
      <dgm:prSet/>
      <dgm:spPr/>
      <dgm:t>
        <a:bodyPr/>
        <a:lstStyle/>
        <a:p>
          <a:endParaRPr lang="en-AU"/>
        </a:p>
      </dgm:t>
    </dgm:pt>
    <dgm:pt modelId="{EE53CECF-0159-4A3E-9E53-59EA1EE7B945}">
      <dgm:prSet phldrT="[Text]" custT="1"/>
      <dgm:spPr>
        <a:solidFill>
          <a:schemeClr val="accent3">
            <a:lumMod val="20000"/>
            <a:lumOff val="80000"/>
          </a:schemeClr>
        </a:solidFill>
        <a:ln>
          <a:noFill/>
        </a:ln>
      </dgm:spPr>
      <dgm:t>
        <a:bodyPr/>
        <a:lstStyle/>
        <a:p>
          <a:pPr algn="ctr">
            <a:lnSpc>
              <a:spcPct val="110000"/>
            </a:lnSpc>
            <a:spcAft>
              <a:spcPts val="0"/>
            </a:spcAft>
          </a:pPr>
          <a:r>
            <a:rPr lang="en-AU" sz="800">
              <a:solidFill>
                <a:sysClr val="windowText" lastClr="000000"/>
              </a:solidFill>
            </a:rPr>
            <a:t>Research  shows a 3.5% reduction in enteric CH4 production for every 1% increase in the fat content in the diet</a:t>
          </a:r>
        </a:p>
      </dgm:t>
    </dgm:pt>
    <dgm:pt modelId="{0DF2453D-B88C-4476-9906-984FFEE8D9D1}" type="parTrans" cxnId="{996C52BD-0A57-4D1C-AE16-240A29B74554}">
      <dgm:prSet/>
      <dgm:spPr/>
      <dgm:t>
        <a:bodyPr/>
        <a:lstStyle/>
        <a:p>
          <a:endParaRPr lang="en-AU"/>
        </a:p>
      </dgm:t>
    </dgm:pt>
    <dgm:pt modelId="{92FD7813-3965-4897-836E-5AFC79B88304}" type="sibTrans" cxnId="{996C52BD-0A57-4D1C-AE16-240A29B74554}">
      <dgm:prSet/>
      <dgm:spPr/>
      <dgm:t>
        <a:bodyPr/>
        <a:lstStyle/>
        <a:p>
          <a:endParaRPr lang="en-AU"/>
        </a:p>
      </dgm:t>
    </dgm:pt>
    <dgm:pt modelId="{93A36F70-6CFA-4EF3-8917-CF33D892AD2B}">
      <dgm:prSet phldrT="[Text]" custT="1"/>
      <dgm:spPr>
        <a:solidFill>
          <a:schemeClr val="accent2">
            <a:lumMod val="20000"/>
            <a:lumOff val="80000"/>
          </a:schemeClr>
        </a:solidFill>
      </dgm:spPr>
      <dgm:t>
        <a:bodyPr/>
        <a:lstStyle/>
        <a:p>
          <a:r>
            <a:rPr lang="en-AU" sz="1100">
              <a:solidFill>
                <a:sysClr val="windowText" lastClr="000000"/>
              </a:solidFill>
            </a:rPr>
            <a:t>Improve diet digestibility to improve milk production</a:t>
          </a:r>
        </a:p>
      </dgm:t>
    </dgm:pt>
    <dgm:pt modelId="{DD206DED-7FC5-4EEA-8C87-BF6615CC14B0}" type="parTrans" cxnId="{64B4731F-943E-4688-B290-7A306FCFE823}">
      <dgm:prSet/>
      <dgm:spPr/>
      <dgm:t>
        <a:bodyPr/>
        <a:lstStyle/>
        <a:p>
          <a:endParaRPr lang="en-AU"/>
        </a:p>
      </dgm:t>
    </dgm:pt>
    <dgm:pt modelId="{DB2DEC31-D6D5-4E4B-B011-8EFD542E285A}" type="sibTrans" cxnId="{64B4731F-943E-4688-B290-7A306FCFE823}">
      <dgm:prSet/>
      <dgm:spPr/>
      <dgm:t>
        <a:bodyPr/>
        <a:lstStyle/>
        <a:p>
          <a:endParaRPr lang="en-AU"/>
        </a:p>
      </dgm:t>
    </dgm:pt>
    <dgm:pt modelId="{3F2837BE-7DB0-4240-97FA-5D38AA7C0DF0}">
      <dgm:prSet phldrT="[Text]" custT="1"/>
      <dgm:spPr>
        <a:solidFill>
          <a:schemeClr val="accent3">
            <a:lumMod val="20000"/>
            <a:lumOff val="80000"/>
          </a:schemeClr>
        </a:solidFill>
      </dgm:spPr>
      <dgm:t>
        <a:bodyPr anchor="ctr"/>
        <a:lstStyle/>
        <a:p>
          <a:pPr algn="ctr"/>
          <a:endParaRPr lang="en-AU" sz="800">
            <a:solidFill>
              <a:sysClr val="windowText" lastClr="000000"/>
            </a:solidFill>
          </a:endParaRPr>
        </a:p>
      </dgm:t>
    </dgm:pt>
    <dgm:pt modelId="{ED763B38-1452-435A-831E-0529E51E153D}" type="parTrans" cxnId="{B0F78CBB-5F31-4907-AC85-EDB8523722DE}">
      <dgm:prSet/>
      <dgm:spPr/>
      <dgm:t>
        <a:bodyPr/>
        <a:lstStyle/>
        <a:p>
          <a:endParaRPr lang="en-AU"/>
        </a:p>
      </dgm:t>
    </dgm:pt>
    <dgm:pt modelId="{F4040F99-2ADB-40A5-89A2-1A3E4D3DC040}" type="sibTrans" cxnId="{B0F78CBB-5F31-4907-AC85-EDB8523722DE}">
      <dgm:prSet/>
      <dgm:spPr/>
      <dgm:t>
        <a:bodyPr/>
        <a:lstStyle/>
        <a:p>
          <a:endParaRPr lang="en-AU"/>
        </a:p>
      </dgm:t>
    </dgm:pt>
    <dgm:pt modelId="{3904B684-D811-4FAA-98ED-69AF90F8C4A4}">
      <dgm:prSet phldrT="[Text]" custT="1"/>
      <dgm:spPr>
        <a:solidFill>
          <a:schemeClr val="bg2"/>
        </a:solidFill>
      </dgm:spPr>
      <dgm:t>
        <a:bodyPr/>
        <a:lstStyle/>
        <a:p>
          <a:r>
            <a:rPr lang="en-AU" sz="1600" b="1">
              <a:solidFill>
                <a:sysClr val="windowText" lastClr="000000"/>
              </a:solidFill>
              <a:latin typeface="+mn-lt"/>
              <a:ea typeface="+mn-ea"/>
              <a:cs typeface="+mn-cs"/>
            </a:rPr>
            <a:t>Altering the diet to reduce CH4 and N2O emissions</a:t>
          </a:r>
          <a:endParaRPr lang="en-AU" sz="1600" b="1" i="1">
            <a:solidFill>
              <a:sysClr val="windowText" lastClr="000000"/>
            </a:solidFill>
          </a:endParaRPr>
        </a:p>
      </dgm:t>
    </dgm:pt>
    <dgm:pt modelId="{D07CB52D-1753-44D3-99EC-4887A2D85D4C}" type="sibTrans" cxnId="{F6CC5EAC-22E6-42DC-A2D1-2DCCDE519489}">
      <dgm:prSet/>
      <dgm:spPr/>
      <dgm:t>
        <a:bodyPr/>
        <a:lstStyle/>
        <a:p>
          <a:endParaRPr lang="en-AU"/>
        </a:p>
      </dgm:t>
    </dgm:pt>
    <dgm:pt modelId="{4B12A093-9B39-4C88-B894-F80BC799F723}" type="parTrans" cxnId="{F6CC5EAC-22E6-42DC-A2D1-2DCCDE519489}">
      <dgm:prSet/>
      <dgm:spPr/>
      <dgm:t>
        <a:bodyPr/>
        <a:lstStyle/>
        <a:p>
          <a:endParaRPr lang="en-AU"/>
        </a:p>
      </dgm:t>
    </dgm:pt>
    <dgm:pt modelId="{ACAD03E5-6C76-40D2-8C7B-229FD5378AF9}">
      <dgm:prSet custT="1"/>
      <dgm:spPr>
        <a:solidFill>
          <a:schemeClr val="accent2">
            <a:lumMod val="20000"/>
            <a:lumOff val="80000"/>
          </a:schemeClr>
        </a:solidFill>
      </dgm:spPr>
      <dgm:t>
        <a:bodyPr/>
        <a:lstStyle/>
        <a:p>
          <a:r>
            <a:rPr lang="en-AU" sz="1100">
              <a:solidFill>
                <a:sysClr val="windowText" lastClr="000000"/>
              </a:solidFill>
            </a:rPr>
            <a:t>Remove excess crude protein from the diet to reduce animal-based N2O emissions</a:t>
          </a:r>
        </a:p>
      </dgm:t>
    </dgm:pt>
    <dgm:pt modelId="{9DC5AD1F-70F0-41C6-BB2E-9D3B683019F0}" type="parTrans" cxnId="{647A906B-7FF8-4BCF-9A3B-D4FEA2EF95CC}">
      <dgm:prSet/>
      <dgm:spPr/>
      <dgm:t>
        <a:bodyPr/>
        <a:lstStyle/>
        <a:p>
          <a:endParaRPr lang="en-AU"/>
        </a:p>
      </dgm:t>
    </dgm:pt>
    <dgm:pt modelId="{A454A0FA-5C89-4E02-BA49-D76747D77E67}" type="sibTrans" cxnId="{647A906B-7FF8-4BCF-9A3B-D4FEA2EF95CC}">
      <dgm:prSet/>
      <dgm:spPr/>
      <dgm:t>
        <a:bodyPr/>
        <a:lstStyle/>
        <a:p>
          <a:endParaRPr lang="en-AU"/>
        </a:p>
      </dgm:t>
    </dgm:pt>
    <dgm:pt modelId="{4CE40385-803B-4982-B1AE-C8EE08F0D3B9}">
      <dgm:prSet custT="1"/>
      <dgm:spPr>
        <a:solidFill>
          <a:schemeClr val="accent3">
            <a:lumMod val="40000"/>
            <a:lumOff val="60000"/>
          </a:schemeClr>
        </a:solidFill>
      </dgm:spPr>
      <dgm:t>
        <a:bodyPr/>
        <a:lstStyle/>
        <a:p>
          <a:r>
            <a:rPr lang="en-AU" sz="1000">
              <a:solidFill>
                <a:sysClr val="windowText" lastClr="000000"/>
              </a:solidFill>
            </a:rPr>
            <a:t>Target: Reduce enteric  CH4 production by 10.5% by  increasing the fat content of the diet by  3% in summer and autumn</a:t>
          </a:r>
        </a:p>
      </dgm:t>
    </dgm:pt>
    <dgm:pt modelId="{ABC47020-6CAA-443C-AD0C-3602C8B06D12}" type="parTrans" cxnId="{BF71F523-D38E-4B30-A45A-61702899DCB3}">
      <dgm:prSet/>
      <dgm:spPr/>
      <dgm:t>
        <a:bodyPr/>
        <a:lstStyle/>
        <a:p>
          <a:endParaRPr lang="en-AU"/>
        </a:p>
      </dgm:t>
    </dgm:pt>
    <dgm:pt modelId="{07EB3123-AB1F-483F-A3F2-6037962EFECE}" type="sibTrans" cxnId="{BF71F523-D38E-4B30-A45A-61702899DCB3}">
      <dgm:prSet/>
      <dgm:spPr/>
      <dgm:t>
        <a:bodyPr/>
        <a:lstStyle/>
        <a:p>
          <a:endParaRPr lang="en-AU"/>
        </a:p>
      </dgm:t>
    </dgm:pt>
    <dgm:pt modelId="{98FB3FB6-098E-409C-AB08-6756AAEC4132}">
      <dgm:prSet custT="1"/>
      <dgm:spPr>
        <a:solidFill>
          <a:schemeClr val="accent4">
            <a:lumMod val="40000"/>
            <a:lumOff val="60000"/>
          </a:schemeClr>
        </a:solidFill>
      </dgm:spPr>
      <dgm:t>
        <a:bodyPr/>
        <a:lstStyle/>
        <a:p>
          <a:r>
            <a:rPr lang="en-AU" sz="1000">
              <a:solidFill>
                <a:sysClr val="windowText" lastClr="000000"/>
              </a:solidFill>
            </a:rPr>
            <a:t>Impact:  Based on the A4N dataset, reduced on-farm GHG emissions  by on average 55 t CO2e/farm.  Reduced GHG emissions intensity  by on average 0.03 kg CO2e/kg FPCM  </a:t>
          </a:r>
        </a:p>
      </dgm:t>
    </dgm:pt>
    <dgm:pt modelId="{184AFB3E-F66A-40C4-A790-7C77356158C1}" type="parTrans" cxnId="{BDC34965-B066-4006-AF43-3E9CA9756DB9}">
      <dgm:prSet/>
      <dgm:spPr/>
      <dgm:t>
        <a:bodyPr/>
        <a:lstStyle/>
        <a:p>
          <a:endParaRPr lang="en-AU"/>
        </a:p>
      </dgm:t>
    </dgm:pt>
    <dgm:pt modelId="{D2259FAA-974A-434A-99D6-D7A0D60A1BED}" type="sibTrans" cxnId="{BDC34965-B066-4006-AF43-3E9CA9756DB9}">
      <dgm:prSet/>
      <dgm:spPr/>
      <dgm:t>
        <a:bodyPr/>
        <a:lstStyle/>
        <a:p>
          <a:endParaRPr lang="en-AU"/>
        </a:p>
      </dgm:t>
    </dgm:pt>
    <dgm:pt modelId="{D853020C-DEA9-492C-A09C-8010E74E4939}">
      <dgm:prSet custT="1"/>
      <dgm:spPr>
        <a:solidFill>
          <a:schemeClr val="accent3">
            <a:lumMod val="40000"/>
            <a:lumOff val="60000"/>
          </a:schemeClr>
        </a:solidFill>
      </dgm:spPr>
      <dgm:t>
        <a:bodyPr/>
        <a:lstStyle/>
        <a:p>
          <a:r>
            <a:rPr lang="en-AU" sz="1000">
              <a:solidFill>
                <a:sysClr val="windowText" lastClr="000000"/>
              </a:solidFill>
            </a:rPr>
            <a:t>Target: Increase diet digestibility by 5% with a corresponding increase in milk production</a:t>
          </a:r>
        </a:p>
      </dgm:t>
    </dgm:pt>
    <dgm:pt modelId="{036BBA54-C30F-4318-8E02-C38D689AE49F}" type="parTrans" cxnId="{66C65E27-AF68-400A-B504-326D3A5E9F66}">
      <dgm:prSet/>
      <dgm:spPr/>
      <dgm:t>
        <a:bodyPr/>
        <a:lstStyle/>
        <a:p>
          <a:endParaRPr lang="en-AU"/>
        </a:p>
      </dgm:t>
    </dgm:pt>
    <dgm:pt modelId="{13C4BAD1-5B7B-4582-B7FA-7F6D1AD7B20B}" type="sibTrans" cxnId="{66C65E27-AF68-400A-B504-326D3A5E9F66}">
      <dgm:prSet/>
      <dgm:spPr/>
      <dgm:t>
        <a:bodyPr/>
        <a:lstStyle/>
        <a:p>
          <a:endParaRPr lang="en-AU"/>
        </a:p>
      </dgm:t>
    </dgm:pt>
    <dgm:pt modelId="{E9CAD23E-388D-4F66-A915-36321F3FEFEA}">
      <dgm:prSet custT="1"/>
      <dgm:spPr>
        <a:solidFill>
          <a:schemeClr val="accent4">
            <a:lumMod val="40000"/>
            <a:lumOff val="60000"/>
          </a:schemeClr>
        </a:solidFill>
      </dgm:spPr>
      <dgm:t>
        <a:bodyPr/>
        <a:lstStyle/>
        <a:p>
          <a:r>
            <a:rPr lang="en-AU" sz="1000">
              <a:solidFill>
                <a:sysClr val="windowText" lastClr="000000"/>
              </a:solidFill>
            </a:rPr>
            <a:t>Impact:  </a:t>
          </a:r>
          <a:r>
            <a:rPr lang="en-AU" sz="1000" b="1">
              <a:solidFill>
                <a:sysClr val="windowText" lastClr="000000"/>
              </a:solidFill>
            </a:rPr>
            <a:t>Based on the assumption that the methane equations were not altered in terms of milk production for CH4  calc but  milk prod was increased to divide total emissions-  </a:t>
          </a:r>
          <a:r>
            <a:rPr lang="en-AU" sz="1000">
              <a:solidFill>
                <a:sysClr val="windowText" lastClr="000000"/>
              </a:solidFill>
            </a:rPr>
            <a:t>Based on the A4N dataset, reduced on-farm GHG emissions by on average 23 t CO2e/farm and increased milk production by on average  205t FPCM/farm.  Reduced GHG emissions intensity by  on average 0.08 kg CO2e/kg milk </a:t>
          </a:r>
        </a:p>
      </dgm:t>
    </dgm:pt>
    <dgm:pt modelId="{FFFC5664-134A-4D10-A422-28E9F3FDC00F}" type="parTrans" cxnId="{B1062FA8-5623-4103-B867-7564B9CA69B4}">
      <dgm:prSet/>
      <dgm:spPr/>
      <dgm:t>
        <a:bodyPr/>
        <a:lstStyle/>
        <a:p>
          <a:endParaRPr lang="en-AU"/>
        </a:p>
      </dgm:t>
    </dgm:pt>
    <dgm:pt modelId="{6F33328E-DE99-420F-A043-A0EC0D33543D}" type="sibTrans" cxnId="{B1062FA8-5623-4103-B867-7564B9CA69B4}">
      <dgm:prSet/>
      <dgm:spPr/>
      <dgm:t>
        <a:bodyPr/>
        <a:lstStyle/>
        <a:p>
          <a:endParaRPr lang="en-AU"/>
        </a:p>
      </dgm:t>
    </dgm:pt>
    <dgm:pt modelId="{D818CA55-5845-4510-8199-51B5D4EAC96D}">
      <dgm:prSet custT="1"/>
      <dgm:spPr>
        <a:solidFill>
          <a:schemeClr val="accent1">
            <a:lumMod val="40000"/>
            <a:lumOff val="60000"/>
          </a:schemeClr>
        </a:solidFill>
      </dgm:spPr>
      <dgm:t>
        <a:bodyPr/>
        <a:lstStyle/>
        <a:p>
          <a:r>
            <a:rPr lang="en-AU" sz="1000" b="1">
              <a:solidFill>
                <a:sysClr val="windowText" lastClr="000000"/>
              </a:solidFill>
            </a:rPr>
            <a:t>Strategy : Improve diet digestibility through improved management</a:t>
          </a:r>
          <a:endParaRPr lang="en-AU" sz="1000">
            <a:solidFill>
              <a:sysClr val="windowText" lastClr="000000"/>
            </a:solidFill>
          </a:endParaRPr>
        </a:p>
      </dgm:t>
    </dgm:pt>
    <dgm:pt modelId="{439280A1-7D3A-491D-9BCD-03F68A89A939}" type="parTrans" cxnId="{5EADCA0A-96A9-4D5D-B1BE-6EC102FFAF0B}">
      <dgm:prSet/>
      <dgm:spPr/>
      <dgm:t>
        <a:bodyPr/>
        <a:lstStyle/>
        <a:p>
          <a:endParaRPr lang="en-AU"/>
        </a:p>
      </dgm:t>
    </dgm:pt>
    <dgm:pt modelId="{A7CAAC14-EE85-4149-9789-33F42DBBC4A6}" type="sibTrans" cxnId="{5EADCA0A-96A9-4D5D-B1BE-6EC102FFAF0B}">
      <dgm:prSet/>
      <dgm:spPr/>
      <dgm:t>
        <a:bodyPr/>
        <a:lstStyle/>
        <a:p>
          <a:endParaRPr lang="en-AU"/>
        </a:p>
      </dgm:t>
    </dgm:pt>
    <dgm:pt modelId="{CE41F070-B7FF-4D72-9779-CADB9ECDB834}">
      <dgm:prSet custT="1"/>
      <dgm:spPr>
        <a:solidFill>
          <a:schemeClr val="accent3">
            <a:lumMod val="20000"/>
            <a:lumOff val="80000"/>
          </a:schemeClr>
        </a:solidFill>
      </dgm:spPr>
      <dgm:t>
        <a:bodyPr/>
        <a:lstStyle/>
        <a:p>
          <a:pPr>
            <a:lnSpc>
              <a:spcPct val="110000"/>
            </a:lnSpc>
            <a:spcAft>
              <a:spcPts val="0"/>
            </a:spcAft>
          </a:pPr>
          <a:endParaRPr lang="en-AU" sz="800">
            <a:solidFill>
              <a:sysClr val="windowText" lastClr="000000"/>
            </a:solidFill>
          </a:endParaRPr>
        </a:p>
      </dgm:t>
    </dgm:pt>
    <dgm:pt modelId="{A6194704-638D-4E5B-BE58-520635DD1E10}" type="parTrans" cxnId="{9795ACD0-42F3-4740-9042-56B44849B442}">
      <dgm:prSet/>
      <dgm:spPr/>
      <dgm:t>
        <a:bodyPr/>
        <a:lstStyle/>
        <a:p>
          <a:endParaRPr lang="en-AU"/>
        </a:p>
      </dgm:t>
    </dgm:pt>
    <dgm:pt modelId="{BF114016-A804-4749-AFB9-3F7F22FD8CAE}" type="sibTrans" cxnId="{9795ACD0-42F3-4740-9042-56B44849B442}">
      <dgm:prSet/>
      <dgm:spPr/>
      <dgm:t>
        <a:bodyPr/>
        <a:lstStyle/>
        <a:p>
          <a:endParaRPr lang="en-AU"/>
        </a:p>
      </dgm:t>
    </dgm:pt>
    <dgm:pt modelId="{A25AF142-8B54-443F-A5C1-12DBB16C659A}">
      <dgm:prSet custT="1"/>
      <dgm:spPr>
        <a:solidFill>
          <a:schemeClr val="accent3">
            <a:lumMod val="40000"/>
            <a:lumOff val="60000"/>
          </a:schemeClr>
        </a:solidFill>
      </dgm:spPr>
      <dgm:t>
        <a:bodyPr/>
        <a:lstStyle/>
        <a:p>
          <a:r>
            <a:rPr lang="en-AU" sz="1000">
              <a:solidFill>
                <a:sysClr val="windowText" lastClr="000000"/>
              </a:solidFill>
            </a:rPr>
            <a:t>Target: Reduce the diet crude protein to a maxiumum of 18% in winter and spring   </a:t>
          </a:r>
          <a:endParaRPr lang="en-AU" sz="2300">
            <a:solidFill>
              <a:sysClr val="windowText" lastClr="000000"/>
            </a:solidFill>
          </a:endParaRPr>
        </a:p>
      </dgm:t>
    </dgm:pt>
    <dgm:pt modelId="{3C05564B-8AA3-456F-9C11-A63FD39E0DEB}" type="parTrans" cxnId="{FBB453F0-5265-481B-BB92-A93DDE47318B}">
      <dgm:prSet/>
      <dgm:spPr/>
      <dgm:t>
        <a:bodyPr/>
        <a:lstStyle/>
        <a:p>
          <a:endParaRPr lang="en-AU"/>
        </a:p>
      </dgm:t>
    </dgm:pt>
    <dgm:pt modelId="{413F5B99-485C-4889-B72C-6C5BFE363A64}" type="sibTrans" cxnId="{FBB453F0-5265-481B-BB92-A93DDE47318B}">
      <dgm:prSet/>
      <dgm:spPr/>
      <dgm:t>
        <a:bodyPr/>
        <a:lstStyle/>
        <a:p>
          <a:endParaRPr lang="en-AU"/>
        </a:p>
      </dgm:t>
    </dgm:pt>
    <dgm:pt modelId="{4567E575-9C97-484A-8DF0-C51F9C3774CF}">
      <dgm:prSet custT="1"/>
      <dgm:spPr>
        <a:solidFill>
          <a:schemeClr val="accent4">
            <a:lumMod val="40000"/>
            <a:lumOff val="60000"/>
          </a:schemeClr>
        </a:solidFill>
      </dgm:spPr>
      <dgm:t>
        <a:bodyPr/>
        <a:lstStyle/>
        <a:p>
          <a:r>
            <a:rPr lang="en-AU" sz="1000">
              <a:solidFill>
                <a:sysClr val="windowText" lastClr="000000"/>
              </a:solidFill>
            </a:rPr>
            <a:t>Impact:  Based on the A4N dataset, reduced on-farm GHG emissions  by on average 72 t CO2e/farm.  Reduced GHG emissions intensity  by on average 0.03 kg CO2e/kg FPCM   </a:t>
          </a:r>
        </a:p>
      </dgm:t>
    </dgm:pt>
    <dgm:pt modelId="{A31182A2-12DA-42B6-BD6F-A8319CCDB153}" type="parTrans" cxnId="{1E075F17-9724-45CA-9EED-53ADD16854B8}">
      <dgm:prSet/>
      <dgm:spPr/>
      <dgm:t>
        <a:bodyPr/>
        <a:lstStyle/>
        <a:p>
          <a:endParaRPr lang="en-AU"/>
        </a:p>
      </dgm:t>
    </dgm:pt>
    <dgm:pt modelId="{E1E3E4C0-3405-43D9-B045-3631525755EA}" type="sibTrans" cxnId="{1E075F17-9724-45CA-9EED-53ADD16854B8}">
      <dgm:prSet/>
      <dgm:spPr/>
      <dgm:t>
        <a:bodyPr/>
        <a:lstStyle/>
        <a:p>
          <a:endParaRPr lang="en-AU"/>
        </a:p>
      </dgm:t>
    </dgm:pt>
    <dgm:pt modelId="{CFC0EC99-AC4D-4B3D-A43E-FD5CF65DD5D2}">
      <dgm:prSet custT="1"/>
      <dgm:spPr>
        <a:solidFill>
          <a:schemeClr val="accent1">
            <a:lumMod val="40000"/>
            <a:lumOff val="60000"/>
          </a:schemeClr>
        </a:solidFill>
      </dgm:spPr>
      <dgm:t>
        <a:bodyPr/>
        <a:lstStyle/>
        <a:p>
          <a:r>
            <a:rPr lang="en-AU" sz="1000" b="1">
              <a:solidFill>
                <a:sysClr val="windowText" lastClr="000000"/>
              </a:solidFill>
            </a:rPr>
            <a:t>Strategy : Replacing a low dietary fat supplement with a high dietary fat supplement</a:t>
          </a:r>
        </a:p>
      </dgm:t>
    </dgm:pt>
    <dgm:pt modelId="{61532884-69A1-4046-BC23-60F91B124EEF}" type="parTrans" cxnId="{9914F833-89E3-4510-9B2F-D9ABE4F8A6BF}">
      <dgm:prSet/>
      <dgm:spPr/>
      <dgm:t>
        <a:bodyPr/>
        <a:lstStyle/>
        <a:p>
          <a:endParaRPr lang="en-AU"/>
        </a:p>
      </dgm:t>
    </dgm:pt>
    <dgm:pt modelId="{4F61F511-184A-4BBE-A170-154EE5892B82}" type="sibTrans" cxnId="{9914F833-89E3-4510-9B2F-D9ABE4F8A6BF}">
      <dgm:prSet/>
      <dgm:spPr/>
      <dgm:t>
        <a:bodyPr/>
        <a:lstStyle/>
        <a:p>
          <a:endParaRPr lang="en-AU"/>
        </a:p>
      </dgm:t>
    </dgm:pt>
    <dgm:pt modelId="{A4F463A6-10AD-4DF5-A649-BDDFB11043D2}">
      <dgm:prSet custT="1"/>
      <dgm:spPr>
        <a:solidFill>
          <a:schemeClr val="accent2">
            <a:lumMod val="20000"/>
            <a:lumOff val="80000"/>
          </a:schemeClr>
        </a:solidFill>
      </dgm:spPr>
      <dgm:t>
        <a:bodyPr/>
        <a:lstStyle/>
        <a:p>
          <a:endParaRPr lang="en-AU" sz="1100">
            <a:solidFill>
              <a:sysClr val="windowText" lastClr="000000"/>
            </a:solidFill>
          </a:endParaRPr>
        </a:p>
      </dgm:t>
    </dgm:pt>
    <dgm:pt modelId="{29FCA002-24EB-4CF6-9D18-0AE996611112}" type="parTrans" cxnId="{777A6E7F-7F3D-4C99-B64B-CCA1F520435B}">
      <dgm:prSet/>
      <dgm:spPr/>
      <dgm:t>
        <a:bodyPr/>
        <a:lstStyle/>
        <a:p>
          <a:endParaRPr lang="en-AU"/>
        </a:p>
      </dgm:t>
    </dgm:pt>
    <dgm:pt modelId="{F18F7B2E-BC0A-4914-9595-1F191A845E4C}" type="sibTrans" cxnId="{777A6E7F-7F3D-4C99-B64B-CCA1F520435B}">
      <dgm:prSet/>
      <dgm:spPr/>
      <dgm:t>
        <a:bodyPr/>
        <a:lstStyle/>
        <a:p>
          <a:endParaRPr lang="en-AU"/>
        </a:p>
      </dgm:t>
    </dgm:pt>
    <dgm:pt modelId="{93404F1D-526C-4104-91B7-698FB7EA6CA6}">
      <dgm:prSet/>
      <dgm:spPr>
        <a:solidFill>
          <a:schemeClr val="accent3">
            <a:lumMod val="20000"/>
            <a:lumOff val="80000"/>
          </a:schemeClr>
        </a:solidFill>
      </dgm:spPr>
      <dgm:t>
        <a:bodyPr/>
        <a:lstStyle/>
        <a:p>
          <a:endParaRPr lang="en-AU"/>
        </a:p>
      </dgm:t>
    </dgm:pt>
    <dgm:pt modelId="{680484F0-7ED2-4D03-B472-B15CCF594F74}" type="parTrans" cxnId="{B228FB83-7EF1-4DB2-8740-EEE44329E968}">
      <dgm:prSet/>
      <dgm:spPr/>
      <dgm:t>
        <a:bodyPr/>
        <a:lstStyle/>
        <a:p>
          <a:endParaRPr lang="en-AU"/>
        </a:p>
      </dgm:t>
    </dgm:pt>
    <dgm:pt modelId="{B9C08C13-E0CC-49BD-8B49-2896FB4C8445}" type="sibTrans" cxnId="{B228FB83-7EF1-4DB2-8740-EEE44329E968}">
      <dgm:prSet/>
      <dgm:spPr/>
      <dgm:t>
        <a:bodyPr/>
        <a:lstStyle/>
        <a:p>
          <a:endParaRPr lang="en-AU"/>
        </a:p>
      </dgm:t>
    </dgm:pt>
    <dgm:pt modelId="{F4F71F2B-64E5-41D4-9A50-6F5DB95362DB}">
      <dgm:prSet/>
      <dgm:spPr>
        <a:solidFill>
          <a:schemeClr val="accent3">
            <a:lumMod val="40000"/>
            <a:lumOff val="60000"/>
          </a:schemeClr>
        </a:solidFill>
      </dgm:spPr>
      <dgm:t>
        <a:bodyPr/>
        <a:lstStyle/>
        <a:p>
          <a:endParaRPr lang="en-AU"/>
        </a:p>
      </dgm:t>
    </dgm:pt>
    <dgm:pt modelId="{58A31632-917E-49D7-AFBD-E57D2316433A}" type="parTrans" cxnId="{6DEF93FE-6942-402C-B8A3-ED6E42B1124C}">
      <dgm:prSet/>
      <dgm:spPr/>
      <dgm:t>
        <a:bodyPr/>
        <a:lstStyle/>
        <a:p>
          <a:endParaRPr lang="en-AU"/>
        </a:p>
      </dgm:t>
    </dgm:pt>
    <dgm:pt modelId="{9BEF8F28-B6A2-49C3-85F9-9F9DC4C31EE6}" type="sibTrans" cxnId="{6DEF93FE-6942-402C-B8A3-ED6E42B1124C}">
      <dgm:prSet/>
      <dgm:spPr/>
      <dgm:t>
        <a:bodyPr/>
        <a:lstStyle/>
        <a:p>
          <a:endParaRPr lang="en-AU"/>
        </a:p>
      </dgm:t>
    </dgm:pt>
    <dgm:pt modelId="{A3735C0A-0F4B-4F87-9A27-2A68DA50DD1D}">
      <dgm:prSet/>
      <dgm:spPr>
        <a:solidFill>
          <a:schemeClr val="accent4">
            <a:lumMod val="40000"/>
            <a:lumOff val="60000"/>
          </a:schemeClr>
        </a:solidFill>
      </dgm:spPr>
      <dgm:t>
        <a:bodyPr/>
        <a:lstStyle/>
        <a:p>
          <a:endParaRPr lang="en-AU"/>
        </a:p>
      </dgm:t>
    </dgm:pt>
    <dgm:pt modelId="{580B13EF-F018-4BDE-B29A-A2DFEA6A52E3}" type="parTrans" cxnId="{6346F5D8-8056-4F3F-80B3-8E725D45A173}">
      <dgm:prSet/>
      <dgm:spPr/>
      <dgm:t>
        <a:bodyPr/>
        <a:lstStyle/>
        <a:p>
          <a:endParaRPr lang="en-AU"/>
        </a:p>
      </dgm:t>
    </dgm:pt>
    <dgm:pt modelId="{AFBE367A-B391-43C6-A3EB-23EEDF40EA78}" type="sibTrans" cxnId="{6346F5D8-8056-4F3F-80B3-8E725D45A173}">
      <dgm:prSet/>
      <dgm:spPr/>
      <dgm:t>
        <a:bodyPr/>
        <a:lstStyle/>
        <a:p>
          <a:endParaRPr lang="en-AU"/>
        </a:p>
      </dgm:t>
    </dgm:pt>
    <dgm:pt modelId="{737D705F-80C4-4CB5-9310-D870A56219B1}">
      <dgm:prSet/>
      <dgm:spPr>
        <a:solidFill>
          <a:schemeClr val="accent1">
            <a:lumMod val="40000"/>
            <a:lumOff val="60000"/>
          </a:schemeClr>
        </a:solidFill>
      </dgm:spPr>
      <dgm:t>
        <a:bodyPr/>
        <a:lstStyle/>
        <a:p>
          <a:endParaRPr lang="en-AU"/>
        </a:p>
      </dgm:t>
    </dgm:pt>
    <dgm:pt modelId="{8A84A97B-D006-4D31-8800-37C9219F6F33}" type="parTrans" cxnId="{F33928D3-D6D5-41AA-8CC8-59A098BF5472}">
      <dgm:prSet/>
      <dgm:spPr/>
      <dgm:t>
        <a:bodyPr/>
        <a:lstStyle/>
        <a:p>
          <a:endParaRPr lang="en-AU"/>
        </a:p>
      </dgm:t>
    </dgm:pt>
    <dgm:pt modelId="{D8792806-0551-4721-AD68-9045AA7827C2}" type="sibTrans" cxnId="{F33928D3-D6D5-41AA-8CC8-59A098BF5472}">
      <dgm:prSet/>
      <dgm:spPr/>
      <dgm:t>
        <a:bodyPr/>
        <a:lstStyle/>
        <a:p>
          <a:endParaRPr lang="en-AU"/>
        </a:p>
      </dgm:t>
    </dgm:pt>
    <dgm:pt modelId="{CFA51F78-A4E5-40F8-9553-EA908393EB24}">
      <dgm:prSet custT="1"/>
      <dgm:spPr>
        <a:solidFill>
          <a:schemeClr val="tx2">
            <a:lumMod val="20000"/>
            <a:lumOff val="80000"/>
          </a:schemeClr>
        </a:solidFill>
      </dgm:spPr>
      <dgm:t>
        <a:bodyPr/>
        <a:lstStyle/>
        <a:p>
          <a:r>
            <a:rPr lang="en-AU" sz="1000" b="1">
              <a:solidFill>
                <a:schemeClr val="tx1"/>
              </a:solidFill>
            </a:rPr>
            <a:t>Strategy: Feed condensed tannins in winter and spring</a:t>
          </a:r>
        </a:p>
      </dgm:t>
    </dgm:pt>
    <dgm:pt modelId="{AFCB969D-DFEF-405B-84A2-8F08095333BD}" type="parTrans" cxnId="{06EEDD58-2E5F-442C-B1E2-CFE6DEA7FE83}">
      <dgm:prSet/>
      <dgm:spPr/>
      <dgm:t>
        <a:bodyPr/>
        <a:lstStyle/>
        <a:p>
          <a:endParaRPr lang="en-AU"/>
        </a:p>
      </dgm:t>
    </dgm:pt>
    <dgm:pt modelId="{376600AD-431D-4CF4-80BE-005BF68A5370}" type="sibTrans" cxnId="{06EEDD58-2E5F-442C-B1E2-CFE6DEA7FE83}">
      <dgm:prSet/>
      <dgm:spPr/>
      <dgm:t>
        <a:bodyPr/>
        <a:lstStyle/>
        <a:p>
          <a:endParaRPr lang="en-AU"/>
        </a:p>
      </dgm:t>
    </dgm:pt>
    <dgm:pt modelId="{E56B6DD5-8554-4BF3-88E5-E67FEE21FF89}">
      <dgm:prSet custT="1"/>
      <dgm:spPr>
        <a:solidFill>
          <a:schemeClr val="accent1">
            <a:lumMod val="40000"/>
            <a:lumOff val="60000"/>
          </a:schemeClr>
        </a:solidFill>
      </dgm:spPr>
      <dgm:t>
        <a:bodyPr/>
        <a:lstStyle/>
        <a:p>
          <a:r>
            <a:rPr lang="en-AU" sz="1000" b="1">
              <a:solidFill>
                <a:sysClr val="windowText" lastClr="000000"/>
              </a:solidFill>
            </a:rPr>
            <a:t>Strategy : Feeding  new supplements with high dietary fat</a:t>
          </a:r>
        </a:p>
      </dgm:t>
    </dgm:pt>
    <dgm:pt modelId="{554751D7-33AA-44EE-B8BE-2AD02291F210}" type="parTrans" cxnId="{74A13733-A707-4682-B0BF-FB1C0DCF0117}">
      <dgm:prSet/>
      <dgm:spPr/>
      <dgm:t>
        <a:bodyPr/>
        <a:lstStyle/>
        <a:p>
          <a:endParaRPr lang="en-AU"/>
        </a:p>
      </dgm:t>
    </dgm:pt>
    <dgm:pt modelId="{1E9C6366-3925-4E16-AC56-C93BBE13CB1F}" type="sibTrans" cxnId="{74A13733-A707-4682-B0BF-FB1C0DCF0117}">
      <dgm:prSet/>
      <dgm:spPr/>
      <dgm:t>
        <a:bodyPr/>
        <a:lstStyle/>
        <a:p>
          <a:endParaRPr lang="en-AU"/>
        </a:p>
      </dgm:t>
    </dgm:pt>
    <dgm:pt modelId="{71F0ADEC-1798-4F9C-95C5-DE17ABAA5F59}">
      <dgm:prSet custT="1"/>
      <dgm:spPr>
        <a:solidFill>
          <a:schemeClr val="accent1">
            <a:lumMod val="40000"/>
            <a:lumOff val="60000"/>
          </a:schemeClr>
        </a:solidFill>
      </dgm:spPr>
      <dgm:t>
        <a:bodyPr/>
        <a:lstStyle/>
        <a:p>
          <a:r>
            <a:rPr lang="en-AU" sz="1000" b="1">
              <a:solidFill>
                <a:sysClr val="windowText" lastClr="000000"/>
              </a:solidFill>
            </a:rPr>
            <a:t>Strategy : Improve diet digestibility  feeding high DDM supplements</a:t>
          </a:r>
          <a:endParaRPr lang="en-AU" sz="1000">
            <a:solidFill>
              <a:sysClr val="windowText" lastClr="000000"/>
            </a:solidFill>
          </a:endParaRPr>
        </a:p>
      </dgm:t>
    </dgm:pt>
    <dgm:pt modelId="{F06B826E-D9A8-4A53-BE34-5C6B5644CADC}" type="parTrans" cxnId="{14671AFF-25F4-481B-B6AB-6FEEEE7F56FD}">
      <dgm:prSet/>
      <dgm:spPr/>
      <dgm:t>
        <a:bodyPr/>
        <a:lstStyle/>
        <a:p>
          <a:endParaRPr lang="en-AU"/>
        </a:p>
      </dgm:t>
    </dgm:pt>
    <dgm:pt modelId="{B2BC6261-A230-46A4-9963-135E06DBE0E1}" type="sibTrans" cxnId="{14671AFF-25F4-481B-B6AB-6FEEEE7F56FD}">
      <dgm:prSet/>
      <dgm:spPr/>
      <dgm:t>
        <a:bodyPr/>
        <a:lstStyle/>
        <a:p>
          <a:endParaRPr lang="en-AU"/>
        </a:p>
      </dgm:t>
    </dgm:pt>
    <dgm:pt modelId="{4A2760D8-9B56-49DD-9AD7-318D5FEEDDE7}" type="pres">
      <dgm:prSet presAssocID="{AB4027A1-9C9E-42F6-8317-3DA6D571312E}" presName="hierChild1" presStyleCnt="0">
        <dgm:presLayoutVars>
          <dgm:orgChart val="1"/>
          <dgm:chPref val="1"/>
          <dgm:dir/>
          <dgm:animOne val="branch"/>
          <dgm:animLvl val="lvl"/>
          <dgm:resizeHandles/>
        </dgm:presLayoutVars>
      </dgm:prSet>
      <dgm:spPr/>
    </dgm:pt>
    <dgm:pt modelId="{5D82D2DE-D175-4965-A60D-6567861517E8}" type="pres">
      <dgm:prSet presAssocID="{3904B684-D811-4FAA-98ED-69AF90F8C4A4}" presName="hierRoot1" presStyleCnt="0">
        <dgm:presLayoutVars>
          <dgm:hierBranch val="init"/>
        </dgm:presLayoutVars>
      </dgm:prSet>
      <dgm:spPr/>
    </dgm:pt>
    <dgm:pt modelId="{AD4E8450-F3F1-4B5F-A7CB-16FBCBB6FF7A}" type="pres">
      <dgm:prSet presAssocID="{3904B684-D811-4FAA-98ED-69AF90F8C4A4}" presName="rootComposite1" presStyleCnt="0"/>
      <dgm:spPr/>
    </dgm:pt>
    <dgm:pt modelId="{4A2EABBF-349B-49C0-A0CB-41719314F2B5}" type="pres">
      <dgm:prSet presAssocID="{3904B684-D811-4FAA-98ED-69AF90F8C4A4}" presName="rootText1" presStyleLbl="node0" presStyleIdx="0" presStyleCnt="1" custScaleX="315093">
        <dgm:presLayoutVars>
          <dgm:chPref val="3"/>
        </dgm:presLayoutVars>
      </dgm:prSet>
      <dgm:spPr/>
    </dgm:pt>
    <dgm:pt modelId="{2F326E7E-C25C-417F-9084-225ACF9DFC5B}" type="pres">
      <dgm:prSet presAssocID="{3904B684-D811-4FAA-98ED-69AF90F8C4A4}" presName="rootConnector1" presStyleLbl="node1" presStyleIdx="0" presStyleCnt="0"/>
      <dgm:spPr/>
    </dgm:pt>
    <dgm:pt modelId="{1290AF74-D520-4D33-8E37-15C73193D36E}" type="pres">
      <dgm:prSet presAssocID="{3904B684-D811-4FAA-98ED-69AF90F8C4A4}" presName="hierChild2" presStyleCnt="0"/>
      <dgm:spPr/>
    </dgm:pt>
    <dgm:pt modelId="{E5C47380-3A60-4F1D-B3D0-9479EAA5CE27}" type="pres">
      <dgm:prSet presAssocID="{EE590B0F-CEBC-49C9-AEE1-2F1A44C2889E}" presName="Name37" presStyleLbl="parChTrans1D2" presStyleIdx="0" presStyleCnt="4"/>
      <dgm:spPr/>
    </dgm:pt>
    <dgm:pt modelId="{86104B34-337E-45A2-8C55-8596FBE94084}" type="pres">
      <dgm:prSet presAssocID="{C13E1972-9D6A-40C5-B7F1-4FA99DC39A5D}" presName="hierRoot2" presStyleCnt="0">
        <dgm:presLayoutVars>
          <dgm:hierBranch val="init"/>
        </dgm:presLayoutVars>
      </dgm:prSet>
      <dgm:spPr/>
    </dgm:pt>
    <dgm:pt modelId="{E4B96B6D-FDFF-4CF1-8926-9BCACCD299BD}" type="pres">
      <dgm:prSet presAssocID="{C13E1972-9D6A-40C5-B7F1-4FA99DC39A5D}" presName="rootComposite" presStyleCnt="0"/>
      <dgm:spPr/>
    </dgm:pt>
    <dgm:pt modelId="{6C4E4D41-488F-4AF9-84E4-3A3C4A0286AC}" type="pres">
      <dgm:prSet presAssocID="{C13E1972-9D6A-40C5-B7F1-4FA99DC39A5D}" presName="rootText" presStyleLbl="node2" presStyleIdx="0" presStyleCnt="4" custScaleX="150917">
        <dgm:presLayoutVars>
          <dgm:chPref val="3"/>
        </dgm:presLayoutVars>
      </dgm:prSet>
      <dgm:spPr/>
    </dgm:pt>
    <dgm:pt modelId="{7E01BC41-DF57-4826-9773-FA381A26D3CD}" type="pres">
      <dgm:prSet presAssocID="{C13E1972-9D6A-40C5-B7F1-4FA99DC39A5D}" presName="rootConnector" presStyleLbl="node2" presStyleIdx="0" presStyleCnt="4"/>
      <dgm:spPr/>
    </dgm:pt>
    <dgm:pt modelId="{D62E362A-CB2E-4981-BC21-A427F81B903C}" type="pres">
      <dgm:prSet presAssocID="{C13E1972-9D6A-40C5-B7F1-4FA99DC39A5D}" presName="hierChild4" presStyleCnt="0"/>
      <dgm:spPr/>
    </dgm:pt>
    <dgm:pt modelId="{678DBBD1-C51E-440A-B9CB-F81E3FE4C94C}" type="pres">
      <dgm:prSet presAssocID="{0DF2453D-B88C-4476-9906-984FFEE8D9D1}" presName="Name37" presStyleLbl="parChTrans1D3" presStyleIdx="0" presStyleCnt="4"/>
      <dgm:spPr/>
    </dgm:pt>
    <dgm:pt modelId="{0C5492E7-1093-41BE-A1BB-DB359106D806}" type="pres">
      <dgm:prSet presAssocID="{EE53CECF-0159-4A3E-9E53-59EA1EE7B945}" presName="hierRoot2" presStyleCnt="0">
        <dgm:presLayoutVars>
          <dgm:hierBranch val="init"/>
        </dgm:presLayoutVars>
      </dgm:prSet>
      <dgm:spPr/>
    </dgm:pt>
    <dgm:pt modelId="{9658DA5D-F7C9-40AA-ABE8-FA1B251A1F30}" type="pres">
      <dgm:prSet presAssocID="{EE53CECF-0159-4A3E-9E53-59EA1EE7B945}" presName="rootComposite" presStyleCnt="0"/>
      <dgm:spPr/>
    </dgm:pt>
    <dgm:pt modelId="{ECBA8F24-1EF8-4051-AA71-F1DB379438BE}" type="pres">
      <dgm:prSet presAssocID="{EE53CECF-0159-4A3E-9E53-59EA1EE7B945}" presName="rootText" presStyleLbl="node3" presStyleIdx="0" presStyleCnt="4" custScaleX="211450" custScaleY="150596" custLinFactNeighborY="-2084">
        <dgm:presLayoutVars>
          <dgm:chPref val="3"/>
        </dgm:presLayoutVars>
      </dgm:prSet>
      <dgm:spPr/>
    </dgm:pt>
    <dgm:pt modelId="{23DF4E2F-37E1-454D-889D-93E1EAE0BFD4}" type="pres">
      <dgm:prSet presAssocID="{EE53CECF-0159-4A3E-9E53-59EA1EE7B945}" presName="rootConnector" presStyleLbl="node3" presStyleIdx="0" presStyleCnt="4"/>
      <dgm:spPr/>
    </dgm:pt>
    <dgm:pt modelId="{BB4694F3-569A-47ED-92F9-64284772EEC0}" type="pres">
      <dgm:prSet presAssocID="{EE53CECF-0159-4A3E-9E53-59EA1EE7B945}" presName="hierChild4" presStyleCnt="0"/>
      <dgm:spPr/>
    </dgm:pt>
    <dgm:pt modelId="{1BEAF983-7B9E-40A4-BBB4-82D58B03A7FC}" type="pres">
      <dgm:prSet presAssocID="{ABC47020-6CAA-443C-AD0C-3602C8B06D12}" presName="Name37" presStyleLbl="parChTrans1D4" presStyleIdx="0" presStyleCnt="14"/>
      <dgm:spPr/>
    </dgm:pt>
    <dgm:pt modelId="{E2B2AB06-036F-44D2-A54C-B59CBAFDE391}" type="pres">
      <dgm:prSet presAssocID="{4CE40385-803B-4982-B1AE-C8EE08F0D3B9}" presName="hierRoot2" presStyleCnt="0">
        <dgm:presLayoutVars>
          <dgm:hierBranch val="init"/>
        </dgm:presLayoutVars>
      </dgm:prSet>
      <dgm:spPr/>
    </dgm:pt>
    <dgm:pt modelId="{939305A0-7258-48F2-AF1B-714CBCF68F0B}" type="pres">
      <dgm:prSet presAssocID="{4CE40385-803B-4982-B1AE-C8EE08F0D3B9}" presName="rootComposite" presStyleCnt="0"/>
      <dgm:spPr/>
    </dgm:pt>
    <dgm:pt modelId="{3B4922AD-AF1A-435F-A951-BC076C1DAA8B}" type="pres">
      <dgm:prSet presAssocID="{4CE40385-803B-4982-B1AE-C8EE08F0D3B9}" presName="rootText" presStyleLbl="node4" presStyleIdx="0" presStyleCnt="14" custScaleX="163710" custScaleY="123534">
        <dgm:presLayoutVars>
          <dgm:chPref val="3"/>
        </dgm:presLayoutVars>
      </dgm:prSet>
      <dgm:spPr/>
    </dgm:pt>
    <dgm:pt modelId="{B495E6C4-9AF9-4CDB-9A94-D97267DB5B6B}" type="pres">
      <dgm:prSet presAssocID="{4CE40385-803B-4982-B1AE-C8EE08F0D3B9}" presName="rootConnector" presStyleLbl="node4" presStyleIdx="0" presStyleCnt="14"/>
      <dgm:spPr/>
    </dgm:pt>
    <dgm:pt modelId="{8C036D6A-E9B7-4B74-91D7-92E92AC37781}" type="pres">
      <dgm:prSet presAssocID="{4CE40385-803B-4982-B1AE-C8EE08F0D3B9}" presName="hierChild4" presStyleCnt="0"/>
      <dgm:spPr/>
    </dgm:pt>
    <dgm:pt modelId="{297EE16D-B6D7-418B-BEC4-9193E9CA3C43}" type="pres">
      <dgm:prSet presAssocID="{184AFB3E-F66A-40C4-A790-7C77356158C1}" presName="Name37" presStyleLbl="parChTrans1D4" presStyleIdx="1" presStyleCnt="14"/>
      <dgm:spPr/>
    </dgm:pt>
    <dgm:pt modelId="{E41EFFCE-7FBE-494C-961B-314467F8B6D2}" type="pres">
      <dgm:prSet presAssocID="{98FB3FB6-098E-409C-AB08-6756AAEC4132}" presName="hierRoot2" presStyleCnt="0">
        <dgm:presLayoutVars>
          <dgm:hierBranch val="init"/>
        </dgm:presLayoutVars>
      </dgm:prSet>
      <dgm:spPr/>
    </dgm:pt>
    <dgm:pt modelId="{1D4D2426-1477-4F9F-B1B5-6ADF8B70FC6E}" type="pres">
      <dgm:prSet presAssocID="{98FB3FB6-098E-409C-AB08-6756AAEC4132}" presName="rootComposite" presStyleCnt="0"/>
      <dgm:spPr/>
    </dgm:pt>
    <dgm:pt modelId="{FF715FA8-AED8-4B5E-9BCD-81C3AA535045}" type="pres">
      <dgm:prSet presAssocID="{98FB3FB6-098E-409C-AB08-6756AAEC4132}" presName="rootText" presStyleLbl="node4" presStyleIdx="1" presStyleCnt="14" custScaleX="174488">
        <dgm:presLayoutVars>
          <dgm:chPref val="3"/>
        </dgm:presLayoutVars>
      </dgm:prSet>
      <dgm:spPr/>
    </dgm:pt>
    <dgm:pt modelId="{29C4EAF3-77D0-4D55-A82F-6D1A0F14EA49}" type="pres">
      <dgm:prSet presAssocID="{98FB3FB6-098E-409C-AB08-6756AAEC4132}" presName="rootConnector" presStyleLbl="node4" presStyleIdx="1" presStyleCnt="14"/>
      <dgm:spPr/>
    </dgm:pt>
    <dgm:pt modelId="{C9149A77-3160-48DF-A896-491EDD0C04E8}" type="pres">
      <dgm:prSet presAssocID="{98FB3FB6-098E-409C-AB08-6756AAEC4132}" presName="hierChild4" presStyleCnt="0"/>
      <dgm:spPr/>
    </dgm:pt>
    <dgm:pt modelId="{4AF3245E-B283-4B3C-89B2-430FE9023603}" type="pres">
      <dgm:prSet presAssocID="{61532884-69A1-4046-BC23-60F91B124EEF}" presName="Name37" presStyleLbl="parChTrans1D4" presStyleIdx="2" presStyleCnt="14"/>
      <dgm:spPr/>
    </dgm:pt>
    <dgm:pt modelId="{CC8AFDED-D9C6-4214-81BF-D65679C48F86}" type="pres">
      <dgm:prSet presAssocID="{CFC0EC99-AC4D-4B3D-A43E-FD5CF65DD5D2}" presName="hierRoot2" presStyleCnt="0">
        <dgm:presLayoutVars>
          <dgm:hierBranch val="l"/>
        </dgm:presLayoutVars>
      </dgm:prSet>
      <dgm:spPr/>
    </dgm:pt>
    <dgm:pt modelId="{B98F956F-C6BB-4FEB-8A24-F2820DE6F34C}" type="pres">
      <dgm:prSet presAssocID="{CFC0EC99-AC4D-4B3D-A43E-FD5CF65DD5D2}" presName="rootComposite" presStyleCnt="0"/>
      <dgm:spPr/>
    </dgm:pt>
    <dgm:pt modelId="{2FBB06AF-45C3-4528-A95E-9597A5AECCF5}" type="pres">
      <dgm:prSet presAssocID="{CFC0EC99-AC4D-4B3D-A43E-FD5CF65DD5D2}" presName="rootText" presStyleLbl="node4" presStyleIdx="2" presStyleCnt="14" custScaleY="96235" custLinFactNeighborX="-16131" custLinFactNeighborY="-25138">
        <dgm:presLayoutVars>
          <dgm:chPref val="3"/>
        </dgm:presLayoutVars>
      </dgm:prSet>
      <dgm:spPr/>
    </dgm:pt>
    <dgm:pt modelId="{DFA67A23-87B1-4D69-AE96-6448EE96E4AD}" type="pres">
      <dgm:prSet presAssocID="{CFC0EC99-AC4D-4B3D-A43E-FD5CF65DD5D2}" presName="rootConnector" presStyleLbl="node4" presStyleIdx="2" presStyleCnt="14"/>
      <dgm:spPr/>
    </dgm:pt>
    <dgm:pt modelId="{D5D0D9A9-134E-4E0F-9DA2-49258E05D5E9}" type="pres">
      <dgm:prSet presAssocID="{CFC0EC99-AC4D-4B3D-A43E-FD5CF65DD5D2}" presName="hierChild4" presStyleCnt="0"/>
      <dgm:spPr/>
    </dgm:pt>
    <dgm:pt modelId="{5408E322-481F-485C-896B-7F2640E8D288}" type="pres">
      <dgm:prSet presAssocID="{CFC0EC99-AC4D-4B3D-A43E-FD5CF65DD5D2}" presName="hierChild5" presStyleCnt="0"/>
      <dgm:spPr/>
    </dgm:pt>
    <dgm:pt modelId="{BA2BAFD6-BA5E-44D8-A112-8D13AD00AF62}" type="pres">
      <dgm:prSet presAssocID="{554751D7-33AA-44EE-B8BE-2AD02291F210}" presName="Name37" presStyleLbl="parChTrans1D4" presStyleIdx="3" presStyleCnt="14"/>
      <dgm:spPr/>
    </dgm:pt>
    <dgm:pt modelId="{211CCCBB-B4C7-42DE-A808-C96F8EAAC4A8}" type="pres">
      <dgm:prSet presAssocID="{E56B6DD5-8554-4BF3-88E5-E67FEE21FF89}" presName="hierRoot2" presStyleCnt="0">
        <dgm:presLayoutVars>
          <dgm:hierBranch val="init"/>
        </dgm:presLayoutVars>
      </dgm:prSet>
      <dgm:spPr/>
    </dgm:pt>
    <dgm:pt modelId="{F78BC637-6AD4-414E-8C61-264C4DC87A5D}" type="pres">
      <dgm:prSet presAssocID="{E56B6DD5-8554-4BF3-88E5-E67FEE21FF89}" presName="rootComposite" presStyleCnt="0"/>
      <dgm:spPr/>
    </dgm:pt>
    <dgm:pt modelId="{78384FDD-8BBF-4585-A354-922E1F074110}" type="pres">
      <dgm:prSet presAssocID="{E56B6DD5-8554-4BF3-88E5-E67FEE21FF89}" presName="rootText" presStyleLbl="node4" presStyleIdx="3" presStyleCnt="14" custLinFactNeighborX="-16115" custLinFactNeighborY="-2930">
        <dgm:presLayoutVars>
          <dgm:chPref val="3"/>
        </dgm:presLayoutVars>
      </dgm:prSet>
      <dgm:spPr/>
    </dgm:pt>
    <dgm:pt modelId="{9DC3F79F-0B50-467E-9E50-EABDD6F756BE}" type="pres">
      <dgm:prSet presAssocID="{E56B6DD5-8554-4BF3-88E5-E67FEE21FF89}" presName="rootConnector" presStyleLbl="node4" presStyleIdx="3" presStyleCnt="14"/>
      <dgm:spPr/>
    </dgm:pt>
    <dgm:pt modelId="{443AD141-44F0-4716-980E-678A02CACAEA}" type="pres">
      <dgm:prSet presAssocID="{E56B6DD5-8554-4BF3-88E5-E67FEE21FF89}" presName="hierChild4" presStyleCnt="0"/>
      <dgm:spPr/>
    </dgm:pt>
    <dgm:pt modelId="{ADC4BC84-040C-4DAB-BDAC-891D0689D7C1}" type="pres">
      <dgm:prSet presAssocID="{E56B6DD5-8554-4BF3-88E5-E67FEE21FF89}" presName="hierChild5" presStyleCnt="0"/>
      <dgm:spPr/>
    </dgm:pt>
    <dgm:pt modelId="{72E8040B-CA7A-418E-9ECC-5248BAE32ECF}" type="pres">
      <dgm:prSet presAssocID="{98FB3FB6-098E-409C-AB08-6756AAEC4132}" presName="hierChild5" presStyleCnt="0"/>
      <dgm:spPr/>
    </dgm:pt>
    <dgm:pt modelId="{D6675EB3-F9F3-46E6-87F0-FAC6EA913646}" type="pres">
      <dgm:prSet presAssocID="{4CE40385-803B-4982-B1AE-C8EE08F0D3B9}" presName="hierChild5" presStyleCnt="0"/>
      <dgm:spPr/>
    </dgm:pt>
    <dgm:pt modelId="{F2096B0F-B2D1-46B9-828D-1E34FED59185}" type="pres">
      <dgm:prSet presAssocID="{EE53CECF-0159-4A3E-9E53-59EA1EE7B945}" presName="hierChild5" presStyleCnt="0"/>
      <dgm:spPr/>
    </dgm:pt>
    <dgm:pt modelId="{3FCEC057-2FF1-4CEC-8551-032C5D24C6E1}" type="pres">
      <dgm:prSet presAssocID="{C13E1972-9D6A-40C5-B7F1-4FA99DC39A5D}" presName="hierChild5" presStyleCnt="0"/>
      <dgm:spPr/>
    </dgm:pt>
    <dgm:pt modelId="{8DAFCA34-1B87-41BB-AB9C-8C899E4C438D}" type="pres">
      <dgm:prSet presAssocID="{DD206DED-7FC5-4EEA-8C87-BF6615CC14B0}" presName="Name37" presStyleLbl="parChTrans1D2" presStyleIdx="1" presStyleCnt="4"/>
      <dgm:spPr/>
    </dgm:pt>
    <dgm:pt modelId="{A6643AF8-BF59-4685-A7B2-9C80CCFA7D40}" type="pres">
      <dgm:prSet presAssocID="{93A36F70-6CFA-4EF3-8917-CF33D892AD2B}" presName="hierRoot2" presStyleCnt="0">
        <dgm:presLayoutVars>
          <dgm:hierBranch val="init"/>
        </dgm:presLayoutVars>
      </dgm:prSet>
      <dgm:spPr/>
    </dgm:pt>
    <dgm:pt modelId="{0AE84D4A-A086-4A3A-9DD8-6840582C05F1}" type="pres">
      <dgm:prSet presAssocID="{93A36F70-6CFA-4EF3-8917-CF33D892AD2B}" presName="rootComposite" presStyleCnt="0"/>
      <dgm:spPr/>
    </dgm:pt>
    <dgm:pt modelId="{BE4DAEA6-7F22-4DC7-81FD-88D797CCE989}" type="pres">
      <dgm:prSet presAssocID="{93A36F70-6CFA-4EF3-8917-CF33D892AD2B}" presName="rootText" presStyleLbl="node2" presStyleIdx="1" presStyleCnt="4" custScaleX="135426" custLinFactNeighborX="4689">
        <dgm:presLayoutVars>
          <dgm:chPref val="3"/>
        </dgm:presLayoutVars>
      </dgm:prSet>
      <dgm:spPr/>
    </dgm:pt>
    <dgm:pt modelId="{692147EF-7C3D-47F2-9967-73AF7803245F}" type="pres">
      <dgm:prSet presAssocID="{93A36F70-6CFA-4EF3-8917-CF33D892AD2B}" presName="rootConnector" presStyleLbl="node2" presStyleIdx="1" presStyleCnt="4"/>
      <dgm:spPr/>
    </dgm:pt>
    <dgm:pt modelId="{7082E8CB-A295-41B2-86B4-8F549C5B4EBD}" type="pres">
      <dgm:prSet presAssocID="{93A36F70-6CFA-4EF3-8917-CF33D892AD2B}" presName="hierChild4" presStyleCnt="0"/>
      <dgm:spPr/>
    </dgm:pt>
    <dgm:pt modelId="{2C5481D4-6F0F-4826-AAA2-34E9624D1255}" type="pres">
      <dgm:prSet presAssocID="{ED763B38-1452-435A-831E-0529E51E153D}" presName="Name37" presStyleLbl="parChTrans1D3" presStyleIdx="1" presStyleCnt="4"/>
      <dgm:spPr/>
    </dgm:pt>
    <dgm:pt modelId="{F0DD0982-BEA6-4D70-AF3B-0AA4AA92E47B}" type="pres">
      <dgm:prSet presAssocID="{3F2837BE-7DB0-4240-97FA-5D38AA7C0DF0}" presName="hierRoot2" presStyleCnt="0">
        <dgm:presLayoutVars>
          <dgm:hierBranch val="init"/>
        </dgm:presLayoutVars>
      </dgm:prSet>
      <dgm:spPr/>
    </dgm:pt>
    <dgm:pt modelId="{99B54681-733F-4DDC-90EB-69AF05D7F8CA}" type="pres">
      <dgm:prSet presAssocID="{3F2837BE-7DB0-4240-97FA-5D38AA7C0DF0}" presName="rootComposite" presStyleCnt="0"/>
      <dgm:spPr/>
    </dgm:pt>
    <dgm:pt modelId="{955DF2CB-8C32-487F-8CE4-5634CE1C1457}" type="pres">
      <dgm:prSet presAssocID="{3F2837BE-7DB0-4240-97FA-5D38AA7C0DF0}" presName="rootText" presStyleLbl="node3" presStyleIdx="1" presStyleCnt="4" custScaleX="207030" custScaleY="150376" custLinFactNeighborX="4689" custLinFactNeighborY="-3520">
        <dgm:presLayoutVars>
          <dgm:chPref val="3"/>
        </dgm:presLayoutVars>
      </dgm:prSet>
      <dgm:spPr/>
    </dgm:pt>
    <dgm:pt modelId="{55201589-E569-4CAD-AC99-0497FCF263F6}" type="pres">
      <dgm:prSet presAssocID="{3F2837BE-7DB0-4240-97FA-5D38AA7C0DF0}" presName="rootConnector" presStyleLbl="node3" presStyleIdx="1" presStyleCnt="4"/>
      <dgm:spPr/>
    </dgm:pt>
    <dgm:pt modelId="{ED1D290A-9272-48F1-8AF8-BBA8E72EDB35}" type="pres">
      <dgm:prSet presAssocID="{3F2837BE-7DB0-4240-97FA-5D38AA7C0DF0}" presName="hierChild4" presStyleCnt="0"/>
      <dgm:spPr/>
    </dgm:pt>
    <dgm:pt modelId="{B3A2FCF6-BDDC-43A1-B4B4-7465EEB351F9}" type="pres">
      <dgm:prSet presAssocID="{036BBA54-C30F-4318-8E02-C38D689AE49F}" presName="Name37" presStyleLbl="parChTrans1D4" presStyleIdx="4" presStyleCnt="14"/>
      <dgm:spPr/>
    </dgm:pt>
    <dgm:pt modelId="{528FA10A-4857-4463-9731-4AEDA3A2084F}" type="pres">
      <dgm:prSet presAssocID="{D853020C-DEA9-492C-A09C-8010E74E4939}" presName="hierRoot2" presStyleCnt="0">
        <dgm:presLayoutVars>
          <dgm:hierBranch val="init"/>
        </dgm:presLayoutVars>
      </dgm:prSet>
      <dgm:spPr/>
    </dgm:pt>
    <dgm:pt modelId="{A0BBEE0B-C95A-4C29-AFB5-552AA969DEC5}" type="pres">
      <dgm:prSet presAssocID="{D853020C-DEA9-492C-A09C-8010E74E4939}" presName="rootComposite" presStyleCnt="0"/>
      <dgm:spPr/>
    </dgm:pt>
    <dgm:pt modelId="{3CCA5876-8A27-4F35-AD95-6BF0D45B8EAB}" type="pres">
      <dgm:prSet presAssocID="{D853020C-DEA9-492C-A09C-8010E74E4939}" presName="rootText" presStyleLbl="node4" presStyleIdx="4" presStyleCnt="14" custScaleX="187424" custScaleY="123186" custLinFactNeighborX="4689">
        <dgm:presLayoutVars>
          <dgm:chPref val="3"/>
        </dgm:presLayoutVars>
      </dgm:prSet>
      <dgm:spPr/>
    </dgm:pt>
    <dgm:pt modelId="{CFAF05B6-DE0F-4D93-8BD4-F6958633D3E3}" type="pres">
      <dgm:prSet presAssocID="{D853020C-DEA9-492C-A09C-8010E74E4939}" presName="rootConnector" presStyleLbl="node4" presStyleIdx="4" presStyleCnt="14"/>
      <dgm:spPr/>
    </dgm:pt>
    <dgm:pt modelId="{73C23942-2DFB-4388-BBCA-12834EB398A6}" type="pres">
      <dgm:prSet presAssocID="{D853020C-DEA9-492C-A09C-8010E74E4939}" presName="hierChild4" presStyleCnt="0"/>
      <dgm:spPr/>
    </dgm:pt>
    <dgm:pt modelId="{5DB911DD-B1FB-4709-B564-E88699AF4550}" type="pres">
      <dgm:prSet presAssocID="{FFFC5664-134A-4D10-A422-28E9F3FDC00F}" presName="Name37" presStyleLbl="parChTrans1D4" presStyleIdx="5" presStyleCnt="14"/>
      <dgm:spPr/>
    </dgm:pt>
    <dgm:pt modelId="{3ADA63C1-4F49-4DB3-9C5C-30DCB8787A9E}" type="pres">
      <dgm:prSet presAssocID="{E9CAD23E-388D-4F66-A915-36321F3FEFEA}" presName="hierRoot2" presStyleCnt="0">
        <dgm:presLayoutVars>
          <dgm:hierBranch val="init"/>
        </dgm:presLayoutVars>
      </dgm:prSet>
      <dgm:spPr/>
    </dgm:pt>
    <dgm:pt modelId="{85C38929-9147-4CE4-A22A-26D877DC99DF}" type="pres">
      <dgm:prSet presAssocID="{E9CAD23E-388D-4F66-A915-36321F3FEFEA}" presName="rootComposite" presStyleCnt="0"/>
      <dgm:spPr/>
    </dgm:pt>
    <dgm:pt modelId="{9F651233-C707-483D-B969-3DD45DADA596}" type="pres">
      <dgm:prSet presAssocID="{E9CAD23E-388D-4F66-A915-36321F3FEFEA}" presName="rootText" presStyleLbl="node4" presStyleIdx="5" presStyleCnt="14" custScaleX="192476" custScaleY="160985" custLinFactNeighborX="4689">
        <dgm:presLayoutVars>
          <dgm:chPref val="3"/>
        </dgm:presLayoutVars>
      </dgm:prSet>
      <dgm:spPr/>
    </dgm:pt>
    <dgm:pt modelId="{D9A5E4F9-DFC5-477D-B2F2-C92E83D40FDA}" type="pres">
      <dgm:prSet presAssocID="{E9CAD23E-388D-4F66-A915-36321F3FEFEA}" presName="rootConnector" presStyleLbl="node4" presStyleIdx="5" presStyleCnt="14"/>
      <dgm:spPr/>
    </dgm:pt>
    <dgm:pt modelId="{E6A4673C-DA52-4EF6-9513-6B66F19EC248}" type="pres">
      <dgm:prSet presAssocID="{E9CAD23E-388D-4F66-A915-36321F3FEFEA}" presName="hierChild4" presStyleCnt="0"/>
      <dgm:spPr/>
    </dgm:pt>
    <dgm:pt modelId="{5ED4746F-DC73-46C2-B7E2-156C7C658148}" type="pres">
      <dgm:prSet presAssocID="{439280A1-7D3A-491D-9BCD-03F68A89A939}" presName="Name37" presStyleLbl="parChTrans1D4" presStyleIdx="6" presStyleCnt="14"/>
      <dgm:spPr/>
    </dgm:pt>
    <dgm:pt modelId="{DA504AB5-7206-4AE0-B8D3-36E9F58FEF17}" type="pres">
      <dgm:prSet presAssocID="{D818CA55-5845-4510-8199-51B5D4EAC96D}" presName="hierRoot2" presStyleCnt="0">
        <dgm:presLayoutVars>
          <dgm:hierBranch val="init"/>
        </dgm:presLayoutVars>
      </dgm:prSet>
      <dgm:spPr/>
    </dgm:pt>
    <dgm:pt modelId="{24DC36A2-4A24-43DA-A3F3-BCD2CD71A87D}" type="pres">
      <dgm:prSet presAssocID="{D818CA55-5845-4510-8199-51B5D4EAC96D}" presName="rootComposite" presStyleCnt="0"/>
      <dgm:spPr/>
    </dgm:pt>
    <dgm:pt modelId="{43D5122B-5DCF-4B51-8333-74EDBD2CC2AE}" type="pres">
      <dgm:prSet presAssocID="{D818CA55-5845-4510-8199-51B5D4EAC96D}" presName="rootText" presStyleLbl="node4" presStyleIdx="6" presStyleCnt="14" custLinFactNeighborX="958" custLinFactNeighborY="-18207">
        <dgm:presLayoutVars>
          <dgm:chPref val="3"/>
        </dgm:presLayoutVars>
      </dgm:prSet>
      <dgm:spPr/>
    </dgm:pt>
    <dgm:pt modelId="{F40D34D8-021A-4483-AE5D-5B75445580C1}" type="pres">
      <dgm:prSet presAssocID="{D818CA55-5845-4510-8199-51B5D4EAC96D}" presName="rootConnector" presStyleLbl="node4" presStyleIdx="6" presStyleCnt="14"/>
      <dgm:spPr/>
    </dgm:pt>
    <dgm:pt modelId="{6837A594-4601-4229-BB57-FF4657A81B58}" type="pres">
      <dgm:prSet presAssocID="{D818CA55-5845-4510-8199-51B5D4EAC96D}" presName="hierChild4" presStyleCnt="0"/>
      <dgm:spPr/>
    </dgm:pt>
    <dgm:pt modelId="{76B7733F-4FAB-4445-B340-C2D72056007F}" type="pres">
      <dgm:prSet presAssocID="{D818CA55-5845-4510-8199-51B5D4EAC96D}" presName="hierChild5" presStyleCnt="0"/>
      <dgm:spPr/>
    </dgm:pt>
    <dgm:pt modelId="{0B19A5AF-C79C-4EF7-9452-AF0D88F4A161}" type="pres">
      <dgm:prSet presAssocID="{F06B826E-D9A8-4A53-BE34-5C6B5644CADC}" presName="Name37" presStyleLbl="parChTrans1D4" presStyleIdx="7" presStyleCnt="14"/>
      <dgm:spPr/>
    </dgm:pt>
    <dgm:pt modelId="{10B37DE4-82D7-424B-86FE-F52E9084B034}" type="pres">
      <dgm:prSet presAssocID="{71F0ADEC-1798-4F9C-95C5-DE17ABAA5F59}" presName="hierRoot2" presStyleCnt="0">
        <dgm:presLayoutVars>
          <dgm:hierBranch val="init"/>
        </dgm:presLayoutVars>
      </dgm:prSet>
      <dgm:spPr/>
    </dgm:pt>
    <dgm:pt modelId="{9B6E4768-A534-4CE2-AAC9-E9547C4D5195}" type="pres">
      <dgm:prSet presAssocID="{71F0ADEC-1798-4F9C-95C5-DE17ABAA5F59}" presName="rootComposite" presStyleCnt="0"/>
      <dgm:spPr/>
    </dgm:pt>
    <dgm:pt modelId="{BAFA2B14-49BD-4B2E-8520-A6510D777721}" type="pres">
      <dgm:prSet presAssocID="{71F0ADEC-1798-4F9C-95C5-DE17ABAA5F59}" presName="rootText" presStyleLbl="node4" presStyleIdx="7" presStyleCnt="14">
        <dgm:presLayoutVars>
          <dgm:chPref val="3"/>
        </dgm:presLayoutVars>
      </dgm:prSet>
      <dgm:spPr/>
    </dgm:pt>
    <dgm:pt modelId="{FDE1FD43-4E01-4F89-B8B1-ECACF6F4353B}" type="pres">
      <dgm:prSet presAssocID="{71F0ADEC-1798-4F9C-95C5-DE17ABAA5F59}" presName="rootConnector" presStyleLbl="node4" presStyleIdx="7" presStyleCnt="14"/>
      <dgm:spPr/>
    </dgm:pt>
    <dgm:pt modelId="{7F91F9D4-9F4C-45D2-B275-BB725F4F3A57}" type="pres">
      <dgm:prSet presAssocID="{71F0ADEC-1798-4F9C-95C5-DE17ABAA5F59}" presName="hierChild4" presStyleCnt="0"/>
      <dgm:spPr/>
    </dgm:pt>
    <dgm:pt modelId="{459569D6-F3FF-4FD1-A8AF-8D2D79733BF8}" type="pres">
      <dgm:prSet presAssocID="{71F0ADEC-1798-4F9C-95C5-DE17ABAA5F59}" presName="hierChild5" presStyleCnt="0"/>
      <dgm:spPr/>
    </dgm:pt>
    <dgm:pt modelId="{0C749B28-FB97-4C5D-98AC-A97E4B6FCB62}" type="pres">
      <dgm:prSet presAssocID="{E9CAD23E-388D-4F66-A915-36321F3FEFEA}" presName="hierChild5" presStyleCnt="0"/>
      <dgm:spPr/>
    </dgm:pt>
    <dgm:pt modelId="{9C1B1DE0-D9E2-43B0-B811-5FBE758A51B0}" type="pres">
      <dgm:prSet presAssocID="{D853020C-DEA9-492C-A09C-8010E74E4939}" presName="hierChild5" presStyleCnt="0"/>
      <dgm:spPr/>
    </dgm:pt>
    <dgm:pt modelId="{03F447ED-C503-4CE4-9019-B168D0082A88}" type="pres">
      <dgm:prSet presAssocID="{3F2837BE-7DB0-4240-97FA-5D38AA7C0DF0}" presName="hierChild5" presStyleCnt="0"/>
      <dgm:spPr/>
    </dgm:pt>
    <dgm:pt modelId="{59850EB0-2A80-48BE-9B91-ACD7D720D3B3}" type="pres">
      <dgm:prSet presAssocID="{93A36F70-6CFA-4EF3-8917-CF33D892AD2B}" presName="hierChild5" presStyleCnt="0"/>
      <dgm:spPr/>
    </dgm:pt>
    <dgm:pt modelId="{F8F878DE-3698-49C4-866C-9D6D49B690BF}" type="pres">
      <dgm:prSet presAssocID="{9DC5AD1F-70F0-41C6-BB2E-9D3B683019F0}" presName="Name37" presStyleLbl="parChTrans1D2" presStyleIdx="2" presStyleCnt="4"/>
      <dgm:spPr/>
    </dgm:pt>
    <dgm:pt modelId="{71D1FAC7-6D16-429C-B01D-3C3E13E5743F}" type="pres">
      <dgm:prSet presAssocID="{ACAD03E5-6C76-40D2-8C7B-229FD5378AF9}" presName="hierRoot2" presStyleCnt="0">
        <dgm:presLayoutVars>
          <dgm:hierBranch val="init"/>
        </dgm:presLayoutVars>
      </dgm:prSet>
      <dgm:spPr/>
    </dgm:pt>
    <dgm:pt modelId="{B54C6A21-DA4A-452C-9EA3-211FAD5978D6}" type="pres">
      <dgm:prSet presAssocID="{ACAD03E5-6C76-40D2-8C7B-229FD5378AF9}" presName="rootComposite" presStyleCnt="0"/>
      <dgm:spPr/>
    </dgm:pt>
    <dgm:pt modelId="{FF0C1041-3395-46E3-905D-0CC0094881D7}" type="pres">
      <dgm:prSet presAssocID="{ACAD03E5-6C76-40D2-8C7B-229FD5378AF9}" presName="rootText" presStyleLbl="node2" presStyleIdx="2" presStyleCnt="4" custScaleX="174869">
        <dgm:presLayoutVars>
          <dgm:chPref val="3"/>
        </dgm:presLayoutVars>
      </dgm:prSet>
      <dgm:spPr/>
    </dgm:pt>
    <dgm:pt modelId="{5031D92B-3977-49E6-8FF5-A4B3BF7D427B}" type="pres">
      <dgm:prSet presAssocID="{ACAD03E5-6C76-40D2-8C7B-229FD5378AF9}" presName="rootConnector" presStyleLbl="node2" presStyleIdx="2" presStyleCnt="4"/>
      <dgm:spPr/>
    </dgm:pt>
    <dgm:pt modelId="{DA443ED5-03E3-4890-B276-72FC2A10D9AC}" type="pres">
      <dgm:prSet presAssocID="{ACAD03E5-6C76-40D2-8C7B-229FD5378AF9}" presName="hierChild4" presStyleCnt="0"/>
      <dgm:spPr/>
    </dgm:pt>
    <dgm:pt modelId="{BF6D23CB-7F33-40BA-8290-9FE411A93557}" type="pres">
      <dgm:prSet presAssocID="{A6194704-638D-4E5B-BE58-520635DD1E10}" presName="Name37" presStyleLbl="parChTrans1D3" presStyleIdx="2" presStyleCnt="4"/>
      <dgm:spPr/>
    </dgm:pt>
    <dgm:pt modelId="{1575B795-3E3D-476F-A453-084380F48C0C}" type="pres">
      <dgm:prSet presAssocID="{CE41F070-B7FF-4D72-9779-CADB9ECDB834}" presName="hierRoot2" presStyleCnt="0">
        <dgm:presLayoutVars>
          <dgm:hierBranch val="init"/>
        </dgm:presLayoutVars>
      </dgm:prSet>
      <dgm:spPr/>
    </dgm:pt>
    <dgm:pt modelId="{ADC6026A-68BD-4D33-A133-B4A06CFB811D}" type="pres">
      <dgm:prSet presAssocID="{CE41F070-B7FF-4D72-9779-CADB9ECDB834}" presName="rootComposite" presStyleCnt="0"/>
      <dgm:spPr/>
    </dgm:pt>
    <dgm:pt modelId="{1DC14DB0-20D9-44B1-9C0B-2CA2C56BE45F}" type="pres">
      <dgm:prSet presAssocID="{CE41F070-B7FF-4D72-9779-CADB9ECDB834}" presName="rootText" presStyleLbl="node3" presStyleIdx="2" presStyleCnt="4" custScaleX="196836" custScaleY="155997">
        <dgm:presLayoutVars>
          <dgm:chPref val="3"/>
        </dgm:presLayoutVars>
      </dgm:prSet>
      <dgm:spPr/>
    </dgm:pt>
    <dgm:pt modelId="{792FC1BD-339C-4C4A-AFFA-7E962E8BE8B1}" type="pres">
      <dgm:prSet presAssocID="{CE41F070-B7FF-4D72-9779-CADB9ECDB834}" presName="rootConnector" presStyleLbl="node3" presStyleIdx="2" presStyleCnt="4"/>
      <dgm:spPr/>
    </dgm:pt>
    <dgm:pt modelId="{A28D11C1-B104-4DD2-B0CA-7BE431819868}" type="pres">
      <dgm:prSet presAssocID="{CE41F070-B7FF-4D72-9779-CADB9ECDB834}" presName="hierChild4" presStyleCnt="0"/>
      <dgm:spPr/>
    </dgm:pt>
    <dgm:pt modelId="{B11EC0E0-1D04-4C22-B029-3C6F2288A749}" type="pres">
      <dgm:prSet presAssocID="{3C05564B-8AA3-456F-9C11-A63FD39E0DEB}" presName="Name37" presStyleLbl="parChTrans1D4" presStyleIdx="8" presStyleCnt="14"/>
      <dgm:spPr/>
    </dgm:pt>
    <dgm:pt modelId="{C2F3B412-3A1A-437D-BF9E-F74CFDD5C2CB}" type="pres">
      <dgm:prSet presAssocID="{A25AF142-8B54-443F-A5C1-12DBB16C659A}" presName="hierRoot2" presStyleCnt="0">
        <dgm:presLayoutVars>
          <dgm:hierBranch val="init"/>
        </dgm:presLayoutVars>
      </dgm:prSet>
      <dgm:spPr/>
    </dgm:pt>
    <dgm:pt modelId="{AB7224FE-6328-40D7-86A4-255F217B7408}" type="pres">
      <dgm:prSet presAssocID="{A25AF142-8B54-443F-A5C1-12DBB16C659A}" presName="rootComposite" presStyleCnt="0"/>
      <dgm:spPr/>
    </dgm:pt>
    <dgm:pt modelId="{B43F6C84-4113-4E97-946D-DA27B40F06CE}" type="pres">
      <dgm:prSet presAssocID="{A25AF142-8B54-443F-A5C1-12DBB16C659A}" presName="rootText" presStyleLbl="node4" presStyleIdx="8" presStyleCnt="14" custScaleX="195688" custScaleY="129506">
        <dgm:presLayoutVars>
          <dgm:chPref val="3"/>
        </dgm:presLayoutVars>
      </dgm:prSet>
      <dgm:spPr/>
    </dgm:pt>
    <dgm:pt modelId="{E2B14B52-158B-4517-8B41-3B7059D68FF1}" type="pres">
      <dgm:prSet presAssocID="{A25AF142-8B54-443F-A5C1-12DBB16C659A}" presName="rootConnector" presStyleLbl="node4" presStyleIdx="8" presStyleCnt="14"/>
      <dgm:spPr/>
    </dgm:pt>
    <dgm:pt modelId="{1718D16A-632D-444B-B429-D7B72BA2A9B9}" type="pres">
      <dgm:prSet presAssocID="{A25AF142-8B54-443F-A5C1-12DBB16C659A}" presName="hierChild4" presStyleCnt="0"/>
      <dgm:spPr/>
    </dgm:pt>
    <dgm:pt modelId="{38AA9563-A215-42CF-B8D1-2BE905529BCA}" type="pres">
      <dgm:prSet presAssocID="{A31182A2-12DA-42B6-BD6F-A8319CCDB153}" presName="Name37" presStyleLbl="parChTrans1D4" presStyleIdx="9" presStyleCnt="14"/>
      <dgm:spPr/>
    </dgm:pt>
    <dgm:pt modelId="{C6E491C5-257E-49BB-9FB6-10FD679C82D4}" type="pres">
      <dgm:prSet presAssocID="{4567E575-9C97-484A-8DF0-C51F9C3774CF}" presName="hierRoot2" presStyleCnt="0">
        <dgm:presLayoutVars>
          <dgm:hierBranch val="init"/>
        </dgm:presLayoutVars>
      </dgm:prSet>
      <dgm:spPr/>
    </dgm:pt>
    <dgm:pt modelId="{BEA0EF37-ECF1-40E8-9134-7ACA7DC0DC88}" type="pres">
      <dgm:prSet presAssocID="{4567E575-9C97-484A-8DF0-C51F9C3774CF}" presName="rootComposite" presStyleCnt="0"/>
      <dgm:spPr/>
    </dgm:pt>
    <dgm:pt modelId="{1E30188F-1A85-4769-94E5-DDF79B8DCAAA}" type="pres">
      <dgm:prSet presAssocID="{4567E575-9C97-484A-8DF0-C51F9C3774CF}" presName="rootText" presStyleLbl="node4" presStyleIdx="9" presStyleCnt="14" custScaleX="223122">
        <dgm:presLayoutVars>
          <dgm:chPref val="3"/>
        </dgm:presLayoutVars>
      </dgm:prSet>
      <dgm:spPr/>
    </dgm:pt>
    <dgm:pt modelId="{C1D61C69-C2CA-47EA-9680-6E5EC6D892E8}" type="pres">
      <dgm:prSet presAssocID="{4567E575-9C97-484A-8DF0-C51F9C3774CF}" presName="rootConnector" presStyleLbl="node4" presStyleIdx="9" presStyleCnt="14"/>
      <dgm:spPr/>
    </dgm:pt>
    <dgm:pt modelId="{A38CC7FF-57CC-4693-B002-75B2B67A7ECF}" type="pres">
      <dgm:prSet presAssocID="{4567E575-9C97-484A-8DF0-C51F9C3774CF}" presName="hierChild4" presStyleCnt="0"/>
      <dgm:spPr/>
    </dgm:pt>
    <dgm:pt modelId="{7330202F-6CC5-4BAF-90DB-B9490E5C8202}" type="pres">
      <dgm:prSet presAssocID="{AFCB969D-DFEF-405B-84A2-8F08095333BD}" presName="Name37" presStyleLbl="parChTrans1D4" presStyleIdx="10" presStyleCnt="14"/>
      <dgm:spPr/>
    </dgm:pt>
    <dgm:pt modelId="{33844442-7192-41E4-9CB7-27E6508A9A84}" type="pres">
      <dgm:prSet presAssocID="{CFA51F78-A4E5-40F8-9553-EA908393EB24}" presName="hierRoot2" presStyleCnt="0">
        <dgm:presLayoutVars>
          <dgm:hierBranch val="init"/>
        </dgm:presLayoutVars>
      </dgm:prSet>
      <dgm:spPr/>
    </dgm:pt>
    <dgm:pt modelId="{EC7610DE-CAED-40FF-B25E-67BF3C5669C9}" type="pres">
      <dgm:prSet presAssocID="{CFA51F78-A4E5-40F8-9553-EA908393EB24}" presName="rootComposite" presStyleCnt="0"/>
      <dgm:spPr/>
    </dgm:pt>
    <dgm:pt modelId="{9AE50E30-CA91-482F-A0F4-86AAF585EB26}" type="pres">
      <dgm:prSet presAssocID="{CFA51F78-A4E5-40F8-9553-EA908393EB24}" presName="rootText" presStyleLbl="node4" presStyleIdx="10" presStyleCnt="14">
        <dgm:presLayoutVars>
          <dgm:chPref val="3"/>
        </dgm:presLayoutVars>
      </dgm:prSet>
      <dgm:spPr/>
    </dgm:pt>
    <dgm:pt modelId="{F0E41665-A481-4A5F-9BA0-45F4C37B2F78}" type="pres">
      <dgm:prSet presAssocID="{CFA51F78-A4E5-40F8-9553-EA908393EB24}" presName="rootConnector" presStyleLbl="node4" presStyleIdx="10" presStyleCnt="14"/>
      <dgm:spPr/>
    </dgm:pt>
    <dgm:pt modelId="{6CFBE931-8E2A-4C87-8397-06DE228A29DD}" type="pres">
      <dgm:prSet presAssocID="{CFA51F78-A4E5-40F8-9553-EA908393EB24}" presName="hierChild4" presStyleCnt="0"/>
      <dgm:spPr/>
    </dgm:pt>
    <dgm:pt modelId="{A44C22CD-089D-46BA-B012-EABB7FDA55A5}" type="pres">
      <dgm:prSet presAssocID="{CFA51F78-A4E5-40F8-9553-EA908393EB24}" presName="hierChild5" presStyleCnt="0"/>
      <dgm:spPr/>
    </dgm:pt>
    <dgm:pt modelId="{AB7F815F-C0A7-41BB-97A1-A7D59722B33C}" type="pres">
      <dgm:prSet presAssocID="{4567E575-9C97-484A-8DF0-C51F9C3774CF}" presName="hierChild5" presStyleCnt="0"/>
      <dgm:spPr/>
    </dgm:pt>
    <dgm:pt modelId="{70FB6A0E-47B6-417D-B0B2-EF3B0C0C11A0}" type="pres">
      <dgm:prSet presAssocID="{A25AF142-8B54-443F-A5C1-12DBB16C659A}" presName="hierChild5" presStyleCnt="0"/>
      <dgm:spPr/>
    </dgm:pt>
    <dgm:pt modelId="{BF25C0FB-7D70-4B06-B7D3-14222EB23B46}" type="pres">
      <dgm:prSet presAssocID="{CE41F070-B7FF-4D72-9779-CADB9ECDB834}" presName="hierChild5" presStyleCnt="0"/>
      <dgm:spPr/>
    </dgm:pt>
    <dgm:pt modelId="{504220EF-6CFA-4509-B724-FE48FEC0E42E}" type="pres">
      <dgm:prSet presAssocID="{ACAD03E5-6C76-40D2-8C7B-229FD5378AF9}" presName="hierChild5" presStyleCnt="0"/>
      <dgm:spPr/>
    </dgm:pt>
    <dgm:pt modelId="{BD24B26F-6C47-4034-A845-606AD47FE2A6}" type="pres">
      <dgm:prSet presAssocID="{29FCA002-24EB-4CF6-9D18-0AE996611112}" presName="Name37" presStyleLbl="parChTrans1D2" presStyleIdx="3" presStyleCnt="4"/>
      <dgm:spPr/>
    </dgm:pt>
    <dgm:pt modelId="{10C5B0F4-B5B7-49E3-987B-2BF7E2EFE96B}" type="pres">
      <dgm:prSet presAssocID="{A4F463A6-10AD-4DF5-A649-BDDFB11043D2}" presName="hierRoot2" presStyleCnt="0">
        <dgm:presLayoutVars>
          <dgm:hierBranch val="init"/>
        </dgm:presLayoutVars>
      </dgm:prSet>
      <dgm:spPr/>
    </dgm:pt>
    <dgm:pt modelId="{A23BC38B-A509-487C-AADE-70430CBE832D}" type="pres">
      <dgm:prSet presAssocID="{A4F463A6-10AD-4DF5-A649-BDDFB11043D2}" presName="rootComposite" presStyleCnt="0"/>
      <dgm:spPr/>
    </dgm:pt>
    <dgm:pt modelId="{A6962E8E-154C-4944-826F-1C22A6B96937}" type="pres">
      <dgm:prSet presAssocID="{A4F463A6-10AD-4DF5-A649-BDDFB11043D2}" presName="rootText" presStyleLbl="node2" presStyleIdx="3" presStyleCnt="4" custScaleX="174869">
        <dgm:presLayoutVars>
          <dgm:chPref val="3"/>
        </dgm:presLayoutVars>
      </dgm:prSet>
      <dgm:spPr/>
    </dgm:pt>
    <dgm:pt modelId="{D1F0879E-495B-442C-B02D-8478DC8D7D98}" type="pres">
      <dgm:prSet presAssocID="{A4F463A6-10AD-4DF5-A649-BDDFB11043D2}" presName="rootConnector" presStyleLbl="node2" presStyleIdx="3" presStyleCnt="4"/>
      <dgm:spPr/>
    </dgm:pt>
    <dgm:pt modelId="{ACAC2B07-6B77-4C21-AE63-F1556752BE85}" type="pres">
      <dgm:prSet presAssocID="{A4F463A6-10AD-4DF5-A649-BDDFB11043D2}" presName="hierChild4" presStyleCnt="0"/>
      <dgm:spPr/>
    </dgm:pt>
    <dgm:pt modelId="{698E6077-9225-45D9-AB17-A1B557DF0E18}" type="pres">
      <dgm:prSet presAssocID="{680484F0-7ED2-4D03-B472-B15CCF594F74}" presName="Name37" presStyleLbl="parChTrans1D3" presStyleIdx="3" presStyleCnt="4"/>
      <dgm:spPr/>
    </dgm:pt>
    <dgm:pt modelId="{4ADFF63E-5305-4F9D-95E3-74B7680B26EE}" type="pres">
      <dgm:prSet presAssocID="{93404F1D-526C-4104-91B7-698FB7EA6CA6}" presName="hierRoot2" presStyleCnt="0">
        <dgm:presLayoutVars>
          <dgm:hierBranch val="init"/>
        </dgm:presLayoutVars>
      </dgm:prSet>
      <dgm:spPr/>
    </dgm:pt>
    <dgm:pt modelId="{895D76AC-B498-4A02-8272-608A1C2980A1}" type="pres">
      <dgm:prSet presAssocID="{93404F1D-526C-4104-91B7-698FB7EA6CA6}" presName="rootComposite" presStyleCnt="0"/>
      <dgm:spPr/>
    </dgm:pt>
    <dgm:pt modelId="{938C4007-265A-4CB8-970F-C76131073387}" type="pres">
      <dgm:prSet presAssocID="{93404F1D-526C-4104-91B7-698FB7EA6CA6}" presName="rootText" presStyleLbl="node3" presStyleIdx="3" presStyleCnt="4" custScaleX="181066" custScaleY="146986">
        <dgm:presLayoutVars>
          <dgm:chPref val="3"/>
        </dgm:presLayoutVars>
      </dgm:prSet>
      <dgm:spPr/>
    </dgm:pt>
    <dgm:pt modelId="{479CED1F-8D75-4337-844A-DE309284C527}" type="pres">
      <dgm:prSet presAssocID="{93404F1D-526C-4104-91B7-698FB7EA6CA6}" presName="rootConnector" presStyleLbl="node3" presStyleIdx="3" presStyleCnt="4"/>
      <dgm:spPr/>
    </dgm:pt>
    <dgm:pt modelId="{ACDB48CA-D7AA-4987-8221-FE1C1C9A9376}" type="pres">
      <dgm:prSet presAssocID="{93404F1D-526C-4104-91B7-698FB7EA6CA6}" presName="hierChild4" presStyleCnt="0"/>
      <dgm:spPr/>
    </dgm:pt>
    <dgm:pt modelId="{84C51B1C-BE1B-4670-968C-D42D7C2F81E0}" type="pres">
      <dgm:prSet presAssocID="{58A31632-917E-49D7-AFBD-E57D2316433A}" presName="Name37" presStyleLbl="parChTrans1D4" presStyleIdx="11" presStyleCnt="14"/>
      <dgm:spPr/>
    </dgm:pt>
    <dgm:pt modelId="{AF282931-3129-4254-AC95-F0B7D78BE49F}" type="pres">
      <dgm:prSet presAssocID="{F4F71F2B-64E5-41D4-9A50-6F5DB95362DB}" presName="hierRoot2" presStyleCnt="0">
        <dgm:presLayoutVars>
          <dgm:hierBranch val="init"/>
        </dgm:presLayoutVars>
      </dgm:prSet>
      <dgm:spPr/>
    </dgm:pt>
    <dgm:pt modelId="{75F350EF-075D-4F0E-9695-138EDCB2EBBE}" type="pres">
      <dgm:prSet presAssocID="{F4F71F2B-64E5-41D4-9A50-6F5DB95362DB}" presName="rootComposite" presStyleCnt="0"/>
      <dgm:spPr/>
    </dgm:pt>
    <dgm:pt modelId="{49930909-EE16-4EEE-9A1A-087016A96041}" type="pres">
      <dgm:prSet presAssocID="{F4F71F2B-64E5-41D4-9A50-6F5DB95362DB}" presName="rootText" presStyleLbl="node4" presStyleIdx="11" presStyleCnt="14" custScaleX="183336" custScaleY="145933">
        <dgm:presLayoutVars>
          <dgm:chPref val="3"/>
        </dgm:presLayoutVars>
      </dgm:prSet>
      <dgm:spPr/>
    </dgm:pt>
    <dgm:pt modelId="{74E6EB56-1C39-46BD-BC44-43B53184B49F}" type="pres">
      <dgm:prSet presAssocID="{F4F71F2B-64E5-41D4-9A50-6F5DB95362DB}" presName="rootConnector" presStyleLbl="node4" presStyleIdx="11" presStyleCnt="14"/>
      <dgm:spPr/>
    </dgm:pt>
    <dgm:pt modelId="{E515A85B-DEF3-48E5-AB54-A3690B8DFEC6}" type="pres">
      <dgm:prSet presAssocID="{F4F71F2B-64E5-41D4-9A50-6F5DB95362DB}" presName="hierChild4" presStyleCnt="0"/>
      <dgm:spPr/>
    </dgm:pt>
    <dgm:pt modelId="{E5C8494D-3DC0-42A7-BD96-6CEFB7BF801B}" type="pres">
      <dgm:prSet presAssocID="{580B13EF-F018-4BDE-B29A-A2DFEA6A52E3}" presName="Name37" presStyleLbl="parChTrans1D4" presStyleIdx="12" presStyleCnt="14"/>
      <dgm:spPr/>
    </dgm:pt>
    <dgm:pt modelId="{4A3A0498-A147-48B5-AB6A-5CD0FDED0813}" type="pres">
      <dgm:prSet presAssocID="{A3735C0A-0F4B-4F87-9A27-2A68DA50DD1D}" presName="hierRoot2" presStyleCnt="0">
        <dgm:presLayoutVars>
          <dgm:hierBranch val="init"/>
        </dgm:presLayoutVars>
      </dgm:prSet>
      <dgm:spPr/>
    </dgm:pt>
    <dgm:pt modelId="{020F963D-4344-4A8B-8688-3894057414F9}" type="pres">
      <dgm:prSet presAssocID="{A3735C0A-0F4B-4F87-9A27-2A68DA50DD1D}" presName="rootComposite" presStyleCnt="0"/>
      <dgm:spPr/>
    </dgm:pt>
    <dgm:pt modelId="{72448E95-ABFD-4635-A416-031D24627E75}" type="pres">
      <dgm:prSet presAssocID="{A3735C0A-0F4B-4F87-9A27-2A68DA50DD1D}" presName="rootText" presStyleLbl="node4" presStyleIdx="12" presStyleCnt="14" custScaleX="182790">
        <dgm:presLayoutVars>
          <dgm:chPref val="3"/>
        </dgm:presLayoutVars>
      </dgm:prSet>
      <dgm:spPr/>
    </dgm:pt>
    <dgm:pt modelId="{EA6840A1-F3A7-4F48-8A1E-1770C3E79AA3}" type="pres">
      <dgm:prSet presAssocID="{A3735C0A-0F4B-4F87-9A27-2A68DA50DD1D}" presName="rootConnector" presStyleLbl="node4" presStyleIdx="12" presStyleCnt="14"/>
      <dgm:spPr/>
    </dgm:pt>
    <dgm:pt modelId="{CFE3A314-F428-409B-A007-F966EA799F5A}" type="pres">
      <dgm:prSet presAssocID="{A3735C0A-0F4B-4F87-9A27-2A68DA50DD1D}" presName="hierChild4" presStyleCnt="0"/>
      <dgm:spPr/>
    </dgm:pt>
    <dgm:pt modelId="{746419E4-008E-4198-8D50-40EB02E616E8}" type="pres">
      <dgm:prSet presAssocID="{8A84A97B-D006-4D31-8800-37C9219F6F33}" presName="Name37" presStyleLbl="parChTrans1D4" presStyleIdx="13" presStyleCnt="14"/>
      <dgm:spPr/>
    </dgm:pt>
    <dgm:pt modelId="{B608A6A2-8692-4E65-B53F-ACCFA1CD31EE}" type="pres">
      <dgm:prSet presAssocID="{737D705F-80C4-4CB5-9310-D870A56219B1}" presName="hierRoot2" presStyleCnt="0">
        <dgm:presLayoutVars>
          <dgm:hierBranch val="init"/>
        </dgm:presLayoutVars>
      </dgm:prSet>
      <dgm:spPr/>
    </dgm:pt>
    <dgm:pt modelId="{1AB5573F-27B3-479F-B2B7-19EDC4CEA956}" type="pres">
      <dgm:prSet presAssocID="{737D705F-80C4-4CB5-9310-D870A56219B1}" presName="rootComposite" presStyleCnt="0"/>
      <dgm:spPr/>
    </dgm:pt>
    <dgm:pt modelId="{7D72120F-5E12-4A77-976E-1B0604E596EA}" type="pres">
      <dgm:prSet presAssocID="{737D705F-80C4-4CB5-9310-D870A56219B1}" presName="rootText" presStyleLbl="node4" presStyleIdx="13" presStyleCnt="14">
        <dgm:presLayoutVars>
          <dgm:chPref val="3"/>
        </dgm:presLayoutVars>
      </dgm:prSet>
      <dgm:spPr/>
    </dgm:pt>
    <dgm:pt modelId="{827AF001-276B-4603-8362-22FF9C8CA66A}" type="pres">
      <dgm:prSet presAssocID="{737D705F-80C4-4CB5-9310-D870A56219B1}" presName="rootConnector" presStyleLbl="node4" presStyleIdx="13" presStyleCnt="14"/>
      <dgm:spPr/>
    </dgm:pt>
    <dgm:pt modelId="{B9481303-1663-4FE7-B9F0-C34B95E8F43C}" type="pres">
      <dgm:prSet presAssocID="{737D705F-80C4-4CB5-9310-D870A56219B1}" presName="hierChild4" presStyleCnt="0"/>
      <dgm:spPr/>
    </dgm:pt>
    <dgm:pt modelId="{E0FA9239-50D0-4C0C-BF78-013D0037888E}" type="pres">
      <dgm:prSet presAssocID="{737D705F-80C4-4CB5-9310-D870A56219B1}" presName="hierChild5" presStyleCnt="0"/>
      <dgm:spPr/>
    </dgm:pt>
    <dgm:pt modelId="{0DC5C66A-8C1A-42AD-B73B-C9CBF00B949B}" type="pres">
      <dgm:prSet presAssocID="{A3735C0A-0F4B-4F87-9A27-2A68DA50DD1D}" presName="hierChild5" presStyleCnt="0"/>
      <dgm:spPr/>
    </dgm:pt>
    <dgm:pt modelId="{D3277A40-EEE3-43B1-8EB1-D97D8A080F04}" type="pres">
      <dgm:prSet presAssocID="{F4F71F2B-64E5-41D4-9A50-6F5DB95362DB}" presName="hierChild5" presStyleCnt="0"/>
      <dgm:spPr/>
    </dgm:pt>
    <dgm:pt modelId="{9F8CD809-2BF7-4C88-8C42-79A8399A21F3}" type="pres">
      <dgm:prSet presAssocID="{93404F1D-526C-4104-91B7-698FB7EA6CA6}" presName="hierChild5" presStyleCnt="0"/>
      <dgm:spPr/>
    </dgm:pt>
    <dgm:pt modelId="{A53424E7-5E75-459C-B2FD-4A75D4414066}" type="pres">
      <dgm:prSet presAssocID="{A4F463A6-10AD-4DF5-A649-BDDFB11043D2}" presName="hierChild5" presStyleCnt="0"/>
      <dgm:spPr/>
    </dgm:pt>
    <dgm:pt modelId="{CDBDA6AF-F168-4F14-881E-377C73A06E59}" type="pres">
      <dgm:prSet presAssocID="{3904B684-D811-4FAA-98ED-69AF90F8C4A4}" presName="hierChild3" presStyleCnt="0"/>
      <dgm:spPr/>
    </dgm:pt>
  </dgm:ptLst>
  <dgm:cxnLst>
    <dgm:cxn modelId="{F6202D02-AD34-49C6-B389-0F3064EC86DB}" type="presOf" srcId="{E9CAD23E-388D-4F66-A915-36321F3FEFEA}" destId="{D9A5E4F9-DFC5-477D-B2F2-C92E83D40FDA}" srcOrd="1" destOrd="0" presId="urn:microsoft.com/office/officeart/2005/8/layout/orgChart1"/>
    <dgm:cxn modelId="{A4954A03-6C7E-4F95-B311-71A80897AD25}" type="presOf" srcId="{4567E575-9C97-484A-8DF0-C51F9C3774CF}" destId="{1E30188F-1A85-4769-94E5-DDF79B8DCAAA}" srcOrd="0" destOrd="0" presId="urn:microsoft.com/office/officeart/2005/8/layout/orgChart1"/>
    <dgm:cxn modelId="{5EADCA0A-96A9-4D5D-B1BE-6EC102FFAF0B}" srcId="{E9CAD23E-388D-4F66-A915-36321F3FEFEA}" destId="{D818CA55-5845-4510-8199-51B5D4EAC96D}" srcOrd="0" destOrd="0" parTransId="{439280A1-7D3A-491D-9BCD-03F68A89A939}" sibTransId="{A7CAAC14-EE85-4149-9789-33F42DBBC4A6}"/>
    <dgm:cxn modelId="{10F22C0C-41C5-4CF8-84B7-0F1F30C04D68}" type="presOf" srcId="{ACAD03E5-6C76-40D2-8C7B-229FD5378AF9}" destId="{FF0C1041-3395-46E3-905D-0CC0094881D7}" srcOrd="0" destOrd="0" presId="urn:microsoft.com/office/officeart/2005/8/layout/orgChart1"/>
    <dgm:cxn modelId="{D660C30C-CB78-4332-A23C-70095D8D107D}" type="presOf" srcId="{EE590B0F-CEBC-49C9-AEE1-2F1A44C2889E}" destId="{E5C47380-3A60-4F1D-B3D0-9479EAA5CE27}" srcOrd="0" destOrd="0" presId="urn:microsoft.com/office/officeart/2005/8/layout/orgChart1"/>
    <dgm:cxn modelId="{DA9E330F-1626-4453-9DEB-67267E642A5E}" type="presOf" srcId="{D853020C-DEA9-492C-A09C-8010E74E4939}" destId="{CFAF05B6-DE0F-4D93-8BD4-F6958633D3E3}" srcOrd="1" destOrd="0" presId="urn:microsoft.com/office/officeart/2005/8/layout/orgChart1"/>
    <dgm:cxn modelId="{81F72810-AD88-422C-8661-9B6DF4F0DF74}" type="presOf" srcId="{FFFC5664-134A-4D10-A422-28E9F3FDC00F}" destId="{5DB911DD-B1FB-4709-B564-E88699AF4550}" srcOrd="0" destOrd="0" presId="urn:microsoft.com/office/officeart/2005/8/layout/orgChart1"/>
    <dgm:cxn modelId="{1E075F17-9724-45CA-9EED-53ADD16854B8}" srcId="{A25AF142-8B54-443F-A5C1-12DBB16C659A}" destId="{4567E575-9C97-484A-8DF0-C51F9C3774CF}" srcOrd="0" destOrd="0" parTransId="{A31182A2-12DA-42B6-BD6F-A8319CCDB153}" sibTransId="{E1E3E4C0-3405-43D9-B045-3631525755EA}"/>
    <dgm:cxn modelId="{F8351C1A-721E-4ED0-BEBE-DC65674B167B}" type="presOf" srcId="{A25AF142-8B54-443F-A5C1-12DBB16C659A}" destId="{B43F6C84-4113-4E97-946D-DA27B40F06CE}" srcOrd="0" destOrd="0" presId="urn:microsoft.com/office/officeart/2005/8/layout/orgChart1"/>
    <dgm:cxn modelId="{F588C71C-3A36-44B8-AC39-B4C03AF25233}" type="presOf" srcId="{58A31632-917E-49D7-AFBD-E57D2316433A}" destId="{84C51B1C-BE1B-4670-968C-D42D7C2F81E0}" srcOrd="0" destOrd="0" presId="urn:microsoft.com/office/officeart/2005/8/layout/orgChart1"/>
    <dgm:cxn modelId="{64B4731F-943E-4688-B290-7A306FCFE823}" srcId="{3904B684-D811-4FAA-98ED-69AF90F8C4A4}" destId="{93A36F70-6CFA-4EF3-8917-CF33D892AD2B}" srcOrd="1" destOrd="0" parTransId="{DD206DED-7FC5-4EEA-8C87-BF6615CC14B0}" sibTransId="{DB2DEC31-D6D5-4E4B-B011-8EFD542E285A}"/>
    <dgm:cxn modelId="{BF71F523-D38E-4B30-A45A-61702899DCB3}" srcId="{EE53CECF-0159-4A3E-9E53-59EA1EE7B945}" destId="{4CE40385-803B-4982-B1AE-C8EE08F0D3B9}" srcOrd="0" destOrd="0" parTransId="{ABC47020-6CAA-443C-AD0C-3602C8B06D12}" sibTransId="{07EB3123-AB1F-483F-A3F2-6037962EFECE}"/>
    <dgm:cxn modelId="{66C65E27-AF68-400A-B504-326D3A5E9F66}" srcId="{3F2837BE-7DB0-4240-97FA-5D38AA7C0DF0}" destId="{D853020C-DEA9-492C-A09C-8010E74E4939}" srcOrd="0" destOrd="0" parTransId="{036BBA54-C30F-4318-8E02-C38D689AE49F}" sibTransId="{13C4BAD1-5B7B-4582-B7FA-7F6D1AD7B20B}"/>
    <dgm:cxn modelId="{E509E628-E9E6-457D-8532-087655A01D9B}" type="presOf" srcId="{3F2837BE-7DB0-4240-97FA-5D38AA7C0DF0}" destId="{55201589-E569-4CAD-AC99-0497FCF263F6}" srcOrd="1" destOrd="0" presId="urn:microsoft.com/office/officeart/2005/8/layout/orgChart1"/>
    <dgm:cxn modelId="{AAC80129-1C7D-4BE7-8261-3A2CE16AEC0F}" type="presOf" srcId="{036BBA54-C30F-4318-8E02-C38D689AE49F}" destId="{B3A2FCF6-BDDC-43A1-B4B4-7465EEB351F9}" srcOrd="0" destOrd="0" presId="urn:microsoft.com/office/officeart/2005/8/layout/orgChart1"/>
    <dgm:cxn modelId="{6225C32C-623E-41CC-919F-E7F381AA0981}" type="presOf" srcId="{8A84A97B-D006-4D31-8800-37C9219F6F33}" destId="{746419E4-008E-4198-8D50-40EB02E616E8}" srcOrd="0" destOrd="0" presId="urn:microsoft.com/office/officeart/2005/8/layout/orgChart1"/>
    <dgm:cxn modelId="{2F720D2F-B10E-4880-B72B-F9CE6B958C1D}" type="presOf" srcId="{93A36F70-6CFA-4EF3-8917-CF33D892AD2B}" destId="{BE4DAEA6-7F22-4DC7-81FD-88D797CCE989}" srcOrd="0" destOrd="0" presId="urn:microsoft.com/office/officeart/2005/8/layout/orgChart1"/>
    <dgm:cxn modelId="{6E656431-2011-4591-94F6-3384ACFF31E3}" type="presOf" srcId="{0DF2453D-B88C-4476-9906-984FFEE8D9D1}" destId="{678DBBD1-C51E-440A-B9CB-F81E3FE4C94C}" srcOrd="0" destOrd="0" presId="urn:microsoft.com/office/officeart/2005/8/layout/orgChart1"/>
    <dgm:cxn modelId="{947F8131-E63F-4C26-BFA3-957E012A9F1C}" srcId="{3904B684-D811-4FAA-98ED-69AF90F8C4A4}" destId="{C13E1972-9D6A-40C5-B7F1-4FA99DC39A5D}" srcOrd="0" destOrd="0" parTransId="{EE590B0F-CEBC-49C9-AEE1-2F1A44C2889E}" sibTransId="{E7F0BBED-42DD-49FB-9E83-F9817DE09AEE}"/>
    <dgm:cxn modelId="{F563FE31-F658-4C7E-81CF-4E4430BEB0CB}" type="presOf" srcId="{184AFB3E-F66A-40C4-A790-7C77356158C1}" destId="{297EE16D-B6D7-418B-BEC4-9193E9CA3C43}" srcOrd="0" destOrd="0" presId="urn:microsoft.com/office/officeart/2005/8/layout/orgChart1"/>
    <dgm:cxn modelId="{74A13733-A707-4682-B0BF-FB1C0DCF0117}" srcId="{98FB3FB6-098E-409C-AB08-6756AAEC4132}" destId="{E56B6DD5-8554-4BF3-88E5-E67FEE21FF89}" srcOrd="1" destOrd="0" parTransId="{554751D7-33AA-44EE-B8BE-2AD02291F210}" sibTransId="{1E9C6366-3925-4E16-AC56-C93BBE13CB1F}"/>
    <dgm:cxn modelId="{9914F833-89E3-4510-9B2F-D9ABE4F8A6BF}" srcId="{98FB3FB6-098E-409C-AB08-6756AAEC4132}" destId="{CFC0EC99-AC4D-4B3D-A43E-FD5CF65DD5D2}" srcOrd="0" destOrd="0" parTransId="{61532884-69A1-4046-BC23-60F91B124EEF}" sibTransId="{4F61F511-184A-4BBE-A170-154EE5892B82}"/>
    <dgm:cxn modelId="{84538C3E-391C-4647-8726-99B43379DECE}" type="presOf" srcId="{EE53CECF-0159-4A3E-9E53-59EA1EE7B945}" destId="{ECBA8F24-1EF8-4051-AA71-F1DB379438BE}" srcOrd="0" destOrd="0" presId="urn:microsoft.com/office/officeart/2005/8/layout/orgChart1"/>
    <dgm:cxn modelId="{2BCC565C-936C-4C8F-A053-62BAF02EAB9A}" type="presOf" srcId="{93A36F70-6CFA-4EF3-8917-CF33D892AD2B}" destId="{692147EF-7C3D-47F2-9967-73AF7803245F}" srcOrd="1" destOrd="0" presId="urn:microsoft.com/office/officeart/2005/8/layout/orgChart1"/>
    <dgm:cxn modelId="{6E0A805D-4968-4B28-88B8-D13E6833CA5D}" type="presOf" srcId="{CE41F070-B7FF-4D72-9779-CADB9ECDB834}" destId="{1DC14DB0-20D9-44B1-9C0B-2CA2C56BE45F}" srcOrd="0" destOrd="0" presId="urn:microsoft.com/office/officeart/2005/8/layout/orgChart1"/>
    <dgm:cxn modelId="{0C7BE15D-DC16-4AFD-9EB2-9A6C29301324}" type="presOf" srcId="{C13E1972-9D6A-40C5-B7F1-4FA99DC39A5D}" destId="{6C4E4D41-488F-4AF9-84E4-3A3C4A0286AC}" srcOrd="0" destOrd="0" presId="urn:microsoft.com/office/officeart/2005/8/layout/orgChart1"/>
    <dgm:cxn modelId="{359C0A41-6151-4F3E-AED2-2276D830F35B}" type="presOf" srcId="{4CE40385-803B-4982-B1AE-C8EE08F0D3B9}" destId="{3B4922AD-AF1A-435F-A951-BC076C1DAA8B}" srcOrd="0" destOrd="0" presId="urn:microsoft.com/office/officeart/2005/8/layout/orgChart1"/>
    <dgm:cxn modelId="{0E321C41-4048-4313-A4EA-3D22533F0023}" type="presOf" srcId="{A4F463A6-10AD-4DF5-A649-BDDFB11043D2}" destId="{D1F0879E-495B-442C-B02D-8478DC8D7D98}" srcOrd="1" destOrd="0" presId="urn:microsoft.com/office/officeart/2005/8/layout/orgChart1"/>
    <dgm:cxn modelId="{E5464841-A70C-4720-91E1-3197FC4E7C54}" type="presOf" srcId="{CFA51F78-A4E5-40F8-9553-EA908393EB24}" destId="{F0E41665-A481-4A5F-9BA0-45F4C37B2F78}" srcOrd="1" destOrd="0" presId="urn:microsoft.com/office/officeart/2005/8/layout/orgChart1"/>
    <dgm:cxn modelId="{FBE3B543-2A94-43C5-B086-95F0B45985D7}" type="presOf" srcId="{71F0ADEC-1798-4F9C-95C5-DE17ABAA5F59}" destId="{FDE1FD43-4E01-4F89-B8B1-ECACF6F4353B}" srcOrd="1" destOrd="0" presId="urn:microsoft.com/office/officeart/2005/8/layout/orgChart1"/>
    <dgm:cxn modelId="{BDC34965-B066-4006-AF43-3E9CA9756DB9}" srcId="{4CE40385-803B-4982-B1AE-C8EE08F0D3B9}" destId="{98FB3FB6-098E-409C-AB08-6756AAEC4132}" srcOrd="0" destOrd="0" parTransId="{184AFB3E-F66A-40C4-A790-7C77356158C1}" sibTransId="{D2259FAA-974A-434A-99D6-D7A0D60A1BED}"/>
    <dgm:cxn modelId="{DFA7274B-300C-406B-9FC1-957B21BB4BC0}" type="presOf" srcId="{F06B826E-D9A8-4A53-BE34-5C6B5644CADC}" destId="{0B19A5AF-C79C-4EF7-9452-AF0D88F4A161}" srcOrd="0" destOrd="0" presId="urn:microsoft.com/office/officeart/2005/8/layout/orgChart1"/>
    <dgm:cxn modelId="{647A906B-7FF8-4BCF-9A3B-D4FEA2EF95CC}" srcId="{3904B684-D811-4FAA-98ED-69AF90F8C4A4}" destId="{ACAD03E5-6C76-40D2-8C7B-229FD5378AF9}" srcOrd="2" destOrd="0" parTransId="{9DC5AD1F-70F0-41C6-BB2E-9D3B683019F0}" sibTransId="{A454A0FA-5C89-4E02-BA49-D76747D77E67}"/>
    <dgm:cxn modelId="{F6720A50-276A-4A63-AF2B-7A413757D2EA}" type="presOf" srcId="{9DC5AD1F-70F0-41C6-BB2E-9D3B683019F0}" destId="{F8F878DE-3698-49C4-866C-9D6D49B690BF}" srcOrd="0" destOrd="0" presId="urn:microsoft.com/office/officeart/2005/8/layout/orgChart1"/>
    <dgm:cxn modelId="{DE8E8A57-0E4F-489E-A57F-167A6B883E31}" type="presOf" srcId="{E56B6DD5-8554-4BF3-88E5-E67FEE21FF89}" destId="{9DC3F79F-0B50-467E-9E50-EABDD6F756BE}" srcOrd="1" destOrd="0" presId="urn:microsoft.com/office/officeart/2005/8/layout/orgChart1"/>
    <dgm:cxn modelId="{06EEDD58-2E5F-442C-B1E2-CFE6DEA7FE83}" srcId="{4567E575-9C97-484A-8DF0-C51F9C3774CF}" destId="{CFA51F78-A4E5-40F8-9553-EA908393EB24}" srcOrd="0" destOrd="0" parTransId="{AFCB969D-DFEF-405B-84A2-8F08095333BD}" sibTransId="{376600AD-431D-4CF4-80BE-005BF68A5370}"/>
    <dgm:cxn modelId="{6219EA78-00F3-4C46-BEDC-5F161FA5B94D}" type="presOf" srcId="{3904B684-D811-4FAA-98ED-69AF90F8C4A4}" destId="{4A2EABBF-349B-49C0-A0CB-41719314F2B5}" srcOrd="0" destOrd="0" presId="urn:microsoft.com/office/officeart/2005/8/layout/orgChart1"/>
    <dgm:cxn modelId="{4918F85A-5AD1-4D7D-850A-91EE89CA90D1}" type="presOf" srcId="{CFC0EC99-AC4D-4B3D-A43E-FD5CF65DD5D2}" destId="{DFA67A23-87B1-4D69-AE96-6448EE96E4AD}" srcOrd="1" destOrd="0" presId="urn:microsoft.com/office/officeart/2005/8/layout/orgChart1"/>
    <dgm:cxn modelId="{777A6E7F-7F3D-4C99-B64B-CCA1F520435B}" srcId="{3904B684-D811-4FAA-98ED-69AF90F8C4A4}" destId="{A4F463A6-10AD-4DF5-A649-BDDFB11043D2}" srcOrd="3" destOrd="0" parTransId="{29FCA002-24EB-4CF6-9D18-0AE996611112}" sibTransId="{F18F7B2E-BC0A-4914-9595-1F191A845E4C}"/>
    <dgm:cxn modelId="{89F1CA80-6B2C-484F-9ADC-F8841081778F}" type="presOf" srcId="{737D705F-80C4-4CB5-9310-D870A56219B1}" destId="{7D72120F-5E12-4A77-976E-1B0604E596EA}" srcOrd="0" destOrd="0" presId="urn:microsoft.com/office/officeart/2005/8/layout/orgChart1"/>
    <dgm:cxn modelId="{0379C481-F692-4D89-BCDC-DE979EA9F57F}" type="presOf" srcId="{D818CA55-5845-4510-8199-51B5D4EAC96D}" destId="{43D5122B-5DCF-4B51-8333-74EDBD2CC2AE}" srcOrd="0" destOrd="0" presId="urn:microsoft.com/office/officeart/2005/8/layout/orgChart1"/>
    <dgm:cxn modelId="{F51F2F83-9CF0-496E-91D4-25565AC48B09}" type="presOf" srcId="{F4F71F2B-64E5-41D4-9A50-6F5DB95362DB}" destId="{49930909-EE16-4EEE-9A1A-087016A96041}" srcOrd="0" destOrd="0" presId="urn:microsoft.com/office/officeart/2005/8/layout/orgChart1"/>
    <dgm:cxn modelId="{57128B83-C3BA-45E7-BDEF-75893C8AA942}" type="presOf" srcId="{71F0ADEC-1798-4F9C-95C5-DE17ABAA5F59}" destId="{BAFA2B14-49BD-4B2E-8520-A6510D777721}" srcOrd="0" destOrd="0" presId="urn:microsoft.com/office/officeart/2005/8/layout/orgChart1"/>
    <dgm:cxn modelId="{B228FB83-7EF1-4DB2-8740-EEE44329E968}" srcId="{A4F463A6-10AD-4DF5-A649-BDDFB11043D2}" destId="{93404F1D-526C-4104-91B7-698FB7EA6CA6}" srcOrd="0" destOrd="0" parTransId="{680484F0-7ED2-4D03-B472-B15CCF594F74}" sibTransId="{B9C08C13-E0CC-49BD-8B49-2896FB4C8445}"/>
    <dgm:cxn modelId="{902E7C8C-EF8F-4130-B13E-7BADFD82CB01}" type="presOf" srcId="{ACAD03E5-6C76-40D2-8C7B-229FD5378AF9}" destId="{5031D92B-3977-49E6-8FF5-A4B3BF7D427B}" srcOrd="1" destOrd="0" presId="urn:microsoft.com/office/officeart/2005/8/layout/orgChart1"/>
    <dgm:cxn modelId="{30DE358E-AAA4-4433-87A4-3BD26A500991}" type="presOf" srcId="{E56B6DD5-8554-4BF3-88E5-E67FEE21FF89}" destId="{78384FDD-8BBF-4585-A354-922E1F074110}" srcOrd="0" destOrd="0" presId="urn:microsoft.com/office/officeart/2005/8/layout/orgChart1"/>
    <dgm:cxn modelId="{91886897-2864-45C0-9DCB-ADA323487B20}" type="presOf" srcId="{3F2837BE-7DB0-4240-97FA-5D38AA7C0DF0}" destId="{955DF2CB-8C32-487F-8CE4-5634CE1C1457}" srcOrd="0" destOrd="0" presId="urn:microsoft.com/office/officeart/2005/8/layout/orgChart1"/>
    <dgm:cxn modelId="{1A6B239A-C2E7-4461-A7B0-D794383FB507}" type="presOf" srcId="{4567E575-9C97-484A-8DF0-C51F9C3774CF}" destId="{C1D61C69-C2CA-47EA-9680-6E5EC6D892E8}" srcOrd="1" destOrd="0" presId="urn:microsoft.com/office/officeart/2005/8/layout/orgChart1"/>
    <dgm:cxn modelId="{2D4E7B9C-302A-4779-9EC3-A83A5C599190}" type="presOf" srcId="{CE41F070-B7FF-4D72-9779-CADB9ECDB834}" destId="{792FC1BD-339C-4C4A-AFFA-7E962E8BE8B1}" srcOrd="1" destOrd="0" presId="urn:microsoft.com/office/officeart/2005/8/layout/orgChart1"/>
    <dgm:cxn modelId="{AD6B9C9C-A4DD-43A0-B03B-B7C65D69608E}" type="presOf" srcId="{737D705F-80C4-4CB5-9310-D870A56219B1}" destId="{827AF001-276B-4603-8362-22FF9C8CA66A}" srcOrd="1" destOrd="0" presId="urn:microsoft.com/office/officeart/2005/8/layout/orgChart1"/>
    <dgm:cxn modelId="{0CB6139D-96D7-4191-8513-436B633FB2B1}" type="presOf" srcId="{A3735C0A-0F4B-4F87-9A27-2A68DA50DD1D}" destId="{72448E95-ABFD-4635-A416-031D24627E75}" srcOrd="0" destOrd="0" presId="urn:microsoft.com/office/officeart/2005/8/layout/orgChart1"/>
    <dgm:cxn modelId="{F6C18E9E-1138-443D-AB52-2AD8A6120611}" type="presOf" srcId="{ED763B38-1452-435A-831E-0529E51E153D}" destId="{2C5481D4-6F0F-4826-AAA2-34E9624D1255}" srcOrd="0" destOrd="0" presId="urn:microsoft.com/office/officeart/2005/8/layout/orgChart1"/>
    <dgm:cxn modelId="{7A5E129F-4B9D-4F80-957E-AD2BE5922B42}" type="presOf" srcId="{580B13EF-F018-4BDE-B29A-A2DFEA6A52E3}" destId="{E5C8494D-3DC0-42A7-BD96-6CEFB7BF801B}" srcOrd="0" destOrd="0" presId="urn:microsoft.com/office/officeart/2005/8/layout/orgChart1"/>
    <dgm:cxn modelId="{0261BFA4-5AF0-4604-9440-86571C4781B1}" type="presOf" srcId="{4CE40385-803B-4982-B1AE-C8EE08F0D3B9}" destId="{B495E6C4-9AF9-4CDB-9A94-D97267DB5B6B}" srcOrd="1" destOrd="0" presId="urn:microsoft.com/office/officeart/2005/8/layout/orgChart1"/>
    <dgm:cxn modelId="{89B40CA6-C5C1-4738-970A-DBDF3A5C1012}" type="presOf" srcId="{3904B684-D811-4FAA-98ED-69AF90F8C4A4}" destId="{2F326E7E-C25C-417F-9084-225ACF9DFC5B}" srcOrd="1" destOrd="0" presId="urn:microsoft.com/office/officeart/2005/8/layout/orgChart1"/>
    <dgm:cxn modelId="{75CBFFA6-8C5F-4D3C-AD4E-DEF865F4B054}" type="presOf" srcId="{CFC0EC99-AC4D-4B3D-A43E-FD5CF65DD5D2}" destId="{2FBB06AF-45C3-4528-A95E-9597A5AECCF5}" srcOrd="0" destOrd="0" presId="urn:microsoft.com/office/officeart/2005/8/layout/orgChart1"/>
    <dgm:cxn modelId="{B1062FA8-5623-4103-B867-7564B9CA69B4}" srcId="{D853020C-DEA9-492C-A09C-8010E74E4939}" destId="{E9CAD23E-388D-4F66-A915-36321F3FEFEA}" srcOrd="0" destOrd="0" parTransId="{FFFC5664-134A-4D10-A422-28E9F3FDC00F}" sibTransId="{6F33328E-DE99-420F-A043-A0EC0D33543D}"/>
    <dgm:cxn modelId="{8972E8A8-D763-4577-800C-BD653856270E}" type="presOf" srcId="{AB4027A1-9C9E-42F6-8317-3DA6D571312E}" destId="{4A2760D8-9B56-49DD-9AD7-318D5FEEDDE7}" srcOrd="0" destOrd="0" presId="urn:microsoft.com/office/officeart/2005/8/layout/orgChart1"/>
    <dgm:cxn modelId="{5C7283A9-8EF1-46B1-9E10-069CBB3EFF74}" type="presOf" srcId="{ABC47020-6CAA-443C-AD0C-3602C8B06D12}" destId="{1BEAF983-7B9E-40A4-BBB4-82D58B03A7FC}" srcOrd="0" destOrd="0" presId="urn:microsoft.com/office/officeart/2005/8/layout/orgChart1"/>
    <dgm:cxn modelId="{9A0EF2AA-7C99-45B8-AA61-7E33680AF2A7}" type="presOf" srcId="{D853020C-DEA9-492C-A09C-8010E74E4939}" destId="{3CCA5876-8A27-4F35-AD95-6BF0D45B8EAB}" srcOrd="0" destOrd="0" presId="urn:microsoft.com/office/officeart/2005/8/layout/orgChart1"/>
    <dgm:cxn modelId="{F6CC5EAC-22E6-42DC-A2D1-2DCCDE519489}" srcId="{AB4027A1-9C9E-42F6-8317-3DA6D571312E}" destId="{3904B684-D811-4FAA-98ED-69AF90F8C4A4}" srcOrd="0" destOrd="0" parTransId="{4B12A093-9B39-4C88-B894-F80BC799F723}" sibTransId="{D07CB52D-1753-44D3-99EC-4887A2D85D4C}"/>
    <dgm:cxn modelId="{A0C54FAF-701F-4313-A979-BA555ED6F94C}" type="presOf" srcId="{AFCB969D-DFEF-405B-84A2-8F08095333BD}" destId="{7330202F-6CC5-4BAF-90DB-B9490E5C8202}" srcOrd="0" destOrd="0" presId="urn:microsoft.com/office/officeart/2005/8/layout/orgChart1"/>
    <dgm:cxn modelId="{0D7B9CB6-E25C-4311-879D-97A8F4CD5473}" type="presOf" srcId="{A31182A2-12DA-42B6-BD6F-A8319CCDB153}" destId="{38AA9563-A215-42CF-B8D1-2BE905529BCA}" srcOrd="0" destOrd="0" presId="urn:microsoft.com/office/officeart/2005/8/layout/orgChart1"/>
    <dgm:cxn modelId="{F9B100B9-B8B4-4DF3-B5C2-0E93313F4AEF}" type="presOf" srcId="{A3735C0A-0F4B-4F87-9A27-2A68DA50DD1D}" destId="{EA6840A1-F3A7-4F48-8A1E-1770C3E79AA3}" srcOrd="1" destOrd="0" presId="urn:microsoft.com/office/officeart/2005/8/layout/orgChart1"/>
    <dgm:cxn modelId="{B0F78CBB-5F31-4907-AC85-EDB8523722DE}" srcId="{93A36F70-6CFA-4EF3-8917-CF33D892AD2B}" destId="{3F2837BE-7DB0-4240-97FA-5D38AA7C0DF0}" srcOrd="0" destOrd="0" parTransId="{ED763B38-1452-435A-831E-0529E51E153D}" sibTransId="{F4040F99-2ADB-40A5-89A2-1A3E4D3DC040}"/>
    <dgm:cxn modelId="{996C52BD-0A57-4D1C-AE16-240A29B74554}" srcId="{C13E1972-9D6A-40C5-B7F1-4FA99DC39A5D}" destId="{EE53CECF-0159-4A3E-9E53-59EA1EE7B945}" srcOrd="0" destOrd="0" parTransId="{0DF2453D-B88C-4476-9906-984FFEE8D9D1}" sibTransId="{92FD7813-3965-4897-836E-5AFC79B88304}"/>
    <dgm:cxn modelId="{D998DAC7-855C-4EC3-8588-62BD8D6E7F97}" type="presOf" srcId="{F4F71F2B-64E5-41D4-9A50-6F5DB95362DB}" destId="{74E6EB56-1C39-46BD-BC44-43B53184B49F}" srcOrd="1" destOrd="0" presId="urn:microsoft.com/office/officeart/2005/8/layout/orgChart1"/>
    <dgm:cxn modelId="{59DD31C9-FFE8-443A-A4FE-BBD0CBC8DA7D}" type="presOf" srcId="{D818CA55-5845-4510-8199-51B5D4EAC96D}" destId="{F40D34D8-021A-4483-AE5D-5B75445580C1}" srcOrd="1" destOrd="0" presId="urn:microsoft.com/office/officeart/2005/8/layout/orgChart1"/>
    <dgm:cxn modelId="{B6ECA1C9-D669-4AE1-9702-6FCDA7F9BA69}" type="presOf" srcId="{EE53CECF-0159-4A3E-9E53-59EA1EE7B945}" destId="{23DF4E2F-37E1-454D-889D-93E1EAE0BFD4}" srcOrd="1" destOrd="0" presId="urn:microsoft.com/office/officeart/2005/8/layout/orgChart1"/>
    <dgm:cxn modelId="{B207A5C9-B82F-444C-8804-1704431AD6E0}" type="presOf" srcId="{439280A1-7D3A-491D-9BCD-03F68A89A939}" destId="{5ED4746F-DC73-46C2-B7E2-156C7C658148}" srcOrd="0" destOrd="0" presId="urn:microsoft.com/office/officeart/2005/8/layout/orgChart1"/>
    <dgm:cxn modelId="{216421CE-809C-443C-AE30-899C787EB7DC}" type="presOf" srcId="{E9CAD23E-388D-4F66-A915-36321F3FEFEA}" destId="{9F651233-C707-483D-B969-3DD45DADA596}" srcOrd="0" destOrd="0" presId="urn:microsoft.com/office/officeart/2005/8/layout/orgChart1"/>
    <dgm:cxn modelId="{579473CE-8D49-447D-8741-61E1D7B96FB4}" type="presOf" srcId="{A6194704-638D-4E5B-BE58-520635DD1E10}" destId="{BF6D23CB-7F33-40BA-8290-9FE411A93557}" srcOrd="0" destOrd="0" presId="urn:microsoft.com/office/officeart/2005/8/layout/orgChart1"/>
    <dgm:cxn modelId="{2B541DCF-3BE3-4E32-8F43-D7E71DDC4FFE}" type="presOf" srcId="{A25AF142-8B54-443F-A5C1-12DBB16C659A}" destId="{E2B14B52-158B-4517-8B41-3B7059D68FF1}" srcOrd="1" destOrd="0" presId="urn:microsoft.com/office/officeart/2005/8/layout/orgChart1"/>
    <dgm:cxn modelId="{A61604D0-275B-421A-A38D-91A4F423867C}" type="presOf" srcId="{93404F1D-526C-4104-91B7-698FB7EA6CA6}" destId="{938C4007-265A-4CB8-970F-C76131073387}" srcOrd="0" destOrd="0" presId="urn:microsoft.com/office/officeart/2005/8/layout/orgChart1"/>
    <dgm:cxn modelId="{9795ACD0-42F3-4740-9042-56B44849B442}" srcId="{ACAD03E5-6C76-40D2-8C7B-229FD5378AF9}" destId="{CE41F070-B7FF-4D72-9779-CADB9ECDB834}" srcOrd="0" destOrd="0" parTransId="{A6194704-638D-4E5B-BE58-520635DD1E10}" sibTransId="{BF114016-A804-4749-AFB9-3F7F22FD8CAE}"/>
    <dgm:cxn modelId="{3EE998D2-CCF1-4ECE-A02E-EC7D2FFC3B76}" type="presOf" srcId="{DD206DED-7FC5-4EEA-8C87-BF6615CC14B0}" destId="{8DAFCA34-1B87-41BB-AB9C-8C899E4C438D}" srcOrd="0" destOrd="0" presId="urn:microsoft.com/office/officeart/2005/8/layout/orgChart1"/>
    <dgm:cxn modelId="{6C06C8D2-D3C9-4AA8-BEEF-FFEF2405947D}" type="presOf" srcId="{554751D7-33AA-44EE-B8BE-2AD02291F210}" destId="{BA2BAFD6-BA5E-44D8-A112-8D13AD00AF62}" srcOrd="0" destOrd="0" presId="urn:microsoft.com/office/officeart/2005/8/layout/orgChart1"/>
    <dgm:cxn modelId="{F33928D3-D6D5-41AA-8CC8-59A098BF5472}" srcId="{A3735C0A-0F4B-4F87-9A27-2A68DA50DD1D}" destId="{737D705F-80C4-4CB5-9310-D870A56219B1}" srcOrd="0" destOrd="0" parTransId="{8A84A97B-D006-4D31-8800-37C9219F6F33}" sibTransId="{D8792806-0551-4721-AD68-9045AA7827C2}"/>
    <dgm:cxn modelId="{6346F5D8-8056-4F3F-80B3-8E725D45A173}" srcId="{F4F71F2B-64E5-41D4-9A50-6F5DB95362DB}" destId="{A3735C0A-0F4B-4F87-9A27-2A68DA50DD1D}" srcOrd="0" destOrd="0" parTransId="{580B13EF-F018-4BDE-B29A-A2DFEA6A52E3}" sibTransId="{AFBE367A-B391-43C6-A3EB-23EEDF40EA78}"/>
    <dgm:cxn modelId="{26A4D1DC-55A5-4A79-B89A-219D7D16555E}" type="presOf" srcId="{93404F1D-526C-4104-91B7-698FB7EA6CA6}" destId="{479CED1F-8D75-4337-844A-DE309284C527}" srcOrd="1" destOrd="0" presId="urn:microsoft.com/office/officeart/2005/8/layout/orgChart1"/>
    <dgm:cxn modelId="{A73C90DF-F397-41F8-BA59-F5EB0EF2BC02}" type="presOf" srcId="{A4F463A6-10AD-4DF5-A649-BDDFB11043D2}" destId="{A6962E8E-154C-4944-826F-1C22A6B96937}" srcOrd="0" destOrd="0" presId="urn:microsoft.com/office/officeart/2005/8/layout/orgChart1"/>
    <dgm:cxn modelId="{40947DE5-27EC-46DC-B2BC-FDD66819AB85}" type="presOf" srcId="{29FCA002-24EB-4CF6-9D18-0AE996611112}" destId="{BD24B26F-6C47-4034-A845-606AD47FE2A6}" srcOrd="0" destOrd="0" presId="urn:microsoft.com/office/officeart/2005/8/layout/orgChart1"/>
    <dgm:cxn modelId="{9DF2AFE7-7D4D-462F-8BDB-02433F0AB6F8}" type="presOf" srcId="{61532884-69A1-4046-BC23-60F91B124EEF}" destId="{4AF3245E-B283-4B3C-89B2-430FE9023603}" srcOrd="0" destOrd="0" presId="urn:microsoft.com/office/officeart/2005/8/layout/orgChart1"/>
    <dgm:cxn modelId="{2BBCCDE7-1644-41E6-BAFA-498E3CE152BE}" type="presOf" srcId="{98FB3FB6-098E-409C-AB08-6756AAEC4132}" destId="{29C4EAF3-77D0-4D55-A82F-6D1A0F14EA49}" srcOrd="1" destOrd="0" presId="urn:microsoft.com/office/officeart/2005/8/layout/orgChart1"/>
    <dgm:cxn modelId="{20B3B4EA-D6BF-49F8-99CA-CA98F3DA7610}" type="presOf" srcId="{98FB3FB6-098E-409C-AB08-6756AAEC4132}" destId="{FF715FA8-AED8-4B5E-9BCD-81C3AA535045}" srcOrd="0" destOrd="0" presId="urn:microsoft.com/office/officeart/2005/8/layout/orgChart1"/>
    <dgm:cxn modelId="{854E7EEE-9EAE-4750-A3B0-760AB6FC7F86}" type="presOf" srcId="{CFA51F78-A4E5-40F8-9553-EA908393EB24}" destId="{9AE50E30-CA91-482F-A0F4-86AAF585EB26}" srcOrd="0" destOrd="0" presId="urn:microsoft.com/office/officeart/2005/8/layout/orgChart1"/>
    <dgm:cxn modelId="{7C197DEF-000B-483F-8339-912957EE9EA5}" type="presOf" srcId="{3C05564B-8AA3-456F-9C11-A63FD39E0DEB}" destId="{B11EC0E0-1D04-4C22-B029-3C6F2288A749}" srcOrd="0" destOrd="0" presId="urn:microsoft.com/office/officeart/2005/8/layout/orgChart1"/>
    <dgm:cxn modelId="{FBB453F0-5265-481B-BB92-A93DDE47318B}" srcId="{CE41F070-B7FF-4D72-9779-CADB9ECDB834}" destId="{A25AF142-8B54-443F-A5C1-12DBB16C659A}" srcOrd="0" destOrd="0" parTransId="{3C05564B-8AA3-456F-9C11-A63FD39E0DEB}" sibTransId="{413F5B99-485C-4889-B72C-6C5BFE363A64}"/>
    <dgm:cxn modelId="{2A9FFDF3-632C-4F9A-9823-7A882B4DCA50}" type="presOf" srcId="{C13E1972-9D6A-40C5-B7F1-4FA99DC39A5D}" destId="{7E01BC41-DF57-4826-9773-FA381A26D3CD}" srcOrd="1" destOrd="0" presId="urn:microsoft.com/office/officeart/2005/8/layout/orgChart1"/>
    <dgm:cxn modelId="{11B840FE-038F-4A55-B7E6-4FF361A6DF2F}" type="presOf" srcId="{680484F0-7ED2-4D03-B472-B15CCF594F74}" destId="{698E6077-9225-45D9-AB17-A1B557DF0E18}" srcOrd="0" destOrd="0" presId="urn:microsoft.com/office/officeart/2005/8/layout/orgChart1"/>
    <dgm:cxn modelId="{6DEF93FE-6942-402C-B8A3-ED6E42B1124C}" srcId="{93404F1D-526C-4104-91B7-698FB7EA6CA6}" destId="{F4F71F2B-64E5-41D4-9A50-6F5DB95362DB}" srcOrd="0" destOrd="0" parTransId="{58A31632-917E-49D7-AFBD-E57D2316433A}" sibTransId="{9BEF8F28-B6A2-49C3-85F9-9F9DC4C31EE6}"/>
    <dgm:cxn modelId="{14671AFF-25F4-481B-B6AB-6FEEEE7F56FD}" srcId="{E9CAD23E-388D-4F66-A915-36321F3FEFEA}" destId="{71F0ADEC-1798-4F9C-95C5-DE17ABAA5F59}" srcOrd="1" destOrd="0" parTransId="{F06B826E-D9A8-4A53-BE34-5C6B5644CADC}" sibTransId="{B2BC6261-A230-46A4-9963-135E06DBE0E1}"/>
    <dgm:cxn modelId="{9B6734C9-751B-46B7-9564-DB16AFE703B5}" type="presParOf" srcId="{4A2760D8-9B56-49DD-9AD7-318D5FEEDDE7}" destId="{5D82D2DE-D175-4965-A60D-6567861517E8}" srcOrd="0" destOrd="0" presId="urn:microsoft.com/office/officeart/2005/8/layout/orgChart1"/>
    <dgm:cxn modelId="{3951F903-1761-4CA9-8D7C-5FFE5EAC28B6}" type="presParOf" srcId="{5D82D2DE-D175-4965-A60D-6567861517E8}" destId="{AD4E8450-F3F1-4B5F-A7CB-16FBCBB6FF7A}" srcOrd="0" destOrd="0" presId="urn:microsoft.com/office/officeart/2005/8/layout/orgChart1"/>
    <dgm:cxn modelId="{590DE58E-8934-458F-8BF2-0B2B669B7955}" type="presParOf" srcId="{AD4E8450-F3F1-4B5F-A7CB-16FBCBB6FF7A}" destId="{4A2EABBF-349B-49C0-A0CB-41719314F2B5}" srcOrd="0" destOrd="0" presId="urn:microsoft.com/office/officeart/2005/8/layout/orgChart1"/>
    <dgm:cxn modelId="{9E77B987-AEED-4D74-B2E9-6EC54BE4B0F8}" type="presParOf" srcId="{AD4E8450-F3F1-4B5F-A7CB-16FBCBB6FF7A}" destId="{2F326E7E-C25C-417F-9084-225ACF9DFC5B}" srcOrd="1" destOrd="0" presId="urn:microsoft.com/office/officeart/2005/8/layout/orgChart1"/>
    <dgm:cxn modelId="{C1BD9005-8AF8-4228-A9D3-C2BF7F3D7837}" type="presParOf" srcId="{5D82D2DE-D175-4965-A60D-6567861517E8}" destId="{1290AF74-D520-4D33-8E37-15C73193D36E}" srcOrd="1" destOrd="0" presId="urn:microsoft.com/office/officeart/2005/8/layout/orgChart1"/>
    <dgm:cxn modelId="{9C784F1B-E702-42ED-B52C-C3022EDCB3C7}" type="presParOf" srcId="{1290AF74-D520-4D33-8E37-15C73193D36E}" destId="{E5C47380-3A60-4F1D-B3D0-9479EAA5CE27}" srcOrd="0" destOrd="0" presId="urn:microsoft.com/office/officeart/2005/8/layout/orgChart1"/>
    <dgm:cxn modelId="{6570EEE7-66A6-4ED5-9C4C-9E46B9C520D2}" type="presParOf" srcId="{1290AF74-D520-4D33-8E37-15C73193D36E}" destId="{86104B34-337E-45A2-8C55-8596FBE94084}" srcOrd="1" destOrd="0" presId="urn:microsoft.com/office/officeart/2005/8/layout/orgChart1"/>
    <dgm:cxn modelId="{54768F2E-0046-4A37-81AA-76A986AC587F}" type="presParOf" srcId="{86104B34-337E-45A2-8C55-8596FBE94084}" destId="{E4B96B6D-FDFF-4CF1-8926-9BCACCD299BD}" srcOrd="0" destOrd="0" presId="urn:microsoft.com/office/officeart/2005/8/layout/orgChart1"/>
    <dgm:cxn modelId="{75517452-62FA-44E4-AEF6-BE4A1F0F7F17}" type="presParOf" srcId="{E4B96B6D-FDFF-4CF1-8926-9BCACCD299BD}" destId="{6C4E4D41-488F-4AF9-84E4-3A3C4A0286AC}" srcOrd="0" destOrd="0" presId="urn:microsoft.com/office/officeart/2005/8/layout/orgChart1"/>
    <dgm:cxn modelId="{247B62E7-9DD0-4D28-BFB7-82A7688A02B9}" type="presParOf" srcId="{E4B96B6D-FDFF-4CF1-8926-9BCACCD299BD}" destId="{7E01BC41-DF57-4826-9773-FA381A26D3CD}" srcOrd="1" destOrd="0" presId="urn:microsoft.com/office/officeart/2005/8/layout/orgChart1"/>
    <dgm:cxn modelId="{751BD35B-E516-40EB-937E-10CC325224BA}" type="presParOf" srcId="{86104B34-337E-45A2-8C55-8596FBE94084}" destId="{D62E362A-CB2E-4981-BC21-A427F81B903C}" srcOrd="1" destOrd="0" presId="urn:microsoft.com/office/officeart/2005/8/layout/orgChart1"/>
    <dgm:cxn modelId="{C0ADB2A3-0631-4D81-BF4A-46676F59218E}" type="presParOf" srcId="{D62E362A-CB2E-4981-BC21-A427F81B903C}" destId="{678DBBD1-C51E-440A-B9CB-F81E3FE4C94C}" srcOrd="0" destOrd="0" presId="urn:microsoft.com/office/officeart/2005/8/layout/orgChart1"/>
    <dgm:cxn modelId="{1F92CDA9-4A45-4A1A-83B8-C30095E437BC}" type="presParOf" srcId="{D62E362A-CB2E-4981-BC21-A427F81B903C}" destId="{0C5492E7-1093-41BE-A1BB-DB359106D806}" srcOrd="1" destOrd="0" presId="urn:microsoft.com/office/officeart/2005/8/layout/orgChart1"/>
    <dgm:cxn modelId="{1FF27A63-3A63-454B-AD8D-889BF4F3BC35}" type="presParOf" srcId="{0C5492E7-1093-41BE-A1BB-DB359106D806}" destId="{9658DA5D-F7C9-40AA-ABE8-FA1B251A1F30}" srcOrd="0" destOrd="0" presId="urn:microsoft.com/office/officeart/2005/8/layout/orgChart1"/>
    <dgm:cxn modelId="{863FFD88-4FA6-45D9-BB1F-6B8E58E38318}" type="presParOf" srcId="{9658DA5D-F7C9-40AA-ABE8-FA1B251A1F30}" destId="{ECBA8F24-1EF8-4051-AA71-F1DB379438BE}" srcOrd="0" destOrd="0" presId="urn:microsoft.com/office/officeart/2005/8/layout/orgChart1"/>
    <dgm:cxn modelId="{F63D6FE3-23A0-4654-8D9C-466C010A38A6}" type="presParOf" srcId="{9658DA5D-F7C9-40AA-ABE8-FA1B251A1F30}" destId="{23DF4E2F-37E1-454D-889D-93E1EAE0BFD4}" srcOrd="1" destOrd="0" presId="urn:microsoft.com/office/officeart/2005/8/layout/orgChart1"/>
    <dgm:cxn modelId="{990E6148-3380-46DB-9DB4-F226CCFEF0A4}" type="presParOf" srcId="{0C5492E7-1093-41BE-A1BB-DB359106D806}" destId="{BB4694F3-569A-47ED-92F9-64284772EEC0}" srcOrd="1" destOrd="0" presId="urn:microsoft.com/office/officeart/2005/8/layout/orgChart1"/>
    <dgm:cxn modelId="{9C12BC61-FDAE-4C0D-A1F3-A5946AC46329}" type="presParOf" srcId="{BB4694F3-569A-47ED-92F9-64284772EEC0}" destId="{1BEAF983-7B9E-40A4-BBB4-82D58B03A7FC}" srcOrd="0" destOrd="0" presId="urn:microsoft.com/office/officeart/2005/8/layout/orgChart1"/>
    <dgm:cxn modelId="{E50C0681-4D5E-41BF-A3A6-D10BA50B426E}" type="presParOf" srcId="{BB4694F3-569A-47ED-92F9-64284772EEC0}" destId="{E2B2AB06-036F-44D2-A54C-B59CBAFDE391}" srcOrd="1" destOrd="0" presId="urn:microsoft.com/office/officeart/2005/8/layout/orgChart1"/>
    <dgm:cxn modelId="{072EE8E2-FC24-4F8E-9880-0BDDDBB6E610}" type="presParOf" srcId="{E2B2AB06-036F-44D2-A54C-B59CBAFDE391}" destId="{939305A0-7258-48F2-AF1B-714CBCF68F0B}" srcOrd="0" destOrd="0" presId="urn:microsoft.com/office/officeart/2005/8/layout/orgChart1"/>
    <dgm:cxn modelId="{3A4EABE3-F5B8-42A2-A0A4-55F23275DCF2}" type="presParOf" srcId="{939305A0-7258-48F2-AF1B-714CBCF68F0B}" destId="{3B4922AD-AF1A-435F-A951-BC076C1DAA8B}" srcOrd="0" destOrd="0" presId="urn:microsoft.com/office/officeart/2005/8/layout/orgChart1"/>
    <dgm:cxn modelId="{6CB0CBE4-0123-4656-A887-D5FE67F64C5C}" type="presParOf" srcId="{939305A0-7258-48F2-AF1B-714CBCF68F0B}" destId="{B495E6C4-9AF9-4CDB-9A94-D97267DB5B6B}" srcOrd="1" destOrd="0" presId="urn:microsoft.com/office/officeart/2005/8/layout/orgChart1"/>
    <dgm:cxn modelId="{CADDC3C4-55DD-4BFE-B064-3B665CD420A1}" type="presParOf" srcId="{E2B2AB06-036F-44D2-A54C-B59CBAFDE391}" destId="{8C036D6A-E9B7-4B74-91D7-92E92AC37781}" srcOrd="1" destOrd="0" presId="urn:microsoft.com/office/officeart/2005/8/layout/orgChart1"/>
    <dgm:cxn modelId="{C34AE9E0-6762-4B6E-A28E-0FA1509521E1}" type="presParOf" srcId="{8C036D6A-E9B7-4B74-91D7-92E92AC37781}" destId="{297EE16D-B6D7-418B-BEC4-9193E9CA3C43}" srcOrd="0" destOrd="0" presId="urn:microsoft.com/office/officeart/2005/8/layout/orgChart1"/>
    <dgm:cxn modelId="{09CFA4F7-D220-4589-8A9D-5425F837C66C}" type="presParOf" srcId="{8C036D6A-E9B7-4B74-91D7-92E92AC37781}" destId="{E41EFFCE-7FBE-494C-961B-314467F8B6D2}" srcOrd="1" destOrd="0" presId="urn:microsoft.com/office/officeart/2005/8/layout/orgChart1"/>
    <dgm:cxn modelId="{CB120FCE-998C-4B75-8AE3-54B679BD580F}" type="presParOf" srcId="{E41EFFCE-7FBE-494C-961B-314467F8B6D2}" destId="{1D4D2426-1477-4F9F-B1B5-6ADF8B70FC6E}" srcOrd="0" destOrd="0" presId="urn:microsoft.com/office/officeart/2005/8/layout/orgChart1"/>
    <dgm:cxn modelId="{328F2BA9-CB1E-4F9A-80E6-B0A042CE8340}" type="presParOf" srcId="{1D4D2426-1477-4F9F-B1B5-6ADF8B70FC6E}" destId="{FF715FA8-AED8-4B5E-9BCD-81C3AA535045}" srcOrd="0" destOrd="0" presId="urn:microsoft.com/office/officeart/2005/8/layout/orgChart1"/>
    <dgm:cxn modelId="{3957BFEB-29A6-41CB-8193-06D710FD4C0F}" type="presParOf" srcId="{1D4D2426-1477-4F9F-B1B5-6ADF8B70FC6E}" destId="{29C4EAF3-77D0-4D55-A82F-6D1A0F14EA49}" srcOrd="1" destOrd="0" presId="urn:microsoft.com/office/officeart/2005/8/layout/orgChart1"/>
    <dgm:cxn modelId="{0920F39F-32AE-4343-AE81-F4237BC1F4C1}" type="presParOf" srcId="{E41EFFCE-7FBE-494C-961B-314467F8B6D2}" destId="{C9149A77-3160-48DF-A896-491EDD0C04E8}" srcOrd="1" destOrd="0" presId="urn:microsoft.com/office/officeart/2005/8/layout/orgChart1"/>
    <dgm:cxn modelId="{B6A5F827-DC10-4CEC-A4F3-D40CD864163F}" type="presParOf" srcId="{C9149A77-3160-48DF-A896-491EDD0C04E8}" destId="{4AF3245E-B283-4B3C-89B2-430FE9023603}" srcOrd="0" destOrd="0" presId="urn:microsoft.com/office/officeart/2005/8/layout/orgChart1"/>
    <dgm:cxn modelId="{712841BD-872D-4340-9C08-CB0B919A6C09}" type="presParOf" srcId="{C9149A77-3160-48DF-A896-491EDD0C04E8}" destId="{CC8AFDED-D9C6-4214-81BF-D65679C48F86}" srcOrd="1" destOrd="0" presId="urn:microsoft.com/office/officeart/2005/8/layout/orgChart1"/>
    <dgm:cxn modelId="{D86D3B2B-9BD0-431B-91E9-41B5383604AA}" type="presParOf" srcId="{CC8AFDED-D9C6-4214-81BF-D65679C48F86}" destId="{B98F956F-C6BB-4FEB-8A24-F2820DE6F34C}" srcOrd="0" destOrd="0" presId="urn:microsoft.com/office/officeart/2005/8/layout/orgChart1"/>
    <dgm:cxn modelId="{EA1EA198-FB5E-49B5-AF11-C46D09FA8DA5}" type="presParOf" srcId="{B98F956F-C6BB-4FEB-8A24-F2820DE6F34C}" destId="{2FBB06AF-45C3-4528-A95E-9597A5AECCF5}" srcOrd="0" destOrd="0" presId="urn:microsoft.com/office/officeart/2005/8/layout/orgChart1"/>
    <dgm:cxn modelId="{92F324EE-834D-436E-B597-23354FFB5716}" type="presParOf" srcId="{B98F956F-C6BB-4FEB-8A24-F2820DE6F34C}" destId="{DFA67A23-87B1-4D69-AE96-6448EE96E4AD}" srcOrd="1" destOrd="0" presId="urn:microsoft.com/office/officeart/2005/8/layout/orgChart1"/>
    <dgm:cxn modelId="{BFE87457-4566-48D8-B53F-E617183310BA}" type="presParOf" srcId="{CC8AFDED-D9C6-4214-81BF-D65679C48F86}" destId="{D5D0D9A9-134E-4E0F-9DA2-49258E05D5E9}" srcOrd="1" destOrd="0" presId="urn:microsoft.com/office/officeart/2005/8/layout/orgChart1"/>
    <dgm:cxn modelId="{DA93EAF4-FA82-407A-AAD7-A31E1F887299}" type="presParOf" srcId="{CC8AFDED-D9C6-4214-81BF-D65679C48F86}" destId="{5408E322-481F-485C-896B-7F2640E8D288}" srcOrd="2" destOrd="0" presId="urn:microsoft.com/office/officeart/2005/8/layout/orgChart1"/>
    <dgm:cxn modelId="{DEF6BA76-12C1-45E8-8A32-B07FB4E64A22}" type="presParOf" srcId="{C9149A77-3160-48DF-A896-491EDD0C04E8}" destId="{BA2BAFD6-BA5E-44D8-A112-8D13AD00AF62}" srcOrd="2" destOrd="0" presId="urn:microsoft.com/office/officeart/2005/8/layout/orgChart1"/>
    <dgm:cxn modelId="{A6655EB1-6F71-4FF7-8332-C630ACCB7973}" type="presParOf" srcId="{C9149A77-3160-48DF-A896-491EDD0C04E8}" destId="{211CCCBB-B4C7-42DE-A808-C96F8EAAC4A8}" srcOrd="3" destOrd="0" presId="urn:microsoft.com/office/officeart/2005/8/layout/orgChart1"/>
    <dgm:cxn modelId="{FDBD84B4-6CD9-4053-850C-C0452D90B98B}" type="presParOf" srcId="{211CCCBB-B4C7-42DE-A808-C96F8EAAC4A8}" destId="{F78BC637-6AD4-414E-8C61-264C4DC87A5D}" srcOrd="0" destOrd="0" presId="urn:microsoft.com/office/officeart/2005/8/layout/orgChart1"/>
    <dgm:cxn modelId="{E071C3BE-38C8-45F9-A8AA-DDDE665E257B}" type="presParOf" srcId="{F78BC637-6AD4-414E-8C61-264C4DC87A5D}" destId="{78384FDD-8BBF-4585-A354-922E1F074110}" srcOrd="0" destOrd="0" presId="urn:microsoft.com/office/officeart/2005/8/layout/orgChart1"/>
    <dgm:cxn modelId="{A71384C9-96E2-406F-A3E4-5DF68439AC60}" type="presParOf" srcId="{F78BC637-6AD4-414E-8C61-264C4DC87A5D}" destId="{9DC3F79F-0B50-467E-9E50-EABDD6F756BE}" srcOrd="1" destOrd="0" presId="urn:microsoft.com/office/officeart/2005/8/layout/orgChart1"/>
    <dgm:cxn modelId="{B8F7A4B1-95F5-4A9F-B600-93F9654BA30A}" type="presParOf" srcId="{211CCCBB-B4C7-42DE-A808-C96F8EAAC4A8}" destId="{443AD141-44F0-4716-980E-678A02CACAEA}" srcOrd="1" destOrd="0" presId="urn:microsoft.com/office/officeart/2005/8/layout/orgChart1"/>
    <dgm:cxn modelId="{3EB4EA75-14B6-4DDB-BFDF-2C7DCC1017D2}" type="presParOf" srcId="{211CCCBB-B4C7-42DE-A808-C96F8EAAC4A8}" destId="{ADC4BC84-040C-4DAB-BDAC-891D0689D7C1}" srcOrd="2" destOrd="0" presId="urn:microsoft.com/office/officeart/2005/8/layout/orgChart1"/>
    <dgm:cxn modelId="{DB44CC51-A081-46DE-8D9C-DE8A85149383}" type="presParOf" srcId="{E41EFFCE-7FBE-494C-961B-314467F8B6D2}" destId="{72E8040B-CA7A-418E-9ECC-5248BAE32ECF}" srcOrd="2" destOrd="0" presId="urn:microsoft.com/office/officeart/2005/8/layout/orgChart1"/>
    <dgm:cxn modelId="{B32B76FC-0232-455A-92B0-44EDFA4E4059}" type="presParOf" srcId="{E2B2AB06-036F-44D2-A54C-B59CBAFDE391}" destId="{D6675EB3-F9F3-46E6-87F0-FAC6EA913646}" srcOrd="2" destOrd="0" presId="urn:microsoft.com/office/officeart/2005/8/layout/orgChart1"/>
    <dgm:cxn modelId="{FB283E6D-793E-4753-AB8C-232EC9043D01}" type="presParOf" srcId="{0C5492E7-1093-41BE-A1BB-DB359106D806}" destId="{F2096B0F-B2D1-46B9-828D-1E34FED59185}" srcOrd="2" destOrd="0" presId="urn:microsoft.com/office/officeart/2005/8/layout/orgChart1"/>
    <dgm:cxn modelId="{4CC7D09B-8EDF-482A-B841-A4AC8F3CCC44}" type="presParOf" srcId="{86104B34-337E-45A2-8C55-8596FBE94084}" destId="{3FCEC057-2FF1-4CEC-8551-032C5D24C6E1}" srcOrd="2" destOrd="0" presId="urn:microsoft.com/office/officeart/2005/8/layout/orgChart1"/>
    <dgm:cxn modelId="{9BD240E5-9B01-44F1-80CA-1DF8CC8AFABC}" type="presParOf" srcId="{1290AF74-D520-4D33-8E37-15C73193D36E}" destId="{8DAFCA34-1B87-41BB-AB9C-8C899E4C438D}" srcOrd="2" destOrd="0" presId="urn:microsoft.com/office/officeart/2005/8/layout/orgChart1"/>
    <dgm:cxn modelId="{23990AB9-9854-4CBB-8911-168A6D0CF7F9}" type="presParOf" srcId="{1290AF74-D520-4D33-8E37-15C73193D36E}" destId="{A6643AF8-BF59-4685-A7B2-9C80CCFA7D40}" srcOrd="3" destOrd="0" presId="urn:microsoft.com/office/officeart/2005/8/layout/orgChart1"/>
    <dgm:cxn modelId="{5440D765-06EE-4EA7-A91D-D083B87D4E39}" type="presParOf" srcId="{A6643AF8-BF59-4685-A7B2-9C80CCFA7D40}" destId="{0AE84D4A-A086-4A3A-9DD8-6840582C05F1}" srcOrd="0" destOrd="0" presId="urn:microsoft.com/office/officeart/2005/8/layout/orgChart1"/>
    <dgm:cxn modelId="{2B934D85-CDD2-44DA-9502-8034508A6B8E}" type="presParOf" srcId="{0AE84D4A-A086-4A3A-9DD8-6840582C05F1}" destId="{BE4DAEA6-7F22-4DC7-81FD-88D797CCE989}" srcOrd="0" destOrd="0" presId="urn:microsoft.com/office/officeart/2005/8/layout/orgChart1"/>
    <dgm:cxn modelId="{BF9F5B7D-AB4C-4EEB-8B89-01D78F7585B0}" type="presParOf" srcId="{0AE84D4A-A086-4A3A-9DD8-6840582C05F1}" destId="{692147EF-7C3D-47F2-9967-73AF7803245F}" srcOrd="1" destOrd="0" presId="urn:microsoft.com/office/officeart/2005/8/layout/orgChart1"/>
    <dgm:cxn modelId="{90A35E40-E7C9-4DCB-AD36-C3C9042559B2}" type="presParOf" srcId="{A6643AF8-BF59-4685-A7B2-9C80CCFA7D40}" destId="{7082E8CB-A295-41B2-86B4-8F549C5B4EBD}" srcOrd="1" destOrd="0" presId="urn:microsoft.com/office/officeart/2005/8/layout/orgChart1"/>
    <dgm:cxn modelId="{6A002473-9C71-4606-8146-BA4AD9A2B54B}" type="presParOf" srcId="{7082E8CB-A295-41B2-86B4-8F549C5B4EBD}" destId="{2C5481D4-6F0F-4826-AAA2-34E9624D1255}" srcOrd="0" destOrd="0" presId="urn:microsoft.com/office/officeart/2005/8/layout/orgChart1"/>
    <dgm:cxn modelId="{627766E8-1FAC-41FE-A86A-047903EE50FD}" type="presParOf" srcId="{7082E8CB-A295-41B2-86B4-8F549C5B4EBD}" destId="{F0DD0982-BEA6-4D70-AF3B-0AA4AA92E47B}" srcOrd="1" destOrd="0" presId="urn:microsoft.com/office/officeart/2005/8/layout/orgChart1"/>
    <dgm:cxn modelId="{20A2301D-3896-4F74-89CF-A99DA653A014}" type="presParOf" srcId="{F0DD0982-BEA6-4D70-AF3B-0AA4AA92E47B}" destId="{99B54681-733F-4DDC-90EB-69AF05D7F8CA}" srcOrd="0" destOrd="0" presId="urn:microsoft.com/office/officeart/2005/8/layout/orgChart1"/>
    <dgm:cxn modelId="{BD0A3AFA-8752-4EB7-878B-4A3F9953A28C}" type="presParOf" srcId="{99B54681-733F-4DDC-90EB-69AF05D7F8CA}" destId="{955DF2CB-8C32-487F-8CE4-5634CE1C1457}" srcOrd="0" destOrd="0" presId="urn:microsoft.com/office/officeart/2005/8/layout/orgChart1"/>
    <dgm:cxn modelId="{9F796026-5A2A-4B36-BDB0-6B192BB14009}" type="presParOf" srcId="{99B54681-733F-4DDC-90EB-69AF05D7F8CA}" destId="{55201589-E569-4CAD-AC99-0497FCF263F6}" srcOrd="1" destOrd="0" presId="urn:microsoft.com/office/officeart/2005/8/layout/orgChart1"/>
    <dgm:cxn modelId="{3A86DF10-5F3D-4888-B513-25C0F6031656}" type="presParOf" srcId="{F0DD0982-BEA6-4D70-AF3B-0AA4AA92E47B}" destId="{ED1D290A-9272-48F1-8AF8-BBA8E72EDB35}" srcOrd="1" destOrd="0" presId="urn:microsoft.com/office/officeart/2005/8/layout/orgChart1"/>
    <dgm:cxn modelId="{06F41C82-AED8-4254-83EC-4C79B4158C40}" type="presParOf" srcId="{ED1D290A-9272-48F1-8AF8-BBA8E72EDB35}" destId="{B3A2FCF6-BDDC-43A1-B4B4-7465EEB351F9}" srcOrd="0" destOrd="0" presId="urn:microsoft.com/office/officeart/2005/8/layout/orgChart1"/>
    <dgm:cxn modelId="{D3938B4D-F405-44F1-86B3-B08CE18E5700}" type="presParOf" srcId="{ED1D290A-9272-48F1-8AF8-BBA8E72EDB35}" destId="{528FA10A-4857-4463-9731-4AEDA3A2084F}" srcOrd="1" destOrd="0" presId="urn:microsoft.com/office/officeart/2005/8/layout/orgChart1"/>
    <dgm:cxn modelId="{A567ACBB-CC48-4231-A668-EF3CB40EF8DA}" type="presParOf" srcId="{528FA10A-4857-4463-9731-4AEDA3A2084F}" destId="{A0BBEE0B-C95A-4C29-AFB5-552AA969DEC5}" srcOrd="0" destOrd="0" presId="urn:microsoft.com/office/officeart/2005/8/layout/orgChart1"/>
    <dgm:cxn modelId="{A690E469-63F7-4178-A202-7BD412479389}" type="presParOf" srcId="{A0BBEE0B-C95A-4C29-AFB5-552AA969DEC5}" destId="{3CCA5876-8A27-4F35-AD95-6BF0D45B8EAB}" srcOrd="0" destOrd="0" presId="urn:microsoft.com/office/officeart/2005/8/layout/orgChart1"/>
    <dgm:cxn modelId="{D240B39D-8C59-46C1-8DB6-D25AA0D86AD6}" type="presParOf" srcId="{A0BBEE0B-C95A-4C29-AFB5-552AA969DEC5}" destId="{CFAF05B6-DE0F-4D93-8BD4-F6958633D3E3}" srcOrd="1" destOrd="0" presId="urn:microsoft.com/office/officeart/2005/8/layout/orgChart1"/>
    <dgm:cxn modelId="{8922277B-CECF-465F-8959-330232DA9B2A}" type="presParOf" srcId="{528FA10A-4857-4463-9731-4AEDA3A2084F}" destId="{73C23942-2DFB-4388-BBCA-12834EB398A6}" srcOrd="1" destOrd="0" presId="urn:microsoft.com/office/officeart/2005/8/layout/orgChart1"/>
    <dgm:cxn modelId="{88FF9157-6BB6-48B1-9FD9-B648FBF27A44}" type="presParOf" srcId="{73C23942-2DFB-4388-BBCA-12834EB398A6}" destId="{5DB911DD-B1FB-4709-B564-E88699AF4550}" srcOrd="0" destOrd="0" presId="urn:microsoft.com/office/officeart/2005/8/layout/orgChart1"/>
    <dgm:cxn modelId="{8D0EAA39-2016-4E7C-9913-2E9FB6EF5CC8}" type="presParOf" srcId="{73C23942-2DFB-4388-BBCA-12834EB398A6}" destId="{3ADA63C1-4F49-4DB3-9C5C-30DCB8787A9E}" srcOrd="1" destOrd="0" presId="urn:microsoft.com/office/officeart/2005/8/layout/orgChart1"/>
    <dgm:cxn modelId="{DD8202A4-BFEE-478A-AA2D-CE366606A65C}" type="presParOf" srcId="{3ADA63C1-4F49-4DB3-9C5C-30DCB8787A9E}" destId="{85C38929-9147-4CE4-A22A-26D877DC99DF}" srcOrd="0" destOrd="0" presId="urn:microsoft.com/office/officeart/2005/8/layout/orgChart1"/>
    <dgm:cxn modelId="{C111BACE-10A8-45B2-87CB-C9A241A5ADC5}" type="presParOf" srcId="{85C38929-9147-4CE4-A22A-26D877DC99DF}" destId="{9F651233-C707-483D-B969-3DD45DADA596}" srcOrd="0" destOrd="0" presId="urn:microsoft.com/office/officeart/2005/8/layout/orgChart1"/>
    <dgm:cxn modelId="{87E52200-5F9F-494C-8812-67F4DCFC290B}" type="presParOf" srcId="{85C38929-9147-4CE4-A22A-26D877DC99DF}" destId="{D9A5E4F9-DFC5-477D-B2F2-C92E83D40FDA}" srcOrd="1" destOrd="0" presId="urn:microsoft.com/office/officeart/2005/8/layout/orgChart1"/>
    <dgm:cxn modelId="{C40AFB0F-440C-44DE-85E5-5D3C4CEAED8C}" type="presParOf" srcId="{3ADA63C1-4F49-4DB3-9C5C-30DCB8787A9E}" destId="{E6A4673C-DA52-4EF6-9513-6B66F19EC248}" srcOrd="1" destOrd="0" presId="urn:microsoft.com/office/officeart/2005/8/layout/orgChart1"/>
    <dgm:cxn modelId="{3FCAF377-2112-471E-B417-D0F36894922C}" type="presParOf" srcId="{E6A4673C-DA52-4EF6-9513-6B66F19EC248}" destId="{5ED4746F-DC73-46C2-B7E2-156C7C658148}" srcOrd="0" destOrd="0" presId="urn:microsoft.com/office/officeart/2005/8/layout/orgChart1"/>
    <dgm:cxn modelId="{06A21C51-8698-4A74-B197-5A2EDE3902CF}" type="presParOf" srcId="{E6A4673C-DA52-4EF6-9513-6B66F19EC248}" destId="{DA504AB5-7206-4AE0-B8D3-36E9F58FEF17}" srcOrd="1" destOrd="0" presId="urn:microsoft.com/office/officeart/2005/8/layout/orgChart1"/>
    <dgm:cxn modelId="{77156917-61B2-41C1-9400-920F6A36D93E}" type="presParOf" srcId="{DA504AB5-7206-4AE0-B8D3-36E9F58FEF17}" destId="{24DC36A2-4A24-43DA-A3F3-BCD2CD71A87D}" srcOrd="0" destOrd="0" presId="urn:microsoft.com/office/officeart/2005/8/layout/orgChart1"/>
    <dgm:cxn modelId="{F60062AB-E4DB-4CD4-9130-547CAB5B6447}" type="presParOf" srcId="{24DC36A2-4A24-43DA-A3F3-BCD2CD71A87D}" destId="{43D5122B-5DCF-4B51-8333-74EDBD2CC2AE}" srcOrd="0" destOrd="0" presId="urn:microsoft.com/office/officeart/2005/8/layout/orgChart1"/>
    <dgm:cxn modelId="{1EDEAA9C-43B8-47CD-BC3B-D975A622C40A}" type="presParOf" srcId="{24DC36A2-4A24-43DA-A3F3-BCD2CD71A87D}" destId="{F40D34D8-021A-4483-AE5D-5B75445580C1}" srcOrd="1" destOrd="0" presId="urn:microsoft.com/office/officeart/2005/8/layout/orgChart1"/>
    <dgm:cxn modelId="{AB7691EF-5848-40D0-9B18-BDDD1603E556}" type="presParOf" srcId="{DA504AB5-7206-4AE0-B8D3-36E9F58FEF17}" destId="{6837A594-4601-4229-BB57-FF4657A81B58}" srcOrd="1" destOrd="0" presId="urn:microsoft.com/office/officeart/2005/8/layout/orgChart1"/>
    <dgm:cxn modelId="{580ECA99-9DA5-4C10-BB55-91A30886064B}" type="presParOf" srcId="{DA504AB5-7206-4AE0-B8D3-36E9F58FEF17}" destId="{76B7733F-4FAB-4445-B340-C2D72056007F}" srcOrd="2" destOrd="0" presId="urn:microsoft.com/office/officeart/2005/8/layout/orgChart1"/>
    <dgm:cxn modelId="{C5E3A2B0-AFA0-4247-88C9-554F2E6907D8}" type="presParOf" srcId="{E6A4673C-DA52-4EF6-9513-6B66F19EC248}" destId="{0B19A5AF-C79C-4EF7-9452-AF0D88F4A161}" srcOrd="2" destOrd="0" presId="urn:microsoft.com/office/officeart/2005/8/layout/orgChart1"/>
    <dgm:cxn modelId="{80762AC9-48AB-4A36-84F4-9388A3E31856}" type="presParOf" srcId="{E6A4673C-DA52-4EF6-9513-6B66F19EC248}" destId="{10B37DE4-82D7-424B-86FE-F52E9084B034}" srcOrd="3" destOrd="0" presId="urn:microsoft.com/office/officeart/2005/8/layout/orgChart1"/>
    <dgm:cxn modelId="{6FF9286A-7E18-45D6-969B-4AF73E6B091B}" type="presParOf" srcId="{10B37DE4-82D7-424B-86FE-F52E9084B034}" destId="{9B6E4768-A534-4CE2-AAC9-E9547C4D5195}" srcOrd="0" destOrd="0" presId="urn:microsoft.com/office/officeart/2005/8/layout/orgChart1"/>
    <dgm:cxn modelId="{48F0AAE0-D0F0-4BDC-9376-A1C3E061D0B3}" type="presParOf" srcId="{9B6E4768-A534-4CE2-AAC9-E9547C4D5195}" destId="{BAFA2B14-49BD-4B2E-8520-A6510D777721}" srcOrd="0" destOrd="0" presId="urn:microsoft.com/office/officeart/2005/8/layout/orgChart1"/>
    <dgm:cxn modelId="{285985DA-3C2F-4483-B754-66F6B83866AE}" type="presParOf" srcId="{9B6E4768-A534-4CE2-AAC9-E9547C4D5195}" destId="{FDE1FD43-4E01-4F89-B8B1-ECACF6F4353B}" srcOrd="1" destOrd="0" presId="urn:microsoft.com/office/officeart/2005/8/layout/orgChart1"/>
    <dgm:cxn modelId="{7291A158-2342-4C03-979C-0DD1FD4927CE}" type="presParOf" srcId="{10B37DE4-82D7-424B-86FE-F52E9084B034}" destId="{7F91F9D4-9F4C-45D2-B275-BB725F4F3A57}" srcOrd="1" destOrd="0" presId="urn:microsoft.com/office/officeart/2005/8/layout/orgChart1"/>
    <dgm:cxn modelId="{419BE801-0C5F-453E-925B-C23ACD25698E}" type="presParOf" srcId="{10B37DE4-82D7-424B-86FE-F52E9084B034}" destId="{459569D6-F3FF-4FD1-A8AF-8D2D79733BF8}" srcOrd="2" destOrd="0" presId="urn:microsoft.com/office/officeart/2005/8/layout/orgChart1"/>
    <dgm:cxn modelId="{D14C4D3E-795B-41E1-B952-89AA9CBD7C9C}" type="presParOf" srcId="{3ADA63C1-4F49-4DB3-9C5C-30DCB8787A9E}" destId="{0C749B28-FB97-4C5D-98AC-A97E4B6FCB62}" srcOrd="2" destOrd="0" presId="urn:microsoft.com/office/officeart/2005/8/layout/orgChart1"/>
    <dgm:cxn modelId="{6AC6BA41-B3BD-4ACE-A678-0D3050875C9F}" type="presParOf" srcId="{528FA10A-4857-4463-9731-4AEDA3A2084F}" destId="{9C1B1DE0-D9E2-43B0-B811-5FBE758A51B0}" srcOrd="2" destOrd="0" presId="urn:microsoft.com/office/officeart/2005/8/layout/orgChart1"/>
    <dgm:cxn modelId="{EDE7F24F-B103-4205-802B-CE017BCBF95A}" type="presParOf" srcId="{F0DD0982-BEA6-4D70-AF3B-0AA4AA92E47B}" destId="{03F447ED-C503-4CE4-9019-B168D0082A88}" srcOrd="2" destOrd="0" presId="urn:microsoft.com/office/officeart/2005/8/layout/orgChart1"/>
    <dgm:cxn modelId="{1FF8C14B-AE5F-4A2D-AF2A-197FE224276A}" type="presParOf" srcId="{A6643AF8-BF59-4685-A7B2-9C80CCFA7D40}" destId="{59850EB0-2A80-48BE-9B91-ACD7D720D3B3}" srcOrd="2" destOrd="0" presId="urn:microsoft.com/office/officeart/2005/8/layout/orgChart1"/>
    <dgm:cxn modelId="{A9952A0A-80CE-4039-8647-E10601A6EB42}" type="presParOf" srcId="{1290AF74-D520-4D33-8E37-15C73193D36E}" destId="{F8F878DE-3698-49C4-866C-9D6D49B690BF}" srcOrd="4" destOrd="0" presId="urn:microsoft.com/office/officeart/2005/8/layout/orgChart1"/>
    <dgm:cxn modelId="{A167BCE2-AC63-40C5-AA0D-3C147CA921DC}" type="presParOf" srcId="{1290AF74-D520-4D33-8E37-15C73193D36E}" destId="{71D1FAC7-6D16-429C-B01D-3C3E13E5743F}" srcOrd="5" destOrd="0" presId="urn:microsoft.com/office/officeart/2005/8/layout/orgChart1"/>
    <dgm:cxn modelId="{2F91B231-2443-468F-A558-A99173FA5F89}" type="presParOf" srcId="{71D1FAC7-6D16-429C-B01D-3C3E13E5743F}" destId="{B54C6A21-DA4A-452C-9EA3-211FAD5978D6}" srcOrd="0" destOrd="0" presId="urn:microsoft.com/office/officeart/2005/8/layout/orgChart1"/>
    <dgm:cxn modelId="{B035506F-9483-43A3-A368-1B8CD14B9527}" type="presParOf" srcId="{B54C6A21-DA4A-452C-9EA3-211FAD5978D6}" destId="{FF0C1041-3395-46E3-905D-0CC0094881D7}" srcOrd="0" destOrd="0" presId="urn:microsoft.com/office/officeart/2005/8/layout/orgChart1"/>
    <dgm:cxn modelId="{E1EFA91F-0B21-422E-8706-BDD782E8278C}" type="presParOf" srcId="{B54C6A21-DA4A-452C-9EA3-211FAD5978D6}" destId="{5031D92B-3977-49E6-8FF5-A4B3BF7D427B}" srcOrd="1" destOrd="0" presId="urn:microsoft.com/office/officeart/2005/8/layout/orgChart1"/>
    <dgm:cxn modelId="{745E7546-4614-4273-9AB1-60F2503284E4}" type="presParOf" srcId="{71D1FAC7-6D16-429C-B01D-3C3E13E5743F}" destId="{DA443ED5-03E3-4890-B276-72FC2A10D9AC}" srcOrd="1" destOrd="0" presId="urn:microsoft.com/office/officeart/2005/8/layout/orgChart1"/>
    <dgm:cxn modelId="{8FDADAFD-A2A2-4D79-A00A-09510D52805B}" type="presParOf" srcId="{DA443ED5-03E3-4890-B276-72FC2A10D9AC}" destId="{BF6D23CB-7F33-40BA-8290-9FE411A93557}" srcOrd="0" destOrd="0" presId="urn:microsoft.com/office/officeart/2005/8/layout/orgChart1"/>
    <dgm:cxn modelId="{A03F0AC6-F56D-41FD-ADB4-B30074066B53}" type="presParOf" srcId="{DA443ED5-03E3-4890-B276-72FC2A10D9AC}" destId="{1575B795-3E3D-476F-A453-084380F48C0C}" srcOrd="1" destOrd="0" presId="urn:microsoft.com/office/officeart/2005/8/layout/orgChart1"/>
    <dgm:cxn modelId="{5930FF6E-97AC-4656-80C6-81467E907F02}" type="presParOf" srcId="{1575B795-3E3D-476F-A453-084380F48C0C}" destId="{ADC6026A-68BD-4D33-A133-B4A06CFB811D}" srcOrd="0" destOrd="0" presId="urn:microsoft.com/office/officeart/2005/8/layout/orgChart1"/>
    <dgm:cxn modelId="{A23CC6C6-144E-4A4D-B6F6-18D1B8BD0943}" type="presParOf" srcId="{ADC6026A-68BD-4D33-A133-B4A06CFB811D}" destId="{1DC14DB0-20D9-44B1-9C0B-2CA2C56BE45F}" srcOrd="0" destOrd="0" presId="urn:microsoft.com/office/officeart/2005/8/layout/orgChart1"/>
    <dgm:cxn modelId="{CD6296DF-8BD3-4099-AE1D-E582FDFE4FD3}" type="presParOf" srcId="{ADC6026A-68BD-4D33-A133-B4A06CFB811D}" destId="{792FC1BD-339C-4C4A-AFFA-7E962E8BE8B1}" srcOrd="1" destOrd="0" presId="urn:microsoft.com/office/officeart/2005/8/layout/orgChart1"/>
    <dgm:cxn modelId="{63C45D0D-031D-4D19-A194-44EA22042910}" type="presParOf" srcId="{1575B795-3E3D-476F-A453-084380F48C0C}" destId="{A28D11C1-B104-4DD2-B0CA-7BE431819868}" srcOrd="1" destOrd="0" presId="urn:microsoft.com/office/officeart/2005/8/layout/orgChart1"/>
    <dgm:cxn modelId="{A1C2F7E9-AE8B-430E-9B4D-9BC587B47DE6}" type="presParOf" srcId="{A28D11C1-B104-4DD2-B0CA-7BE431819868}" destId="{B11EC0E0-1D04-4C22-B029-3C6F2288A749}" srcOrd="0" destOrd="0" presId="urn:microsoft.com/office/officeart/2005/8/layout/orgChart1"/>
    <dgm:cxn modelId="{00EFDFCD-074A-4F16-87B2-98A2D4104342}" type="presParOf" srcId="{A28D11C1-B104-4DD2-B0CA-7BE431819868}" destId="{C2F3B412-3A1A-437D-BF9E-F74CFDD5C2CB}" srcOrd="1" destOrd="0" presId="urn:microsoft.com/office/officeart/2005/8/layout/orgChart1"/>
    <dgm:cxn modelId="{15537B2A-C4B3-4284-B0E9-B5339057C837}" type="presParOf" srcId="{C2F3B412-3A1A-437D-BF9E-F74CFDD5C2CB}" destId="{AB7224FE-6328-40D7-86A4-255F217B7408}" srcOrd="0" destOrd="0" presId="urn:microsoft.com/office/officeart/2005/8/layout/orgChart1"/>
    <dgm:cxn modelId="{A3C4C275-18DF-4677-BAD8-CE4367CAF1D3}" type="presParOf" srcId="{AB7224FE-6328-40D7-86A4-255F217B7408}" destId="{B43F6C84-4113-4E97-946D-DA27B40F06CE}" srcOrd="0" destOrd="0" presId="urn:microsoft.com/office/officeart/2005/8/layout/orgChart1"/>
    <dgm:cxn modelId="{9DF374DB-2CCB-4381-9E1B-54660E02673F}" type="presParOf" srcId="{AB7224FE-6328-40D7-86A4-255F217B7408}" destId="{E2B14B52-158B-4517-8B41-3B7059D68FF1}" srcOrd="1" destOrd="0" presId="urn:microsoft.com/office/officeart/2005/8/layout/orgChart1"/>
    <dgm:cxn modelId="{D41D8374-85B2-44E1-B73B-FC6DFE1846BA}" type="presParOf" srcId="{C2F3B412-3A1A-437D-BF9E-F74CFDD5C2CB}" destId="{1718D16A-632D-444B-B429-D7B72BA2A9B9}" srcOrd="1" destOrd="0" presId="urn:microsoft.com/office/officeart/2005/8/layout/orgChart1"/>
    <dgm:cxn modelId="{BC8137A5-7817-4FC3-90F3-3179101EA7EA}" type="presParOf" srcId="{1718D16A-632D-444B-B429-D7B72BA2A9B9}" destId="{38AA9563-A215-42CF-B8D1-2BE905529BCA}" srcOrd="0" destOrd="0" presId="urn:microsoft.com/office/officeart/2005/8/layout/orgChart1"/>
    <dgm:cxn modelId="{4EE3A5FF-C603-4950-8A17-40C4D6C24375}" type="presParOf" srcId="{1718D16A-632D-444B-B429-D7B72BA2A9B9}" destId="{C6E491C5-257E-49BB-9FB6-10FD679C82D4}" srcOrd="1" destOrd="0" presId="urn:microsoft.com/office/officeart/2005/8/layout/orgChart1"/>
    <dgm:cxn modelId="{0B80AFC9-BDB4-4204-A6E2-1CB58CFEB2A8}" type="presParOf" srcId="{C6E491C5-257E-49BB-9FB6-10FD679C82D4}" destId="{BEA0EF37-ECF1-40E8-9134-7ACA7DC0DC88}" srcOrd="0" destOrd="0" presId="urn:microsoft.com/office/officeart/2005/8/layout/orgChart1"/>
    <dgm:cxn modelId="{CB4ACEBC-C605-4DD3-8C4F-A9016ED9D4AF}" type="presParOf" srcId="{BEA0EF37-ECF1-40E8-9134-7ACA7DC0DC88}" destId="{1E30188F-1A85-4769-94E5-DDF79B8DCAAA}" srcOrd="0" destOrd="0" presId="urn:microsoft.com/office/officeart/2005/8/layout/orgChart1"/>
    <dgm:cxn modelId="{1A249B6A-6DB8-4BA9-88D4-89B66DA09D28}" type="presParOf" srcId="{BEA0EF37-ECF1-40E8-9134-7ACA7DC0DC88}" destId="{C1D61C69-C2CA-47EA-9680-6E5EC6D892E8}" srcOrd="1" destOrd="0" presId="urn:microsoft.com/office/officeart/2005/8/layout/orgChart1"/>
    <dgm:cxn modelId="{F6834EAE-4DA1-4F9A-9AD7-DCD00B51A7C8}" type="presParOf" srcId="{C6E491C5-257E-49BB-9FB6-10FD679C82D4}" destId="{A38CC7FF-57CC-4693-B002-75B2B67A7ECF}" srcOrd="1" destOrd="0" presId="urn:microsoft.com/office/officeart/2005/8/layout/orgChart1"/>
    <dgm:cxn modelId="{8D24BD81-73AD-4FB8-8A6A-3AF64B4F7F49}" type="presParOf" srcId="{A38CC7FF-57CC-4693-B002-75B2B67A7ECF}" destId="{7330202F-6CC5-4BAF-90DB-B9490E5C8202}" srcOrd="0" destOrd="0" presId="urn:microsoft.com/office/officeart/2005/8/layout/orgChart1"/>
    <dgm:cxn modelId="{DAE5197E-A0A7-455F-9882-011A19ACFB4C}" type="presParOf" srcId="{A38CC7FF-57CC-4693-B002-75B2B67A7ECF}" destId="{33844442-7192-41E4-9CB7-27E6508A9A84}" srcOrd="1" destOrd="0" presId="urn:microsoft.com/office/officeart/2005/8/layout/orgChart1"/>
    <dgm:cxn modelId="{EA666B9B-8A5A-4D23-B4CD-00A17A7CE35C}" type="presParOf" srcId="{33844442-7192-41E4-9CB7-27E6508A9A84}" destId="{EC7610DE-CAED-40FF-B25E-67BF3C5669C9}" srcOrd="0" destOrd="0" presId="urn:microsoft.com/office/officeart/2005/8/layout/orgChart1"/>
    <dgm:cxn modelId="{28E3FFC6-F4F5-47E1-8088-FF227BD23140}" type="presParOf" srcId="{EC7610DE-CAED-40FF-B25E-67BF3C5669C9}" destId="{9AE50E30-CA91-482F-A0F4-86AAF585EB26}" srcOrd="0" destOrd="0" presId="urn:microsoft.com/office/officeart/2005/8/layout/orgChart1"/>
    <dgm:cxn modelId="{5EBE236C-8F7A-4712-8572-4309D8091947}" type="presParOf" srcId="{EC7610DE-CAED-40FF-B25E-67BF3C5669C9}" destId="{F0E41665-A481-4A5F-9BA0-45F4C37B2F78}" srcOrd="1" destOrd="0" presId="urn:microsoft.com/office/officeart/2005/8/layout/orgChart1"/>
    <dgm:cxn modelId="{4B4DB1B1-C358-46CC-A564-38A80030DBBD}" type="presParOf" srcId="{33844442-7192-41E4-9CB7-27E6508A9A84}" destId="{6CFBE931-8E2A-4C87-8397-06DE228A29DD}" srcOrd="1" destOrd="0" presId="urn:microsoft.com/office/officeart/2005/8/layout/orgChart1"/>
    <dgm:cxn modelId="{A77FCEC0-8E49-4381-9124-A616ECA5B37F}" type="presParOf" srcId="{33844442-7192-41E4-9CB7-27E6508A9A84}" destId="{A44C22CD-089D-46BA-B012-EABB7FDA55A5}" srcOrd="2" destOrd="0" presId="urn:microsoft.com/office/officeart/2005/8/layout/orgChart1"/>
    <dgm:cxn modelId="{E966A592-53E7-48C5-85B5-6C994385676D}" type="presParOf" srcId="{C6E491C5-257E-49BB-9FB6-10FD679C82D4}" destId="{AB7F815F-C0A7-41BB-97A1-A7D59722B33C}" srcOrd="2" destOrd="0" presId="urn:microsoft.com/office/officeart/2005/8/layout/orgChart1"/>
    <dgm:cxn modelId="{BF905955-26C8-4499-AF38-4FAA2960927A}" type="presParOf" srcId="{C2F3B412-3A1A-437D-BF9E-F74CFDD5C2CB}" destId="{70FB6A0E-47B6-417D-B0B2-EF3B0C0C11A0}" srcOrd="2" destOrd="0" presId="urn:microsoft.com/office/officeart/2005/8/layout/orgChart1"/>
    <dgm:cxn modelId="{BE2023C8-33CA-47B3-AF0C-9F4B8564A77D}" type="presParOf" srcId="{1575B795-3E3D-476F-A453-084380F48C0C}" destId="{BF25C0FB-7D70-4B06-B7D3-14222EB23B46}" srcOrd="2" destOrd="0" presId="urn:microsoft.com/office/officeart/2005/8/layout/orgChart1"/>
    <dgm:cxn modelId="{BFFB4759-5E46-4596-9AD6-15A4C2D14B03}" type="presParOf" srcId="{71D1FAC7-6D16-429C-B01D-3C3E13E5743F}" destId="{504220EF-6CFA-4509-B724-FE48FEC0E42E}" srcOrd="2" destOrd="0" presId="urn:microsoft.com/office/officeart/2005/8/layout/orgChart1"/>
    <dgm:cxn modelId="{CA316FAB-A5F1-4BAA-8FD1-B98CA2F204E8}" type="presParOf" srcId="{1290AF74-D520-4D33-8E37-15C73193D36E}" destId="{BD24B26F-6C47-4034-A845-606AD47FE2A6}" srcOrd="6" destOrd="0" presId="urn:microsoft.com/office/officeart/2005/8/layout/orgChart1"/>
    <dgm:cxn modelId="{E69C299E-297E-4B5A-8BE2-720B3CE5A84C}" type="presParOf" srcId="{1290AF74-D520-4D33-8E37-15C73193D36E}" destId="{10C5B0F4-B5B7-49E3-987B-2BF7E2EFE96B}" srcOrd="7" destOrd="0" presId="urn:microsoft.com/office/officeart/2005/8/layout/orgChart1"/>
    <dgm:cxn modelId="{4C938408-FB12-4848-9976-96F75051B55E}" type="presParOf" srcId="{10C5B0F4-B5B7-49E3-987B-2BF7E2EFE96B}" destId="{A23BC38B-A509-487C-AADE-70430CBE832D}" srcOrd="0" destOrd="0" presId="urn:microsoft.com/office/officeart/2005/8/layout/orgChart1"/>
    <dgm:cxn modelId="{CB022312-C678-4EC8-8473-6EFDBD13D722}" type="presParOf" srcId="{A23BC38B-A509-487C-AADE-70430CBE832D}" destId="{A6962E8E-154C-4944-826F-1C22A6B96937}" srcOrd="0" destOrd="0" presId="urn:microsoft.com/office/officeart/2005/8/layout/orgChart1"/>
    <dgm:cxn modelId="{59EE9C7D-B9D2-41B3-8620-4AAE5448CDC9}" type="presParOf" srcId="{A23BC38B-A509-487C-AADE-70430CBE832D}" destId="{D1F0879E-495B-442C-B02D-8478DC8D7D98}" srcOrd="1" destOrd="0" presId="urn:microsoft.com/office/officeart/2005/8/layout/orgChart1"/>
    <dgm:cxn modelId="{53B77A88-5460-4105-8CD0-CBF04F3C3050}" type="presParOf" srcId="{10C5B0F4-B5B7-49E3-987B-2BF7E2EFE96B}" destId="{ACAC2B07-6B77-4C21-AE63-F1556752BE85}" srcOrd="1" destOrd="0" presId="urn:microsoft.com/office/officeart/2005/8/layout/orgChart1"/>
    <dgm:cxn modelId="{DCC1F0BE-DDF7-47F9-8D0E-FB6E056A6EB2}" type="presParOf" srcId="{ACAC2B07-6B77-4C21-AE63-F1556752BE85}" destId="{698E6077-9225-45D9-AB17-A1B557DF0E18}" srcOrd="0" destOrd="0" presId="urn:microsoft.com/office/officeart/2005/8/layout/orgChart1"/>
    <dgm:cxn modelId="{F9C7A78E-E6DF-45D6-9D06-F65908B26F65}" type="presParOf" srcId="{ACAC2B07-6B77-4C21-AE63-F1556752BE85}" destId="{4ADFF63E-5305-4F9D-95E3-74B7680B26EE}" srcOrd="1" destOrd="0" presId="urn:microsoft.com/office/officeart/2005/8/layout/orgChart1"/>
    <dgm:cxn modelId="{0D65E256-0A2A-4A6F-8147-79F9EEF8DEE1}" type="presParOf" srcId="{4ADFF63E-5305-4F9D-95E3-74B7680B26EE}" destId="{895D76AC-B498-4A02-8272-608A1C2980A1}" srcOrd="0" destOrd="0" presId="urn:microsoft.com/office/officeart/2005/8/layout/orgChart1"/>
    <dgm:cxn modelId="{849F1FDD-3D40-44BA-893C-92EB40282E47}" type="presParOf" srcId="{895D76AC-B498-4A02-8272-608A1C2980A1}" destId="{938C4007-265A-4CB8-970F-C76131073387}" srcOrd="0" destOrd="0" presId="urn:microsoft.com/office/officeart/2005/8/layout/orgChart1"/>
    <dgm:cxn modelId="{05475C2A-30AD-4F91-9CB4-99BD23B945B1}" type="presParOf" srcId="{895D76AC-B498-4A02-8272-608A1C2980A1}" destId="{479CED1F-8D75-4337-844A-DE309284C527}" srcOrd="1" destOrd="0" presId="urn:microsoft.com/office/officeart/2005/8/layout/orgChart1"/>
    <dgm:cxn modelId="{428B0FD5-2C38-45E9-83DD-087B95F5915C}" type="presParOf" srcId="{4ADFF63E-5305-4F9D-95E3-74B7680B26EE}" destId="{ACDB48CA-D7AA-4987-8221-FE1C1C9A9376}" srcOrd="1" destOrd="0" presId="urn:microsoft.com/office/officeart/2005/8/layout/orgChart1"/>
    <dgm:cxn modelId="{93CD25E5-9955-4680-A150-7C3AE0FADB2B}" type="presParOf" srcId="{ACDB48CA-D7AA-4987-8221-FE1C1C9A9376}" destId="{84C51B1C-BE1B-4670-968C-D42D7C2F81E0}" srcOrd="0" destOrd="0" presId="urn:microsoft.com/office/officeart/2005/8/layout/orgChart1"/>
    <dgm:cxn modelId="{F44F65E3-B42D-426E-A300-A0020546F036}" type="presParOf" srcId="{ACDB48CA-D7AA-4987-8221-FE1C1C9A9376}" destId="{AF282931-3129-4254-AC95-F0B7D78BE49F}" srcOrd="1" destOrd="0" presId="urn:microsoft.com/office/officeart/2005/8/layout/orgChart1"/>
    <dgm:cxn modelId="{C9FF3B50-8F0D-4E3E-8CAE-57034892FFB7}" type="presParOf" srcId="{AF282931-3129-4254-AC95-F0B7D78BE49F}" destId="{75F350EF-075D-4F0E-9695-138EDCB2EBBE}" srcOrd="0" destOrd="0" presId="urn:microsoft.com/office/officeart/2005/8/layout/orgChart1"/>
    <dgm:cxn modelId="{A78CF4FC-1C92-4D1E-AEC2-D370EF5FD134}" type="presParOf" srcId="{75F350EF-075D-4F0E-9695-138EDCB2EBBE}" destId="{49930909-EE16-4EEE-9A1A-087016A96041}" srcOrd="0" destOrd="0" presId="urn:microsoft.com/office/officeart/2005/8/layout/orgChart1"/>
    <dgm:cxn modelId="{E86D9B82-687B-482E-998C-0BE3A2433700}" type="presParOf" srcId="{75F350EF-075D-4F0E-9695-138EDCB2EBBE}" destId="{74E6EB56-1C39-46BD-BC44-43B53184B49F}" srcOrd="1" destOrd="0" presId="urn:microsoft.com/office/officeart/2005/8/layout/orgChart1"/>
    <dgm:cxn modelId="{CBA0B2DE-E669-4E5D-9D06-7E14AB400322}" type="presParOf" srcId="{AF282931-3129-4254-AC95-F0B7D78BE49F}" destId="{E515A85B-DEF3-48E5-AB54-A3690B8DFEC6}" srcOrd="1" destOrd="0" presId="urn:microsoft.com/office/officeart/2005/8/layout/orgChart1"/>
    <dgm:cxn modelId="{87411B54-CE27-4897-901C-7AA7876AD333}" type="presParOf" srcId="{E515A85B-DEF3-48E5-AB54-A3690B8DFEC6}" destId="{E5C8494D-3DC0-42A7-BD96-6CEFB7BF801B}" srcOrd="0" destOrd="0" presId="urn:microsoft.com/office/officeart/2005/8/layout/orgChart1"/>
    <dgm:cxn modelId="{C9DC8DAA-FAD2-48A8-B8F0-59755BA1BEEC}" type="presParOf" srcId="{E515A85B-DEF3-48E5-AB54-A3690B8DFEC6}" destId="{4A3A0498-A147-48B5-AB6A-5CD0FDED0813}" srcOrd="1" destOrd="0" presId="urn:microsoft.com/office/officeart/2005/8/layout/orgChart1"/>
    <dgm:cxn modelId="{CC527EA8-08CD-4D17-AF52-0863E0BDC7FC}" type="presParOf" srcId="{4A3A0498-A147-48B5-AB6A-5CD0FDED0813}" destId="{020F963D-4344-4A8B-8688-3894057414F9}" srcOrd="0" destOrd="0" presId="urn:microsoft.com/office/officeart/2005/8/layout/orgChart1"/>
    <dgm:cxn modelId="{A678BB39-9699-4C91-A9FF-B8CD75F0D232}" type="presParOf" srcId="{020F963D-4344-4A8B-8688-3894057414F9}" destId="{72448E95-ABFD-4635-A416-031D24627E75}" srcOrd="0" destOrd="0" presId="urn:microsoft.com/office/officeart/2005/8/layout/orgChart1"/>
    <dgm:cxn modelId="{96226228-2149-4F8F-978A-1FD38B28A447}" type="presParOf" srcId="{020F963D-4344-4A8B-8688-3894057414F9}" destId="{EA6840A1-F3A7-4F48-8A1E-1770C3E79AA3}" srcOrd="1" destOrd="0" presId="urn:microsoft.com/office/officeart/2005/8/layout/orgChart1"/>
    <dgm:cxn modelId="{03E07C3A-F5F4-4617-8E3B-54C76B49392D}" type="presParOf" srcId="{4A3A0498-A147-48B5-AB6A-5CD0FDED0813}" destId="{CFE3A314-F428-409B-A007-F966EA799F5A}" srcOrd="1" destOrd="0" presId="urn:microsoft.com/office/officeart/2005/8/layout/orgChart1"/>
    <dgm:cxn modelId="{D2587939-8040-447A-AECC-43D1021BA40F}" type="presParOf" srcId="{CFE3A314-F428-409B-A007-F966EA799F5A}" destId="{746419E4-008E-4198-8D50-40EB02E616E8}" srcOrd="0" destOrd="0" presId="urn:microsoft.com/office/officeart/2005/8/layout/orgChart1"/>
    <dgm:cxn modelId="{1A00A83F-079B-4A87-8C88-B314847A3EAA}" type="presParOf" srcId="{CFE3A314-F428-409B-A007-F966EA799F5A}" destId="{B608A6A2-8692-4E65-B53F-ACCFA1CD31EE}" srcOrd="1" destOrd="0" presId="urn:microsoft.com/office/officeart/2005/8/layout/orgChart1"/>
    <dgm:cxn modelId="{07FC98B5-DC02-4B50-A96A-266B4AF68C56}" type="presParOf" srcId="{B608A6A2-8692-4E65-B53F-ACCFA1CD31EE}" destId="{1AB5573F-27B3-479F-B2B7-19EDC4CEA956}" srcOrd="0" destOrd="0" presId="urn:microsoft.com/office/officeart/2005/8/layout/orgChart1"/>
    <dgm:cxn modelId="{5459B3A7-B03D-40E4-804D-FAEE4811BDB2}" type="presParOf" srcId="{1AB5573F-27B3-479F-B2B7-19EDC4CEA956}" destId="{7D72120F-5E12-4A77-976E-1B0604E596EA}" srcOrd="0" destOrd="0" presId="urn:microsoft.com/office/officeart/2005/8/layout/orgChart1"/>
    <dgm:cxn modelId="{ADC88B13-54F6-47EB-9E26-7973F529679D}" type="presParOf" srcId="{1AB5573F-27B3-479F-B2B7-19EDC4CEA956}" destId="{827AF001-276B-4603-8362-22FF9C8CA66A}" srcOrd="1" destOrd="0" presId="urn:microsoft.com/office/officeart/2005/8/layout/orgChart1"/>
    <dgm:cxn modelId="{A045CFC3-E4FA-4EE4-956B-1D37BCB7D200}" type="presParOf" srcId="{B608A6A2-8692-4E65-B53F-ACCFA1CD31EE}" destId="{B9481303-1663-4FE7-B9F0-C34B95E8F43C}" srcOrd="1" destOrd="0" presId="urn:microsoft.com/office/officeart/2005/8/layout/orgChart1"/>
    <dgm:cxn modelId="{1AE2FEFF-74B7-46C6-BF7C-DEFCFE7D162E}" type="presParOf" srcId="{B608A6A2-8692-4E65-B53F-ACCFA1CD31EE}" destId="{E0FA9239-50D0-4C0C-BF78-013D0037888E}" srcOrd="2" destOrd="0" presId="urn:microsoft.com/office/officeart/2005/8/layout/orgChart1"/>
    <dgm:cxn modelId="{7FB51CA4-75EB-4A89-819B-DD811424A6FE}" type="presParOf" srcId="{4A3A0498-A147-48B5-AB6A-5CD0FDED0813}" destId="{0DC5C66A-8C1A-42AD-B73B-C9CBF00B949B}" srcOrd="2" destOrd="0" presId="urn:microsoft.com/office/officeart/2005/8/layout/orgChart1"/>
    <dgm:cxn modelId="{1FA5F092-69CE-4D20-8F4E-A168F1EBD24B}" type="presParOf" srcId="{AF282931-3129-4254-AC95-F0B7D78BE49F}" destId="{D3277A40-EEE3-43B1-8EB1-D97D8A080F04}" srcOrd="2" destOrd="0" presId="urn:microsoft.com/office/officeart/2005/8/layout/orgChart1"/>
    <dgm:cxn modelId="{2CAC5B0A-B01E-4402-A514-3D92B2A36E1B}" type="presParOf" srcId="{4ADFF63E-5305-4F9D-95E3-74B7680B26EE}" destId="{9F8CD809-2BF7-4C88-8C42-79A8399A21F3}" srcOrd="2" destOrd="0" presId="urn:microsoft.com/office/officeart/2005/8/layout/orgChart1"/>
    <dgm:cxn modelId="{F7F1FB47-276B-4F58-B2E4-3E4FECF931CB}" type="presParOf" srcId="{10C5B0F4-B5B7-49E3-987B-2BF7E2EFE96B}" destId="{A53424E7-5E75-459C-B2FD-4A75D4414066}" srcOrd="2" destOrd="0" presId="urn:microsoft.com/office/officeart/2005/8/layout/orgChart1"/>
    <dgm:cxn modelId="{04510E11-093E-4F39-B5CA-DAD258CEDADF}" type="presParOf" srcId="{5D82D2DE-D175-4965-A60D-6567861517E8}" destId="{CDBDA6AF-F168-4F14-881E-377C73A06E5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4B7C6EC-C545-4EB6-B265-9B18F3EB89E6}">
      <dsp:nvSpPr>
        <dsp:cNvPr id="0" name=""/>
        <dsp:cNvSpPr/>
      </dsp:nvSpPr>
      <dsp:spPr>
        <a:xfrm>
          <a:off x="10911130" y="5902489"/>
          <a:ext cx="372801" cy="648656"/>
        </a:xfrm>
        <a:custGeom>
          <a:avLst/>
          <a:gdLst/>
          <a:ahLst/>
          <a:cxnLst/>
          <a:rect l="0" t="0" r="0" b="0"/>
          <a:pathLst>
            <a:path>
              <a:moveTo>
                <a:pt x="0" y="0"/>
              </a:moveTo>
              <a:lnTo>
                <a:pt x="0" y="648656"/>
              </a:lnTo>
              <a:lnTo>
                <a:pt x="372801" y="64865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C7AA57B-632B-43FC-875B-DAF4E2E0C049}">
      <dsp:nvSpPr>
        <dsp:cNvPr id="0" name=""/>
        <dsp:cNvSpPr/>
      </dsp:nvSpPr>
      <dsp:spPr>
        <a:xfrm>
          <a:off x="11841384" y="4403944"/>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3F6ED98-7BDE-4DFD-8630-C308EA9783A1}">
      <dsp:nvSpPr>
        <dsp:cNvPr id="0" name=""/>
        <dsp:cNvSpPr/>
      </dsp:nvSpPr>
      <dsp:spPr>
        <a:xfrm>
          <a:off x="11841384" y="3004094"/>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BA76C43-EEEF-4FDD-91F6-A265D642DB48}">
      <dsp:nvSpPr>
        <dsp:cNvPr id="0" name=""/>
        <dsp:cNvSpPr/>
      </dsp:nvSpPr>
      <dsp:spPr>
        <a:xfrm>
          <a:off x="11841384" y="1709664"/>
          <a:ext cx="91440" cy="282518"/>
        </a:xfrm>
        <a:custGeom>
          <a:avLst/>
          <a:gdLst/>
          <a:ahLst/>
          <a:cxnLst/>
          <a:rect l="0" t="0" r="0" b="0"/>
          <a:pathLst>
            <a:path>
              <a:moveTo>
                <a:pt x="45720" y="0"/>
              </a:moveTo>
              <a:lnTo>
                <a:pt x="45720" y="28251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4C8092E-CFA6-40D8-81FF-92F61F138120}">
      <dsp:nvSpPr>
        <dsp:cNvPr id="0" name=""/>
        <dsp:cNvSpPr/>
      </dsp:nvSpPr>
      <dsp:spPr>
        <a:xfrm>
          <a:off x="6963433" y="708476"/>
          <a:ext cx="4923671" cy="296125"/>
        </a:xfrm>
        <a:custGeom>
          <a:avLst/>
          <a:gdLst/>
          <a:ahLst/>
          <a:cxnLst/>
          <a:rect l="0" t="0" r="0" b="0"/>
          <a:pathLst>
            <a:path>
              <a:moveTo>
                <a:pt x="0" y="0"/>
              </a:moveTo>
              <a:lnTo>
                <a:pt x="0" y="148062"/>
              </a:lnTo>
              <a:lnTo>
                <a:pt x="4923671" y="148062"/>
              </a:lnTo>
              <a:lnTo>
                <a:pt x="4923671" y="2961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A843BC-97FE-44F8-A265-EE8DA92E767E}">
      <dsp:nvSpPr>
        <dsp:cNvPr id="0" name=""/>
        <dsp:cNvSpPr/>
      </dsp:nvSpPr>
      <dsp:spPr>
        <a:xfrm>
          <a:off x="8432077" y="5899958"/>
          <a:ext cx="148062" cy="1649844"/>
        </a:xfrm>
        <a:custGeom>
          <a:avLst/>
          <a:gdLst/>
          <a:ahLst/>
          <a:cxnLst/>
          <a:rect l="0" t="0" r="0" b="0"/>
          <a:pathLst>
            <a:path>
              <a:moveTo>
                <a:pt x="148062" y="0"/>
              </a:moveTo>
              <a:lnTo>
                <a:pt x="148062" y="1649844"/>
              </a:lnTo>
              <a:lnTo>
                <a:pt x="0" y="164984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C4F5861-2185-44EA-B89B-B5E500A9127C}">
      <dsp:nvSpPr>
        <dsp:cNvPr id="0" name=""/>
        <dsp:cNvSpPr/>
      </dsp:nvSpPr>
      <dsp:spPr>
        <a:xfrm>
          <a:off x="8580140" y="5899958"/>
          <a:ext cx="148062" cy="648656"/>
        </a:xfrm>
        <a:custGeom>
          <a:avLst/>
          <a:gdLst/>
          <a:ahLst/>
          <a:cxnLst/>
          <a:rect l="0" t="0" r="0" b="0"/>
          <a:pathLst>
            <a:path>
              <a:moveTo>
                <a:pt x="0" y="0"/>
              </a:moveTo>
              <a:lnTo>
                <a:pt x="0" y="648656"/>
              </a:lnTo>
              <a:lnTo>
                <a:pt x="148062" y="64865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F28BDBD-CA0F-4B75-945E-AAD0CA47F8F8}">
      <dsp:nvSpPr>
        <dsp:cNvPr id="0" name=""/>
        <dsp:cNvSpPr/>
      </dsp:nvSpPr>
      <dsp:spPr>
        <a:xfrm>
          <a:off x="8342788" y="5899958"/>
          <a:ext cx="237351" cy="648656"/>
        </a:xfrm>
        <a:custGeom>
          <a:avLst/>
          <a:gdLst/>
          <a:ahLst/>
          <a:cxnLst/>
          <a:rect l="0" t="0" r="0" b="0"/>
          <a:pathLst>
            <a:path>
              <a:moveTo>
                <a:pt x="237351" y="0"/>
              </a:moveTo>
              <a:lnTo>
                <a:pt x="237351" y="648656"/>
              </a:lnTo>
              <a:lnTo>
                <a:pt x="0" y="64865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AA9563-A215-42CF-B8D1-2BE905529BCA}">
      <dsp:nvSpPr>
        <dsp:cNvPr id="0" name=""/>
        <dsp:cNvSpPr/>
      </dsp:nvSpPr>
      <dsp:spPr>
        <a:xfrm>
          <a:off x="8534420" y="4314888"/>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11EC0E0-1D04-4C22-B029-3C6F2288A749}">
      <dsp:nvSpPr>
        <dsp:cNvPr id="0" name=""/>
        <dsp:cNvSpPr/>
      </dsp:nvSpPr>
      <dsp:spPr>
        <a:xfrm>
          <a:off x="8534420" y="3105665"/>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F6D23CB-7F33-40BA-8290-9FE411A93557}">
      <dsp:nvSpPr>
        <dsp:cNvPr id="0" name=""/>
        <dsp:cNvSpPr/>
      </dsp:nvSpPr>
      <dsp:spPr>
        <a:xfrm>
          <a:off x="8534420" y="1709664"/>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8F878DE-3698-49C4-866C-9D6D49B690BF}">
      <dsp:nvSpPr>
        <dsp:cNvPr id="0" name=""/>
        <dsp:cNvSpPr/>
      </dsp:nvSpPr>
      <dsp:spPr>
        <a:xfrm>
          <a:off x="6963433" y="708476"/>
          <a:ext cx="1616706" cy="296125"/>
        </a:xfrm>
        <a:custGeom>
          <a:avLst/>
          <a:gdLst/>
          <a:ahLst/>
          <a:cxnLst/>
          <a:rect l="0" t="0" r="0" b="0"/>
          <a:pathLst>
            <a:path>
              <a:moveTo>
                <a:pt x="0" y="0"/>
              </a:moveTo>
              <a:lnTo>
                <a:pt x="0" y="148062"/>
              </a:lnTo>
              <a:lnTo>
                <a:pt x="1616706" y="148062"/>
              </a:lnTo>
              <a:lnTo>
                <a:pt x="1616706" y="2961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D4746F-DC73-46C2-B7E2-156C7C658148}">
      <dsp:nvSpPr>
        <dsp:cNvPr id="0" name=""/>
        <dsp:cNvSpPr/>
      </dsp:nvSpPr>
      <dsp:spPr>
        <a:xfrm>
          <a:off x="4294961" y="5710205"/>
          <a:ext cx="402650" cy="648656"/>
        </a:xfrm>
        <a:custGeom>
          <a:avLst/>
          <a:gdLst/>
          <a:ahLst/>
          <a:cxnLst/>
          <a:rect l="0" t="0" r="0" b="0"/>
          <a:pathLst>
            <a:path>
              <a:moveTo>
                <a:pt x="0" y="0"/>
              </a:moveTo>
              <a:lnTo>
                <a:pt x="0" y="648656"/>
              </a:lnTo>
              <a:lnTo>
                <a:pt x="402650" y="64865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DB911DD-B1FB-4709-B564-E88699AF4550}">
      <dsp:nvSpPr>
        <dsp:cNvPr id="0" name=""/>
        <dsp:cNvSpPr/>
      </dsp:nvSpPr>
      <dsp:spPr>
        <a:xfrm>
          <a:off x="5322976" y="4230696"/>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3A2FCF6-BDDC-43A1-B4B4-7465EEB351F9}">
      <dsp:nvSpPr>
        <dsp:cNvPr id="0" name=""/>
        <dsp:cNvSpPr/>
      </dsp:nvSpPr>
      <dsp:spPr>
        <a:xfrm>
          <a:off x="5322976" y="3041215"/>
          <a:ext cx="91440" cy="320944"/>
        </a:xfrm>
        <a:custGeom>
          <a:avLst/>
          <a:gdLst/>
          <a:ahLst/>
          <a:cxnLst/>
          <a:rect l="0" t="0" r="0" b="0"/>
          <a:pathLst>
            <a:path>
              <a:moveTo>
                <a:pt x="45720" y="0"/>
              </a:moveTo>
              <a:lnTo>
                <a:pt x="45720" y="32094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C5481D4-6F0F-4826-AAA2-34E9624D1255}">
      <dsp:nvSpPr>
        <dsp:cNvPr id="0" name=""/>
        <dsp:cNvSpPr/>
      </dsp:nvSpPr>
      <dsp:spPr>
        <a:xfrm>
          <a:off x="5322976" y="1709664"/>
          <a:ext cx="91440" cy="271307"/>
        </a:xfrm>
        <a:custGeom>
          <a:avLst/>
          <a:gdLst/>
          <a:ahLst/>
          <a:cxnLst/>
          <a:rect l="0" t="0" r="0" b="0"/>
          <a:pathLst>
            <a:path>
              <a:moveTo>
                <a:pt x="45720" y="0"/>
              </a:moveTo>
              <a:lnTo>
                <a:pt x="45720" y="27130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DAFCA34-1B87-41BB-AB9C-8C899E4C438D}">
      <dsp:nvSpPr>
        <dsp:cNvPr id="0" name=""/>
        <dsp:cNvSpPr/>
      </dsp:nvSpPr>
      <dsp:spPr>
        <a:xfrm>
          <a:off x="5368696" y="708476"/>
          <a:ext cx="1594736" cy="296125"/>
        </a:xfrm>
        <a:custGeom>
          <a:avLst/>
          <a:gdLst/>
          <a:ahLst/>
          <a:cxnLst/>
          <a:rect l="0" t="0" r="0" b="0"/>
          <a:pathLst>
            <a:path>
              <a:moveTo>
                <a:pt x="1594736" y="0"/>
              </a:moveTo>
              <a:lnTo>
                <a:pt x="1594736" y="148062"/>
              </a:lnTo>
              <a:lnTo>
                <a:pt x="0" y="148062"/>
              </a:lnTo>
              <a:lnTo>
                <a:pt x="0" y="2961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1FC1A42-56AD-4E0E-86E6-2F586F4316D9}">
      <dsp:nvSpPr>
        <dsp:cNvPr id="0" name=""/>
        <dsp:cNvSpPr/>
      </dsp:nvSpPr>
      <dsp:spPr>
        <a:xfrm>
          <a:off x="2010523" y="5602486"/>
          <a:ext cx="147569" cy="576514"/>
        </a:xfrm>
        <a:custGeom>
          <a:avLst/>
          <a:gdLst/>
          <a:ahLst/>
          <a:cxnLst/>
          <a:rect l="0" t="0" r="0" b="0"/>
          <a:pathLst>
            <a:path>
              <a:moveTo>
                <a:pt x="0" y="0"/>
              </a:moveTo>
              <a:lnTo>
                <a:pt x="0" y="576514"/>
              </a:lnTo>
              <a:lnTo>
                <a:pt x="147569" y="57651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F3245E-B283-4B3C-89B2-430FE9023603}">
      <dsp:nvSpPr>
        <dsp:cNvPr id="0" name=""/>
        <dsp:cNvSpPr/>
      </dsp:nvSpPr>
      <dsp:spPr>
        <a:xfrm>
          <a:off x="1823751" y="5602486"/>
          <a:ext cx="186771" cy="577766"/>
        </a:xfrm>
        <a:custGeom>
          <a:avLst/>
          <a:gdLst/>
          <a:ahLst/>
          <a:cxnLst/>
          <a:rect l="0" t="0" r="0" b="0"/>
          <a:pathLst>
            <a:path>
              <a:moveTo>
                <a:pt x="186771" y="0"/>
              </a:moveTo>
              <a:lnTo>
                <a:pt x="186771" y="577766"/>
              </a:lnTo>
              <a:lnTo>
                <a:pt x="0" y="57776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97EE16D-B6D7-418B-BEC4-9193E9CA3C43}">
      <dsp:nvSpPr>
        <dsp:cNvPr id="0" name=""/>
        <dsp:cNvSpPr/>
      </dsp:nvSpPr>
      <dsp:spPr>
        <a:xfrm>
          <a:off x="1964803" y="4209206"/>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BEAF983-7B9E-40A4-BBB4-82D58B03A7FC}">
      <dsp:nvSpPr>
        <dsp:cNvPr id="0" name=""/>
        <dsp:cNvSpPr/>
      </dsp:nvSpPr>
      <dsp:spPr>
        <a:xfrm>
          <a:off x="1964803" y="3042089"/>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78DBBD1-C51E-440A-B9CB-F81E3FE4C94C}">
      <dsp:nvSpPr>
        <dsp:cNvPr id="0" name=""/>
        <dsp:cNvSpPr/>
      </dsp:nvSpPr>
      <dsp:spPr>
        <a:xfrm>
          <a:off x="1964803" y="1709664"/>
          <a:ext cx="91440" cy="296125"/>
        </a:xfrm>
        <a:custGeom>
          <a:avLst/>
          <a:gdLst/>
          <a:ahLst/>
          <a:cxnLst/>
          <a:rect l="0" t="0" r="0" b="0"/>
          <a:pathLst>
            <a:path>
              <a:moveTo>
                <a:pt x="45720" y="0"/>
              </a:moveTo>
              <a:lnTo>
                <a:pt x="45720" y="2961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C47380-3A60-4F1D-B3D0-9479EAA5CE27}">
      <dsp:nvSpPr>
        <dsp:cNvPr id="0" name=""/>
        <dsp:cNvSpPr/>
      </dsp:nvSpPr>
      <dsp:spPr>
        <a:xfrm>
          <a:off x="2010523" y="708476"/>
          <a:ext cx="4952910" cy="296125"/>
        </a:xfrm>
        <a:custGeom>
          <a:avLst/>
          <a:gdLst/>
          <a:ahLst/>
          <a:cxnLst/>
          <a:rect l="0" t="0" r="0" b="0"/>
          <a:pathLst>
            <a:path>
              <a:moveTo>
                <a:pt x="4952910" y="0"/>
              </a:moveTo>
              <a:lnTo>
                <a:pt x="4952910" y="148062"/>
              </a:lnTo>
              <a:lnTo>
                <a:pt x="0" y="148062"/>
              </a:lnTo>
              <a:lnTo>
                <a:pt x="0" y="2961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2EABBF-349B-49C0-A0CB-41719314F2B5}">
      <dsp:nvSpPr>
        <dsp:cNvPr id="0" name=""/>
        <dsp:cNvSpPr/>
      </dsp:nvSpPr>
      <dsp:spPr>
        <a:xfrm>
          <a:off x="4741833" y="3415"/>
          <a:ext cx="4443199" cy="705061"/>
        </a:xfrm>
        <a:prstGeom prst="rect">
          <a:avLst/>
        </a:prstGeom>
        <a:solidFill>
          <a:schemeClr val="bg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en-AU" sz="1600" b="1" kern="1200">
              <a:solidFill>
                <a:sysClr val="windowText" lastClr="000000"/>
              </a:solidFill>
              <a:latin typeface="+mn-lt"/>
              <a:ea typeface="+mn-ea"/>
              <a:cs typeface="+mn-cs"/>
            </a:rPr>
            <a:t>Herd  and breeding management for reducing enteric methane emissions </a:t>
          </a:r>
          <a:endParaRPr lang="en-AU" sz="1600" b="1" i="1" kern="1200">
            <a:solidFill>
              <a:sysClr val="windowText" lastClr="000000"/>
            </a:solidFill>
          </a:endParaRPr>
        </a:p>
      </dsp:txBody>
      <dsp:txXfrm>
        <a:off x="4741833" y="3415"/>
        <a:ext cx="4443199" cy="705061"/>
      </dsp:txXfrm>
    </dsp:sp>
    <dsp:sp modelId="{6C4E4D41-488F-4AF9-84E4-3A3C4A0286AC}">
      <dsp:nvSpPr>
        <dsp:cNvPr id="0" name=""/>
        <dsp:cNvSpPr/>
      </dsp:nvSpPr>
      <dsp:spPr>
        <a:xfrm>
          <a:off x="946465" y="1004602"/>
          <a:ext cx="2128115" cy="705061"/>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Reduce CH4 output per unit of intake </a:t>
          </a:r>
        </a:p>
      </dsp:txBody>
      <dsp:txXfrm>
        <a:off x="946465" y="1004602"/>
        <a:ext cx="2128115" cy="705061"/>
      </dsp:txXfrm>
    </dsp:sp>
    <dsp:sp modelId="{ECBA8F24-1EF8-4051-AA71-F1DB379438BE}">
      <dsp:nvSpPr>
        <dsp:cNvPr id="0" name=""/>
        <dsp:cNvSpPr/>
      </dsp:nvSpPr>
      <dsp:spPr>
        <a:xfrm>
          <a:off x="519670" y="2005790"/>
          <a:ext cx="2981705" cy="1036299"/>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r>
            <a:rPr lang="en-AU" sz="800" kern="1200">
              <a:solidFill>
                <a:sysClr val="windowText" lastClr="000000"/>
              </a:solidFill>
            </a:rPr>
            <a:t>CH4 energy output as a percentage of GE intake can range quite considerably due to both animal and dietary factors . Based on inventory calculations of Australian dairy farms, the average is 6.9% (ranging between 6.3% and 7.7%) although literature has found a range of less 4% up to 10%. </a:t>
          </a:r>
        </a:p>
      </dsp:txBody>
      <dsp:txXfrm>
        <a:off x="519670" y="2005790"/>
        <a:ext cx="2981705" cy="1036299"/>
      </dsp:txXfrm>
    </dsp:sp>
    <dsp:sp modelId="{3B4922AD-AF1A-435F-A951-BC076C1DAA8B}">
      <dsp:nvSpPr>
        <dsp:cNvPr id="0" name=""/>
        <dsp:cNvSpPr/>
      </dsp:nvSpPr>
      <dsp:spPr>
        <a:xfrm>
          <a:off x="856267" y="3338215"/>
          <a:ext cx="2308512" cy="870990"/>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Reduce the percentage gross energy intake as methane by 10% </a:t>
          </a:r>
        </a:p>
      </dsp:txBody>
      <dsp:txXfrm>
        <a:off x="856267" y="3338215"/>
        <a:ext cx="2308512" cy="870990"/>
      </dsp:txXfrm>
    </dsp:sp>
    <dsp:sp modelId="{FF715FA8-AED8-4B5E-9BCD-81C3AA535045}">
      <dsp:nvSpPr>
        <dsp:cNvPr id="0" name=""/>
        <dsp:cNvSpPr/>
      </dsp:nvSpPr>
      <dsp:spPr>
        <a:xfrm>
          <a:off x="290645" y="4505332"/>
          <a:ext cx="3439756" cy="1097153"/>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reduced on-farm GHG emissions  by on average  123 t CO2e/farm.  Reduced GHG emissions intensity  by on average 0.06 kg CO2e/kg FPCM if no additional milk or by 0.08 kg CO2e/kg FPCM if all the energy not emitted as CH4 is converted into milk    </a:t>
          </a:r>
        </a:p>
      </dsp:txBody>
      <dsp:txXfrm>
        <a:off x="290645" y="4505332"/>
        <a:ext cx="3439756" cy="1097153"/>
      </dsp:txXfrm>
    </dsp:sp>
    <dsp:sp modelId="{2FBB06AF-45C3-4528-A95E-9597A5AECCF5}">
      <dsp:nvSpPr>
        <dsp:cNvPr id="0" name=""/>
        <dsp:cNvSpPr/>
      </dsp:nvSpPr>
      <dsp:spPr>
        <a:xfrm>
          <a:off x="413628" y="5840994"/>
          <a:ext cx="1410123" cy="678516"/>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Vaccination </a:t>
          </a:r>
        </a:p>
      </dsp:txBody>
      <dsp:txXfrm>
        <a:off x="413628" y="5840994"/>
        <a:ext cx="1410123" cy="678516"/>
      </dsp:txXfrm>
    </dsp:sp>
    <dsp:sp modelId="{5529491B-720D-4D25-B71F-9EAEA7D8881F}">
      <dsp:nvSpPr>
        <dsp:cNvPr id="0" name=""/>
        <dsp:cNvSpPr/>
      </dsp:nvSpPr>
      <dsp:spPr>
        <a:xfrm>
          <a:off x="2158092" y="5867941"/>
          <a:ext cx="1410123" cy="622118"/>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Breeding </a:t>
          </a:r>
          <a:endParaRPr lang="en-AU" sz="1000" kern="1200"/>
        </a:p>
      </dsp:txBody>
      <dsp:txXfrm>
        <a:off x="2158092" y="5867941"/>
        <a:ext cx="1410123" cy="622118"/>
      </dsp:txXfrm>
    </dsp:sp>
    <dsp:sp modelId="{BE4DAEA6-7F22-4DC7-81FD-88D797CCE989}">
      <dsp:nvSpPr>
        <dsp:cNvPr id="0" name=""/>
        <dsp:cNvSpPr/>
      </dsp:nvSpPr>
      <dsp:spPr>
        <a:xfrm>
          <a:off x="4413860" y="1004602"/>
          <a:ext cx="1909673" cy="705061"/>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Increase efficiency  for which energy is converted into milk</a:t>
          </a:r>
        </a:p>
      </dsp:txBody>
      <dsp:txXfrm>
        <a:off x="4413860" y="1004602"/>
        <a:ext cx="1909673" cy="705061"/>
      </dsp:txXfrm>
    </dsp:sp>
    <dsp:sp modelId="{955DF2CB-8C32-487F-8CE4-5634CE1C1457}">
      <dsp:nvSpPr>
        <dsp:cNvPr id="0" name=""/>
        <dsp:cNvSpPr/>
      </dsp:nvSpPr>
      <dsp:spPr>
        <a:xfrm>
          <a:off x="3909007" y="1980972"/>
          <a:ext cx="2919378" cy="1060243"/>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AU" sz="800" kern="1200">
              <a:solidFill>
                <a:sysClr val="windowText" lastClr="000000"/>
              </a:solidFill>
            </a:rPr>
            <a:t>Milk production relative to intake can vary due to both animal and dietary factors . </a:t>
          </a:r>
        </a:p>
        <a:p>
          <a:pPr marL="0" lvl="0" indent="0" algn="ctr" defTabSz="355600">
            <a:lnSpc>
              <a:spcPct val="90000"/>
            </a:lnSpc>
            <a:spcBef>
              <a:spcPct val="0"/>
            </a:spcBef>
            <a:spcAft>
              <a:spcPct val="35000"/>
            </a:spcAft>
            <a:buNone/>
          </a:pPr>
          <a:r>
            <a:rPr lang="en-AU" sz="800" kern="1200">
              <a:solidFill>
                <a:sysClr val="windowText" lastClr="000000"/>
              </a:solidFill>
            </a:rPr>
            <a:t>Milk production (MP) is calculated MP = (Mi x k x Qm x 18.4)/NE </a:t>
          </a:r>
        </a:p>
        <a:p>
          <a:pPr marL="0" lvl="0" indent="0" algn="ctr" defTabSz="355600">
            <a:lnSpc>
              <a:spcPct val="90000"/>
            </a:lnSpc>
            <a:spcBef>
              <a:spcPct val="0"/>
            </a:spcBef>
            <a:spcAft>
              <a:spcPct val="35000"/>
            </a:spcAft>
            <a:buNone/>
          </a:pPr>
          <a:r>
            <a:rPr lang="en-AU" sz="800" kern="1200">
              <a:solidFill>
                <a:sysClr val="windowText" lastClr="000000"/>
              </a:solidFill>
            </a:rPr>
            <a:t>Where Mi = Intake for milk production </a:t>
          </a:r>
        </a:p>
        <a:p>
          <a:pPr marL="0" lvl="0" indent="0" algn="ctr" defTabSz="355600">
            <a:lnSpc>
              <a:spcPct val="90000"/>
            </a:lnSpc>
            <a:spcBef>
              <a:spcPct val="0"/>
            </a:spcBef>
            <a:spcAft>
              <a:spcPct val="35000"/>
            </a:spcAft>
            <a:buNone/>
          </a:pPr>
          <a:r>
            <a:rPr lang="en-AU" sz="800" kern="1200">
              <a:solidFill>
                <a:sysClr val="windowText" lastClr="000000"/>
              </a:solidFill>
            </a:rPr>
            <a:t>K = efficiency of use of ME for milk production (0.6) </a:t>
          </a:r>
        </a:p>
        <a:p>
          <a:pPr marL="0" lvl="0" indent="0" algn="ctr" defTabSz="355600">
            <a:lnSpc>
              <a:spcPct val="90000"/>
            </a:lnSpc>
            <a:spcBef>
              <a:spcPct val="0"/>
            </a:spcBef>
            <a:spcAft>
              <a:spcPct val="35000"/>
            </a:spcAft>
            <a:buNone/>
          </a:pPr>
          <a:r>
            <a:rPr lang="en-AU" sz="800" kern="1200">
              <a:solidFill>
                <a:sysClr val="windowText" lastClr="000000"/>
              </a:solidFill>
            </a:rPr>
            <a:t>Qm = ratio of ME/GE calculated as 0.00795DMD - 0.0014 </a:t>
          </a:r>
        </a:p>
        <a:p>
          <a:pPr marL="0" lvl="0" indent="0" algn="ctr" defTabSz="355600">
            <a:lnSpc>
              <a:spcPct val="90000"/>
            </a:lnSpc>
            <a:spcBef>
              <a:spcPct val="0"/>
            </a:spcBef>
            <a:spcAft>
              <a:spcPct val="35000"/>
            </a:spcAft>
            <a:buNone/>
          </a:pPr>
          <a:r>
            <a:rPr lang="en-AU" sz="800" kern="1200">
              <a:solidFill>
                <a:sysClr val="windowText" lastClr="000000"/>
              </a:solidFill>
            </a:rPr>
            <a:t>NE = 3.054 MJ net energy/kg milk.  </a:t>
          </a:r>
        </a:p>
      </dsp:txBody>
      <dsp:txXfrm>
        <a:off x="3909007" y="1980972"/>
        <a:ext cx="2919378" cy="1060243"/>
      </dsp:txXfrm>
    </dsp:sp>
    <dsp:sp modelId="{3CCA5876-8A27-4F35-AD95-6BF0D45B8EAB}">
      <dsp:nvSpPr>
        <dsp:cNvPr id="0" name=""/>
        <dsp:cNvSpPr/>
      </dsp:nvSpPr>
      <dsp:spPr>
        <a:xfrm>
          <a:off x="4047242" y="3362159"/>
          <a:ext cx="2642909" cy="868537"/>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 Increase the efficiency of use of metabolizable energy (k) for milk production from 0.6 to 0.65 </a:t>
          </a:r>
        </a:p>
      </dsp:txBody>
      <dsp:txXfrm>
        <a:off x="4047242" y="3362159"/>
        <a:ext cx="2642909" cy="868537"/>
      </dsp:txXfrm>
    </dsp:sp>
    <dsp:sp modelId="{9F651233-C707-483D-B969-3DD45DADA596}">
      <dsp:nvSpPr>
        <dsp:cNvPr id="0" name=""/>
        <dsp:cNvSpPr/>
      </dsp:nvSpPr>
      <dsp:spPr>
        <a:xfrm>
          <a:off x="4026527" y="4526822"/>
          <a:ext cx="2684338" cy="1183382"/>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no change to on-farm GHG emissions but on average an additional 188 t FPCM per farm.  Reduced GHG emissions intensity  by on average 0.06 kg CO2e/kg FPCM </a:t>
          </a:r>
        </a:p>
      </dsp:txBody>
      <dsp:txXfrm>
        <a:off x="4026527" y="4526822"/>
        <a:ext cx="2684338" cy="1183382"/>
      </dsp:txXfrm>
    </dsp:sp>
    <dsp:sp modelId="{43D5122B-5DCF-4B51-8333-74EDBD2CC2AE}">
      <dsp:nvSpPr>
        <dsp:cNvPr id="0" name=""/>
        <dsp:cNvSpPr/>
      </dsp:nvSpPr>
      <dsp:spPr>
        <a:xfrm>
          <a:off x="4697612" y="6006331"/>
          <a:ext cx="1410123" cy="705061"/>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Breeding </a:t>
          </a:r>
          <a:endParaRPr lang="en-AU" sz="1000" kern="1200">
            <a:solidFill>
              <a:sysClr val="windowText" lastClr="000000"/>
            </a:solidFill>
          </a:endParaRPr>
        </a:p>
      </dsp:txBody>
      <dsp:txXfrm>
        <a:off x="4697612" y="6006331"/>
        <a:ext cx="1410123" cy="705061"/>
      </dsp:txXfrm>
    </dsp:sp>
    <dsp:sp modelId="{FF0C1041-3395-46E3-905D-0CC0094881D7}">
      <dsp:nvSpPr>
        <dsp:cNvPr id="0" name=""/>
        <dsp:cNvSpPr/>
      </dsp:nvSpPr>
      <dsp:spPr>
        <a:xfrm>
          <a:off x="7347205" y="1004602"/>
          <a:ext cx="2465868" cy="705061"/>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Increase intake relative to maintenance</a:t>
          </a:r>
        </a:p>
      </dsp:txBody>
      <dsp:txXfrm>
        <a:off x="7347205" y="1004602"/>
        <a:ext cx="2465868" cy="705061"/>
      </dsp:txXfrm>
    </dsp:sp>
    <dsp:sp modelId="{1DC14DB0-20D9-44B1-9C0B-2CA2C56BE45F}">
      <dsp:nvSpPr>
        <dsp:cNvPr id="0" name=""/>
        <dsp:cNvSpPr/>
      </dsp:nvSpPr>
      <dsp:spPr>
        <a:xfrm>
          <a:off x="7192324" y="2005790"/>
          <a:ext cx="2775630" cy="1099875"/>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r>
            <a:rPr lang="en-AU" sz="800" kern="1200">
              <a:solidFill>
                <a:sysClr val="windowText" lastClr="000000"/>
              </a:solidFill>
            </a:rPr>
            <a:t>The percentage GEI that is yielded as CH4 is given by</a:t>
          </a:r>
        </a:p>
        <a:p>
          <a:pPr marL="0" lvl="0" indent="0" algn="ctr" defTabSz="355600">
            <a:lnSpc>
              <a:spcPct val="110000"/>
            </a:lnSpc>
            <a:spcBef>
              <a:spcPct val="0"/>
            </a:spcBef>
            <a:spcAft>
              <a:spcPts val="0"/>
            </a:spcAft>
            <a:buNone/>
          </a:pPr>
          <a:r>
            <a:rPr lang="en-AU" sz="800" kern="1200">
              <a:solidFill>
                <a:sysClr val="windowText" lastClr="000000"/>
              </a:solidFill>
            </a:rPr>
            <a:t>Y = 1.3 + 0.112DMD + L(2.37-0.050DMD)</a:t>
          </a:r>
        </a:p>
        <a:p>
          <a:pPr marL="0" lvl="0" indent="0" algn="ctr" defTabSz="355600">
            <a:lnSpc>
              <a:spcPct val="110000"/>
            </a:lnSpc>
            <a:spcBef>
              <a:spcPct val="0"/>
            </a:spcBef>
            <a:spcAft>
              <a:spcPts val="0"/>
            </a:spcAft>
            <a:buNone/>
          </a:pPr>
          <a:r>
            <a:rPr lang="en-AU" sz="800" kern="1200">
              <a:solidFill>
                <a:sysClr val="windowText" lastClr="000000"/>
              </a:solidFill>
            </a:rPr>
            <a:t>Where L  = Intake relative for maintenance  which is calculated </a:t>
          </a:r>
        </a:p>
        <a:p>
          <a:pPr marL="0" lvl="0" indent="0" algn="ctr" defTabSz="355600">
            <a:lnSpc>
              <a:spcPct val="110000"/>
            </a:lnSpc>
            <a:spcBef>
              <a:spcPct val="0"/>
            </a:spcBef>
            <a:spcAft>
              <a:spcPts val="0"/>
            </a:spcAft>
            <a:buNone/>
          </a:pPr>
          <a:r>
            <a:rPr lang="en-AU" sz="800" kern="1200">
              <a:solidFill>
                <a:sysClr val="windowText" lastClr="000000"/>
              </a:solidFill>
            </a:rPr>
            <a:t>as total intake divided by maintenance intake</a:t>
          </a:r>
        </a:p>
      </dsp:txBody>
      <dsp:txXfrm>
        <a:off x="7192324" y="2005790"/>
        <a:ext cx="2775630" cy="1099875"/>
      </dsp:txXfrm>
    </dsp:sp>
    <dsp:sp modelId="{B43F6C84-4113-4E97-946D-DA27B40F06CE}">
      <dsp:nvSpPr>
        <dsp:cNvPr id="0" name=""/>
        <dsp:cNvSpPr/>
      </dsp:nvSpPr>
      <dsp:spPr>
        <a:xfrm>
          <a:off x="7200418" y="3401791"/>
          <a:ext cx="2759442" cy="913097"/>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Increase intake relative to maintenance ratio by 10%</a:t>
          </a:r>
          <a:endParaRPr lang="en-AU" sz="2300" kern="1200">
            <a:solidFill>
              <a:sysClr val="windowText" lastClr="000000"/>
            </a:solidFill>
          </a:endParaRPr>
        </a:p>
      </dsp:txBody>
      <dsp:txXfrm>
        <a:off x="7200418" y="3401791"/>
        <a:ext cx="2759442" cy="913097"/>
      </dsp:txXfrm>
    </dsp:sp>
    <dsp:sp modelId="{1E30188F-1A85-4769-94E5-DDF79B8DCAAA}">
      <dsp:nvSpPr>
        <dsp:cNvPr id="0" name=""/>
        <dsp:cNvSpPr/>
      </dsp:nvSpPr>
      <dsp:spPr>
        <a:xfrm>
          <a:off x="7006992" y="4611014"/>
          <a:ext cx="3146295" cy="1288944"/>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Potential  to reduce methane emission by 0.2 to 0.4 t CO2-e per cow </a:t>
          </a:r>
        </a:p>
      </dsp:txBody>
      <dsp:txXfrm>
        <a:off x="7006992" y="4611014"/>
        <a:ext cx="3146295" cy="1288944"/>
      </dsp:txXfrm>
    </dsp:sp>
    <dsp:sp modelId="{9E998914-DB82-4E0B-956F-1C1C1D6045EE}">
      <dsp:nvSpPr>
        <dsp:cNvPr id="0" name=""/>
        <dsp:cNvSpPr/>
      </dsp:nvSpPr>
      <dsp:spPr>
        <a:xfrm>
          <a:off x="6533825" y="6196084"/>
          <a:ext cx="1808962" cy="705061"/>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Extend lactation</a:t>
          </a:r>
        </a:p>
      </dsp:txBody>
      <dsp:txXfrm>
        <a:off x="6533825" y="6196084"/>
        <a:ext cx="1808962" cy="705061"/>
      </dsp:txXfrm>
    </dsp:sp>
    <dsp:sp modelId="{09454A95-671A-4C80-9C28-7D3E2CBB243C}">
      <dsp:nvSpPr>
        <dsp:cNvPr id="0" name=""/>
        <dsp:cNvSpPr/>
      </dsp:nvSpPr>
      <dsp:spPr>
        <a:xfrm>
          <a:off x="8728203" y="6196084"/>
          <a:ext cx="1927004" cy="705061"/>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Increase longevity in herd by  reducing replacement rates</a:t>
          </a:r>
        </a:p>
      </dsp:txBody>
      <dsp:txXfrm>
        <a:off x="8728203" y="6196084"/>
        <a:ext cx="1927004" cy="705061"/>
      </dsp:txXfrm>
    </dsp:sp>
    <dsp:sp modelId="{41CD3CAF-869A-4143-8D54-E8F9993C737A}">
      <dsp:nvSpPr>
        <dsp:cNvPr id="0" name=""/>
        <dsp:cNvSpPr/>
      </dsp:nvSpPr>
      <dsp:spPr>
        <a:xfrm>
          <a:off x="6533825" y="7197272"/>
          <a:ext cx="1898251" cy="705061"/>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Reduce daily maintenance requirements through reduced walking, flatter terrain, reduced heat or cold stress</a:t>
          </a:r>
        </a:p>
      </dsp:txBody>
      <dsp:txXfrm>
        <a:off x="6533825" y="7197272"/>
        <a:ext cx="1898251" cy="705061"/>
      </dsp:txXfrm>
    </dsp:sp>
    <dsp:sp modelId="{C451E644-60DC-447A-91DE-158BF7A48365}">
      <dsp:nvSpPr>
        <dsp:cNvPr id="0" name=""/>
        <dsp:cNvSpPr/>
      </dsp:nvSpPr>
      <dsp:spPr>
        <a:xfrm>
          <a:off x="10576085" y="1004602"/>
          <a:ext cx="2622039" cy="705061"/>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Increase intake relative to bodyweight</a:t>
          </a:r>
        </a:p>
      </dsp:txBody>
      <dsp:txXfrm>
        <a:off x="10576085" y="1004602"/>
        <a:ext cx="2622039" cy="705061"/>
      </dsp:txXfrm>
    </dsp:sp>
    <dsp:sp modelId="{2758924B-7C90-433C-9B33-4FF4CCFB2E95}">
      <dsp:nvSpPr>
        <dsp:cNvPr id="0" name=""/>
        <dsp:cNvSpPr/>
      </dsp:nvSpPr>
      <dsp:spPr>
        <a:xfrm>
          <a:off x="10569281" y="1992182"/>
          <a:ext cx="2635647" cy="1011911"/>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AU" sz="800" kern="1200">
              <a:solidFill>
                <a:sysClr val="windowText" lastClr="000000"/>
              </a:solidFill>
            </a:rPr>
            <a:t>Daily dry matter intake is relative to many factors including live weight.  Literature suggests DMI as a percentage of live weight ranges between 2 and 4%.  Based on inventory calculations of Australian dairy farms, the average is 3.11% (ranging between 2.33 and 3.83%.) </a:t>
          </a:r>
        </a:p>
      </dsp:txBody>
      <dsp:txXfrm>
        <a:off x="10569281" y="1992182"/>
        <a:ext cx="2635647" cy="1011911"/>
      </dsp:txXfrm>
    </dsp:sp>
    <dsp:sp modelId="{82F920AC-CC69-4026-98B0-16821603935B}">
      <dsp:nvSpPr>
        <dsp:cNvPr id="0" name=""/>
        <dsp:cNvSpPr/>
      </dsp:nvSpPr>
      <dsp:spPr>
        <a:xfrm>
          <a:off x="10619509" y="3300220"/>
          <a:ext cx="2535190" cy="1103724"/>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chemeClr val="tx1"/>
              </a:solidFill>
            </a:rPr>
            <a:t>Target: Increase intake relative to live weight by 10% </a:t>
          </a:r>
        </a:p>
      </dsp:txBody>
      <dsp:txXfrm>
        <a:off x="10619509" y="3300220"/>
        <a:ext cx="2535190" cy="1103724"/>
      </dsp:txXfrm>
    </dsp:sp>
    <dsp:sp modelId="{3D10997B-3F69-49A2-9A49-1E04D0051D3D}">
      <dsp:nvSpPr>
        <dsp:cNvPr id="0" name=""/>
        <dsp:cNvSpPr/>
      </dsp:nvSpPr>
      <dsp:spPr>
        <a:xfrm>
          <a:off x="10667136" y="4700070"/>
          <a:ext cx="2439936" cy="1202419"/>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41275" tIns="41275" rIns="41275" bIns="41275" numCol="1" spcCol="1270" anchor="ctr" anchorCtr="0">
          <a:noAutofit/>
        </a:bodyPr>
        <a:lstStyle/>
        <a:p>
          <a:pPr marL="0" lvl="0" indent="0" algn="ctr" defTabSz="2889250">
            <a:lnSpc>
              <a:spcPct val="90000"/>
            </a:lnSpc>
            <a:spcBef>
              <a:spcPct val="0"/>
            </a:spcBef>
            <a:spcAft>
              <a:spcPct val="35000"/>
            </a:spcAft>
            <a:buNone/>
          </a:pPr>
          <a:endParaRPr lang="en-AU" sz="6500" kern="1200"/>
        </a:p>
      </dsp:txBody>
      <dsp:txXfrm>
        <a:off x="10667136" y="4700070"/>
        <a:ext cx="2439936" cy="1202419"/>
      </dsp:txXfrm>
    </dsp:sp>
    <dsp:sp modelId="{42966676-9CB8-48A0-9C10-4CC8E0BB29A8}">
      <dsp:nvSpPr>
        <dsp:cNvPr id="0" name=""/>
        <dsp:cNvSpPr/>
      </dsp:nvSpPr>
      <dsp:spPr>
        <a:xfrm>
          <a:off x="11283931" y="6198615"/>
          <a:ext cx="1410123" cy="705061"/>
        </a:xfrm>
        <a:prstGeom prst="rect">
          <a:avLst/>
        </a:prstGeom>
        <a:solidFill>
          <a:schemeClr val="tx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chemeClr val="tx1"/>
              </a:solidFill>
            </a:rPr>
            <a:t>Strategy: Breeding</a:t>
          </a:r>
        </a:p>
      </dsp:txBody>
      <dsp:txXfrm>
        <a:off x="11283931" y="6198615"/>
        <a:ext cx="1410123" cy="70506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46419E4-008E-4198-8D50-40EB02E616E8}">
      <dsp:nvSpPr>
        <dsp:cNvPr id="0" name=""/>
        <dsp:cNvSpPr/>
      </dsp:nvSpPr>
      <dsp:spPr>
        <a:xfrm>
          <a:off x="13008236" y="7202564"/>
          <a:ext cx="498981" cy="837140"/>
        </a:xfrm>
        <a:custGeom>
          <a:avLst/>
          <a:gdLst/>
          <a:ahLst/>
          <a:cxnLst/>
          <a:rect l="0" t="0" r="0" b="0"/>
          <a:pathLst>
            <a:path>
              <a:moveTo>
                <a:pt x="0" y="0"/>
              </a:moveTo>
              <a:lnTo>
                <a:pt x="0" y="837140"/>
              </a:lnTo>
              <a:lnTo>
                <a:pt x="498981" y="83714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C8494D-3DC0-42A7-BD96-6CEFB7BF801B}">
      <dsp:nvSpPr>
        <dsp:cNvPr id="0" name=""/>
        <dsp:cNvSpPr/>
      </dsp:nvSpPr>
      <dsp:spPr>
        <a:xfrm>
          <a:off x="14293133" y="5910456"/>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4C51B1C-BE1B-4670-968C-D42D7C2F81E0}">
      <dsp:nvSpPr>
        <dsp:cNvPr id="0" name=""/>
        <dsp:cNvSpPr/>
      </dsp:nvSpPr>
      <dsp:spPr>
        <a:xfrm>
          <a:off x="14293133" y="4200387"/>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98E6077-9225-45D9-AB17-A1B557DF0E18}">
      <dsp:nvSpPr>
        <dsp:cNvPr id="0" name=""/>
        <dsp:cNvSpPr/>
      </dsp:nvSpPr>
      <dsp:spPr>
        <a:xfrm>
          <a:off x="14293133" y="2480737"/>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D24B26F-6C47-4034-A845-606AD47FE2A6}">
      <dsp:nvSpPr>
        <dsp:cNvPr id="0" name=""/>
        <dsp:cNvSpPr/>
      </dsp:nvSpPr>
      <dsp:spPr>
        <a:xfrm>
          <a:off x="8242633" y="1188629"/>
          <a:ext cx="6096220" cy="382172"/>
        </a:xfrm>
        <a:custGeom>
          <a:avLst/>
          <a:gdLst/>
          <a:ahLst/>
          <a:cxnLst/>
          <a:rect l="0" t="0" r="0" b="0"/>
          <a:pathLst>
            <a:path>
              <a:moveTo>
                <a:pt x="0" y="0"/>
              </a:moveTo>
              <a:lnTo>
                <a:pt x="0" y="191086"/>
              </a:lnTo>
              <a:lnTo>
                <a:pt x="6096220" y="191086"/>
              </a:lnTo>
              <a:lnTo>
                <a:pt x="6096220" y="38217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E562180-6E1F-4119-862E-E280D1503BAA}">
      <dsp:nvSpPr>
        <dsp:cNvPr id="0" name=""/>
        <dsp:cNvSpPr/>
      </dsp:nvSpPr>
      <dsp:spPr>
        <a:xfrm>
          <a:off x="8638931" y="7135083"/>
          <a:ext cx="609079" cy="837140"/>
        </a:xfrm>
        <a:custGeom>
          <a:avLst/>
          <a:gdLst/>
          <a:ahLst/>
          <a:cxnLst/>
          <a:rect l="0" t="0" r="0" b="0"/>
          <a:pathLst>
            <a:path>
              <a:moveTo>
                <a:pt x="0" y="0"/>
              </a:moveTo>
              <a:lnTo>
                <a:pt x="0" y="837140"/>
              </a:lnTo>
              <a:lnTo>
                <a:pt x="609079" y="83714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AA9563-A215-42CF-B8D1-2BE905529BCA}">
      <dsp:nvSpPr>
        <dsp:cNvPr id="0" name=""/>
        <dsp:cNvSpPr/>
      </dsp:nvSpPr>
      <dsp:spPr>
        <a:xfrm>
          <a:off x="10217424" y="5842975"/>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11EC0E0-1D04-4C22-B029-3C6F2288A749}">
      <dsp:nvSpPr>
        <dsp:cNvPr id="0" name=""/>
        <dsp:cNvSpPr/>
      </dsp:nvSpPr>
      <dsp:spPr>
        <a:xfrm>
          <a:off x="10217424" y="4282382"/>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F6D23CB-7F33-40BA-8290-9FE411A93557}">
      <dsp:nvSpPr>
        <dsp:cNvPr id="0" name=""/>
        <dsp:cNvSpPr/>
      </dsp:nvSpPr>
      <dsp:spPr>
        <a:xfrm>
          <a:off x="10217424" y="2480737"/>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8F878DE-3698-49C4-866C-9D6D49B690BF}">
      <dsp:nvSpPr>
        <dsp:cNvPr id="0" name=""/>
        <dsp:cNvSpPr/>
      </dsp:nvSpPr>
      <dsp:spPr>
        <a:xfrm>
          <a:off x="8242633" y="1188629"/>
          <a:ext cx="2020511" cy="382172"/>
        </a:xfrm>
        <a:custGeom>
          <a:avLst/>
          <a:gdLst/>
          <a:ahLst/>
          <a:cxnLst/>
          <a:rect l="0" t="0" r="0" b="0"/>
          <a:pathLst>
            <a:path>
              <a:moveTo>
                <a:pt x="0" y="0"/>
              </a:moveTo>
              <a:lnTo>
                <a:pt x="0" y="191086"/>
              </a:lnTo>
              <a:lnTo>
                <a:pt x="2020511" y="191086"/>
              </a:lnTo>
              <a:lnTo>
                <a:pt x="2020511" y="38217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D4746F-DC73-46C2-B7E2-156C7C658148}">
      <dsp:nvSpPr>
        <dsp:cNvPr id="0" name=""/>
        <dsp:cNvSpPr/>
      </dsp:nvSpPr>
      <dsp:spPr>
        <a:xfrm>
          <a:off x="4818131" y="7322084"/>
          <a:ext cx="434317" cy="837140"/>
        </a:xfrm>
        <a:custGeom>
          <a:avLst/>
          <a:gdLst/>
          <a:ahLst/>
          <a:cxnLst/>
          <a:rect l="0" t="0" r="0" b="0"/>
          <a:pathLst>
            <a:path>
              <a:moveTo>
                <a:pt x="0" y="0"/>
              </a:moveTo>
              <a:lnTo>
                <a:pt x="0" y="837140"/>
              </a:lnTo>
              <a:lnTo>
                <a:pt x="434317" y="83714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DB911DD-B1FB-4709-B564-E88699AF4550}">
      <dsp:nvSpPr>
        <dsp:cNvPr id="0" name=""/>
        <dsp:cNvSpPr/>
      </dsp:nvSpPr>
      <dsp:spPr>
        <a:xfrm>
          <a:off x="6158148" y="5734320"/>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3A2FCF6-BDDC-43A1-B4B4-7465EEB351F9}">
      <dsp:nvSpPr>
        <dsp:cNvPr id="0" name=""/>
        <dsp:cNvSpPr/>
      </dsp:nvSpPr>
      <dsp:spPr>
        <a:xfrm>
          <a:off x="6158148" y="4199205"/>
          <a:ext cx="91440" cy="414202"/>
        </a:xfrm>
        <a:custGeom>
          <a:avLst/>
          <a:gdLst/>
          <a:ahLst/>
          <a:cxnLst/>
          <a:rect l="0" t="0" r="0" b="0"/>
          <a:pathLst>
            <a:path>
              <a:moveTo>
                <a:pt x="45720" y="0"/>
              </a:moveTo>
              <a:lnTo>
                <a:pt x="45720" y="41420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C5481D4-6F0F-4826-AAA2-34E9624D1255}">
      <dsp:nvSpPr>
        <dsp:cNvPr id="0" name=""/>
        <dsp:cNvSpPr/>
      </dsp:nvSpPr>
      <dsp:spPr>
        <a:xfrm>
          <a:off x="6158148" y="2480737"/>
          <a:ext cx="91440" cy="350143"/>
        </a:xfrm>
        <a:custGeom>
          <a:avLst/>
          <a:gdLst/>
          <a:ahLst/>
          <a:cxnLst/>
          <a:rect l="0" t="0" r="0" b="0"/>
          <a:pathLst>
            <a:path>
              <a:moveTo>
                <a:pt x="45720" y="0"/>
              </a:moveTo>
              <a:lnTo>
                <a:pt x="45720" y="35014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DAFCA34-1B87-41BB-AB9C-8C899E4C438D}">
      <dsp:nvSpPr>
        <dsp:cNvPr id="0" name=""/>
        <dsp:cNvSpPr/>
      </dsp:nvSpPr>
      <dsp:spPr>
        <a:xfrm>
          <a:off x="6203868" y="1188629"/>
          <a:ext cx="2038764" cy="382172"/>
        </a:xfrm>
        <a:custGeom>
          <a:avLst/>
          <a:gdLst/>
          <a:ahLst/>
          <a:cxnLst/>
          <a:rect l="0" t="0" r="0" b="0"/>
          <a:pathLst>
            <a:path>
              <a:moveTo>
                <a:pt x="2038764" y="0"/>
              </a:moveTo>
              <a:lnTo>
                <a:pt x="2038764" y="191086"/>
              </a:lnTo>
              <a:lnTo>
                <a:pt x="0" y="191086"/>
              </a:lnTo>
              <a:lnTo>
                <a:pt x="0" y="38217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F3245E-B283-4B3C-89B2-430FE9023603}">
      <dsp:nvSpPr>
        <dsp:cNvPr id="0" name=""/>
        <dsp:cNvSpPr/>
      </dsp:nvSpPr>
      <dsp:spPr>
        <a:xfrm>
          <a:off x="387217" y="7201882"/>
          <a:ext cx="284404" cy="591271"/>
        </a:xfrm>
        <a:custGeom>
          <a:avLst/>
          <a:gdLst/>
          <a:ahLst/>
          <a:cxnLst/>
          <a:rect l="0" t="0" r="0" b="0"/>
          <a:pathLst>
            <a:path>
              <a:moveTo>
                <a:pt x="0" y="0"/>
              </a:moveTo>
              <a:lnTo>
                <a:pt x="0" y="591271"/>
              </a:lnTo>
              <a:lnTo>
                <a:pt x="284404" y="591271"/>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97EE16D-B6D7-418B-BEC4-9193E9CA3C43}">
      <dsp:nvSpPr>
        <dsp:cNvPr id="0" name=""/>
        <dsp:cNvSpPr/>
      </dsp:nvSpPr>
      <dsp:spPr>
        <a:xfrm>
          <a:off x="1882745" y="5739488"/>
          <a:ext cx="91440" cy="382172"/>
        </a:xfrm>
        <a:custGeom>
          <a:avLst/>
          <a:gdLst/>
          <a:ahLst/>
          <a:cxnLst/>
          <a:rect l="0" t="0" r="0" b="0"/>
          <a:pathLst>
            <a:path>
              <a:moveTo>
                <a:pt x="45720" y="0"/>
              </a:moveTo>
              <a:lnTo>
                <a:pt x="45720" y="3821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BEAF983-7B9E-40A4-BBB4-82D58B03A7FC}">
      <dsp:nvSpPr>
        <dsp:cNvPr id="0" name=""/>
        <dsp:cNvSpPr/>
      </dsp:nvSpPr>
      <dsp:spPr>
        <a:xfrm>
          <a:off x="1882745" y="4214273"/>
          <a:ext cx="91440" cy="401135"/>
        </a:xfrm>
        <a:custGeom>
          <a:avLst/>
          <a:gdLst/>
          <a:ahLst/>
          <a:cxnLst/>
          <a:rect l="0" t="0" r="0" b="0"/>
          <a:pathLst>
            <a:path>
              <a:moveTo>
                <a:pt x="45720" y="0"/>
              </a:moveTo>
              <a:lnTo>
                <a:pt x="45720" y="40113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78DBBD1-C51E-440A-B9CB-F81E3FE4C94C}">
      <dsp:nvSpPr>
        <dsp:cNvPr id="0" name=""/>
        <dsp:cNvSpPr/>
      </dsp:nvSpPr>
      <dsp:spPr>
        <a:xfrm>
          <a:off x="1882745" y="2480737"/>
          <a:ext cx="91440" cy="363209"/>
        </a:xfrm>
        <a:custGeom>
          <a:avLst/>
          <a:gdLst/>
          <a:ahLst/>
          <a:cxnLst/>
          <a:rect l="0" t="0" r="0" b="0"/>
          <a:pathLst>
            <a:path>
              <a:moveTo>
                <a:pt x="45720" y="0"/>
              </a:moveTo>
              <a:lnTo>
                <a:pt x="45720" y="36320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C47380-3A60-4F1D-B3D0-9479EAA5CE27}">
      <dsp:nvSpPr>
        <dsp:cNvPr id="0" name=""/>
        <dsp:cNvSpPr/>
      </dsp:nvSpPr>
      <dsp:spPr>
        <a:xfrm>
          <a:off x="1928465" y="1188629"/>
          <a:ext cx="6314167" cy="382172"/>
        </a:xfrm>
        <a:custGeom>
          <a:avLst/>
          <a:gdLst/>
          <a:ahLst/>
          <a:cxnLst/>
          <a:rect l="0" t="0" r="0" b="0"/>
          <a:pathLst>
            <a:path>
              <a:moveTo>
                <a:pt x="6314167" y="0"/>
              </a:moveTo>
              <a:lnTo>
                <a:pt x="6314167" y="191086"/>
              </a:lnTo>
              <a:lnTo>
                <a:pt x="0" y="191086"/>
              </a:lnTo>
              <a:lnTo>
                <a:pt x="0" y="38217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2EABBF-349B-49C0-A0CB-41719314F2B5}">
      <dsp:nvSpPr>
        <dsp:cNvPr id="0" name=""/>
        <dsp:cNvSpPr/>
      </dsp:nvSpPr>
      <dsp:spPr>
        <a:xfrm>
          <a:off x="5375490" y="278694"/>
          <a:ext cx="5734284" cy="909935"/>
        </a:xfrm>
        <a:prstGeom prst="rect">
          <a:avLst/>
        </a:prstGeom>
        <a:solidFill>
          <a:schemeClr val="bg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en-AU" sz="1600" b="1" kern="1200">
              <a:solidFill>
                <a:sysClr val="windowText" lastClr="000000"/>
              </a:solidFill>
              <a:latin typeface="+mn-lt"/>
              <a:ea typeface="+mn-ea"/>
              <a:cs typeface="+mn-cs"/>
            </a:rPr>
            <a:t>Feedbase management for reducing nitrous oxide emissions</a:t>
          </a:r>
          <a:endParaRPr lang="en-AU" sz="1600" b="1" i="1" kern="1200">
            <a:solidFill>
              <a:sysClr val="windowText" lastClr="000000"/>
            </a:solidFill>
          </a:endParaRPr>
        </a:p>
      </dsp:txBody>
      <dsp:txXfrm>
        <a:off x="5375490" y="278694"/>
        <a:ext cx="5734284" cy="909935"/>
      </dsp:txXfrm>
    </dsp:sp>
    <dsp:sp modelId="{6C4E4D41-488F-4AF9-84E4-3A3C4A0286AC}">
      <dsp:nvSpPr>
        <dsp:cNvPr id="0" name=""/>
        <dsp:cNvSpPr/>
      </dsp:nvSpPr>
      <dsp:spPr>
        <a:xfrm>
          <a:off x="555218" y="1570802"/>
          <a:ext cx="2746493" cy="909935"/>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Reduce direct  and indirect emissions from nitrogen-based fertilisers</a:t>
          </a:r>
        </a:p>
      </dsp:txBody>
      <dsp:txXfrm>
        <a:off x="555218" y="1570802"/>
        <a:ext cx="2746493" cy="909935"/>
      </dsp:txXfrm>
    </dsp:sp>
    <dsp:sp modelId="{ECBA8F24-1EF8-4051-AA71-F1DB379438BE}">
      <dsp:nvSpPr>
        <dsp:cNvPr id="0" name=""/>
        <dsp:cNvSpPr/>
      </dsp:nvSpPr>
      <dsp:spPr>
        <a:xfrm>
          <a:off x="4407" y="2843947"/>
          <a:ext cx="3848115" cy="1370326"/>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r>
            <a:rPr lang="en-AU" sz="800" kern="1200">
              <a:solidFill>
                <a:sysClr val="windowText" lastClr="000000"/>
              </a:solidFill>
            </a:rPr>
            <a:t>National inventory assumes an emission factor of 0.4% and 0.3% for direct N2O emissions for N-based fertilisers applied to pastures and crops</a:t>
          </a:r>
        </a:p>
      </dsp:txBody>
      <dsp:txXfrm>
        <a:off x="4407" y="2843947"/>
        <a:ext cx="3848115" cy="1370326"/>
      </dsp:txXfrm>
    </dsp:sp>
    <dsp:sp modelId="{3B4922AD-AF1A-435F-A951-BC076C1DAA8B}">
      <dsp:nvSpPr>
        <dsp:cNvPr id="0" name=""/>
        <dsp:cNvSpPr/>
      </dsp:nvSpPr>
      <dsp:spPr>
        <a:xfrm>
          <a:off x="438810" y="4615409"/>
          <a:ext cx="2979309" cy="1124079"/>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Reduce the direct  and indirect leached N2O emissions from N-based fertilisers by 40%  per annum </a:t>
          </a:r>
        </a:p>
      </dsp:txBody>
      <dsp:txXfrm>
        <a:off x="438810" y="4615409"/>
        <a:ext cx="2979309" cy="1124079"/>
      </dsp:txXfrm>
    </dsp:sp>
    <dsp:sp modelId="{FF715FA8-AED8-4B5E-9BCD-81C3AA535045}">
      <dsp:nvSpPr>
        <dsp:cNvPr id="0" name=""/>
        <dsp:cNvSpPr/>
      </dsp:nvSpPr>
      <dsp:spPr>
        <a:xfrm>
          <a:off x="1904" y="6121661"/>
          <a:ext cx="3853120" cy="1080220"/>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and farms that applied N fertiliser, reduced on-farm GHG emissions  by on average 38 t CO2e/farm.  Reduced GHG emissions intensity  by on average 0.02 kg CO2e/kg FPCM  </a:t>
          </a:r>
        </a:p>
      </dsp:txBody>
      <dsp:txXfrm>
        <a:off x="1904" y="6121661"/>
        <a:ext cx="3853120" cy="1080220"/>
      </dsp:txXfrm>
    </dsp:sp>
    <dsp:sp modelId="{2FBB06AF-45C3-4528-A95E-9597A5AECCF5}">
      <dsp:nvSpPr>
        <dsp:cNvPr id="0" name=""/>
        <dsp:cNvSpPr/>
      </dsp:nvSpPr>
      <dsp:spPr>
        <a:xfrm>
          <a:off x="671621" y="7355315"/>
          <a:ext cx="1819870" cy="875676"/>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Nitrification inhibitor </a:t>
          </a:r>
        </a:p>
      </dsp:txBody>
      <dsp:txXfrm>
        <a:off x="671621" y="7355315"/>
        <a:ext cx="1819870" cy="875676"/>
      </dsp:txXfrm>
    </dsp:sp>
    <dsp:sp modelId="{BE4DAEA6-7F22-4DC7-81FD-88D797CCE989}">
      <dsp:nvSpPr>
        <dsp:cNvPr id="0" name=""/>
        <dsp:cNvSpPr/>
      </dsp:nvSpPr>
      <dsp:spPr>
        <a:xfrm>
          <a:off x="4971579" y="1570802"/>
          <a:ext cx="2464577" cy="909935"/>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Reduce direct and indirect emissions from animal waste</a:t>
          </a:r>
        </a:p>
      </dsp:txBody>
      <dsp:txXfrm>
        <a:off x="4971579" y="1570802"/>
        <a:ext cx="2464577" cy="909935"/>
      </dsp:txXfrm>
    </dsp:sp>
    <dsp:sp modelId="{955DF2CB-8C32-487F-8CE4-5634CE1C1457}">
      <dsp:nvSpPr>
        <dsp:cNvPr id="0" name=""/>
        <dsp:cNvSpPr/>
      </dsp:nvSpPr>
      <dsp:spPr>
        <a:xfrm>
          <a:off x="4320029" y="2830880"/>
          <a:ext cx="3767677" cy="1368324"/>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AU" sz="800" kern="1200">
              <a:solidFill>
                <a:sysClr val="windowText" lastClr="000000"/>
              </a:solidFill>
            </a:rPr>
            <a:t>National inventory assumes an emission factor of 0.5% for direct N2O emissions from dung deposition, 0.4% for direct N2O emissions from urine deposition, 0.01% for direct N2O emissions from manures during their storage phase and then 1.0%  once they are spread and 0.375% for indirect N2O emissions from dung and urine deposition and the spreading of manures</a:t>
          </a:r>
        </a:p>
      </dsp:txBody>
      <dsp:txXfrm>
        <a:off x="4320029" y="2830880"/>
        <a:ext cx="3767677" cy="1368324"/>
      </dsp:txXfrm>
    </dsp:sp>
    <dsp:sp modelId="{3CCA5876-8A27-4F35-AD95-6BF0D45B8EAB}">
      <dsp:nvSpPr>
        <dsp:cNvPr id="0" name=""/>
        <dsp:cNvSpPr/>
      </dsp:nvSpPr>
      <dsp:spPr>
        <a:xfrm>
          <a:off x="4498431" y="4613407"/>
          <a:ext cx="3410873" cy="1120912"/>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 Reduce the direct and indirect N2O emissions from animal urine by 40% autumn through to spring </a:t>
          </a:r>
        </a:p>
      </dsp:txBody>
      <dsp:txXfrm>
        <a:off x="4498431" y="4613407"/>
        <a:ext cx="3410873" cy="1120912"/>
      </dsp:txXfrm>
    </dsp:sp>
    <dsp:sp modelId="{9F651233-C707-483D-B969-3DD45DADA596}">
      <dsp:nvSpPr>
        <dsp:cNvPr id="0" name=""/>
        <dsp:cNvSpPr/>
      </dsp:nvSpPr>
      <dsp:spPr>
        <a:xfrm>
          <a:off x="4471697" y="6116493"/>
          <a:ext cx="3464341" cy="1205591"/>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 reduced on-farm GHG emissions  by on average  109 t CO2e/farm.  Reduced GHG emissions intensity  by on average 0.05 kg CO2e/kg FPCM  </a:t>
          </a:r>
        </a:p>
      </dsp:txBody>
      <dsp:txXfrm>
        <a:off x="4471697" y="6116493"/>
        <a:ext cx="3464341" cy="1205591"/>
      </dsp:txXfrm>
    </dsp:sp>
    <dsp:sp modelId="{43D5122B-5DCF-4B51-8333-74EDBD2CC2AE}">
      <dsp:nvSpPr>
        <dsp:cNvPr id="0" name=""/>
        <dsp:cNvSpPr/>
      </dsp:nvSpPr>
      <dsp:spPr>
        <a:xfrm>
          <a:off x="5252449" y="7704257"/>
          <a:ext cx="1819870" cy="909935"/>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Nitrification inhibitor</a:t>
          </a:r>
          <a:endParaRPr lang="en-AU" sz="1000" kern="1200">
            <a:solidFill>
              <a:sysClr val="windowText" lastClr="000000"/>
            </a:solidFill>
          </a:endParaRPr>
        </a:p>
      </dsp:txBody>
      <dsp:txXfrm>
        <a:off x="5252449" y="7704257"/>
        <a:ext cx="1819870" cy="909935"/>
      </dsp:txXfrm>
    </dsp:sp>
    <dsp:sp modelId="{FF0C1041-3395-46E3-905D-0CC0094881D7}">
      <dsp:nvSpPr>
        <dsp:cNvPr id="0" name=""/>
        <dsp:cNvSpPr/>
      </dsp:nvSpPr>
      <dsp:spPr>
        <a:xfrm>
          <a:off x="8671949" y="1570802"/>
          <a:ext cx="3182389" cy="909935"/>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Increase the clover content of pastures to reduce reliance on N fertilisers</a:t>
          </a:r>
        </a:p>
      </dsp:txBody>
      <dsp:txXfrm>
        <a:off x="8671949" y="1570802"/>
        <a:ext cx="3182389" cy="909935"/>
      </dsp:txXfrm>
    </dsp:sp>
    <dsp:sp modelId="{1DC14DB0-20D9-44B1-9C0B-2CA2C56BE45F}">
      <dsp:nvSpPr>
        <dsp:cNvPr id="0" name=""/>
        <dsp:cNvSpPr/>
      </dsp:nvSpPr>
      <dsp:spPr>
        <a:xfrm>
          <a:off x="8472064" y="2862910"/>
          <a:ext cx="3582160" cy="1419471"/>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endParaRPr lang="en-AU" sz="800" kern="1200">
            <a:solidFill>
              <a:sysClr val="windowText" lastClr="000000"/>
            </a:solidFill>
          </a:endParaRPr>
        </a:p>
      </dsp:txBody>
      <dsp:txXfrm>
        <a:off x="8472064" y="2862910"/>
        <a:ext cx="3582160" cy="1419471"/>
      </dsp:txXfrm>
    </dsp:sp>
    <dsp:sp modelId="{B43F6C84-4113-4E97-946D-DA27B40F06CE}">
      <dsp:nvSpPr>
        <dsp:cNvPr id="0" name=""/>
        <dsp:cNvSpPr/>
      </dsp:nvSpPr>
      <dsp:spPr>
        <a:xfrm>
          <a:off x="8482510" y="4664554"/>
          <a:ext cx="3561268" cy="1178420"/>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a:t>
          </a:r>
          <a:endParaRPr lang="en-AU" sz="2300" kern="1200">
            <a:solidFill>
              <a:sysClr val="windowText" lastClr="000000"/>
            </a:solidFill>
          </a:endParaRPr>
        </a:p>
      </dsp:txBody>
      <dsp:txXfrm>
        <a:off x="8482510" y="4664554"/>
        <a:ext cx="3561268" cy="1178420"/>
      </dsp:txXfrm>
    </dsp:sp>
    <dsp:sp modelId="{1E30188F-1A85-4769-94E5-DDF79B8DCAAA}">
      <dsp:nvSpPr>
        <dsp:cNvPr id="0" name=""/>
        <dsp:cNvSpPr/>
      </dsp:nvSpPr>
      <dsp:spPr>
        <a:xfrm>
          <a:off x="8232878" y="6225148"/>
          <a:ext cx="4060531" cy="909935"/>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a:t>
          </a:r>
        </a:p>
      </dsp:txBody>
      <dsp:txXfrm>
        <a:off x="8232878" y="6225148"/>
        <a:ext cx="4060531" cy="909935"/>
      </dsp:txXfrm>
    </dsp:sp>
    <dsp:sp modelId="{1E9592AB-E990-4FA7-88C4-AB6C7BAF521F}">
      <dsp:nvSpPr>
        <dsp:cNvPr id="0" name=""/>
        <dsp:cNvSpPr/>
      </dsp:nvSpPr>
      <dsp:spPr>
        <a:xfrm>
          <a:off x="9248011" y="7517256"/>
          <a:ext cx="1819870" cy="909935"/>
        </a:xfrm>
        <a:prstGeom prst="rect">
          <a:avLst/>
        </a:prstGeom>
        <a:solidFill>
          <a:schemeClr val="tx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37465" tIns="37465" rIns="37465" bIns="37465" numCol="1" spcCol="1270" anchor="ctr" anchorCtr="0">
          <a:noAutofit/>
        </a:bodyPr>
        <a:lstStyle/>
        <a:p>
          <a:pPr marL="0" lvl="0" indent="0" algn="ctr" defTabSz="2622550">
            <a:lnSpc>
              <a:spcPct val="90000"/>
            </a:lnSpc>
            <a:spcBef>
              <a:spcPct val="0"/>
            </a:spcBef>
            <a:spcAft>
              <a:spcPct val="35000"/>
            </a:spcAft>
            <a:buNone/>
          </a:pPr>
          <a:endParaRPr lang="en-AU" sz="5900" kern="1200"/>
        </a:p>
      </dsp:txBody>
      <dsp:txXfrm>
        <a:off x="9248011" y="7517256"/>
        <a:ext cx="1819870" cy="909935"/>
      </dsp:txXfrm>
    </dsp:sp>
    <dsp:sp modelId="{A6962E8E-154C-4944-826F-1C22A6B96937}">
      <dsp:nvSpPr>
        <dsp:cNvPr id="0" name=""/>
        <dsp:cNvSpPr/>
      </dsp:nvSpPr>
      <dsp:spPr>
        <a:xfrm>
          <a:off x="12747658" y="1570802"/>
          <a:ext cx="3182389" cy="909935"/>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Reduce N intake in the diet to reduce urinary N content</a:t>
          </a:r>
        </a:p>
      </dsp:txBody>
      <dsp:txXfrm>
        <a:off x="12747658" y="1570802"/>
        <a:ext cx="3182389" cy="909935"/>
      </dsp:txXfrm>
    </dsp:sp>
    <dsp:sp modelId="{938C4007-265A-4CB8-970F-C76131073387}">
      <dsp:nvSpPr>
        <dsp:cNvPr id="0" name=""/>
        <dsp:cNvSpPr/>
      </dsp:nvSpPr>
      <dsp:spPr>
        <a:xfrm>
          <a:off x="12691269" y="2862910"/>
          <a:ext cx="3295166" cy="1337477"/>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endParaRPr lang="en-AU" sz="800" kern="1200">
            <a:solidFill>
              <a:schemeClr val="tx1"/>
            </a:solidFill>
          </a:endParaRPr>
        </a:p>
      </dsp:txBody>
      <dsp:txXfrm>
        <a:off x="12691269" y="2862910"/>
        <a:ext cx="3295166" cy="1337477"/>
      </dsp:txXfrm>
    </dsp:sp>
    <dsp:sp modelId="{49930909-EE16-4EEE-9A1A-087016A96041}">
      <dsp:nvSpPr>
        <dsp:cNvPr id="0" name=""/>
        <dsp:cNvSpPr/>
      </dsp:nvSpPr>
      <dsp:spPr>
        <a:xfrm>
          <a:off x="12670614" y="4582560"/>
          <a:ext cx="3336477" cy="1327895"/>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n-AU" sz="1000" kern="1200">
            <a:solidFill>
              <a:schemeClr val="tx1"/>
            </a:solidFill>
          </a:endParaRPr>
        </a:p>
      </dsp:txBody>
      <dsp:txXfrm>
        <a:off x="12670614" y="4582560"/>
        <a:ext cx="3336477" cy="1327895"/>
      </dsp:txXfrm>
    </dsp:sp>
    <dsp:sp modelId="{72448E95-ABFD-4635-A416-031D24627E75}">
      <dsp:nvSpPr>
        <dsp:cNvPr id="0" name=""/>
        <dsp:cNvSpPr/>
      </dsp:nvSpPr>
      <dsp:spPr>
        <a:xfrm>
          <a:off x="12675582" y="6292629"/>
          <a:ext cx="3326541" cy="909935"/>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n-AU" sz="1000" kern="1200">
            <a:solidFill>
              <a:schemeClr val="tx1"/>
            </a:solidFill>
          </a:endParaRPr>
        </a:p>
      </dsp:txBody>
      <dsp:txXfrm>
        <a:off x="12675582" y="6292629"/>
        <a:ext cx="3326541" cy="909935"/>
      </dsp:txXfrm>
    </dsp:sp>
    <dsp:sp modelId="{7D72120F-5E12-4A77-976E-1B0604E596EA}">
      <dsp:nvSpPr>
        <dsp:cNvPr id="0" name=""/>
        <dsp:cNvSpPr/>
      </dsp:nvSpPr>
      <dsp:spPr>
        <a:xfrm>
          <a:off x="13507217" y="7584737"/>
          <a:ext cx="1819870" cy="909935"/>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chemeClr val="tx1"/>
              </a:solidFill>
            </a:rPr>
            <a:t>Strategy: Pasture species selection</a:t>
          </a:r>
        </a:p>
      </dsp:txBody>
      <dsp:txXfrm>
        <a:off x="13507217" y="7584737"/>
        <a:ext cx="1819870" cy="90993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46419E4-008E-4198-8D50-40EB02E616E8}">
      <dsp:nvSpPr>
        <dsp:cNvPr id="0" name=""/>
        <dsp:cNvSpPr/>
      </dsp:nvSpPr>
      <dsp:spPr>
        <a:xfrm>
          <a:off x="12599488" y="6348651"/>
          <a:ext cx="457455" cy="767472"/>
        </a:xfrm>
        <a:custGeom>
          <a:avLst/>
          <a:gdLst/>
          <a:ahLst/>
          <a:cxnLst/>
          <a:rect l="0" t="0" r="0" b="0"/>
          <a:pathLst>
            <a:path>
              <a:moveTo>
                <a:pt x="0" y="0"/>
              </a:moveTo>
              <a:lnTo>
                <a:pt x="0" y="767472"/>
              </a:lnTo>
              <a:lnTo>
                <a:pt x="457455" y="7674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C8494D-3DC0-42A7-BD96-6CEFB7BF801B}">
      <dsp:nvSpPr>
        <dsp:cNvPr id="0" name=""/>
        <dsp:cNvSpPr/>
      </dsp:nvSpPr>
      <dsp:spPr>
        <a:xfrm>
          <a:off x="13773649" y="5164075"/>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4C51B1C-BE1B-4670-968C-D42D7C2F81E0}">
      <dsp:nvSpPr>
        <dsp:cNvPr id="0" name=""/>
        <dsp:cNvSpPr/>
      </dsp:nvSpPr>
      <dsp:spPr>
        <a:xfrm>
          <a:off x="13773649" y="3596321"/>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98E6077-9225-45D9-AB17-A1B557DF0E18}">
      <dsp:nvSpPr>
        <dsp:cNvPr id="0" name=""/>
        <dsp:cNvSpPr/>
      </dsp:nvSpPr>
      <dsp:spPr>
        <a:xfrm>
          <a:off x="13773649" y="2019782"/>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D24B26F-6C47-4034-A845-606AD47FE2A6}">
      <dsp:nvSpPr>
        <dsp:cNvPr id="0" name=""/>
        <dsp:cNvSpPr/>
      </dsp:nvSpPr>
      <dsp:spPr>
        <a:xfrm>
          <a:off x="8221668" y="835205"/>
          <a:ext cx="5597701" cy="350367"/>
        </a:xfrm>
        <a:custGeom>
          <a:avLst/>
          <a:gdLst/>
          <a:ahLst/>
          <a:cxnLst/>
          <a:rect l="0" t="0" r="0" b="0"/>
          <a:pathLst>
            <a:path>
              <a:moveTo>
                <a:pt x="0" y="0"/>
              </a:moveTo>
              <a:lnTo>
                <a:pt x="0" y="175183"/>
              </a:lnTo>
              <a:lnTo>
                <a:pt x="5597701" y="175183"/>
              </a:lnTo>
              <a:lnTo>
                <a:pt x="5597701" y="35036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330202F-6CC5-4BAF-90DB-B9490E5C8202}">
      <dsp:nvSpPr>
        <dsp:cNvPr id="0" name=""/>
        <dsp:cNvSpPr/>
      </dsp:nvSpPr>
      <dsp:spPr>
        <a:xfrm>
          <a:off x="8593803" y="6286787"/>
          <a:ext cx="558391" cy="767472"/>
        </a:xfrm>
        <a:custGeom>
          <a:avLst/>
          <a:gdLst/>
          <a:ahLst/>
          <a:cxnLst/>
          <a:rect l="0" t="0" r="0" b="0"/>
          <a:pathLst>
            <a:path>
              <a:moveTo>
                <a:pt x="0" y="0"/>
              </a:moveTo>
              <a:lnTo>
                <a:pt x="0" y="767472"/>
              </a:lnTo>
              <a:lnTo>
                <a:pt x="558391" y="7674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AA9563-A215-42CF-B8D1-2BE905529BCA}">
      <dsp:nvSpPr>
        <dsp:cNvPr id="0" name=""/>
        <dsp:cNvSpPr/>
      </dsp:nvSpPr>
      <dsp:spPr>
        <a:xfrm>
          <a:off x="10037126" y="5102210"/>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11EC0E0-1D04-4C22-B029-3C6F2288A749}">
      <dsp:nvSpPr>
        <dsp:cNvPr id="0" name=""/>
        <dsp:cNvSpPr/>
      </dsp:nvSpPr>
      <dsp:spPr>
        <a:xfrm>
          <a:off x="10037126" y="3671491"/>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F6D23CB-7F33-40BA-8290-9FE411A93557}">
      <dsp:nvSpPr>
        <dsp:cNvPr id="0" name=""/>
        <dsp:cNvSpPr/>
      </dsp:nvSpPr>
      <dsp:spPr>
        <a:xfrm>
          <a:off x="10037126" y="2019782"/>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8F878DE-3698-49C4-866C-9D6D49B690BF}">
      <dsp:nvSpPr>
        <dsp:cNvPr id="0" name=""/>
        <dsp:cNvSpPr/>
      </dsp:nvSpPr>
      <dsp:spPr>
        <a:xfrm>
          <a:off x="8221668" y="835205"/>
          <a:ext cx="1861178" cy="350367"/>
        </a:xfrm>
        <a:custGeom>
          <a:avLst/>
          <a:gdLst/>
          <a:ahLst/>
          <a:cxnLst/>
          <a:rect l="0" t="0" r="0" b="0"/>
          <a:pathLst>
            <a:path>
              <a:moveTo>
                <a:pt x="0" y="0"/>
              </a:moveTo>
              <a:lnTo>
                <a:pt x="0" y="175183"/>
              </a:lnTo>
              <a:lnTo>
                <a:pt x="1861178" y="175183"/>
              </a:lnTo>
              <a:lnTo>
                <a:pt x="1861178" y="35036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B19A5AF-C79C-4EF7-9452-AF0D88F4A161}">
      <dsp:nvSpPr>
        <dsp:cNvPr id="0" name=""/>
        <dsp:cNvSpPr/>
      </dsp:nvSpPr>
      <dsp:spPr>
        <a:xfrm>
          <a:off x="5059233" y="6695916"/>
          <a:ext cx="403463" cy="1952049"/>
        </a:xfrm>
        <a:custGeom>
          <a:avLst/>
          <a:gdLst/>
          <a:ahLst/>
          <a:cxnLst/>
          <a:rect l="0" t="0" r="0" b="0"/>
          <a:pathLst>
            <a:path>
              <a:moveTo>
                <a:pt x="0" y="0"/>
              </a:moveTo>
              <a:lnTo>
                <a:pt x="0" y="1952049"/>
              </a:lnTo>
              <a:lnTo>
                <a:pt x="403463" y="195204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D4746F-DC73-46C2-B7E2-156C7C658148}">
      <dsp:nvSpPr>
        <dsp:cNvPr id="0" name=""/>
        <dsp:cNvSpPr/>
      </dsp:nvSpPr>
      <dsp:spPr>
        <a:xfrm>
          <a:off x="5059233" y="6695916"/>
          <a:ext cx="419446" cy="615587"/>
        </a:xfrm>
        <a:custGeom>
          <a:avLst/>
          <a:gdLst/>
          <a:ahLst/>
          <a:cxnLst/>
          <a:rect l="0" t="0" r="0" b="0"/>
          <a:pathLst>
            <a:path>
              <a:moveTo>
                <a:pt x="0" y="0"/>
              </a:moveTo>
              <a:lnTo>
                <a:pt x="0" y="615587"/>
              </a:lnTo>
              <a:lnTo>
                <a:pt x="419446" y="61558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DB911DD-B1FB-4709-B564-E88699AF4550}">
      <dsp:nvSpPr>
        <dsp:cNvPr id="0" name=""/>
        <dsp:cNvSpPr/>
      </dsp:nvSpPr>
      <dsp:spPr>
        <a:xfrm>
          <a:off x="6298035" y="5002597"/>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3A2FCF6-BDDC-43A1-B4B4-7465EEB351F9}">
      <dsp:nvSpPr>
        <dsp:cNvPr id="0" name=""/>
        <dsp:cNvSpPr/>
      </dsp:nvSpPr>
      <dsp:spPr>
        <a:xfrm>
          <a:off x="6298035" y="3595236"/>
          <a:ext cx="91440" cy="379731"/>
        </a:xfrm>
        <a:custGeom>
          <a:avLst/>
          <a:gdLst/>
          <a:ahLst/>
          <a:cxnLst/>
          <a:rect l="0" t="0" r="0" b="0"/>
          <a:pathLst>
            <a:path>
              <a:moveTo>
                <a:pt x="45720" y="0"/>
              </a:moveTo>
              <a:lnTo>
                <a:pt x="45720" y="379731"/>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C5481D4-6F0F-4826-AAA2-34E9624D1255}">
      <dsp:nvSpPr>
        <dsp:cNvPr id="0" name=""/>
        <dsp:cNvSpPr/>
      </dsp:nvSpPr>
      <dsp:spPr>
        <a:xfrm>
          <a:off x="6298035" y="2019782"/>
          <a:ext cx="91440" cy="321003"/>
        </a:xfrm>
        <a:custGeom>
          <a:avLst/>
          <a:gdLst/>
          <a:ahLst/>
          <a:cxnLst/>
          <a:rect l="0" t="0" r="0" b="0"/>
          <a:pathLst>
            <a:path>
              <a:moveTo>
                <a:pt x="45720" y="0"/>
              </a:moveTo>
              <a:lnTo>
                <a:pt x="45720" y="32100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DAFCA34-1B87-41BB-AB9C-8C899E4C438D}">
      <dsp:nvSpPr>
        <dsp:cNvPr id="0" name=""/>
        <dsp:cNvSpPr/>
      </dsp:nvSpPr>
      <dsp:spPr>
        <a:xfrm>
          <a:off x="6343755" y="835205"/>
          <a:ext cx="1877913" cy="350367"/>
        </a:xfrm>
        <a:custGeom>
          <a:avLst/>
          <a:gdLst/>
          <a:ahLst/>
          <a:cxnLst/>
          <a:rect l="0" t="0" r="0" b="0"/>
          <a:pathLst>
            <a:path>
              <a:moveTo>
                <a:pt x="1877913" y="0"/>
              </a:moveTo>
              <a:lnTo>
                <a:pt x="1877913" y="175183"/>
              </a:lnTo>
              <a:lnTo>
                <a:pt x="0" y="175183"/>
              </a:lnTo>
              <a:lnTo>
                <a:pt x="0" y="35036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A2BAFD6-BA5E-44D8-A112-8D13AD00AF62}">
      <dsp:nvSpPr>
        <dsp:cNvPr id="0" name=""/>
        <dsp:cNvSpPr/>
      </dsp:nvSpPr>
      <dsp:spPr>
        <a:xfrm>
          <a:off x="1259681" y="6191912"/>
          <a:ext cx="167812" cy="1896198"/>
        </a:xfrm>
        <a:custGeom>
          <a:avLst/>
          <a:gdLst/>
          <a:ahLst/>
          <a:cxnLst/>
          <a:rect l="0" t="0" r="0" b="0"/>
          <a:pathLst>
            <a:path>
              <a:moveTo>
                <a:pt x="0" y="0"/>
              </a:moveTo>
              <a:lnTo>
                <a:pt x="0" y="1896198"/>
              </a:lnTo>
              <a:lnTo>
                <a:pt x="167812" y="189619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F3245E-B283-4B3C-89B2-430FE9023603}">
      <dsp:nvSpPr>
        <dsp:cNvPr id="0" name=""/>
        <dsp:cNvSpPr/>
      </dsp:nvSpPr>
      <dsp:spPr>
        <a:xfrm>
          <a:off x="1259681" y="6191912"/>
          <a:ext cx="167545" cy="542064"/>
        </a:xfrm>
        <a:custGeom>
          <a:avLst/>
          <a:gdLst/>
          <a:ahLst/>
          <a:cxnLst/>
          <a:rect l="0" t="0" r="0" b="0"/>
          <a:pathLst>
            <a:path>
              <a:moveTo>
                <a:pt x="0" y="0"/>
              </a:moveTo>
              <a:lnTo>
                <a:pt x="0" y="542064"/>
              </a:lnTo>
              <a:lnTo>
                <a:pt x="167545" y="54206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97EE16D-B6D7-418B-BEC4-9193E9CA3C43}">
      <dsp:nvSpPr>
        <dsp:cNvPr id="0" name=""/>
        <dsp:cNvSpPr/>
      </dsp:nvSpPr>
      <dsp:spPr>
        <a:xfrm>
          <a:off x="2378437" y="5007335"/>
          <a:ext cx="91440" cy="350367"/>
        </a:xfrm>
        <a:custGeom>
          <a:avLst/>
          <a:gdLst/>
          <a:ahLst/>
          <a:cxnLst/>
          <a:rect l="0" t="0" r="0" b="0"/>
          <a:pathLst>
            <a:path>
              <a:moveTo>
                <a:pt x="45720" y="0"/>
              </a:moveTo>
              <a:lnTo>
                <a:pt x="45720" y="3503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BEAF983-7B9E-40A4-BBB4-82D58B03A7FC}">
      <dsp:nvSpPr>
        <dsp:cNvPr id="0" name=""/>
        <dsp:cNvSpPr/>
      </dsp:nvSpPr>
      <dsp:spPr>
        <a:xfrm>
          <a:off x="2378437" y="3609051"/>
          <a:ext cx="91440" cy="367752"/>
        </a:xfrm>
        <a:custGeom>
          <a:avLst/>
          <a:gdLst/>
          <a:ahLst/>
          <a:cxnLst/>
          <a:rect l="0" t="0" r="0" b="0"/>
          <a:pathLst>
            <a:path>
              <a:moveTo>
                <a:pt x="45720" y="0"/>
              </a:moveTo>
              <a:lnTo>
                <a:pt x="45720" y="36775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78DBBD1-C51E-440A-B9CB-F81E3FE4C94C}">
      <dsp:nvSpPr>
        <dsp:cNvPr id="0" name=""/>
        <dsp:cNvSpPr/>
      </dsp:nvSpPr>
      <dsp:spPr>
        <a:xfrm>
          <a:off x="2378437" y="2019782"/>
          <a:ext cx="91440" cy="332982"/>
        </a:xfrm>
        <a:custGeom>
          <a:avLst/>
          <a:gdLst/>
          <a:ahLst/>
          <a:cxnLst/>
          <a:rect l="0" t="0" r="0" b="0"/>
          <a:pathLst>
            <a:path>
              <a:moveTo>
                <a:pt x="45720" y="0"/>
              </a:moveTo>
              <a:lnTo>
                <a:pt x="45720" y="33298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C47380-3A60-4F1D-B3D0-9479EAA5CE27}">
      <dsp:nvSpPr>
        <dsp:cNvPr id="0" name=""/>
        <dsp:cNvSpPr/>
      </dsp:nvSpPr>
      <dsp:spPr>
        <a:xfrm>
          <a:off x="2424157" y="835205"/>
          <a:ext cx="5797511" cy="350367"/>
        </a:xfrm>
        <a:custGeom>
          <a:avLst/>
          <a:gdLst/>
          <a:ahLst/>
          <a:cxnLst/>
          <a:rect l="0" t="0" r="0" b="0"/>
          <a:pathLst>
            <a:path>
              <a:moveTo>
                <a:pt x="5797511" y="0"/>
              </a:moveTo>
              <a:lnTo>
                <a:pt x="5797511" y="175183"/>
              </a:lnTo>
              <a:lnTo>
                <a:pt x="0" y="175183"/>
              </a:lnTo>
              <a:lnTo>
                <a:pt x="0" y="35036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A2EABBF-349B-49C0-A0CB-41719314F2B5}">
      <dsp:nvSpPr>
        <dsp:cNvPr id="0" name=""/>
        <dsp:cNvSpPr/>
      </dsp:nvSpPr>
      <dsp:spPr>
        <a:xfrm>
          <a:off x="5593133" y="996"/>
          <a:ext cx="5257068" cy="834209"/>
        </a:xfrm>
        <a:prstGeom prst="rect">
          <a:avLst/>
        </a:prstGeom>
        <a:solidFill>
          <a:schemeClr val="bg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en-AU" sz="1600" b="1" kern="1200">
              <a:solidFill>
                <a:sysClr val="windowText" lastClr="000000"/>
              </a:solidFill>
              <a:latin typeface="+mn-lt"/>
              <a:ea typeface="+mn-ea"/>
              <a:cs typeface="+mn-cs"/>
            </a:rPr>
            <a:t>Altering the diet to reduce CH4 and N2O emissions</a:t>
          </a:r>
          <a:endParaRPr lang="en-AU" sz="1600" b="1" i="1" kern="1200">
            <a:solidFill>
              <a:sysClr val="windowText" lastClr="000000"/>
            </a:solidFill>
          </a:endParaRPr>
        </a:p>
      </dsp:txBody>
      <dsp:txXfrm>
        <a:off x="5593133" y="996"/>
        <a:ext cx="5257068" cy="834209"/>
      </dsp:txXfrm>
    </dsp:sp>
    <dsp:sp modelId="{6C4E4D41-488F-4AF9-84E4-3A3C4A0286AC}">
      <dsp:nvSpPr>
        <dsp:cNvPr id="0" name=""/>
        <dsp:cNvSpPr/>
      </dsp:nvSpPr>
      <dsp:spPr>
        <a:xfrm>
          <a:off x="1165193" y="1185573"/>
          <a:ext cx="2517926" cy="834209"/>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Feed a source of dietary fat to reduce enteric CH4 emissions</a:t>
          </a:r>
        </a:p>
      </dsp:txBody>
      <dsp:txXfrm>
        <a:off x="1165193" y="1185573"/>
        <a:ext cx="2517926" cy="834209"/>
      </dsp:txXfrm>
    </dsp:sp>
    <dsp:sp modelId="{ECBA8F24-1EF8-4051-AA71-F1DB379438BE}">
      <dsp:nvSpPr>
        <dsp:cNvPr id="0" name=""/>
        <dsp:cNvSpPr/>
      </dsp:nvSpPr>
      <dsp:spPr>
        <a:xfrm>
          <a:off x="660222" y="2352765"/>
          <a:ext cx="3527870" cy="1256285"/>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r>
            <a:rPr lang="en-AU" sz="800" kern="1200">
              <a:solidFill>
                <a:sysClr val="windowText" lastClr="000000"/>
              </a:solidFill>
            </a:rPr>
            <a:t>Research  shows a 3.5% reduction in enteric CH4 production for every 1% increase in the fat content in the diet</a:t>
          </a:r>
        </a:p>
      </dsp:txBody>
      <dsp:txXfrm>
        <a:off x="660222" y="2352765"/>
        <a:ext cx="3527870" cy="1256285"/>
      </dsp:txXfrm>
    </dsp:sp>
    <dsp:sp modelId="{3B4922AD-AF1A-435F-A951-BC076C1DAA8B}">
      <dsp:nvSpPr>
        <dsp:cNvPr id="0" name=""/>
        <dsp:cNvSpPr/>
      </dsp:nvSpPr>
      <dsp:spPr>
        <a:xfrm>
          <a:off x="1058473" y="3976803"/>
          <a:ext cx="2731367" cy="1030531"/>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Reduce enteric  CH4 production by 10.5% by  increasing the fat content of the diet by  3% in summer and autumn</a:t>
          </a:r>
        </a:p>
      </dsp:txBody>
      <dsp:txXfrm>
        <a:off x="1058473" y="3976803"/>
        <a:ext cx="2731367" cy="1030531"/>
      </dsp:txXfrm>
    </dsp:sp>
    <dsp:sp modelId="{FF715FA8-AED8-4B5E-9BCD-81C3AA535045}">
      <dsp:nvSpPr>
        <dsp:cNvPr id="0" name=""/>
        <dsp:cNvSpPr/>
      </dsp:nvSpPr>
      <dsp:spPr>
        <a:xfrm>
          <a:off x="968562" y="5357703"/>
          <a:ext cx="2911189" cy="834209"/>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reduced on-farm GHG emissions  by on average 55 t CO2e/farm.  Reduced GHG emissions intensity  by on average 0.03 kg CO2e/kg FPCM  </a:t>
          </a:r>
        </a:p>
      </dsp:txBody>
      <dsp:txXfrm>
        <a:off x="968562" y="5357703"/>
        <a:ext cx="2911189" cy="834209"/>
      </dsp:txXfrm>
    </dsp:sp>
    <dsp:sp modelId="{2FBB06AF-45C3-4528-A95E-9597A5AECCF5}">
      <dsp:nvSpPr>
        <dsp:cNvPr id="0" name=""/>
        <dsp:cNvSpPr/>
      </dsp:nvSpPr>
      <dsp:spPr>
        <a:xfrm>
          <a:off x="1427227" y="6332576"/>
          <a:ext cx="1668418" cy="802801"/>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Replacing a low dietary fat supplement with a high dietary fat supplement</a:t>
          </a:r>
        </a:p>
      </dsp:txBody>
      <dsp:txXfrm>
        <a:off x="1427227" y="6332576"/>
        <a:ext cx="1668418" cy="802801"/>
      </dsp:txXfrm>
    </dsp:sp>
    <dsp:sp modelId="{78384FDD-8BBF-4585-A354-922E1F074110}">
      <dsp:nvSpPr>
        <dsp:cNvPr id="0" name=""/>
        <dsp:cNvSpPr/>
      </dsp:nvSpPr>
      <dsp:spPr>
        <a:xfrm>
          <a:off x="1427494" y="7671006"/>
          <a:ext cx="1668418" cy="834209"/>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Feeding  new supplements with high dietary fat</a:t>
          </a:r>
        </a:p>
      </dsp:txBody>
      <dsp:txXfrm>
        <a:off x="1427494" y="7671006"/>
        <a:ext cx="1668418" cy="834209"/>
      </dsp:txXfrm>
    </dsp:sp>
    <dsp:sp modelId="{BE4DAEA6-7F22-4DC7-81FD-88D797CCE989}">
      <dsp:nvSpPr>
        <dsp:cNvPr id="0" name=""/>
        <dsp:cNvSpPr/>
      </dsp:nvSpPr>
      <dsp:spPr>
        <a:xfrm>
          <a:off x="5214019" y="1185573"/>
          <a:ext cx="2259471" cy="834209"/>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Improve diet digestibility to improve milk production</a:t>
          </a:r>
        </a:p>
      </dsp:txBody>
      <dsp:txXfrm>
        <a:off x="5214019" y="1185573"/>
        <a:ext cx="2259471" cy="834209"/>
      </dsp:txXfrm>
    </dsp:sp>
    <dsp:sp modelId="{955DF2CB-8C32-487F-8CE4-5634CE1C1457}">
      <dsp:nvSpPr>
        <dsp:cNvPr id="0" name=""/>
        <dsp:cNvSpPr/>
      </dsp:nvSpPr>
      <dsp:spPr>
        <a:xfrm>
          <a:off x="4616692" y="2340786"/>
          <a:ext cx="3454126" cy="1254450"/>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endParaRPr lang="en-AU" sz="800" kern="1200">
            <a:solidFill>
              <a:sysClr val="windowText" lastClr="000000"/>
            </a:solidFill>
          </a:endParaRPr>
        </a:p>
      </dsp:txBody>
      <dsp:txXfrm>
        <a:off x="4616692" y="2340786"/>
        <a:ext cx="3454126" cy="1254450"/>
      </dsp:txXfrm>
    </dsp:sp>
    <dsp:sp modelId="{3CCA5876-8A27-4F35-AD95-6BF0D45B8EAB}">
      <dsp:nvSpPr>
        <dsp:cNvPr id="0" name=""/>
        <dsp:cNvSpPr/>
      </dsp:nvSpPr>
      <dsp:spPr>
        <a:xfrm>
          <a:off x="4780247" y="3974968"/>
          <a:ext cx="3127015" cy="1027628"/>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Increase diet digestibility by 5% with a corresponding increase in milk production</a:t>
          </a:r>
        </a:p>
      </dsp:txBody>
      <dsp:txXfrm>
        <a:off x="4780247" y="3974968"/>
        <a:ext cx="3127015" cy="1027628"/>
      </dsp:txXfrm>
    </dsp:sp>
    <dsp:sp modelId="{9F651233-C707-483D-B969-3DD45DADA596}">
      <dsp:nvSpPr>
        <dsp:cNvPr id="0" name=""/>
        <dsp:cNvSpPr/>
      </dsp:nvSpPr>
      <dsp:spPr>
        <a:xfrm>
          <a:off x="4738102" y="5352965"/>
          <a:ext cx="3211304" cy="1342951"/>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a:t>
          </a:r>
          <a:r>
            <a:rPr lang="en-AU" sz="1000" b="1" kern="1200">
              <a:solidFill>
                <a:sysClr val="windowText" lastClr="000000"/>
              </a:solidFill>
            </a:rPr>
            <a:t>Based on the assumption that the methane equations were not altered in terms of milk production for CH4  calc but  milk prod was increased to divide total emissions-  </a:t>
          </a:r>
          <a:r>
            <a:rPr lang="en-AU" sz="1000" kern="1200">
              <a:solidFill>
                <a:sysClr val="windowText" lastClr="000000"/>
              </a:solidFill>
            </a:rPr>
            <a:t>Based on the A4N dataset, reduced on-farm GHG emissions by on average 23 t CO2e/farm and increased milk production by on average  205t FPCM/farm.  Reduced GHG emissions intensity by  on average 0.08 kg CO2e/kg milk </a:t>
          </a:r>
        </a:p>
      </dsp:txBody>
      <dsp:txXfrm>
        <a:off x="4738102" y="5352965"/>
        <a:ext cx="3211304" cy="1342951"/>
      </dsp:txXfrm>
    </dsp:sp>
    <dsp:sp modelId="{43D5122B-5DCF-4B51-8333-74EDBD2CC2AE}">
      <dsp:nvSpPr>
        <dsp:cNvPr id="0" name=""/>
        <dsp:cNvSpPr/>
      </dsp:nvSpPr>
      <dsp:spPr>
        <a:xfrm>
          <a:off x="5478680" y="6894399"/>
          <a:ext cx="1668418" cy="834209"/>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Improve diet digestibility through improved management</a:t>
          </a:r>
          <a:endParaRPr lang="en-AU" sz="1000" kern="1200">
            <a:solidFill>
              <a:sysClr val="windowText" lastClr="000000"/>
            </a:solidFill>
          </a:endParaRPr>
        </a:p>
      </dsp:txBody>
      <dsp:txXfrm>
        <a:off x="5478680" y="6894399"/>
        <a:ext cx="1668418" cy="834209"/>
      </dsp:txXfrm>
    </dsp:sp>
    <dsp:sp modelId="{BAFA2B14-49BD-4B2E-8520-A6510D777721}">
      <dsp:nvSpPr>
        <dsp:cNvPr id="0" name=""/>
        <dsp:cNvSpPr/>
      </dsp:nvSpPr>
      <dsp:spPr>
        <a:xfrm>
          <a:off x="5462696" y="8230861"/>
          <a:ext cx="1668418" cy="834209"/>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Strategy : Improve diet digestibility  feeding high DDM supplements</a:t>
          </a:r>
          <a:endParaRPr lang="en-AU" sz="1000" kern="1200">
            <a:solidFill>
              <a:sysClr val="windowText" lastClr="000000"/>
            </a:solidFill>
          </a:endParaRPr>
        </a:p>
      </dsp:txBody>
      <dsp:txXfrm>
        <a:off x="5462696" y="8230861"/>
        <a:ext cx="1668418" cy="834209"/>
      </dsp:txXfrm>
    </dsp:sp>
    <dsp:sp modelId="{FF0C1041-3395-46E3-905D-0CC0094881D7}">
      <dsp:nvSpPr>
        <dsp:cNvPr id="0" name=""/>
        <dsp:cNvSpPr/>
      </dsp:nvSpPr>
      <dsp:spPr>
        <a:xfrm>
          <a:off x="8624073" y="1185573"/>
          <a:ext cx="2917546" cy="834209"/>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AU" sz="1100" kern="1200">
              <a:solidFill>
                <a:sysClr val="windowText" lastClr="000000"/>
              </a:solidFill>
            </a:rPr>
            <a:t>Remove excess crude protein from the diet to reduce animal-based N2O emissions</a:t>
          </a:r>
        </a:p>
      </dsp:txBody>
      <dsp:txXfrm>
        <a:off x="8624073" y="1185573"/>
        <a:ext cx="2917546" cy="834209"/>
      </dsp:txXfrm>
    </dsp:sp>
    <dsp:sp modelId="{1DC14DB0-20D9-44B1-9C0B-2CA2C56BE45F}">
      <dsp:nvSpPr>
        <dsp:cNvPr id="0" name=""/>
        <dsp:cNvSpPr/>
      </dsp:nvSpPr>
      <dsp:spPr>
        <a:xfrm>
          <a:off x="8440823" y="2370150"/>
          <a:ext cx="3284047" cy="1301341"/>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110000"/>
            </a:lnSpc>
            <a:spcBef>
              <a:spcPct val="0"/>
            </a:spcBef>
            <a:spcAft>
              <a:spcPts val="0"/>
            </a:spcAft>
            <a:buNone/>
          </a:pPr>
          <a:endParaRPr lang="en-AU" sz="800" kern="1200">
            <a:solidFill>
              <a:sysClr val="windowText" lastClr="000000"/>
            </a:solidFill>
          </a:endParaRPr>
        </a:p>
      </dsp:txBody>
      <dsp:txXfrm>
        <a:off x="8440823" y="2370150"/>
        <a:ext cx="3284047" cy="1301341"/>
      </dsp:txXfrm>
    </dsp:sp>
    <dsp:sp modelId="{B43F6C84-4113-4E97-946D-DA27B40F06CE}">
      <dsp:nvSpPr>
        <dsp:cNvPr id="0" name=""/>
        <dsp:cNvSpPr/>
      </dsp:nvSpPr>
      <dsp:spPr>
        <a:xfrm>
          <a:off x="8450399" y="4021859"/>
          <a:ext cx="3264894" cy="1080350"/>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Target: Reduce the diet crude protein to a maxiumum of 18% in winter and spring   </a:t>
          </a:r>
          <a:endParaRPr lang="en-AU" sz="2300" kern="1200">
            <a:solidFill>
              <a:sysClr val="windowText" lastClr="000000"/>
            </a:solidFill>
          </a:endParaRPr>
        </a:p>
      </dsp:txBody>
      <dsp:txXfrm>
        <a:off x="8450399" y="4021859"/>
        <a:ext cx="3264894" cy="1080350"/>
      </dsp:txXfrm>
    </dsp:sp>
    <dsp:sp modelId="{1E30188F-1A85-4769-94E5-DDF79B8DCAAA}">
      <dsp:nvSpPr>
        <dsp:cNvPr id="0" name=""/>
        <dsp:cNvSpPr/>
      </dsp:nvSpPr>
      <dsp:spPr>
        <a:xfrm>
          <a:off x="8221543" y="5452577"/>
          <a:ext cx="3722607" cy="834209"/>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rPr>
            <a:t>Impact:  Based on the A4N dataset, reduced on-farm GHG emissions  by on average 72 t CO2e/farm.  Reduced GHG emissions intensity  by on average 0.03 kg CO2e/kg FPCM   </a:t>
          </a:r>
        </a:p>
      </dsp:txBody>
      <dsp:txXfrm>
        <a:off x="8221543" y="5452577"/>
        <a:ext cx="3722607" cy="834209"/>
      </dsp:txXfrm>
    </dsp:sp>
    <dsp:sp modelId="{9AE50E30-CA91-482F-A0F4-86AAF585EB26}">
      <dsp:nvSpPr>
        <dsp:cNvPr id="0" name=""/>
        <dsp:cNvSpPr/>
      </dsp:nvSpPr>
      <dsp:spPr>
        <a:xfrm>
          <a:off x="9152194" y="6637154"/>
          <a:ext cx="1668418" cy="834209"/>
        </a:xfrm>
        <a:prstGeom prst="rect">
          <a:avLst/>
        </a:prstGeom>
        <a:solidFill>
          <a:schemeClr val="tx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AU" sz="1000" b="1" kern="1200">
              <a:solidFill>
                <a:schemeClr val="tx1"/>
              </a:solidFill>
            </a:rPr>
            <a:t>Strategy: Feed condensed tannins in winter and spring</a:t>
          </a:r>
        </a:p>
      </dsp:txBody>
      <dsp:txXfrm>
        <a:off x="9152194" y="6637154"/>
        <a:ext cx="1668418" cy="834209"/>
      </dsp:txXfrm>
    </dsp:sp>
    <dsp:sp modelId="{A6962E8E-154C-4944-826F-1C22A6B96937}">
      <dsp:nvSpPr>
        <dsp:cNvPr id="0" name=""/>
        <dsp:cNvSpPr/>
      </dsp:nvSpPr>
      <dsp:spPr>
        <a:xfrm>
          <a:off x="12360596" y="1185573"/>
          <a:ext cx="2917546" cy="834209"/>
        </a:xfrm>
        <a:prstGeom prst="rect">
          <a:avLst/>
        </a:prstGeom>
        <a:solidFill>
          <a:schemeClr val="accent2">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endParaRPr lang="en-AU" sz="1100" kern="1200">
            <a:solidFill>
              <a:sysClr val="windowText" lastClr="000000"/>
            </a:solidFill>
          </a:endParaRPr>
        </a:p>
      </dsp:txBody>
      <dsp:txXfrm>
        <a:off x="12360596" y="1185573"/>
        <a:ext cx="2917546" cy="834209"/>
      </dsp:txXfrm>
    </dsp:sp>
    <dsp:sp modelId="{938C4007-265A-4CB8-970F-C76131073387}">
      <dsp:nvSpPr>
        <dsp:cNvPr id="0" name=""/>
        <dsp:cNvSpPr/>
      </dsp:nvSpPr>
      <dsp:spPr>
        <a:xfrm>
          <a:off x="12308900" y="2370150"/>
          <a:ext cx="3020937" cy="1226170"/>
        </a:xfrm>
        <a:prstGeom prst="rect">
          <a:avLst/>
        </a:prstGeom>
        <a:solidFill>
          <a:schemeClr val="accent3">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41275" tIns="41275" rIns="41275" bIns="41275" numCol="1" spcCol="1270" anchor="ctr" anchorCtr="0">
          <a:noAutofit/>
        </a:bodyPr>
        <a:lstStyle/>
        <a:p>
          <a:pPr marL="0" lvl="0" indent="0" algn="ctr" defTabSz="2889250">
            <a:lnSpc>
              <a:spcPct val="90000"/>
            </a:lnSpc>
            <a:spcBef>
              <a:spcPct val="0"/>
            </a:spcBef>
            <a:spcAft>
              <a:spcPct val="35000"/>
            </a:spcAft>
            <a:buNone/>
          </a:pPr>
          <a:endParaRPr lang="en-AU" sz="6500" kern="1200"/>
        </a:p>
      </dsp:txBody>
      <dsp:txXfrm>
        <a:off x="12308900" y="2370150"/>
        <a:ext cx="3020937" cy="1226170"/>
      </dsp:txXfrm>
    </dsp:sp>
    <dsp:sp modelId="{49930909-EE16-4EEE-9A1A-087016A96041}">
      <dsp:nvSpPr>
        <dsp:cNvPr id="0" name=""/>
        <dsp:cNvSpPr/>
      </dsp:nvSpPr>
      <dsp:spPr>
        <a:xfrm>
          <a:off x="12289963" y="3946688"/>
          <a:ext cx="3058811" cy="1217386"/>
        </a:xfrm>
        <a:prstGeom prst="rect">
          <a:avLst/>
        </a:prstGeom>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41275" tIns="41275" rIns="41275" bIns="41275" numCol="1" spcCol="1270" anchor="ctr" anchorCtr="0">
          <a:noAutofit/>
        </a:bodyPr>
        <a:lstStyle/>
        <a:p>
          <a:pPr marL="0" lvl="0" indent="0" algn="ctr" defTabSz="2889250">
            <a:lnSpc>
              <a:spcPct val="90000"/>
            </a:lnSpc>
            <a:spcBef>
              <a:spcPct val="0"/>
            </a:spcBef>
            <a:spcAft>
              <a:spcPct val="35000"/>
            </a:spcAft>
            <a:buNone/>
          </a:pPr>
          <a:endParaRPr lang="en-AU" sz="6500" kern="1200"/>
        </a:p>
      </dsp:txBody>
      <dsp:txXfrm>
        <a:off x="12289963" y="3946688"/>
        <a:ext cx="3058811" cy="1217386"/>
      </dsp:txXfrm>
    </dsp:sp>
    <dsp:sp modelId="{72448E95-ABFD-4635-A416-031D24627E75}">
      <dsp:nvSpPr>
        <dsp:cNvPr id="0" name=""/>
        <dsp:cNvSpPr/>
      </dsp:nvSpPr>
      <dsp:spPr>
        <a:xfrm>
          <a:off x="12294518" y="5514442"/>
          <a:ext cx="3049701" cy="834209"/>
        </a:xfrm>
        <a:prstGeom prst="rect">
          <a:avLst/>
        </a:prstGeom>
        <a:solidFill>
          <a:schemeClr val="accent4">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ctr" defTabSz="2400300">
            <a:lnSpc>
              <a:spcPct val="90000"/>
            </a:lnSpc>
            <a:spcBef>
              <a:spcPct val="0"/>
            </a:spcBef>
            <a:spcAft>
              <a:spcPct val="35000"/>
            </a:spcAft>
            <a:buNone/>
          </a:pPr>
          <a:endParaRPr lang="en-AU" sz="5400" kern="1200"/>
        </a:p>
      </dsp:txBody>
      <dsp:txXfrm>
        <a:off x="12294518" y="5514442"/>
        <a:ext cx="3049701" cy="834209"/>
      </dsp:txXfrm>
    </dsp:sp>
    <dsp:sp modelId="{7D72120F-5E12-4A77-976E-1B0604E596EA}">
      <dsp:nvSpPr>
        <dsp:cNvPr id="0" name=""/>
        <dsp:cNvSpPr/>
      </dsp:nvSpPr>
      <dsp:spPr>
        <a:xfrm>
          <a:off x="13056944" y="6699019"/>
          <a:ext cx="1668418" cy="834209"/>
        </a:xfrm>
        <a:prstGeom prst="rect">
          <a:avLst/>
        </a:prstGeom>
        <a:solidFill>
          <a:schemeClr val="accent1">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ctr" defTabSz="2400300">
            <a:lnSpc>
              <a:spcPct val="90000"/>
            </a:lnSpc>
            <a:spcBef>
              <a:spcPct val="0"/>
            </a:spcBef>
            <a:spcAft>
              <a:spcPct val="35000"/>
            </a:spcAft>
            <a:buNone/>
          </a:pPr>
          <a:endParaRPr lang="en-AU" sz="5400" kern="1200"/>
        </a:p>
      </dsp:txBody>
      <dsp:txXfrm>
        <a:off x="13056944" y="6699019"/>
        <a:ext cx="1668418" cy="83420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Abatement Schematic'!A1"/><Relationship Id="rId7" Type="http://schemas.openxmlformats.org/officeDocument/2006/relationships/image" Target="../media/image4.png"/><Relationship Id="rId2" Type="http://schemas.openxmlformats.org/officeDocument/2006/relationships/hyperlink" Target="#'Example baseline farm'!A1"/><Relationship Id="rId1" Type="http://schemas.openxmlformats.org/officeDocument/2006/relationships/hyperlink" Target="#'Baseline farm'!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Baseline farm'!A1"/></Relationships>
</file>

<file path=xl/drawings/_rels/drawing12.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7" Type="http://schemas.openxmlformats.org/officeDocument/2006/relationships/hyperlink" Target="#'Baseline farm'!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emf"/></Relationships>
</file>

<file path=xl/drawings/_rels/drawing15.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hyperlink" Target="#'Baseline farm'!A1"/><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2" Type="http://schemas.openxmlformats.org/officeDocument/2006/relationships/hyperlink" Target="#'Front Sheet'!A1"/><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hyperlink" Target="#'Abatement Schematic'!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hyperlink" Target="#'Baseline farm'!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hyperlink" Target="#'Supplementing with dietary fats'!A1"/><Relationship Id="rId13" Type="http://schemas.openxmlformats.org/officeDocument/2006/relationships/hyperlink" Target="#'Extended longevity'!A1"/><Relationship Id="rId3" Type="http://schemas.openxmlformats.org/officeDocument/2006/relationships/hyperlink" Target="#'Animal diet manipulation'!A1"/><Relationship Id="rId7" Type="http://schemas.openxmlformats.org/officeDocument/2006/relationships/hyperlink" Target="#'Replacing Sup with dietary fats'!A1"/><Relationship Id="rId12" Type="http://schemas.openxmlformats.org/officeDocument/2006/relationships/hyperlink" Target="#'Extended lactation'!A1"/><Relationship Id="rId2" Type="http://schemas.openxmlformats.org/officeDocument/2006/relationships/hyperlink" Target="#Feedbase!A1"/><Relationship Id="rId1" Type="http://schemas.openxmlformats.org/officeDocument/2006/relationships/hyperlink" Target="#'Herd and Breeding'!A1"/><Relationship Id="rId6" Type="http://schemas.openxmlformats.org/officeDocument/2006/relationships/hyperlink" Target="#' N inhibitor applied to feed'!A1"/><Relationship Id="rId11" Type="http://schemas.openxmlformats.org/officeDocument/2006/relationships/hyperlink" Target="#'Improved diet DDM by Supplement'!A1"/><Relationship Id="rId5" Type="http://schemas.openxmlformats.org/officeDocument/2006/relationships/hyperlink" Target="#'N fertiliser inhibitor coated'!A1"/><Relationship Id="rId10" Type="http://schemas.openxmlformats.org/officeDocument/2006/relationships/hyperlink" Target="#'Improved diet DMD by management'!A1"/><Relationship Id="rId4" Type="http://schemas.openxmlformats.org/officeDocument/2006/relationships/hyperlink" Target="#'Animal diet'!A1"/><Relationship Id="rId9" Type="http://schemas.openxmlformats.org/officeDocument/2006/relationships/hyperlink" Target="#'Reduce CH4 breeding_management'!A1"/><Relationship Id="rId14" Type="http://schemas.openxmlformats.org/officeDocument/2006/relationships/hyperlink" Target="#'Strategy farm'!A1"/></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Vaccine '!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6.xml.rels><?xml version="1.0" encoding="UTF-8" standalone="yes"?>
<Relationships xmlns="http://schemas.openxmlformats.org/package/2006/relationships"><Relationship Id="rId3" Type="http://schemas.openxmlformats.org/officeDocument/2006/relationships/diagramQuickStyle" Target="../diagrams/quickStyle2.xml"/><Relationship Id="rId7" Type="http://schemas.openxmlformats.org/officeDocument/2006/relationships/hyperlink" Target="#' N inhibitor applied to feed'!A1"/><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hyperlink" Target="#' N inhibitor coated to N fert'!A1"/><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7.xml.rels><?xml version="1.0" encoding="UTF-8" standalone="yes"?>
<Relationships xmlns="http://schemas.openxmlformats.org/package/2006/relationships"><Relationship Id="rId8" Type="http://schemas.openxmlformats.org/officeDocument/2006/relationships/hyperlink" Target="#'Supplementing with dietary fats'!A1"/><Relationship Id="rId3" Type="http://schemas.openxmlformats.org/officeDocument/2006/relationships/diagramQuickStyle" Target="../diagrams/quickStyle3.xml"/><Relationship Id="rId7" Type="http://schemas.openxmlformats.org/officeDocument/2006/relationships/hyperlink" Target="#'Improved diet DDM by Supplement'!A1"/><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hyperlink" Target="#'Replacing Sup with dietary fats'!A1"/><Relationship Id="rId5" Type="http://schemas.microsoft.com/office/2007/relationships/diagramDrawing" Target="../diagrams/drawing3.xml"/><Relationship Id="rId4" Type="http://schemas.openxmlformats.org/officeDocument/2006/relationships/diagramColors" Target="../diagrams/colors3.xml"/><Relationship Id="rId9" Type="http://schemas.openxmlformats.org/officeDocument/2006/relationships/hyperlink" Target="#'Improved diet DMD by management'!A1"/></Relationships>
</file>

<file path=xl/drawings/_rels/drawing8.xml.rels><?xml version="1.0" encoding="UTF-8" standalone="yes"?>
<Relationships xmlns="http://schemas.openxmlformats.org/package/2006/relationships"><Relationship Id="rId3" Type="http://schemas.openxmlformats.org/officeDocument/2006/relationships/hyperlink" Target="#'Baseline farm'!A1"/><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259080</xdr:colOff>
      <xdr:row>20</xdr:row>
      <xdr:rowOff>114300</xdr:rowOff>
    </xdr:from>
    <xdr:to>
      <xdr:col>7</xdr:col>
      <xdr:colOff>586740</xdr:colOff>
      <xdr:row>22</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11480" y="3634740"/>
          <a:ext cx="398526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Baseline farm worksheet</a:t>
          </a:r>
          <a:endParaRPr lang="en-AU" sz="1300" b="1">
            <a:solidFill>
              <a:schemeClr val="tx1"/>
            </a:solidFill>
          </a:endParaRPr>
        </a:p>
      </xdr:txBody>
    </xdr:sp>
    <xdr:clientData/>
  </xdr:twoCellAnchor>
  <xdr:twoCellAnchor>
    <xdr:from>
      <xdr:col>8</xdr:col>
      <xdr:colOff>495300</xdr:colOff>
      <xdr:row>20</xdr:row>
      <xdr:rowOff>83820</xdr:rowOff>
    </xdr:from>
    <xdr:to>
      <xdr:col>15</xdr:col>
      <xdr:colOff>205740</xdr:colOff>
      <xdr:row>22</xdr:row>
      <xdr:rowOff>83820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914900" y="3604260"/>
          <a:ext cx="397764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Example worksheet</a:t>
          </a:r>
          <a:endParaRPr lang="en-AU" sz="1300" b="1">
            <a:solidFill>
              <a:schemeClr val="tx1"/>
            </a:solidFill>
          </a:endParaRPr>
        </a:p>
      </xdr:txBody>
    </xdr:sp>
    <xdr:clientData/>
  </xdr:twoCellAnchor>
  <xdr:twoCellAnchor>
    <xdr:from>
      <xdr:col>1</xdr:col>
      <xdr:colOff>259080</xdr:colOff>
      <xdr:row>30</xdr:row>
      <xdr:rowOff>106680</xdr:rowOff>
    </xdr:from>
    <xdr:to>
      <xdr:col>9</xdr:col>
      <xdr:colOff>586740</xdr:colOff>
      <xdr:row>32</xdr:row>
      <xdr:rowOff>106680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11480" y="5090160"/>
          <a:ext cx="5204460" cy="365760"/>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300" b="1">
              <a:solidFill>
                <a:schemeClr val="tx1"/>
              </a:solidFill>
            </a:rPr>
            <a:t>Click</a:t>
          </a:r>
          <a:r>
            <a:rPr lang="en-AU" sz="1300" b="1" baseline="0">
              <a:solidFill>
                <a:schemeClr val="tx1"/>
              </a:solidFill>
            </a:rPr>
            <a:t> here to progress to the Abatement strategies schematic worksheet</a:t>
          </a:r>
          <a:endParaRPr lang="en-AU" sz="1300" b="1">
            <a:solidFill>
              <a:schemeClr val="tx1"/>
            </a:solidFill>
          </a:endParaRPr>
        </a:p>
      </xdr:txBody>
    </xdr:sp>
    <xdr:clientData/>
  </xdr:twoCellAnchor>
  <xdr:twoCellAnchor editAs="oneCell">
    <xdr:from>
      <xdr:col>1</xdr:col>
      <xdr:colOff>53340</xdr:colOff>
      <xdr:row>105</xdr:row>
      <xdr:rowOff>175260</xdr:rowOff>
    </xdr:from>
    <xdr:to>
      <xdr:col>5</xdr:col>
      <xdr:colOff>18394</xdr:colOff>
      <xdr:row>109</xdr:row>
      <xdr:rowOff>98940</xdr:rowOff>
    </xdr:to>
    <xdr:pic>
      <xdr:nvPicPr>
        <xdr:cNvPr id="5" name="Picture 4" descr="C:\Users\karenc1\Desktop\abares_logo.pn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30484"/>
        <a:stretch/>
      </xdr:blipFill>
      <xdr:spPr bwMode="auto">
        <a:xfrm>
          <a:off x="205740" y="13693140"/>
          <a:ext cx="2403454" cy="65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307935</xdr:colOff>
      <xdr:row>105</xdr:row>
      <xdr:rowOff>146801</xdr:rowOff>
    </xdr:from>
    <xdr:to>
      <xdr:col>11</xdr:col>
      <xdr:colOff>279135</xdr:colOff>
      <xdr:row>109</xdr:row>
      <xdr:rowOff>71198</xdr:rowOff>
    </xdr:to>
    <xdr:pic>
      <xdr:nvPicPr>
        <xdr:cNvPr id="6" name="Picture 5" descr="mla_log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srcRect/>
        <a:stretch>
          <a:fillRect/>
        </a:stretch>
      </xdr:blipFill>
      <xdr:spPr bwMode="auto">
        <a:xfrm>
          <a:off x="4727535" y="19882601"/>
          <a:ext cx="1800000" cy="655917"/>
        </a:xfrm>
        <a:prstGeom prst="rect">
          <a:avLst/>
        </a:prstGeom>
        <a:noFill/>
        <a:ln w="9525">
          <a:noFill/>
          <a:miter lim="800000"/>
          <a:headEnd/>
          <a:tailEnd/>
        </a:ln>
      </xdr:spPr>
    </xdr:pic>
    <xdr:clientData/>
  </xdr:twoCellAnchor>
  <xdr:twoCellAnchor editAs="oneCell">
    <xdr:from>
      <xdr:col>11</xdr:col>
      <xdr:colOff>563880</xdr:colOff>
      <xdr:row>105</xdr:row>
      <xdr:rowOff>154787</xdr:rowOff>
    </xdr:from>
    <xdr:to>
      <xdr:col>14</xdr:col>
      <xdr:colOff>535080</xdr:colOff>
      <xdr:row>109</xdr:row>
      <xdr:rowOff>78467</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12280" y="19890587"/>
          <a:ext cx="1800000" cy="655200"/>
        </a:xfrm>
        <a:prstGeom prst="rect">
          <a:avLst/>
        </a:prstGeom>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571500</xdr:colOff>
      <xdr:row>106</xdr:row>
      <xdr:rowOff>0</xdr:rowOff>
    </xdr:from>
    <xdr:to>
      <xdr:col>8</xdr:col>
      <xdr:colOff>70416</xdr:colOff>
      <xdr:row>109</xdr:row>
      <xdr:rowOff>106560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9918680"/>
          <a:ext cx="1327716" cy="655200"/>
        </a:xfrm>
        <a:prstGeom prst="rect">
          <a:avLst/>
        </a:prstGeom>
        <a:noFill/>
        <a:ln w="9525">
          <a:noFill/>
          <a:miter lim="800000"/>
          <a:headEnd/>
          <a:tailEnd/>
        </a:ln>
      </xdr:spPr>
    </xdr:pic>
    <xdr:clientData/>
  </xdr:twoCellAnchor>
  <xdr:twoCellAnchor editAs="oneCell">
    <xdr:from>
      <xdr:col>3</xdr:col>
      <xdr:colOff>532727</xdr:colOff>
      <xdr:row>76</xdr:row>
      <xdr:rowOff>91440</xdr:rowOff>
    </xdr:from>
    <xdr:to>
      <xdr:col>9</xdr:col>
      <xdr:colOff>274268</xdr:colOff>
      <xdr:row>82</xdr:row>
      <xdr:rowOff>15091</xdr:rowOff>
    </xdr:to>
    <xdr:pic>
      <xdr:nvPicPr>
        <xdr:cNvPr id="10" name="Picture 9">
          <a:extLst>
            <a:ext uri="{FF2B5EF4-FFF2-40B4-BE49-F238E27FC236}">
              <a16:creationId xmlns:a16="http://schemas.microsoft.com/office/drawing/2014/main" id="{00000000-0008-0000-0000-00000A00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3141" t="38845" r="33220" b="46806"/>
        <a:stretch/>
      </xdr:blipFill>
      <xdr:spPr bwMode="auto">
        <a:xfrm>
          <a:off x="1904327" y="14218920"/>
          <a:ext cx="3399141" cy="102093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10</xdr:row>
      <xdr:rowOff>1</xdr:rowOff>
    </xdr:from>
    <xdr:to>
      <xdr:col>8</xdr:col>
      <xdr:colOff>681036</xdr:colOff>
      <xdr:row>47</xdr:row>
      <xdr:rowOff>1</xdr:rowOff>
    </xdr:to>
    <xdr:graphicFrame macro="">
      <xdr:nvGraphicFramePr>
        <xdr:cNvPr id="2094" name="Chart 2">
          <a:extLst>
            <a:ext uri="{FF2B5EF4-FFF2-40B4-BE49-F238E27FC236}">
              <a16:creationId xmlns:a16="http://schemas.microsoft.com/office/drawing/2014/main" id="{00000000-0008-0000-0B00-00002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10</xdr:row>
      <xdr:rowOff>9525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09550" y="0"/>
          <a:ext cx="15916275" cy="1457325"/>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Enteric</a:t>
          </a:r>
          <a:r>
            <a:rPr lang="en-AU" sz="2200" b="1" baseline="0"/>
            <a:t> methane reduction through breeding or management</a:t>
          </a:r>
        </a:p>
        <a:p>
          <a:pPr>
            <a:lnSpc>
              <a:spcPct val="110000"/>
            </a:lnSpc>
          </a:pPr>
          <a:r>
            <a:rPr lang="en-AU" sz="1200">
              <a:solidFill>
                <a:schemeClr val="dk1"/>
              </a:solidFill>
              <a:latin typeface="+mn-lt"/>
              <a:ea typeface="+mn-ea"/>
              <a:cs typeface="+mn-cs"/>
            </a:rPr>
            <a:t>This spreadsheet is setup to help producers examine the validity of </a:t>
          </a:r>
          <a:r>
            <a:rPr lang="en-AU" sz="1200" baseline="0">
              <a:solidFill>
                <a:schemeClr val="dk1"/>
              </a:solidFill>
              <a:latin typeface="+mn-lt"/>
              <a:ea typeface="+mn-ea"/>
              <a:cs typeface="+mn-cs"/>
            </a:rPr>
            <a:t> reducing methane emissions through various management or breeding options.  For example, a breeding option could be stock that have lower enteric CH4 emissions per unit of feed intake.  Management options could include a vaccine or feeding </a:t>
          </a:r>
          <a:r>
            <a:rPr lang="en-AU" sz="1200" i="1" baseline="0">
              <a:solidFill>
                <a:schemeClr val="dk1"/>
              </a:solidFill>
              <a:latin typeface="+mn-lt"/>
              <a:ea typeface="+mn-ea"/>
              <a:cs typeface="+mn-cs"/>
            </a:rPr>
            <a:t>Asparagopsis</a:t>
          </a:r>
          <a:r>
            <a:rPr lang="en-AU" sz="1200" baseline="0">
              <a:solidFill>
                <a:schemeClr val="dk1"/>
              </a:solidFill>
              <a:latin typeface="+mn-lt"/>
              <a:ea typeface="+mn-ea"/>
              <a:cs typeface="+mn-cs"/>
            </a:rPr>
            <a:t> to reduce a proportion of enteric methane being emitted.  </a:t>
          </a:r>
          <a:r>
            <a:rPr lang="en-AU" sz="1200">
              <a:solidFill>
                <a:schemeClr val="dk1"/>
              </a:solidFill>
              <a:latin typeface="+mn-lt"/>
              <a:ea typeface="+mn-ea"/>
              <a:cs typeface="+mn-cs"/>
            </a:rPr>
            <a:t>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The 'Baseline farm system data relevant to this abatement strategy' green cells are linked to the baseline</a:t>
          </a:r>
          <a:r>
            <a:rPr lang="en-AU" sz="1200" b="0" baseline="0">
              <a:solidFill>
                <a:sysClr val="windowText" lastClr="000000"/>
              </a:solidFill>
              <a:latin typeface="+mn-lt"/>
              <a:ea typeface="+mn-ea"/>
              <a:cs typeface="+mn-cs"/>
            </a:rPr>
            <a:t> farm data entered by the user</a:t>
          </a:r>
          <a:r>
            <a:rPr lang="en-AU" sz="1200" b="0">
              <a:solidFill>
                <a:sysClr val="windowText" lastClr="000000"/>
              </a:solidFill>
              <a:latin typeface="+mn-lt"/>
              <a:ea typeface="+mn-ea"/>
              <a:cs typeface="+mn-cs"/>
            </a:rPr>
            <a:t>.  </a:t>
          </a:r>
          <a:r>
            <a:rPr lang="en-AU" sz="1200">
              <a:solidFill>
                <a:schemeClr val="dk1"/>
              </a:solidFill>
              <a:latin typeface="+mn-lt"/>
              <a:ea typeface="+mn-ea"/>
              <a:cs typeface="+mn-cs"/>
            </a:rPr>
            <a:t>The 'Key variables for the strategy farm' </a:t>
          </a:r>
          <a:r>
            <a:rPr lang="en-AU" sz="1200" baseline="0">
              <a:solidFill>
                <a:schemeClr val="dk1"/>
              </a:solidFill>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latin typeface="+mn-lt"/>
              <a:ea typeface="+mn-ea"/>
              <a:cs typeface="+mn-cs"/>
            </a:rPr>
            <a:t>Details on the data required and any underlining assumptions are given by hovering over the cells marked with a red triangle. </a:t>
          </a:r>
          <a:r>
            <a:rPr lang="en-AU" sz="1200" b="1">
              <a:solidFill>
                <a:schemeClr val="dk1"/>
              </a:solidFill>
              <a:latin typeface="+mn-lt"/>
              <a:ea typeface="+mn-ea"/>
              <a:cs typeface="+mn-cs"/>
            </a:rPr>
            <a:t>This</a:t>
          </a:r>
          <a:r>
            <a:rPr lang="en-AU" sz="1200" b="1" baseline="0">
              <a:solidFill>
                <a:schemeClr val="dk1"/>
              </a:solidFill>
              <a:latin typeface="+mn-lt"/>
              <a:ea typeface="+mn-ea"/>
              <a:cs typeface="+mn-cs"/>
            </a:rPr>
            <a:t> option is not used for feeding larger quantities of supplement as the supplement has the potential to alter overall diet digestibility and/or crude protein and this needs to be taken into consideration when estimating the change in GHG emissions.  For example a high fat source such as canola meal would increase overall diet crude protein. Use others sheets to estimate this (e.g. the Replacing Sup with dietary fats or the Supplementing with dietary fats sheets). </a:t>
          </a:r>
          <a:endParaRPr lang="en-AU" sz="1200"/>
        </a:p>
      </xdr:txBody>
    </xdr:sp>
    <xdr:clientData/>
  </xdr:twoCellAnchor>
  <xdr:twoCellAnchor>
    <xdr:from>
      <xdr:col>1</xdr:col>
      <xdr:colOff>552450</xdr:colOff>
      <xdr:row>49</xdr:row>
      <xdr:rowOff>114300</xdr:rowOff>
    </xdr:from>
    <xdr:to>
      <xdr:col>2</xdr:col>
      <xdr:colOff>1524000</xdr:colOff>
      <xdr:row>52</xdr:row>
      <xdr:rowOff>123825</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B00-000006000000}"/>
            </a:ext>
          </a:extLst>
        </xdr:cNvPr>
        <xdr:cNvSpPr txBox="1"/>
      </xdr:nvSpPr>
      <xdr:spPr>
        <a:xfrm>
          <a:off x="552450" y="6591300"/>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18</xdr:row>
          <xdr:rowOff>47625</xdr:rowOff>
        </xdr:from>
        <xdr:to>
          <xdr:col>2</xdr:col>
          <xdr:colOff>1543050</xdr:colOff>
          <xdr:row>18</xdr:row>
          <xdr:rowOff>228600</xdr:rowOff>
        </xdr:to>
        <xdr:sp macro="" textlink="">
          <xdr:nvSpPr>
            <xdr:cNvPr id="2074" name="Spinner 26" hidden="1">
              <a:extLst>
                <a:ext uri="{63B3BB69-23CF-44E3-9099-C40C66FF867C}">
                  <a14:compatExt spid="_x0000_s2074"/>
                </a:ext>
                <a:ext uri="{FF2B5EF4-FFF2-40B4-BE49-F238E27FC236}">
                  <a16:creationId xmlns:a16="http://schemas.microsoft.com/office/drawing/2014/main" id="{00000000-0008-0000-0B00-00001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20</xdr:row>
          <xdr:rowOff>47625</xdr:rowOff>
        </xdr:from>
        <xdr:to>
          <xdr:col>2</xdr:col>
          <xdr:colOff>1543050</xdr:colOff>
          <xdr:row>20</xdr:row>
          <xdr:rowOff>228600</xdr:rowOff>
        </xdr:to>
        <xdr:sp macro="" textlink="">
          <xdr:nvSpPr>
            <xdr:cNvPr id="2075" name="Spinner 27" hidden="1">
              <a:extLst>
                <a:ext uri="{63B3BB69-23CF-44E3-9099-C40C66FF867C}">
                  <a14:compatExt spid="_x0000_s2075"/>
                </a:ext>
                <a:ext uri="{FF2B5EF4-FFF2-40B4-BE49-F238E27FC236}">
                  <a16:creationId xmlns:a16="http://schemas.microsoft.com/office/drawing/2014/main" id="{00000000-0008-0000-0B00-00001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22</xdr:row>
          <xdr:rowOff>47625</xdr:rowOff>
        </xdr:from>
        <xdr:to>
          <xdr:col>2</xdr:col>
          <xdr:colOff>1543050</xdr:colOff>
          <xdr:row>22</xdr:row>
          <xdr:rowOff>228600</xdr:rowOff>
        </xdr:to>
        <xdr:sp macro="" textlink="">
          <xdr:nvSpPr>
            <xdr:cNvPr id="2076" name="Spinner 28" hidden="1">
              <a:extLst>
                <a:ext uri="{63B3BB69-23CF-44E3-9099-C40C66FF867C}">
                  <a14:compatExt spid="_x0000_s2076"/>
                </a:ext>
                <a:ext uri="{FF2B5EF4-FFF2-40B4-BE49-F238E27FC236}">
                  <a16:creationId xmlns:a16="http://schemas.microsoft.com/office/drawing/2014/main" id="{00000000-0008-0000-0B00-00001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26</xdr:row>
          <xdr:rowOff>47625</xdr:rowOff>
        </xdr:from>
        <xdr:to>
          <xdr:col>2</xdr:col>
          <xdr:colOff>1543050</xdr:colOff>
          <xdr:row>26</xdr:row>
          <xdr:rowOff>228600</xdr:rowOff>
        </xdr:to>
        <xdr:sp macro="" textlink="">
          <xdr:nvSpPr>
            <xdr:cNvPr id="2077" name="Spinner 29" hidden="1">
              <a:extLst>
                <a:ext uri="{63B3BB69-23CF-44E3-9099-C40C66FF867C}">
                  <a14:compatExt spid="_x0000_s2077"/>
                </a:ext>
                <a:ext uri="{FF2B5EF4-FFF2-40B4-BE49-F238E27FC236}">
                  <a16:creationId xmlns:a16="http://schemas.microsoft.com/office/drawing/2014/main" id="{00000000-0008-0000-0B00-00001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28</xdr:row>
          <xdr:rowOff>47625</xdr:rowOff>
        </xdr:from>
        <xdr:to>
          <xdr:col>2</xdr:col>
          <xdr:colOff>1543050</xdr:colOff>
          <xdr:row>28</xdr:row>
          <xdr:rowOff>228600</xdr:rowOff>
        </xdr:to>
        <xdr:sp macro="" textlink="">
          <xdr:nvSpPr>
            <xdr:cNvPr id="2078" name="Spinner 30" hidden="1">
              <a:extLst>
                <a:ext uri="{63B3BB69-23CF-44E3-9099-C40C66FF867C}">
                  <a14:compatExt spid="_x0000_s2078"/>
                </a:ext>
                <a:ext uri="{FF2B5EF4-FFF2-40B4-BE49-F238E27FC236}">
                  <a16:creationId xmlns:a16="http://schemas.microsoft.com/office/drawing/2014/main" id="{00000000-0008-0000-0B00-00001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24</xdr:row>
          <xdr:rowOff>47625</xdr:rowOff>
        </xdr:from>
        <xdr:to>
          <xdr:col>2</xdr:col>
          <xdr:colOff>1543050</xdr:colOff>
          <xdr:row>24</xdr:row>
          <xdr:rowOff>228600</xdr:rowOff>
        </xdr:to>
        <xdr:sp macro="" textlink="">
          <xdr:nvSpPr>
            <xdr:cNvPr id="2081" name="Spinner 33" hidden="1">
              <a:extLst>
                <a:ext uri="{63B3BB69-23CF-44E3-9099-C40C66FF867C}">
                  <a14:compatExt spid="_x0000_s2081"/>
                </a:ext>
                <a:ext uri="{FF2B5EF4-FFF2-40B4-BE49-F238E27FC236}">
                  <a16:creationId xmlns:a16="http://schemas.microsoft.com/office/drawing/2014/main" id="{00000000-0008-0000-0B00-00002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676275</xdr:colOff>
      <xdr:row>11</xdr:row>
      <xdr:rowOff>10885</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28600" y="0"/>
          <a:ext cx="16874218" cy="1861456"/>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dietary fats &amp; oils- replacing supplementation (ERF methodology)</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replacing a percentage of </a:t>
          </a:r>
          <a:r>
            <a:rPr lang="en-AU" sz="1200" baseline="0">
              <a:solidFill>
                <a:schemeClr val="dk1"/>
              </a:solidFill>
              <a:latin typeface="+mn-lt"/>
              <a:ea typeface="+mn-ea"/>
              <a:cs typeface="+mn-cs"/>
            </a:rPr>
            <a:t>supplementary feed with another supplementary feed with a higher dietary fat content</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r>
            <a:rPr lang="en-AU" sz="1200" b="1">
              <a:solidFill>
                <a:schemeClr val="dk1"/>
              </a:solidFill>
              <a:latin typeface="+mn-lt"/>
              <a:ea typeface="+mn-ea"/>
              <a:cs typeface="+mn-cs"/>
            </a:rPr>
            <a:t>NOTE: </a:t>
          </a:r>
          <a:r>
            <a:rPr lang="en-AU" sz="1200" b="0">
              <a:solidFill>
                <a:schemeClr val="dk1"/>
              </a:solidFill>
              <a:latin typeface="+mn-lt"/>
              <a:ea typeface="+mn-ea"/>
              <a:cs typeface="+mn-cs"/>
            </a:rPr>
            <a:t>If the overall dietary fat concentration of the diet goes over 7%, the results will default to zero in the graph indicating that the strategy</a:t>
          </a:r>
          <a:r>
            <a:rPr lang="en-AU" sz="1200" b="0" baseline="0">
              <a:solidFill>
                <a:schemeClr val="dk1"/>
              </a:solidFill>
              <a:latin typeface="+mn-lt"/>
              <a:ea typeface="+mn-ea"/>
              <a:cs typeface="+mn-cs"/>
            </a:rPr>
            <a:t> diet is too high in fat concentration.  While this strategy follows the ERF methodology as closely as possible, the ERFI methodology requires three baseline years to be compared to the abatement strategy and uses farm data to indicate the changes in milk production as a consequence of feeding dietary fats.  There is also a specific ERF methodology calculator which must be used in conjunction with the methodology if a farmer wishes to participate in the ERF methodology.  </a:t>
          </a:r>
          <a:endParaRPr lang="en-AU" sz="1200"/>
        </a:p>
      </xdr:txBody>
    </xdr:sp>
    <xdr:clientData/>
  </xdr:twoCellAnchor>
  <xdr:twoCellAnchor>
    <xdr:from>
      <xdr:col>1</xdr:col>
      <xdr:colOff>558800</xdr:colOff>
      <xdr:row>71</xdr:row>
      <xdr:rowOff>15875</xdr:rowOff>
    </xdr:from>
    <xdr:to>
      <xdr:col>2</xdr:col>
      <xdr:colOff>1673225</xdr:colOff>
      <xdr:row>73</xdr:row>
      <xdr:rowOff>14817</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00000000-0008-0000-0C00-000014000000}"/>
            </a:ext>
          </a:extLst>
        </xdr:cNvPr>
        <xdr:cNvSpPr txBox="1"/>
      </xdr:nvSpPr>
      <xdr:spPr>
        <a:xfrm>
          <a:off x="929217" y="10641542"/>
          <a:ext cx="5834591"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a:t>
          </a:r>
          <a:r>
            <a:rPr lang="en-AU" sz="2800" baseline="0"/>
            <a:t> sheet</a:t>
          </a:r>
          <a:endParaRPr lang="en-AU" sz="2800"/>
        </a:p>
      </xdr:txBody>
    </xdr:sp>
    <xdr:clientData/>
  </xdr:twoCellAnchor>
  <mc:AlternateContent xmlns:mc="http://schemas.openxmlformats.org/markup-compatibility/2006">
    <mc:Choice xmlns:a14="http://schemas.microsoft.com/office/drawing/2010/main" Requires="a14">
      <xdr:twoCellAnchor>
        <xdr:from>
          <xdr:col>2</xdr:col>
          <xdr:colOff>1200150</xdr:colOff>
          <xdr:row>24</xdr:row>
          <xdr:rowOff>47625</xdr:rowOff>
        </xdr:from>
        <xdr:to>
          <xdr:col>2</xdr:col>
          <xdr:colOff>1543050</xdr:colOff>
          <xdr:row>24</xdr:row>
          <xdr:rowOff>228600</xdr:rowOff>
        </xdr:to>
        <xdr:sp macro="" textlink="">
          <xdr:nvSpPr>
            <xdr:cNvPr id="8213" name="Spinner 21" hidden="1">
              <a:extLst>
                <a:ext uri="{63B3BB69-23CF-44E3-9099-C40C66FF867C}">
                  <a14:compatExt spid="_x0000_s8213"/>
                </a:ext>
                <a:ext uri="{FF2B5EF4-FFF2-40B4-BE49-F238E27FC236}">
                  <a16:creationId xmlns:a16="http://schemas.microsoft.com/office/drawing/2014/main" id="{00000000-0008-0000-0C00-00001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26</xdr:row>
          <xdr:rowOff>57150</xdr:rowOff>
        </xdr:from>
        <xdr:to>
          <xdr:col>2</xdr:col>
          <xdr:colOff>1543050</xdr:colOff>
          <xdr:row>26</xdr:row>
          <xdr:rowOff>238125</xdr:rowOff>
        </xdr:to>
        <xdr:sp macro="" textlink="">
          <xdr:nvSpPr>
            <xdr:cNvPr id="8215" name="Spinner 23" hidden="1">
              <a:extLst>
                <a:ext uri="{63B3BB69-23CF-44E3-9099-C40C66FF867C}">
                  <a14:compatExt spid="_x0000_s8215"/>
                </a:ext>
                <a:ext uri="{FF2B5EF4-FFF2-40B4-BE49-F238E27FC236}">
                  <a16:creationId xmlns:a16="http://schemas.microsoft.com/office/drawing/2014/main" id="{00000000-0008-0000-0C00-00001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34</xdr:row>
          <xdr:rowOff>57150</xdr:rowOff>
        </xdr:from>
        <xdr:to>
          <xdr:col>2</xdr:col>
          <xdr:colOff>1543050</xdr:colOff>
          <xdr:row>34</xdr:row>
          <xdr:rowOff>238125</xdr:rowOff>
        </xdr:to>
        <xdr:sp macro="" textlink="">
          <xdr:nvSpPr>
            <xdr:cNvPr id="8219" name="Spinner 27" hidden="1">
              <a:extLst>
                <a:ext uri="{63B3BB69-23CF-44E3-9099-C40C66FF867C}">
                  <a14:compatExt spid="_x0000_s8219"/>
                </a:ext>
                <a:ext uri="{FF2B5EF4-FFF2-40B4-BE49-F238E27FC236}">
                  <a16:creationId xmlns:a16="http://schemas.microsoft.com/office/drawing/2014/main" id="{00000000-0008-0000-0C00-00001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40</xdr:row>
          <xdr:rowOff>57150</xdr:rowOff>
        </xdr:from>
        <xdr:to>
          <xdr:col>2</xdr:col>
          <xdr:colOff>1543050</xdr:colOff>
          <xdr:row>40</xdr:row>
          <xdr:rowOff>238125</xdr:rowOff>
        </xdr:to>
        <xdr:sp macro="" textlink="">
          <xdr:nvSpPr>
            <xdr:cNvPr id="8220" name="Spinner 28" hidden="1">
              <a:extLst>
                <a:ext uri="{63B3BB69-23CF-44E3-9099-C40C66FF867C}">
                  <a14:compatExt spid="_x0000_s8220"/>
                </a:ext>
                <a:ext uri="{FF2B5EF4-FFF2-40B4-BE49-F238E27FC236}">
                  <a16:creationId xmlns:a16="http://schemas.microsoft.com/office/drawing/2014/main" id="{00000000-0008-0000-0C00-00001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44</xdr:row>
          <xdr:rowOff>57150</xdr:rowOff>
        </xdr:from>
        <xdr:to>
          <xdr:col>2</xdr:col>
          <xdr:colOff>1543050</xdr:colOff>
          <xdr:row>44</xdr:row>
          <xdr:rowOff>238125</xdr:rowOff>
        </xdr:to>
        <xdr:sp macro="" textlink="">
          <xdr:nvSpPr>
            <xdr:cNvPr id="8221" name="Spinner 29" hidden="1">
              <a:extLst>
                <a:ext uri="{63B3BB69-23CF-44E3-9099-C40C66FF867C}">
                  <a14:compatExt spid="_x0000_s8221"/>
                </a:ext>
                <a:ext uri="{FF2B5EF4-FFF2-40B4-BE49-F238E27FC236}">
                  <a16:creationId xmlns:a16="http://schemas.microsoft.com/office/drawing/2014/main" id="{00000000-0008-0000-0C00-00001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48</xdr:row>
          <xdr:rowOff>57150</xdr:rowOff>
        </xdr:from>
        <xdr:to>
          <xdr:col>2</xdr:col>
          <xdr:colOff>1543050</xdr:colOff>
          <xdr:row>48</xdr:row>
          <xdr:rowOff>238125</xdr:rowOff>
        </xdr:to>
        <xdr:sp macro="" textlink="">
          <xdr:nvSpPr>
            <xdr:cNvPr id="8222" name="Spinner 30" hidden="1">
              <a:extLst>
                <a:ext uri="{63B3BB69-23CF-44E3-9099-C40C66FF867C}">
                  <a14:compatExt spid="_x0000_s8222"/>
                </a:ext>
                <a:ext uri="{FF2B5EF4-FFF2-40B4-BE49-F238E27FC236}">
                  <a16:creationId xmlns:a16="http://schemas.microsoft.com/office/drawing/2014/main" id="{00000000-0008-0000-0C00-00001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42</xdr:row>
          <xdr:rowOff>57150</xdr:rowOff>
        </xdr:from>
        <xdr:to>
          <xdr:col>2</xdr:col>
          <xdr:colOff>1543050</xdr:colOff>
          <xdr:row>42</xdr:row>
          <xdr:rowOff>238125</xdr:rowOff>
        </xdr:to>
        <xdr:sp macro="" textlink="">
          <xdr:nvSpPr>
            <xdr:cNvPr id="8223" name="Spinner 31" hidden="1">
              <a:extLst>
                <a:ext uri="{63B3BB69-23CF-44E3-9099-C40C66FF867C}">
                  <a14:compatExt spid="_x0000_s8223"/>
                </a:ext>
                <a:ext uri="{FF2B5EF4-FFF2-40B4-BE49-F238E27FC236}">
                  <a16:creationId xmlns:a16="http://schemas.microsoft.com/office/drawing/2014/main" id="{00000000-0008-0000-0C00-00001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38</xdr:row>
          <xdr:rowOff>57150</xdr:rowOff>
        </xdr:from>
        <xdr:to>
          <xdr:col>2</xdr:col>
          <xdr:colOff>1543050</xdr:colOff>
          <xdr:row>38</xdr:row>
          <xdr:rowOff>238125</xdr:rowOff>
        </xdr:to>
        <xdr:sp macro="" textlink="">
          <xdr:nvSpPr>
            <xdr:cNvPr id="8224" name="Spinner 32" hidden="1">
              <a:extLst>
                <a:ext uri="{63B3BB69-23CF-44E3-9099-C40C66FF867C}">
                  <a14:compatExt spid="_x0000_s8224"/>
                </a:ext>
                <a:ext uri="{FF2B5EF4-FFF2-40B4-BE49-F238E27FC236}">
                  <a16:creationId xmlns:a16="http://schemas.microsoft.com/office/drawing/2014/main" id="{00000000-0008-0000-0C00-000020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32</xdr:row>
          <xdr:rowOff>57150</xdr:rowOff>
        </xdr:from>
        <xdr:to>
          <xdr:col>2</xdr:col>
          <xdr:colOff>1543050</xdr:colOff>
          <xdr:row>32</xdr:row>
          <xdr:rowOff>238125</xdr:rowOff>
        </xdr:to>
        <xdr:sp macro="" textlink="">
          <xdr:nvSpPr>
            <xdr:cNvPr id="8228" name="Spinner 36" hidden="1">
              <a:extLst>
                <a:ext uri="{63B3BB69-23CF-44E3-9099-C40C66FF867C}">
                  <a14:compatExt spid="_x0000_s8228"/>
                </a:ext>
                <a:ext uri="{FF2B5EF4-FFF2-40B4-BE49-F238E27FC236}">
                  <a16:creationId xmlns:a16="http://schemas.microsoft.com/office/drawing/2014/main" id="{00000000-0008-0000-0C00-00002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20</xdr:row>
          <xdr:rowOff>57150</xdr:rowOff>
        </xdr:from>
        <xdr:to>
          <xdr:col>2</xdr:col>
          <xdr:colOff>1543050</xdr:colOff>
          <xdr:row>20</xdr:row>
          <xdr:rowOff>238125</xdr:rowOff>
        </xdr:to>
        <xdr:sp macro="" textlink="">
          <xdr:nvSpPr>
            <xdr:cNvPr id="8231" name="Spinner 39" hidden="1">
              <a:extLst>
                <a:ext uri="{63B3BB69-23CF-44E3-9099-C40C66FF867C}">
                  <a14:compatExt spid="_x0000_s8231"/>
                </a:ext>
                <a:ext uri="{FF2B5EF4-FFF2-40B4-BE49-F238E27FC236}">
                  <a16:creationId xmlns:a16="http://schemas.microsoft.com/office/drawing/2014/main" id="{00000000-0008-0000-0C00-00002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30</xdr:row>
          <xdr:rowOff>57150</xdr:rowOff>
        </xdr:from>
        <xdr:to>
          <xdr:col>2</xdr:col>
          <xdr:colOff>1543050</xdr:colOff>
          <xdr:row>30</xdr:row>
          <xdr:rowOff>238125</xdr:rowOff>
        </xdr:to>
        <xdr:sp macro="" textlink="">
          <xdr:nvSpPr>
            <xdr:cNvPr id="8232" name="Spinner 40" hidden="1">
              <a:extLst>
                <a:ext uri="{63B3BB69-23CF-44E3-9099-C40C66FF867C}">
                  <a14:compatExt spid="_x0000_s8232"/>
                </a:ext>
                <a:ext uri="{FF2B5EF4-FFF2-40B4-BE49-F238E27FC236}">
                  <a16:creationId xmlns:a16="http://schemas.microsoft.com/office/drawing/2014/main" id="{00000000-0008-0000-0C00-00002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28</xdr:row>
          <xdr:rowOff>0</xdr:rowOff>
        </xdr:from>
        <xdr:to>
          <xdr:col>3</xdr:col>
          <xdr:colOff>0</xdr:colOff>
          <xdr:row>28</xdr:row>
          <xdr:rowOff>0</xdr:rowOff>
        </xdr:to>
        <xdr:sp macro="" textlink="">
          <xdr:nvSpPr>
            <xdr:cNvPr id="8238" name="Spinner 46" hidden="1">
              <a:extLst>
                <a:ext uri="{63B3BB69-23CF-44E3-9099-C40C66FF867C}">
                  <a14:compatExt spid="_x0000_s8238"/>
                </a:ext>
                <a:ext uri="{FF2B5EF4-FFF2-40B4-BE49-F238E27FC236}">
                  <a16:creationId xmlns:a16="http://schemas.microsoft.com/office/drawing/2014/main" id="{00000000-0008-0000-0C00-00002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36</xdr:row>
          <xdr:rowOff>0</xdr:rowOff>
        </xdr:from>
        <xdr:to>
          <xdr:col>3</xdr:col>
          <xdr:colOff>0</xdr:colOff>
          <xdr:row>36</xdr:row>
          <xdr:rowOff>0</xdr:rowOff>
        </xdr:to>
        <xdr:sp macro="" textlink="">
          <xdr:nvSpPr>
            <xdr:cNvPr id="8239" name="Spinner 47" hidden="1">
              <a:extLst>
                <a:ext uri="{63B3BB69-23CF-44E3-9099-C40C66FF867C}">
                  <a14:compatExt spid="_x0000_s8239"/>
                </a:ext>
                <a:ext uri="{FF2B5EF4-FFF2-40B4-BE49-F238E27FC236}">
                  <a16:creationId xmlns:a16="http://schemas.microsoft.com/office/drawing/2014/main" id="{00000000-0008-0000-0C00-00002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46</xdr:row>
          <xdr:rowOff>57150</xdr:rowOff>
        </xdr:from>
        <xdr:to>
          <xdr:col>2</xdr:col>
          <xdr:colOff>1543050</xdr:colOff>
          <xdr:row>46</xdr:row>
          <xdr:rowOff>238125</xdr:rowOff>
        </xdr:to>
        <xdr:sp macro="" textlink="">
          <xdr:nvSpPr>
            <xdr:cNvPr id="8243" name="Spinner 51" hidden="1">
              <a:extLst>
                <a:ext uri="{63B3BB69-23CF-44E3-9099-C40C66FF867C}">
                  <a14:compatExt spid="_x0000_s8243"/>
                </a:ext>
                <a:ext uri="{FF2B5EF4-FFF2-40B4-BE49-F238E27FC236}">
                  <a16:creationId xmlns:a16="http://schemas.microsoft.com/office/drawing/2014/main" id="{00000000-0008-0000-0C00-00003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28</xdr:row>
          <xdr:rowOff>57150</xdr:rowOff>
        </xdr:from>
        <xdr:to>
          <xdr:col>2</xdr:col>
          <xdr:colOff>1543050</xdr:colOff>
          <xdr:row>28</xdr:row>
          <xdr:rowOff>238125</xdr:rowOff>
        </xdr:to>
        <xdr:sp macro="" textlink="">
          <xdr:nvSpPr>
            <xdr:cNvPr id="8244" name="Spinner 52" hidden="1">
              <a:extLst>
                <a:ext uri="{63B3BB69-23CF-44E3-9099-C40C66FF867C}">
                  <a14:compatExt spid="_x0000_s8244"/>
                </a:ext>
                <a:ext uri="{FF2B5EF4-FFF2-40B4-BE49-F238E27FC236}">
                  <a16:creationId xmlns:a16="http://schemas.microsoft.com/office/drawing/2014/main" id="{00000000-0008-0000-0C00-00003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36</xdr:row>
          <xdr:rowOff>57150</xdr:rowOff>
        </xdr:from>
        <xdr:to>
          <xdr:col>2</xdr:col>
          <xdr:colOff>1543050</xdr:colOff>
          <xdr:row>36</xdr:row>
          <xdr:rowOff>238125</xdr:rowOff>
        </xdr:to>
        <xdr:sp macro="" textlink="">
          <xdr:nvSpPr>
            <xdr:cNvPr id="2" name="Spinner 53" hidden="1">
              <a:extLst>
                <a:ext uri="{63B3BB69-23CF-44E3-9099-C40C66FF867C}">
                  <a14:compatExt spid="_x0000_s8245"/>
                </a:ext>
                <a:ext uri="{FF2B5EF4-FFF2-40B4-BE49-F238E27FC236}">
                  <a16:creationId xmlns:a16="http://schemas.microsoft.com/office/drawing/2014/main" id="{00000000-0008-0000-0C00-0000020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2</xdr:col>
      <xdr:colOff>1753619</xdr:colOff>
      <xdr:row>11</xdr:row>
      <xdr:rowOff>6329</xdr:rowOff>
    </xdr:from>
    <xdr:to>
      <xdr:col>8</xdr:col>
      <xdr:colOff>656884</xdr:colOff>
      <xdr:row>68</xdr:row>
      <xdr:rowOff>0</xdr:rowOff>
    </xdr:to>
    <xdr:graphicFrame macro="">
      <xdr:nvGraphicFramePr>
        <xdr:cNvPr id="8245" name="Chart 1">
          <a:extLst>
            <a:ext uri="{FF2B5EF4-FFF2-40B4-BE49-F238E27FC236}">
              <a16:creationId xmlns:a16="http://schemas.microsoft.com/office/drawing/2014/main" id="{00000000-0008-0000-0C00-00003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2428874</xdr:colOff>
      <xdr:row>9</xdr:row>
      <xdr:rowOff>11908</xdr:rowOff>
    </xdr:from>
    <xdr:to>
      <xdr:col>8</xdr:col>
      <xdr:colOff>750094</xdr:colOff>
      <xdr:row>58</xdr:row>
      <xdr:rowOff>0</xdr:rowOff>
    </xdr:to>
    <xdr:graphicFrame macro="">
      <xdr:nvGraphicFramePr>
        <xdr:cNvPr id="4162" name="Chart 1">
          <a:extLst>
            <a:ext uri="{FF2B5EF4-FFF2-40B4-BE49-F238E27FC236}">
              <a16:creationId xmlns:a16="http://schemas.microsoft.com/office/drawing/2014/main" id="{00000000-0008-0000-0D00-000042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738187</xdr:colOff>
      <xdr:row>9</xdr:row>
      <xdr:rowOff>16934</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406400" y="0"/>
          <a:ext cx="16655520" cy="1507067"/>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dietary fats &amp; oils- increased supplementation</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feeding supplements with high dietary fats to reduce</a:t>
          </a:r>
          <a:r>
            <a:rPr lang="en-AU" sz="1200" baseline="0">
              <a:solidFill>
                <a:schemeClr val="dk1"/>
              </a:solidFill>
              <a:latin typeface="+mn-lt"/>
              <a:ea typeface="+mn-ea"/>
              <a:cs typeface="+mn-cs"/>
            </a:rPr>
            <a:t> enteric methane production</a:t>
          </a:r>
          <a:r>
            <a:rPr lang="en-AU" sz="1200">
              <a:solidFill>
                <a:schemeClr val="dk1"/>
              </a:solidFill>
              <a:latin typeface="+mn-lt"/>
              <a:ea typeface="+mn-ea"/>
              <a:cs typeface="+mn-cs"/>
            </a:rPr>
            <a:t>.  The spreadsheet provides an estimate of the current enteric methane production per year (t CO</a:t>
          </a:r>
          <a:r>
            <a:rPr lang="en-AU" sz="1200" baseline="-25000">
              <a:solidFill>
                <a:schemeClr val="dk1"/>
              </a:solidFill>
              <a:latin typeface="+mn-lt"/>
              <a:ea typeface="+mn-ea"/>
              <a:cs typeface="+mn-cs"/>
            </a:rPr>
            <a:t>2</a:t>
          </a:r>
          <a:r>
            <a:rPr lang="en-AU" sz="1200">
              <a:solidFill>
                <a:schemeClr val="dk1"/>
              </a:solidFill>
              <a:latin typeface="+mn-lt"/>
              <a:ea typeface="+mn-ea"/>
              <a:cs typeface="+mn-cs"/>
            </a:rPr>
            <a:t>-e) from the milking herd based on herd size, milk production and diet digestibility. This spreadsheet estimates the potential level of abatement that can be achieved and calculates the overall potential economic benefit to the farm</a:t>
          </a:r>
          <a:r>
            <a:rPr lang="en-AU" sz="1100">
              <a:solidFill>
                <a:schemeClr val="dk1"/>
              </a:solidFill>
              <a:effectLst/>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endParaRPr lang="en-AU" sz="1200"/>
        </a:p>
      </xdr:txBody>
    </xdr:sp>
    <xdr:clientData/>
  </xdr:twoCellAnchor>
  <xdr:twoCellAnchor>
    <xdr:from>
      <xdr:col>1</xdr:col>
      <xdr:colOff>1309687</xdr:colOff>
      <xdr:row>60</xdr:row>
      <xdr:rowOff>30956</xdr:rowOff>
    </xdr:from>
    <xdr:to>
      <xdr:col>3</xdr:col>
      <xdr:colOff>21431</xdr:colOff>
      <xdr:row>62</xdr:row>
      <xdr:rowOff>230981</xdr:rowOff>
    </xdr:to>
    <xdr:sp macro="" textlink="">
      <xdr:nvSpPr>
        <xdr:cNvPr id="15" name="TextBox 14">
          <a:hlinkClick xmlns:r="http://schemas.openxmlformats.org/officeDocument/2006/relationships" r:id="rId2"/>
          <a:extLst>
            <a:ext uri="{FF2B5EF4-FFF2-40B4-BE49-F238E27FC236}">
              <a16:creationId xmlns:a16="http://schemas.microsoft.com/office/drawing/2014/main" id="{00000000-0008-0000-0D00-00000F000000}"/>
            </a:ext>
          </a:extLst>
        </xdr:cNvPr>
        <xdr:cNvSpPr txBox="1"/>
      </xdr:nvSpPr>
      <xdr:spPr>
        <a:xfrm>
          <a:off x="1309687" y="9996487"/>
          <a:ext cx="58674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a:t>
          </a:r>
          <a:r>
            <a:rPr lang="en-AU" sz="2800" baseline="0"/>
            <a:t> farm sheet</a:t>
          </a:r>
          <a:endParaRPr lang="en-AU" sz="2800"/>
        </a:p>
      </xdr:txBody>
    </xdr:sp>
    <xdr:clientData/>
  </xdr:twoCellAnchor>
  <mc:AlternateContent xmlns:mc="http://schemas.openxmlformats.org/markup-compatibility/2006">
    <mc:Choice xmlns:a14="http://schemas.microsoft.com/office/drawing/2010/main" Requires="a14">
      <xdr:twoCellAnchor>
        <xdr:from>
          <xdr:col>2</xdr:col>
          <xdr:colOff>1685925</xdr:colOff>
          <xdr:row>18</xdr:row>
          <xdr:rowOff>47625</xdr:rowOff>
        </xdr:from>
        <xdr:to>
          <xdr:col>2</xdr:col>
          <xdr:colOff>2028825</xdr:colOff>
          <xdr:row>18</xdr:row>
          <xdr:rowOff>228600</xdr:rowOff>
        </xdr:to>
        <xdr:sp macro="" textlink="">
          <xdr:nvSpPr>
            <xdr:cNvPr id="4139" name="Spinner 43" hidden="1">
              <a:extLst>
                <a:ext uri="{63B3BB69-23CF-44E3-9099-C40C66FF867C}">
                  <a14:compatExt spid="_x0000_s4139"/>
                </a:ext>
                <a:ext uri="{FF2B5EF4-FFF2-40B4-BE49-F238E27FC236}">
                  <a16:creationId xmlns:a16="http://schemas.microsoft.com/office/drawing/2014/main" id="{00000000-0008-0000-0D00-00002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26</xdr:row>
          <xdr:rowOff>47625</xdr:rowOff>
        </xdr:from>
        <xdr:to>
          <xdr:col>2</xdr:col>
          <xdr:colOff>2028825</xdr:colOff>
          <xdr:row>26</xdr:row>
          <xdr:rowOff>228600</xdr:rowOff>
        </xdr:to>
        <xdr:sp macro="" textlink="">
          <xdr:nvSpPr>
            <xdr:cNvPr id="4143" name="Spinner 47" hidden="1">
              <a:extLst>
                <a:ext uri="{63B3BB69-23CF-44E3-9099-C40C66FF867C}">
                  <a14:compatExt spid="_x0000_s4143"/>
                </a:ext>
                <a:ext uri="{FF2B5EF4-FFF2-40B4-BE49-F238E27FC236}">
                  <a16:creationId xmlns:a16="http://schemas.microsoft.com/office/drawing/2014/main" id="{00000000-0008-0000-0D00-00002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22</xdr:row>
          <xdr:rowOff>57150</xdr:rowOff>
        </xdr:from>
        <xdr:to>
          <xdr:col>2</xdr:col>
          <xdr:colOff>2028825</xdr:colOff>
          <xdr:row>22</xdr:row>
          <xdr:rowOff>247650</xdr:rowOff>
        </xdr:to>
        <xdr:sp macro="" textlink="">
          <xdr:nvSpPr>
            <xdr:cNvPr id="4144" name="Spinner 48" hidden="1">
              <a:extLst>
                <a:ext uri="{63B3BB69-23CF-44E3-9099-C40C66FF867C}">
                  <a14:compatExt spid="_x0000_s4144"/>
                </a:ext>
                <a:ext uri="{FF2B5EF4-FFF2-40B4-BE49-F238E27FC236}">
                  <a16:creationId xmlns:a16="http://schemas.microsoft.com/office/drawing/2014/main" id="{00000000-0008-0000-0D00-00003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28</xdr:row>
          <xdr:rowOff>47625</xdr:rowOff>
        </xdr:from>
        <xdr:to>
          <xdr:col>2</xdr:col>
          <xdr:colOff>2028825</xdr:colOff>
          <xdr:row>28</xdr:row>
          <xdr:rowOff>228600</xdr:rowOff>
        </xdr:to>
        <xdr:sp macro="" textlink="">
          <xdr:nvSpPr>
            <xdr:cNvPr id="4145" name="Spinner 49" hidden="1">
              <a:extLst>
                <a:ext uri="{63B3BB69-23CF-44E3-9099-C40C66FF867C}">
                  <a14:compatExt spid="_x0000_s4145"/>
                </a:ext>
                <a:ext uri="{FF2B5EF4-FFF2-40B4-BE49-F238E27FC236}">
                  <a16:creationId xmlns:a16="http://schemas.microsoft.com/office/drawing/2014/main" id="{00000000-0008-0000-0D00-00003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32</xdr:row>
          <xdr:rowOff>47625</xdr:rowOff>
        </xdr:from>
        <xdr:to>
          <xdr:col>2</xdr:col>
          <xdr:colOff>2028825</xdr:colOff>
          <xdr:row>32</xdr:row>
          <xdr:rowOff>228600</xdr:rowOff>
        </xdr:to>
        <xdr:sp macro="" textlink="">
          <xdr:nvSpPr>
            <xdr:cNvPr id="4147" name="Spinner 51" hidden="1">
              <a:extLst>
                <a:ext uri="{63B3BB69-23CF-44E3-9099-C40C66FF867C}">
                  <a14:compatExt spid="_x0000_s4147"/>
                </a:ext>
                <a:ext uri="{FF2B5EF4-FFF2-40B4-BE49-F238E27FC236}">
                  <a16:creationId xmlns:a16="http://schemas.microsoft.com/office/drawing/2014/main" id="{00000000-0008-0000-0D00-00003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30</xdr:row>
          <xdr:rowOff>47625</xdr:rowOff>
        </xdr:from>
        <xdr:to>
          <xdr:col>2</xdr:col>
          <xdr:colOff>2028825</xdr:colOff>
          <xdr:row>30</xdr:row>
          <xdr:rowOff>228600</xdr:rowOff>
        </xdr:to>
        <xdr:sp macro="" textlink="">
          <xdr:nvSpPr>
            <xdr:cNvPr id="4148" name="Spinner 52" hidden="1">
              <a:extLst>
                <a:ext uri="{63B3BB69-23CF-44E3-9099-C40C66FF867C}">
                  <a14:compatExt spid="_x0000_s4148"/>
                </a:ext>
                <a:ext uri="{FF2B5EF4-FFF2-40B4-BE49-F238E27FC236}">
                  <a16:creationId xmlns:a16="http://schemas.microsoft.com/office/drawing/2014/main" id="{00000000-0008-0000-0D00-00003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34</xdr:row>
          <xdr:rowOff>47625</xdr:rowOff>
        </xdr:from>
        <xdr:to>
          <xdr:col>2</xdr:col>
          <xdr:colOff>2028825</xdr:colOff>
          <xdr:row>34</xdr:row>
          <xdr:rowOff>228600</xdr:rowOff>
        </xdr:to>
        <xdr:sp macro="" textlink="">
          <xdr:nvSpPr>
            <xdr:cNvPr id="4149" name="Spinner 53" hidden="1">
              <a:extLst>
                <a:ext uri="{63B3BB69-23CF-44E3-9099-C40C66FF867C}">
                  <a14:compatExt spid="_x0000_s4149"/>
                </a:ext>
                <a:ext uri="{FF2B5EF4-FFF2-40B4-BE49-F238E27FC236}">
                  <a16:creationId xmlns:a16="http://schemas.microsoft.com/office/drawing/2014/main" id="{00000000-0008-0000-0D00-00003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38</xdr:row>
          <xdr:rowOff>47625</xdr:rowOff>
        </xdr:from>
        <xdr:to>
          <xdr:col>2</xdr:col>
          <xdr:colOff>2028825</xdr:colOff>
          <xdr:row>38</xdr:row>
          <xdr:rowOff>228600</xdr:rowOff>
        </xdr:to>
        <xdr:sp macro="" textlink="">
          <xdr:nvSpPr>
            <xdr:cNvPr id="4152" name="Spinner 56" hidden="1">
              <a:extLst>
                <a:ext uri="{63B3BB69-23CF-44E3-9099-C40C66FF867C}">
                  <a14:compatExt spid="_x0000_s4152"/>
                </a:ext>
                <a:ext uri="{FF2B5EF4-FFF2-40B4-BE49-F238E27FC236}">
                  <a16:creationId xmlns:a16="http://schemas.microsoft.com/office/drawing/2014/main" id="{00000000-0008-0000-0D00-00003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36</xdr:row>
          <xdr:rowOff>47625</xdr:rowOff>
        </xdr:from>
        <xdr:to>
          <xdr:col>2</xdr:col>
          <xdr:colOff>2028825</xdr:colOff>
          <xdr:row>36</xdr:row>
          <xdr:rowOff>228600</xdr:rowOff>
        </xdr:to>
        <xdr:sp macro="" textlink="">
          <xdr:nvSpPr>
            <xdr:cNvPr id="4166" name="Spinner 70" hidden="1">
              <a:extLst>
                <a:ext uri="{63B3BB69-23CF-44E3-9099-C40C66FF867C}">
                  <a14:compatExt spid="_x0000_s4166"/>
                </a:ext>
                <a:ext uri="{FF2B5EF4-FFF2-40B4-BE49-F238E27FC236}">
                  <a16:creationId xmlns:a16="http://schemas.microsoft.com/office/drawing/2014/main" id="{00000000-0008-0000-0D00-00004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1685925</xdr:colOff>
          <xdr:row>20</xdr:row>
          <xdr:rowOff>57150</xdr:rowOff>
        </xdr:from>
        <xdr:to>
          <xdr:col>2</xdr:col>
          <xdr:colOff>2028825</xdr:colOff>
          <xdr:row>20</xdr:row>
          <xdr:rowOff>228600</xdr:rowOff>
        </xdr:to>
        <xdr:sp macro="" textlink="">
          <xdr:nvSpPr>
            <xdr:cNvPr id="4173" name="Spinner 77" hidden="1">
              <a:extLst>
                <a:ext uri="{63B3BB69-23CF-44E3-9099-C40C66FF867C}">
                  <a14:compatExt spid="_x0000_s4173"/>
                </a:ext>
                <a:ext uri="{FF2B5EF4-FFF2-40B4-BE49-F238E27FC236}">
                  <a16:creationId xmlns:a16="http://schemas.microsoft.com/office/drawing/2014/main" id="{00000000-0008-0000-0D00-00004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1695450</xdr:colOff>
          <xdr:row>24</xdr:row>
          <xdr:rowOff>47625</xdr:rowOff>
        </xdr:from>
        <xdr:to>
          <xdr:col>2</xdr:col>
          <xdr:colOff>2038350</xdr:colOff>
          <xdr:row>24</xdr:row>
          <xdr:rowOff>247650</xdr:rowOff>
        </xdr:to>
        <xdr:sp macro="" textlink="">
          <xdr:nvSpPr>
            <xdr:cNvPr id="4174" name="Spinner 78" hidden="1">
              <a:extLst>
                <a:ext uri="{63B3BB69-23CF-44E3-9099-C40C66FF867C}">
                  <a14:compatExt spid="_x0000_s4174"/>
                </a:ext>
                <a:ext uri="{FF2B5EF4-FFF2-40B4-BE49-F238E27FC236}">
                  <a16:creationId xmlns:a16="http://schemas.microsoft.com/office/drawing/2014/main" id="{00000000-0008-0000-0D00-00004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1</xdr:colOff>
      <xdr:row>9</xdr:row>
      <xdr:rowOff>11377</xdr:rowOff>
    </xdr:from>
    <xdr:to>
      <xdr:col>8</xdr:col>
      <xdr:colOff>676276</xdr:colOff>
      <xdr:row>54</xdr:row>
      <xdr:rowOff>10584</xdr:rowOff>
    </xdr:to>
    <xdr:graphicFrame macro="">
      <xdr:nvGraphicFramePr>
        <xdr:cNvPr id="15395" name="Chart 1">
          <a:extLst>
            <a:ext uri="{FF2B5EF4-FFF2-40B4-BE49-F238E27FC236}">
              <a16:creationId xmlns:a16="http://schemas.microsoft.com/office/drawing/2014/main" id="{00000000-0008-0000-0E00-000023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9</xdr:row>
      <xdr:rowOff>25400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457200" y="0"/>
          <a:ext cx="15907808" cy="15494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Reducing the GHG emission intensity of milk production by feeding higher quality supplements</a:t>
          </a:r>
        </a:p>
        <a:p>
          <a:pPr eaLnBrk="1" fontAlgn="auto" latinLnBrk="0" hangingPunct="1"/>
          <a:r>
            <a:rPr lang="en-AU" sz="1200">
              <a:solidFill>
                <a:schemeClr val="dk1"/>
              </a:solidFill>
              <a:latin typeface="+mn-lt"/>
              <a:ea typeface="+mn-ea"/>
              <a:cs typeface="+mn-cs"/>
            </a:rPr>
            <a:t>This spreadsheet is setup to help producers examine the validity of adopting the strategy of feeding of  supplements higher in </a:t>
          </a:r>
          <a:r>
            <a:rPr lang="en-AU" sz="1200" baseline="0">
              <a:solidFill>
                <a:schemeClr val="dk1"/>
              </a:solidFill>
              <a:latin typeface="+mn-lt"/>
              <a:ea typeface="+mn-ea"/>
              <a:cs typeface="+mn-cs"/>
            </a:rPr>
            <a:t> digestibility to improve milk production and thus reduce the GHG emissions intensity of milk production. </a:t>
          </a:r>
          <a:r>
            <a:rPr lang="en-AU" sz="1200">
              <a:solidFill>
                <a:schemeClr val="dk1"/>
              </a:solidFill>
              <a:latin typeface="+mn-lt"/>
              <a:ea typeface="+mn-ea"/>
              <a:cs typeface="+mn-cs"/>
            </a:rPr>
            <a:t> Improving diet</a:t>
          </a:r>
          <a:r>
            <a:rPr lang="en-AU" sz="1200" baseline="0">
              <a:solidFill>
                <a:schemeClr val="dk1"/>
              </a:solidFill>
              <a:latin typeface="+mn-lt"/>
              <a:ea typeface="+mn-ea"/>
              <a:cs typeface="+mn-cs"/>
            </a:rPr>
            <a:t> digestibility will result in increase diet intake and therefore enteric methane production.  However the improved diet will also supply additional energy to improve milk production and thus dilute the increased GHG emissions.  </a:t>
          </a:r>
          <a:r>
            <a:rPr lang="en-AU" sz="1200">
              <a:solidFill>
                <a:schemeClr val="dk1"/>
              </a:solidFill>
              <a:latin typeface="+mn-lt"/>
              <a:ea typeface="+mn-ea"/>
              <a:cs typeface="+mn-cs"/>
            </a:rPr>
            <a:t>This spreadsheet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energy intake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446314</xdr:colOff>
      <xdr:row>56</xdr:row>
      <xdr:rowOff>9525</xdr:rowOff>
    </xdr:from>
    <xdr:to>
      <xdr:col>2</xdr:col>
      <xdr:colOff>1809750</xdr:colOff>
      <xdr:row>59</xdr:row>
      <xdr:rowOff>19050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E00-000004000000}"/>
            </a:ext>
          </a:extLst>
        </xdr:cNvPr>
        <xdr:cNvSpPr txBox="1"/>
      </xdr:nvSpPr>
      <xdr:spPr>
        <a:xfrm>
          <a:off x="674914" y="11156496"/>
          <a:ext cx="7056665" cy="49938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1238250</xdr:colOff>
          <xdr:row>18</xdr:row>
          <xdr:rowOff>57150</xdr:rowOff>
        </xdr:from>
        <xdr:to>
          <xdr:col>2</xdr:col>
          <xdr:colOff>1581150</xdr:colOff>
          <xdr:row>18</xdr:row>
          <xdr:rowOff>247650</xdr:rowOff>
        </xdr:to>
        <xdr:sp macro="" textlink="">
          <xdr:nvSpPr>
            <xdr:cNvPr id="15402" name="Spinner 42" hidden="1">
              <a:extLst>
                <a:ext uri="{63B3BB69-23CF-44E3-9099-C40C66FF867C}">
                  <a14:compatExt spid="_x0000_s15402"/>
                </a:ext>
                <a:ext uri="{FF2B5EF4-FFF2-40B4-BE49-F238E27FC236}">
                  <a16:creationId xmlns:a16="http://schemas.microsoft.com/office/drawing/2014/main" id="{00000000-0008-0000-0E00-00002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20</xdr:row>
          <xdr:rowOff>57150</xdr:rowOff>
        </xdr:from>
        <xdr:to>
          <xdr:col>2</xdr:col>
          <xdr:colOff>1581150</xdr:colOff>
          <xdr:row>20</xdr:row>
          <xdr:rowOff>247650</xdr:rowOff>
        </xdr:to>
        <xdr:sp macro="" textlink="">
          <xdr:nvSpPr>
            <xdr:cNvPr id="15403" name="Spinner 43" hidden="1">
              <a:extLst>
                <a:ext uri="{63B3BB69-23CF-44E3-9099-C40C66FF867C}">
                  <a14:compatExt spid="_x0000_s15403"/>
                </a:ext>
                <a:ext uri="{FF2B5EF4-FFF2-40B4-BE49-F238E27FC236}">
                  <a16:creationId xmlns:a16="http://schemas.microsoft.com/office/drawing/2014/main" id="{00000000-0008-0000-0E00-00002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24</xdr:row>
          <xdr:rowOff>57150</xdr:rowOff>
        </xdr:from>
        <xdr:to>
          <xdr:col>2</xdr:col>
          <xdr:colOff>1581150</xdr:colOff>
          <xdr:row>24</xdr:row>
          <xdr:rowOff>247650</xdr:rowOff>
        </xdr:to>
        <xdr:sp macro="" textlink="">
          <xdr:nvSpPr>
            <xdr:cNvPr id="15405" name="Spinner 45" hidden="1">
              <a:extLst>
                <a:ext uri="{63B3BB69-23CF-44E3-9099-C40C66FF867C}">
                  <a14:compatExt spid="_x0000_s15405"/>
                </a:ext>
                <a:ext uri="{FF2B5EF4-FFF2-40B4-BE49-F238E27FC236}">
                  <a16:creationId xmlns:a16="http://schemas.microsoft.com/office/drawing/2014/main" id="{00000000-0008-0000-0E00-00002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26</xdr:row>
          <xdr:rowOff>57150</xdr:rowOff>
        </xdr:from>
        <xdr:to>
          <xdr:col>2</xdr:col>
          <xdr:colOff>1581150</xdr:colOff>
          <xdr:row>26</xdr:row>
          <xdr:rowOff>247650</xdr:rowOff>
        </xdr:to>
        <xdr:sp macro="" textlink="">
          <xdr:nvSpPr>
            <xdr:cNvPr id="15409" name="Spinner 49" hidden="1">
              <a:extLst>
                <a:ext uri="{63B3BB69-23CF-44E3-9099-C40C66FF867C}">
                  <a14:compatExt spid="_x0000_s15409"/>
                </a:ext>
                <a:ext uri="{FF2B5EF4-FFF2-40B4-BE49-F238E27FC236}">
                  <a16:creationId xmlns:a16="http://schemas.microsoft.com/office/drawing/2014/main" id="{00000000-0008-0000-0E00-00003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28</xdr:row>
          <xdr:rowOff>57150</xdr:rowOff>
        </xdr:from>
        <xdr:to>
          <xdr:col>2</xdr:col>
          <xdr:colOff>1581150</xdr:colOff>
          <xdr:row>28</xdr:row>
          <xdr:rowOff>238125</xdr:rowOff>
        </xdr:to>
        <xdr:sp macro="" textlink="">
          <xdr:nvSpPr>
            <xdr:cNvPr id="15410" name="Spinner 50" hidden="1">
              <a:extLst>
                <a:ext uri="{63B3BB69-23CF-44E3-9099-C40C66FF867C}">
                  <a14:compatExt spid="_x0000_s15410"/>
                </a:ext>
                <a:ext uri="{FF2B5EF4-FFF2-40B4-BE49-F238E27FC236}">
                  <a16:creationId xmlns:a16="http://schemas.microsoft.com/office/drawing/2014/main" id="{00000000-0008-0000-0E00-00003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30</xdr:row>
          <xdr:rowOff>57150</xdr:rowOff>
        </xdr:from>
        <xdr:to>
          <xdr:col>2</xdr:col>
          <xdr:colOff>1581150</xdr:colOff>
          <xdr:row>30</xdr:row>
          <xdr:rowOff>238125</xdr:rowOff>
        </xdr:to>
        <xdr:sp macro="" textlink="">
          <xdr:nvSpPr>
            <xdr:cNvPr id="15412" name="Spinner 52" hidden="1">
              <a:extLst>
                <a:ext uri="{63B3BB69-23CF-44E3-9099-C40C66FF867C}">
                  <a14:compatExt spid="_x0000_s15412"/>
                </a:ext>
                <a:ext uri="{FF2B5EF4-FFF2-40B4-BE49-F238E27FC236}">
                  <a16:creationId xmlns:a16="http://schemas.microsoft.com/office/drawing/2014/main" id="{00000000-0008-0000-0E00-00003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34</xdr:row>
          <xdr:rowOff>47625</xdr:rowOff>
        </xdr:from>
        <xdr:to>
          <xdr:col>2</xdr:col>
          <xdr:colOff>1581150</xdr:colOff>
          <xdr:row>34</xdr:row>
          <xdr:rowOff>247650</xdr:rowOff>
        </xdr:to>
        <xdr:sp macro="" textlink="">
          <xdr:nvSpPr>
            <xdr:cNvPr id="15414" name="Spinner 54" hidden="1">
              <a:extLst>
                <a:ext uri="{63B3BB69-23CF-44E3-9099-C40C66FF867C}">
                  <a14:compatExt spid="_x0000_s15414"/>
                </a:ext>
                <a:ext uri="{FF2B5EF4-FFF2-40B4-BE49-F238E27FC236}">
                  <a16:creationId xmlns:a16="http://schemas.microsoft.com/office/drawing/2014/main" id="{00000000-0008-0000-0E00-00003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32</xdr:row>
          <xdr:rowOff>57150</xdr:rowOff>
        </xdr:from>
        <xdr:to>
          <xdr:col>2</xdr:col>
          <xdr:colOff>1581150</xdr:colOff>
          <xdr:row>32</xdr:row>
          <xdr:rowOff>247650</xdr:rowOff>
        </xdr:to>
        <xdr:sp macro="" textlink="">
          <xdr:nvSpPr>
            <xdr:cNvPr id="15422" name="Spinner 62" hidden="1">
              <a:extLst>
                <a:ext uri="{63B3BB69-23CF-44E3-9099-C40C66FF867C}">
                  <a14:compatExt spid="_x0000_s15422"/>
                </a:ext>
                <a:ext uri="{FF2B5EF4-FFF2-40B4-BE49-F238E27FC236}">
                  <a16:creationId xmlns:a16="http://schemas.microsoft.com/office/drawing/2014/main" id="{00000000-0008-0000-0E00-00003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22</xdr:row>
          <xdr:rowOff>66675</xdr:rowOff>
        </xdr:from>
        <xdr:to>
          <xdr:col>2</xdr:col>
          <xdr:colOff>1581150</xdr:colOff>
          <xdr:row>23</xdr:row>
          <xdr:rowOff>0</xdr:rowOff>
        </xdr:to>
        <xdr:sp macro="" textlink="">
          <xdr:nvSpPr>
            <xdr:cNvPr id="15425" name="Spinner 65" hidden="1">
              <a:extLst>
                <a:ext uri="{63B3BB69-23CF-44E3-9099-C40C66FF867C}">
                  <a14:compatExt spid="_x0000_s15425"/>
                </a:ext>
                <a:ext uri="{FF2B5EF4-FFF2-40B4-BE49-F238E27FC236}">
                  <a16:creationId xmlns:a16="http://schemas.microsoft.com/office/drawing/2014/main" id="{00000000-0008-0000-0E00-00004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11905</xdr:colOff>
      <xdr:row>8</xdr:row>
      <xdr:rowOff>1325</xdr:rowOff>
    </xdr:from>
    <xdr:to>
      <xdr:col>8</xdr:col>
      <xdr:colOff>726281</xdr:colOff>
      <xdr:row>50</xdr:row>
      <xdr:rowOff>232835</xdr:rowOff>
    </xdr:to>
    <xdr:graphicFrame macro="">
      <xdr:nvGraphicFramePr>
        <xdr:cNvPr id="5192" name="Chart 1">
          <a:extLst>
            <a:ext uri="{FF2B5EF4-FFF2-40B4-BE49-F238E27FC236}">
              <a16:creationId xmlns:a16="http://schemas.microsoft.com/office/drawing/2014/main" id="{00000000-0008-0000-0F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726281</xdr:colOff>
      <xdr:row>8</xdr:row>
      <xdr:rowOff>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392906" y="0"/>
          <a:ext cx="15990094" cy="15240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10000"/>
            </a:lnSpc>
            <a:spcBef>
              <a:spcPts val="0"/>
            </a:spcBef>
            <a:spcAft>
              <a:spcPts val="0"/>
            </a:spcAft>
            <a:buClrTx/>
            <a:buSzTx/>
            <a:buFontTx/>
            <a:buNone/>
            <a:tabLst/>
            <a:defRPr/>
          </a:pPr>
          <a:r>
            <a:rPr lang="en-AU" sz="2200" b="1" baseline="0">
              <a:solidFill>
                <a:schemeClr val="dk1"/>
              </a:solidFill>
              <a:latin typeface="+mn-lt"/>
              <a:ea typeface="+mn-ea"/>
              <a:cs typeface="+mn-cs"/>
            </a:rPr>
            <a:t>Reducing the GHG emission intensity of milk production by improved management</a:t>
          </a:r>
          <a:endParaRPr lang="en-AU" sz="2200" b="1" baseline="0"/>
        </a:p>
        <a:p>
          <a:pPr eaLnBrk="1" fontAlgn="auto" latinLnBrk="0" hangingPunct="1"/>
          <a:r>
            <a:rPr lang="en-AU" sz="1200">
              <a:solidFill>
                <a:schemeClr val="dk1"/>
              </a:solidFill>
              <a:latin typeface="+mn-lt"/>
              <a:ea typeface="+mn-ea"/>
              <a:cs typeface="+mn-cs"/>
            </a:rPr>
            <a:t>This spreadsheet is setup to help producers examine the validity of adopting the strategy of improving diet digestibility through management</a:t>
          </a:r>
          <a:r>
            <a:rPr lang="en-AU" sz="1200" baseline="0">
              <a:solidFill>
                <a:schemeClr val="dk1"/>
              </a:solidFill>
              <a:latin typeface="+mn-lt"/>
              <a:ea typeface="+mn-ea"/>
              <a:cs typeface="+mn-cs"/>
            </a:rPr>
            <a:t> practices </a:t>
          </a:r>
          <a:r>
            <a:rPr lang="en-AU" sz="1200">
              <a:solidFill>
                <a:schemeClr val="dk1"/>
              </a:solidFill>
              <a:latin typeface="+mn-lt"/>
              <a:ea typeface="+mn-ea"/>
              <a:cs typeface="+mn-cs"/>
            </a:rPr>
            <a:t>to assist in </a:t>
          </a:r>
          <a:r>
            <a:rPr lang="en-AU" sz="1200" baseline="0">
              <a:solidFill>
                <a:schemeClr val="dk1"/>
              </a:solidFill>
              <a:latin typeface="+mn-lt"/>
              <a:ea typeface="+mn-ea"/>
              <a:cs typeface="+mn-cs"/>
            </a:rPr>
            <a:t>improving milk production and thus reduce the GHG emissions intensity of milk production</a:t>
          </a:r>
          <a:r>
            <a:rPr lang="en-AU" sz="1200">
              <a:solidFill>
                <a:schemeClr val="dk1"/>
              </a:solidFill>
              <a:latin typeface="+mn-lt"/>
              <a:ea typeface="+mn-ea"/>
              <a:cs typeface="+mn-cs"/>
            </a:rPr>
            <a:t>.  The spreadsheet provides an estimate of the current enteric methane production per year (t CO</a:t>
          </a:r>
          <a:r>
            <a:rPr lang="en-AU" sz="1200" baseline="-25000">
              <a:solidFill>
                <a:schemeClr val="dk1"/>
              </a:solidFill>
              <a:latin typeface="+mn-lt"/>
              <a:ea typeface="+mn-ea"/>
              <a:cs typeface="+mn-cs"/>
            </a:rPr>
            <a:t>2</a:t>
          </a:r>
          <a:r>
            <a:rPr lang="en-AU" sz="1200">
              <a:solidFill>
                <a:schemeClr val="dk1"/>
              </a:solidFill>
              <a:latin typeface="+mn-lt"/>
              <a:ea typeface="+mn-ea"/>
              <a:cs typeface="+mn-cs"/>
            </a:rPr>
            <a:t>-e) from the milking herd based on herd size, milk production and diet digestibility.   This spreadsheet estimates the potential level of abatement that can be achieved and calculates the overall potential economic benefit to the farm</a:t>
          </a:r>
          <a:r>
            <a:rPr lang="en-AU" sz="1100">
              <a:solidFill>
                <a:schemeClr val="dk1"/>
              </a:solidFill>
              <a:effectLst/>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fat concentration of the diet and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9</xdr:col>
      <xdr:colOff>390525</xdr:colOff>
      <xdr:row>225</xdr:row>
      <xdr:rowOff>19050</xdr:rowOff>
    </xdr:from>
    <xdr:to>
      <xdr:col>13</xdr:col>
      <xdr:colOff>504825</xdr:colOff>
      <xdr:row>239</xdr:row>
      <xdr:rowOff>95250</xdr:rowOff>
    </xdr:to>
    <xdr:graphicFrame macro="">
      <xdr:nvGraphicFramePr>
        <xdr:cNvPr id="5194" name="Chart 3">
          <a:extLst>
            <a:ext uri="{FF2B5EF4-FFF2-40B4-BE49-F238E27FC236}">
              <a16:creationId xmlns:a16="http://schemas.microsoft.com/office/drawing/2014/main" id="{00000000-0008-0000-0F00-00004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1019175</xdr:colOff>
      <xdr:row>253</xdr:row>
      <xdr:rowOff>161925</xdr:rowOff>
    </xdr:from>
    <xdr:to>
      <xdr:col>3</xdr:col>
      <xdr:colOff>2981325</xdr:colOff>
      <xdr:row>291</xdr:row>
      <xdr:rowOff>123825</xdr:rowOff>
    </xdr:to>
    <xdr:grpSp>
      <xdr:nvGrpSpPr>
        <xdr:cNvPr id="5195" name="Group 6">
          <a:extLst>
            <a:ext uri="{FF2B5EF4-FFF2-40B4-BE49-F238E27FC236}">
              <a16:creationId xmlns:a16="http://schemas.microsoft.com/office/drawing/2014/main" id="{00000000-0008-0000-0F00-00004B140000}"/>
            </a:ext>
          </a:extLst>
        </xdr:cNvPr>
        <xdr:cNvGrpSpPr>
          <a:grpSpLocks/>
        </xdr:cNvGrpSpPr>
      </xdr:nvGrpSpPr>
      <xdr:grpSpPr bwMode="auto">
        <a:xfrm>
          <a:off x="1236889" y="11620500"/>
          <a:ext cx="9568543" cy="0"/>
          <a:chOff x="611560" y="188640"/>
          <a:chExt cx="7839075" cy="7203132"/>
        </a:xfrm>
      </xdr:grpSpPr>
      <xdr:pic>
        <xdr:nvPicPr>
          <xdr:cNvPr id="5200" name="Picture 7">
            <a:extLst>
              <a:ext uri="{FF2B5EF4-FFF2-40B4-BE49-F238E27FC236}">
                <a16:creationId xmlns:a16="http://schemas.microsoft.com/office/drawing/2014/main" id="{00000000-0008-0000-0F00-000050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11560" y="188640"/>
            <a:ext cx="7724775" cy="3933825"/>
          </a:xfrm>
          <a:prstGeom prst="rect">
            <a:avLst/>
          </a:prstGeom>
          <a:noFill/>
          <a:ln w="9525">
            <a:noFill/>
            <a:miter lim="800000"/>
            <a:headEnd/>
            <a:tailEnd/>
          </a:ln>
        </xdr:spPr>
      </xdr:pic>
      <xdr:pic>
        <xdr:nvPicPr>
          <xdr:cNvPr id="5201" name="Picture 8">
            <a:extLst>
              <a:ext uri="{FF2B5EF4-FFF2-40B4-BE49-F238E27FC236}">
                <a16:creationId xmlns:a16="http://schemas.microsoft.com/office/drawing/2014/main" id="{00000000-0008-0000-0F00-000051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11560" y="4077072"/>
            <a:ext cx="7839075" cy="3314700"/>
          </a:xfrm>
          <a:prstGeom prst="rect">
            <a:avLst/>
          </a:prstGeom>
          <a:noFill/>
          <a:ln w="9525">
            <a:noFill/>
            <a:miter lim="800000"/>
            <a:headEnd/>
            <a:tailEnd/>
          </a:ln>
        </xdr:spPr>
      </xdr:pic>
    </xdr:grpSp>
    <xdr:clientData/>
  </xdr:twoCellAnchor>
  <xdr:twoCellAnchor>
    <xdr:from>
      <xdr:col>4</xdr:col>
      <xdr:colOff>0</xdr:colOff>
      <xdr:row>253</xdr:row>
      <xdr:rowOff>38100</xdr:rowOff>
    </xdr:from>
    <xdr:to>
      <xdr:col>11</xdr:col>
      <xdr:colOff>266700</xdr:colOff>
      <xdr:row>292</xdr:row>
      <xdr:rowOff>142875</xdr:rowOff>
    </xdr:to>
    <xdr:grpSp>
      <xdr:nvGrpSpPr>
        <xdr:cNvPr id="5196" name="Group 10">
          <a:extLst>
            <a:ext uri="{FF2B5EF4-FFF2-40B4-BE49-F238E27FC236}">
              <a16:creationId xmlns:a16="http://schemas.microsoft.com/office/drawing/2014/main" id="{00000000-0008-0000-0F00-00004C140000}"/>
            </a:ext>
          </a:extLst>
        </xdr:cNvPr>
        <xdr:cNvGrpSpPr>
          <a:grpSpLocks/>
        </xdr:cNvGrpSpPr>
      </xdr:nvGrpSpPr>
      <xdr:grpSpPr bwMode="auto">
        <a:xfrm>
          <a:off x="10885714" y="11620500"/>
          <a:ext cx="8077200" cy="0"/>
          <a:chOff x="467544" y="0"/>
          <a:chExt cx="8066856" cy="7533456"/>
        </a:xfrm>
      </xdr:grpSpPr>
      <xdr:pic>
        <xdr:nvPicPr>
          <xdr:cNvPr id="5198" name="Picture 11">
            <a:extLst>
              <a:ext uri="{FF2B5EF4-FFF2-40B4-BE49-F238E27FC236}">
                <a16:creationId xmlns:a16="http://schemas.microsoft.com/office/drawing/2014/main" id="{00000000-0008-0000-0F00-00004E1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67544" y="0"/>
            <a:ext cx="7953375" cy="4048125"/>
          </a:xfrm>
          <a:prstGeom prst="rect">
            <a:avLst/>
          </a:prstGeom>
          <a:noFill/>
          <a:ln w="9525">
            <a:noFill/>
            <a:miter lim="800000"/>
            <a:headEnd/>
            <a:tailEnd/>
          </a:ln>
        </xdr:spPr>
      </xdr:pic>
      <xdr:pic>
        <xdr:nvPicPr>
          <xdr:cNvPr id="5199" name="Picture 12">
            <a:extLst>
              <a:ext uri="{FF2B5EF4-FFF2-40B4-BE49-F238E27FC236}">
                <a16:creationId xmlns:a16="http://schemas.microsoft.com/office/drawing/2014/main" id="{00000000-0008-0000-0F00-00004F1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09600" y="3990156"/>
            <a:ext cx="7924800" cy="3543300"/>
          </a:xfrm>
          <a:prstGeom prst="rect">
            <a:avLst/>
          </a:prstGeom>
          <a:noFill/>
          <a:ln w="9525">
            <a:noFill/>
            <a:miter lim="800000"/>
            <a:headEnd/>
            <a:tailEnd/>
          </a:ln>
        </xdr:spPr>
      </xdr:pic>
    </xdr:grpSp>
    <xdr:clientData/>
  </xdr:twoCellAnchor>
  <xdr:twoCellAnchor>
    <xdr:from>
      <xdr:col>1</xdr:col>
      <xdr:colOff>657225</xdr:colOff>
      <xdr:row>52</xdr:row>
      <xdr:rowOff>104775</xdr:rowOff>
    </xdr:from>
    <xdr:to>
      <xdr:col>3</xdr:col>
      <xdr:colOff>342900</xdr:colOff>
      <xdr:row>55</xdr:row>
      <xdr:rowOff>114300</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F00-00000E000000}"/>
            </a:ext>
          </a:extLst>
        </xdr:cNvPr>
        <xdr:cNvSpPr txBox="1"/>
      </xdr:nvSpPr>
      <xdr:spPr>
        <a:xfrm>
          <a:off x="657225" y="7800975"/>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1495425</xdr:colOff>
          <xdr:row>17</xdr:row>
          <xdr:rowOff>57150</xdr:rowOff>
        </xdr:from>
        <xdr:to>
          <xdr:col>2</xdr:col>
          <xdr:colOff>1838325</xdr:colOff>
          <xdr:row>18</xdr:row>
          <xdr:rowOff>0</xdr:rowOff>
        </xdr:to>
        <xdr:sp macro="" textlink="">
          <xdr:nvSpPr>
            <xdr:cNvPr id="5223" name="Spinner 103" hidden="1">
              <a:extLst>
                <a:ext uri="{63B3BB69-23CF-44E3-9099-C40C66FF867C}">
                  <a14:compatExt spid="_x0000_s5223"/>
                </a:ext>
                <a:ext uri="{FF2B5EF4-FFF2-40B4-BE49-F238E27FC236}">
                  <a16:creationId xmlns:a16="http://schemas.microsoft.com/office/drawing/2014/main" id="{00000000-0008-0000-0F00-00006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21</xdr:row>
          <xdr:rowOff>57150</xdr:rowOff>
        </xdr:from>
        <xdr:to>
          <xdr:col>2</xdr:col>
          <xdr:colOff>1828800</xdr:colOff>
          <xdr:row>21</xdr:row>
          <xdr:rowOff>238125</xdr:rowOff>
        </xdr:to>
        <xdr:sp macro="" textlink="">
          <xdr:nvSpPr>
            <xdr:cNvPr id="5224" name="Spinner 104" hidden="1">
              <a:extLst>
                <a:ext uri="{63B3BB69-23CF-44E3-9099-C40C66FF867C}">
                  <a14:compatExt spid="_x0000_s5224"/>
                </a:ext>
                <a:ext uri="{FF2B5EF4-FFF2-40B4-BE49-F238E27FC236}">
                  <a16:creationId xmlns:a16="http://schemas.microsoft.com/office/drawing/2014/main" id="{00000000-0008-0000-0F00-00006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23</xdr:row>
          <xdr:rowOff>57150</xdr:rowOff>
        </xdr:from>
        <xdr:to>
          <xdr:col>2</xdr:col>
          <xdr:colOff>1828800</xdr:colOff>
          <xdr:row>23</xdr:row>
          <xdr:rowOff>238125</xdr:rowOff>
        </xdr:to>
        <xdr:sp macro="" textlink="">
          <xdr:nvSpPr>
            <xdr:cNvPr id="5225" name="Spinner 105" hidden="1">
              <a:extLst>
                <a:ext uri="{63B3BB69-23CF-44E3-9099-C40C66FF867C}">
                  <a14:compatExt spid="_x0000_s5225"/>
                </a:ext>
                <a:ext uri="{FF2B5EF4-FFF2-40B4-BE49-F238E27FC236}">
                  <a16:creationId xmlns:a16="http://schemas.microsoft.com/office/drawing/2014/main" id="{00000000-0008-0000-0F00-00006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25</xdr:row>
          <xdr:rowOff>57150</xdr:rowOff>
        </xdr:from>
        <xdr:to>
          <xdr:col>2</xdr:col>
          <xdr:colOff>1828800</xdr:colOff>
          <xdr:row>25</xdr:row>
          <xdr:rowOff>238125</xdr:rowOff>
        </xdr:to>
        <xdr:sp macro="" textlink="">
          <xdr:nvSpPr>
            <xdr:cNvPr id="5226" name="Spinner 106" hidden="1">
              <a:extLst>
                <a:ext uri="{63B3BB69-23CF-44E3-9099-C40C66FF867C}">
                  <a14:compatExt spid="_x0000_s5226"/>
                </a:ext>
                <a:ext uri="{FF2B5EF4-FFF2-40B4-BE49-F238E27FC236}">
                  <a16:creationId xmlns:a16="http://schemas.microsoft.com/office/drawing/2014/main" id="{00000000-0008-0000-0F00-00006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29</xdr:row>
          <xdr:rowOff>57150</xdr:rowOff>
        </xdr:from>
        <xdr:to>
          <xdr:col>2</xdr:col>
          <xdr:colOff>1828800</xdr:colOff>
          <xdr:row>29</xdr:row>
          <xdr:rowOff>238125</xdr:rowOff>
        </xdr:to>
        <xdr:sp macro="" textlink="">
          <xdr:nvSpPr>
            <xdr:cNvPr id="5228" name="Spinner 108" hidden="1">
              <a:extLst>
                <a:ext uri="{63B3BB69-23CF-44E3-9099-C40C66FF867C}">
                  <a14:compatExt spid="_x0000_s5228"/>
                </a:ext>
                <a:ext uri="{FF2B5EF4-FFF2-40B4-BE49-F238E27FC236}">
                  <a16:creationId xmlns:a16="http://schemas.microsoft.com/office/drawing/2014/main" id="{00000000-0008-0000-0F00-00006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27</xdr:row>
          <xdr:rowOff>57150</xdr:rowOff>
        </xdr:from>
        <xdr:to>
          <xdr:col>2</xdr:col>
          <xdr:colOff>1828800</xdr:colOff>
          <xdr:row>27</xdr:row>
          <xdr:rowOff>238125</xdr:rowOff>
        </xdr:to>
        <xdr:sp macro="" textlink="">
          <xdr:nvSpPr>
            <xdr:cNvPr id="5233" name="Spinner 113" hidden="1">
              <a:extLst>
                <a:ext uri="{63B3BB69-23CF-44E3-9099-C40C66FF867C}">
                  <a14:compatExt spid="_x0000_s5233"/>
                </a:ext>
                <a:ext uri="{FF2B5EF4-FFF2-40B4-BE49-F238E27FC236}">
                  <a16:creationId xmlns:a16="http://schemas.microsoft.com/office/drawing/2014/main" id="{00000000-0008-0000-0F00-00007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1485900</xdr:colOff>
          <xdr:row>19</xdr:row>
          <xdr:rowOff>57150</xdr:rowOff>
        </xdr:from>
        <xdr:to>
          <xdr:col>2</xdr:col>
          <xdr:colOff>1828800</xdr:colOff>
          <xdr:row>20</xdr:row>
          <xdr:rowOff>0</xdr:rowOff>
        </xdr:to>
        <xdr:sp macro="" textlink="">
          <xdr:nvSpPr>
            <xdr:cNvPr id="5242" name="Spinner 122" hidden="1">
              <a:extLst>
                <a:ext uri="{63B3BB69-23CF-44E3-9099-C40C66FF867C}">
                  <a14:compatExt spid="_x0000_s5242"/>
                </a:ext>
                <a:ext uri="{FF2B5EF4-FFF2-40B4-BE49-F238E27FC236}">
                  <a16:creationId xmlns:a16="http://schemas.microsoft.com/office/drawing/2014/main" id="{00000000-0008-0000-0F00-00007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2</xdr:col>
      <xdr:colOff>1703916</xdr:colOff>
      <xdr:row>8</xdr:row>
      <xdr:rowOff>2661</xdr:rowOff>
    </xdr:from>
    <xdr:to>
      <xdr:col>8</xdr:col>
      <xdr:colOff>702468</xdr:colOff>
      <xdr:row>46</xdr:row>
      <xdr:rowOff>0</xdr:rowOff>
    </xdr:to>
    <xdr:graphicFrame macro="">
      <xdr:nvGraphicFramePr>
        <xdr:cNvPr id="7209" name="Chart 1">
          <a:extLst>
            <a:ext uri="{FF2B5EF4-FFF2-40B4-BE49-F238E27FC236}">
              <a16:creationId xmlns:a16="http://schemas.microsoft.com/office/drawing/2014/main" id="{00000000-0008-0000-1000-000029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402166</xdr:colOff>
      <xdr:row>0</xdr:row>
      <xdr:rowOff>0</xdr:rowOff>
    </xdr:from>
    <xdr:to>
      <xdr:col>8</xdr:col>
      <xdr:colOff>709082</xdr:colOff>
      <xdr:row>8</xdr:row>
      <xdr:rowOff>8466</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402166" y="0"/>
          <a:ext cx="15877116" cy="136313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Feeding nitrification inhibitors to the milking herd </a:t>
          </a:r>
        </a:p>
        <a:p>
          <a:pPr eaLnBrk="1" fontAlgn="auto" latinLnBrk="0" hangingPunct="1"/>
          <a:r>
            <a:rPr lang="en-AU" sz="1200">
              <a:solidFill>
                <a:schemeClr val="dk1"/>
              </a:solidFill>
              <a:latin typeface="+mn-lt"/>
              <a:ea typeface="+mn-ea"/>
              <a:cs typeface="+mn-cs"/>
            </a:rPr>
            <a:t>This spreadsheet is setup to help producers examine the validity of adopting the strategy of feeding a source of nitrification inhibitor to cows to be</a:t>
          </a:r>
          <a:r>
            <a:rPr lang="en-AU" sz="1200" baseline="0">
              <a:solidFill>
                <a:schemeClr val="dk1"/>
              </a:solidFill>
              <a:latin typeface="+mn-lt"/>
              <a:ea typeface="+mn-ea"/>
              <a:cs typeface="+mn-cs"/>
            </a:rPr>
            <a:t> excreted with the urine to reduce</a:t>
          </a:r>
          <a:r>
            <a:rPr lang="en-AU" sz="1200">
              <a:solidFill>
                <a:schemeClr val="dk1"/>
              </a:solidFill>
              <a:latin typeface="+mn-lt"/>
              <a:ea typeface="+mn-ea"/>
              <a:cs typeface="+mn-cs"/>
            </a:rPr>
            <a:t> direct and indirect nitrous oxide</a:t>
          </a:r>
          <a:r>
            <a:rPr lang="en-AU" sz="1200" baseline="0">
              <a:solidFill>
                <a:schemeClr val="dk1"/>
              </a:solidFill>
              <a:latin typeface="+mn-lt"/>
              <a:ea typeface="+mn-ea"/>
              <a:cs typeface="+mn-cs"/>
            </a:rPr>
            <a:t> emissions from urine patches</a:t>
          </a:r>
          <a:r>
            <a:rPr lang="en-AU" sz="1200" b="1">
              <a:solidFill>
                <a:schemeClr val="dk1"/>
              </a:solidFill>
              <a:latin typeface="+mn-lt"/>
              <a:ea typeface="+mn-ea"/>
              <a:cs typeface="+mn-cs"/>
            </a:rPr>
            <a:t>. </a:t>
          </a:r>
          <a:r>
            <a:rPr lang="en-AU" sz="1200">
              <a:solidFill>
                <a:schemeClr val="dk1"/>
              </a:solidFill>
              <a:latin typeface="+mn-lt"/>
              <a:ea typeface="+mn-ea"/>
              <a:cs typeface="+mn-cs"/>
            </a:rPr>
            <a:t>This spread sheets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828675</xdr:colOff>
      <xdr:row>47</xdr:row>
      <xdr:rowOff>285750</xdr:rowOff>
    </xdr:from>
    <xdr:to>
      <xdr:col>3</xdr:col>
      <xdr:colOff>466725</xdr:colOff>
      <xdr:row>50</xdr:row>
      <xdr:rowOff>171450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xdr:nvSpPr>
      <xdr:spPr>
        <a:xfrm>
          <a:off x="828675" y="6724650"/>
          <a:ext cx="556260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17</xdr:row>
          <xdr:rowOff>66675</xdr:rowOff>
        </xdr:from>
        <xdr:to>
          <xdr:col>2</xdr:col>
          <xdr:colOff>1543050</xdr:colOff>
          <xdr:row>18</xdr:row>
          <xdr:rowOff>19050</xdr:rowOff>
        </xdr:to>
        <xdr:sp macro="" textlink="">
          <xdr:nvSpPr>
            <xdr:cNvPr id="7218" name="Spinner 50" hidden="1">
              <a:extLst>
                <a:ext uri="{63B3BB69-23CF-44E3-9099-C40C66FF867C}">
                  <a14:compatExt spid="_x0000_s7218"/>
                </a:ext>
                <a:ext uri="{FF2B5EF4-FFF2-40B4-BE49-F238E27FC236}">
                  <a16:creationId xmlns:a16="http://schemas.microsoft.com/office/drawing/2014/main" id="{00000000-0008-0000-1000-00003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19</xdr:row>
          <xdr:rowOff>28575</xdr:rowOff>
        </xdr:from>
        <xdr:to>
          <xdr:col>2</xdr:col>
          <xdr:colOff>1543050</xdr:colOff>
          <xdr:row>19</xdr:row>
          <xdr:rowOff>228600</xdr:rowOff>
        </xdr:to>
        <xdr:sp macro="" textlink="">
          <xdr:nvSpPr>
            <xdr:cNvPr id="7219" name="Spinner 51" hidden="1">
              <a:extLst>
                <a:ext uri="{63B3BB69-23CF-44E3-9099-C40C66FF867C}">
                  <a14:compatExt spid="_x0000_s7219"/>
                </a:ext>
                <a:ext uri="{FF2B5EF4-FFF2-40B4-BE49-F238E27FC236}">
                  <a16:creationId xmlns:a16="http://schemas.microsoft.com/office/drawing/2014/main" id="{00000000-0008-0000-1000-00003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21</xdr:row>
          <xdr:rowOff>28575</xdr:rowOff>
        </xdr:from>
        <xdr:to>
          <xdr:col>2</xdr:col>
          <xdr:colOff>1543050</xdr:colOff>
          <xdr:row>21</xdr:row>
          <xdr:rowOff>228600</xdr:rowOff>
        </xdr:to>
        <xdr:sp macro="" textlink="">
          <xdr:nvSpPr>
            <xdr:cNvPr id="7220" name="Spinner 52" hidden="1">
              <a:extLst>
                <a:ext uri="{63B3BB69-23CF-44E3-9099-C40C66FF867C}">
                  <a14:compatExt spid="_x0000_s7220"/>
                </a:ext>
                <a:ext uri="{FF2B5EF4-FFF2-40B4-BE49-F238E27FC236}">
                  <a16:creationId xmlns:a16="http://schemas.microsoft.com/office/drawing/2014/main" id="{00000000-0008-0000-1000-00003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23</xdr:row>
          <xdr:rowOff>38100</xdr:rowOff>
        </xdr:from>
        <xdr:to>
          <xdr:col>2</xdr:col>
          <xdr:colOff>1543050</xdr:colOff>
          <xdr:row>24</xdr:row>
          <xdr:rowOff>9525</xdr:rowOff>
        </xdr:to>
        <xdr:sp macro="" textlink="">
          <xdr:nvSpPr>
            <xdr:cNvPr id="7222" name="Spinner 54" hidden="1">
              <a:extLst>
                <a:ext uri="{63B3BB69-23CF-44E3-9099-C40C66FF867C}">
                  <a14:compatExt spid="_x0000_s7222"/>
                </a:ext>
                <a:ext uri="{FF2B5EF4-FFF2-40B4-BE49-F238E27FC236}">
                  <a16:creationId xmlns:a16="http://schemas.microsoft.com/office/drawing/2014/main" id="{00000000-0008-0000-1000-00003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27</xdr:row>
          <xdr:rowOff>47625</xdr:rowOff>
        </xdr:from>
        <xdr:to>
          <xdr:col>2</xdr:col>
          <xdr:colOff>1543050</xdr:colOff>
          <xdr:row>27</xdr:row>
          <xdr:rowOff>247650</xdr:rowOff>
        </xdr:to>
        <xdr:sp macro="" textlink="">
          <xdr:nvSpPr>
            <xdr:cNvPr id="7223" name="Spinner 55" hidden="1">
              <a:extLst>
                <a:ext uri="{63B3BB69-23CF-44E3-9099-C40C66FF867C}">
                  <a14:compatExt spid="_x0000_s7223"/>
                </a:ext>
                <a:ext uri="{FF2B5EF4-FFF2-40B4-BE49-F238E27FC236}">
                  <a16:creationId xmlns:a16="http://schemas.microsoft.com/office/drawing/2014/main" id="{00000000-0008-0000-1000-00003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25</xdr:row>
          <xdr:rowOff>38100</xdr:rowOff>
        </xdr:from>
        <xdr:to>
          <xdr:col>2</xdr:col>
          <xdr:colOff>1543050</xdr:colOff>
          <xdr:row>25</xdr:row>
          <xdr:rowOff>238125</xdr:rowOff>
        </xdr:to>
        <xdr:sp macro="" textlink="">
          <xdr:nvSpPr>
            <xdr:cNvPr id="7238" name="Spinner 70" hidden="1">
              <a:extLst>
                <a:ext uri="{63B3BB69-23CF-44E3-9099-C40C66FF867C}">
                  <a14:compatExt spid="_x0000_s7238"/>
                </a:ext>
                <a:ext uri="{FF2B5EF4-FFF2-40B4-BE49-F238E27FC236}">
                  <a16:creationId xmlns:a16="http://schemas.microsoft.com/office/drawing/2014/main" id="{00000000-0008-0000-1000-00004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xdr:col>
      <xdr:colOff>11906</xdr:colOff>
      <xdr:row>8</xdr:row>
      <xdr:rowOff>1</xdr:rowOff>
    </xdr:from>
    <xdr:to>
      <xdr:col>8</xdr:col>
      <xdr:colOff>678657</xdr:colOff>
      <xdr:row>56</xdr:row>
      <xdr:rowOff>2</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678657</xdr:colOff>
      <xdr:row>7</xdr:row>
      <xdr:rowOff>177800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228600" y="0"/>
          <a:ext cx="16947357" cy="145796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baseline="0"/>
            <a:t>Coating N fertilisers with nitrification inhibitors</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the strategy of reducing the direct and indirect nitrous oxide</a:t>
          </a:r>
          <a:r>
            <a:rPr lang="en-AU" sz="1200" baseline="0">
              <a:solidFill>
                <a:schemeClr val="dk1"/>
              </a:solidFill>
              <a:latin typeface="+mn-lt"/>
              <a:ea typeface="+mn-ea"/>
              <a:cs typeface="+mn-cs"/>
            </a:rPr>
            <a:t> emissions by coating nitrogen fertilisers  with nitrification inhibitors.  This strategy can potentially result in additional pasture production which could impact on enteric CH4 emissions.  </a:t>
          </a:r>
          <a:r>
            <a:rPr lang="en-AU" sz="1200">
              <a:solidFill>
                <a:schemeClr val="dk1"/>
              </a:solidFill>
              <a:latin typeface="+mn-lt"/>
              <a:ea typeface="+mn-ea"/>
              <a:cs typeface="+mn-cs"/>
            </a:rPr>
            <a:t>This spreadsheet estimates the potential level of abatement that can be achieved and calculates the overall potential economic benefit to the farm.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endParaRPr lang="en-AU" sz="1200"/>
        </a:p>
      </xdr:txBody>
    </xdr:sp>
    <xdr:clientData/>
  </xdr:twoCellAnchor>
  <xdr:twoCellAnchor>
    <xdr:from>
      <xdr:col>1</xdr:col>
      <xdr:colOff>895350</xdr:colOff>
      <xdr:row>57</xdr:row>
      <xdr:rowOff>88102</xdr:rowOff>
    </xdr:from>
    <xdr:to>
      <xdr:col>3</xdr:col>
      <xdr:colOff>9525</xdr:colOff>
      <xdr:row>60</xdr:row>
      <xdr:rowOff>97627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123950" y="11236162"/>
          <a:ext cx="6543675" cy="55816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1276350</xdr:colOff>
          <xdr:row>17</xdr:row>
          <xdr:rowOff>28575</xdr:rowOff>
        </xdr:from>
        <xdr:to>
          <xdr:col>2</xdr:col>
          <xdr:colOff>1619250</xdr:colOff>
          <xdr:row>17</xdr:row>
          <xdr:rowOff>209550</xdr:rowOff>
        </xdr:to>
        <xdr:sp macro="" textlink="">
          <xdr:nvSpPr>
            <xdr:cNvPr id="72705" name="Spinner 1" hidden="1">
              <a:extLst>
                <a:ext uri="{63B3BB69-23CF-44E3-9099-C40C66FF867C}">
                  <a14:compatExt spid="_x0000_s72705"/>
                </a:ext>
                <a:ext uri="{FF2B5EF4-FFF2-40B4-BE49-F238E27FC236}">
                  <a16:creationId xmlns:a16="http://schemas.microsoft.com/office/drawing/2014/main" id="{00000000-0008-0000-1100-000001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15</xdr:row>
          <xdr:rowOff>28575</xdr:rowOff>
        </xdr:from>
        <xdr:to>
          <xdr:col>2</xdr:col>
          <xdr:colOff>1619250</xdr:colOff>
          <xdr:row>15</xdr:row>
          <xdr:rowOff>209550</xdr:rowOff>
        </xdr:to>
        <xdr:sp macro="" textlink="">
          <xdr:nvSpPr>
            <xdr:cNvPr id="72706" name="Spinner 2" hidden="1">
              <a:extLst>
                <a:ext uri="{63B3BB69-23CF-44E3-9099-C40C66FF867C}">
                  <a14:compatExt spid="_x0000_s72706"/>
                </a:ext>
                <a:ext uri="{FF2B5EF4-FFF2-40B4-BE49-F238E27FC236}">
                  <a16:creationId xmlns:a16="http://schemas.microsoft.com/office/drawing/2014/main" id="{00000000-0008-0000-1100-000002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19</xdr:row>
          <xdr:rowOff>28575</xdr:rowOff>
        </xdr:from>
        <xdr:to>
          <xdr:col>2</xdr:col>
          <xdr:colOff>1619250</xdr:colOff>
          <xdr:row>19</xdr:row>
          <xdr:rowOff>209550</xdr:rowOff>
        </xdr:to>
        <xdr:sp macro="" textlink="">
          <xdr:nvSpPr>
            <xdr:cNvPr id="72707" name="Spinner 3" hidden="1">
              <a:extLst>
                <a:ext uri="{63B3BB69-23CF-44E3-9099-C40C66FF867C}">
                  <a14:compatExt spid="_x0000_s72707"/>
                </a:ext>
                <a:ext uri="{FF2B5EF4-FFF2-40B4-BE49-F238E27FC236}">
                  <a16:creationId xmlns:a16="http://schemas.microsoft.com/office/drawing/2014/main" id="{00000000-0008-0000-1100-000003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21</xdr:row>
          <xdr:rowOff>28575</xdr:rowOff>
        </xdr:from>
        <xdr:to>
          <xdr:col>2</xdr:col>
          <xdr:colOff>1619250</xdr:colOff>
          <xdr:row>21</xdr:row>
          <xdr:rowOff>209550</xdr:rowOff>
        </xdr:to>
        <xdr:sp macro="" textlink="">
          <xdr:nvSpPr>
            <xdr:cNvPr id="72708" name="Spinner 4" hidden="1">
              <a:extLst>
                <a:ext uri="{63B3BB69-23CF-44E3-9099-C40C66FF867C}">
                  <a14:compatExt spid="_x0000_s72708"/>
                </a:ext>
                <a:ext uri="{FF2B5EF4-FFF2-40B4-BE49-F238E27FC236}">
                  <a16:creationId xmlns:a16="http://schemas.microsoft.com/office/drawing/2014/main" id="{00000000-0008-0000-1100-000004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23</xdr:row>
          <xdr:rowOff>28575</xdr:rowOff>
        </xdr:from>
        <xdr:to>
          <xdr:col>2</xdr:col>
          <xdr:colOff>1619250</xdr:colOff>
          <xdr:row>23</xdr:row>
          <xdr:rowOff>209550</xdr:rowOff>
        </xdr:to>
        <xdr:sp macro="" textlink="">
          <xdr:nvSpPr>
            <xdr:cNvPr id="72709" name="Spinner 5" hidden="1">
              <a:extLst>
                <a:ext uri="{63B3BB69-23CF-44E3-9099-C40C66FF867C}">
                  <a14:compatExt spid="_x0000_s72709"/>
                </a:ext>
                <a:ext uri="{FF2B5EF4-FFF2-40B4-BE49-F238E27FC236}">
                  <a16:creationId xmlns:a16="http://schemas.microsoft.com/office/drawing/2014/main" id="{00000000-0008-0000-1100-000005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25</xdr:row>
          <xdr:rowOff>28575</xdr:rowOff>
        </xdr:from>
        <xdr:to>
          <xdr:col>2</xdr:col>
          <xdr:colOff>1619250</xdr:colOff>
          <xdr:row>25</xdr:row>
          <xdr:rowOff>209550</xdr:rowOff>
        </xdr:to>
        <xdr:sp macro="" textlink="">
          <xdr:nvSpPr>
            <xdr:cNvPr id="72710" name="Spinner 6" hidden="1">
              <a:extLst>
                <a:ext uri="{63B3BB69-23CF-44E3-9099-C40C66FF867C}">
                  <a14:compatExt spid="_x0000_s72710"/>
                </a:ext>
                <a:ext uri="{FF2B5EF4-FFF2-40B4-BE49-F238E27FC236}">
                  <a16:creationId xmlns:a16="http://schemas.microsoft.com/office/drawing/2014/main" id="{00000000-0008-0000-1100-000006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27</xdr:row>
          <xdr:rowOff>28575</xdr:rowOff>
        </xdr:from>
        <xdr:to>
          <xdr:col>2</xdr:col>
          <xdr:colOff>1619250</xdr:colOff>
          <xdr:row>27</xdr:row>
          <xdr:rowOff>209550</xdr:rowOff>
        </xdr:to>
        <xdr:sp macro="" textlink="">
          <xdr:nvSpPr>
            <xdr:cNvPr id="72711" name="Spinner 7" hidden="1">
              <a:extLst>
                <a:ext uri="{63B3BB69-23CF-44E3-9099-C40C66FF867C}">
                  <a14:compatExt spid="_x0000_s72711"/>
                </a:ext>
                <a:ext uri="{FF2B5EF4-FFF2-40B4-BE49-F238E27FC236}">
                  <a16:creationId xmlns:a16="http://schemas.microsoft.com/office/drawing/2014/main" id="{00000000-0008-0000-1100-000007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31</xdr:row>
          <xdr:rowOff>19050</xdr:rowOff>
        </xdr:from>
        <xdr:to>
          <xdr:col>2</xdr:col>
          <xdr:colOff>1619250</xdr:colOff>
          <xdr:row>31</xdr:row>
          <xdr:rowOff>209550</xdr:rowOff>
        </xdr:to>
        <xdr:sp macro="" textlink="">
          <xdr:nvSpPr>
            <xdr:cNvPr id="72712" name="Spinner 8" hidden="1">
              <a:extLst>
                <a:ext uri="{63B3BB69-23CF-44E3-9099-C40C66FF867C}">
                  <a14:compatExt spid="_x0000_s72712"/>
                </a:ext>
                <a:ext uri="{FF2B5EF4-FFF2-40B4-BE49-F238E27FC236}">
                  <a16:creationId xmlns:a16="http://schemas.microsoft.com/office/drawing/2014/main" id="{00000000-0008-0000-1100-000008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37</xdr:row>
          <xdr:rowOff>38100</xdr:rowOff>
        </xdr:from>
        <xdr:to>
          <xdr:col>2</xdr:col>
          <xdr:colOff>1619250</xdr:colOff>
          <xdr:row>37</xdr:row>
          <xdr:rowOff>219075</xdr:rowOff>
        </xdr:to>
        <xdr:sp macro="" textlink="">
          <xdr:nvSpPr>
            <xdr:cNvPr id="72713" name="Spinner 9" hidden="1">
              <a:extLst>
                <a:ext uri="{63B3BB69-23CF-44E3-9099-C40C66FF867C}">
                  <a14:compatExt spid="_x0000_s72713"/>
                </a:ext>
                <a:ext uri="{FF2B5EF4-FFF2-40B4-BE49-F238E27FC236}">
                  <a16:creationId xmlns:a16="http://schemas.microsoft.com/office/drawing/2014/main" id="{00000000-0008-0000-1100-000009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29</xdr:row>
          <xdr:rowOff>28575</xdr:rowOff>
        </xdr:from>
        <xdr:to>
          <xdr:col>2</xdr:col>
          <xdr:colOff>1619250</xdr:colOff>
          <xdr:row>29</xdr:row>
          <xdr:rowOff>209550</xdr:rowOff>
        </xdr:to>
        <xdr:sp macro="" textlink="">
          <xdr:nvSpPr>
            <xdr:cNvPr id="72714" name="Spinner 10" hidden="1">
              <a:extLst>
                <a:ext uri="{63B3BB69-23CF-44E3-9099-C40C66FF867C}">
                  <a14:compatExt spid="_x0000_s72714"/>
                </a:ext>
                <a:ext uri="{FF2B5EF4-FFF2-40B4-BE49-F238E27FC236}">
                  <a16:creationId xmlns:a16="http://schemas.microsoft.com/office/drawing/2014/main" id="{00000000-0008-0000-1100-00000A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35</xdr:row>
          <xdr:rowOff>0</xdr:rowOff>
        </xdr:from>
        <xdr:to>
          <xdr:col>2</xdr:col>
          <xdr:colOff>1362075</xdr:colOff>
          <xdr:row>35</xdr:row>
          <xdr:rowOff>0</xdr:rowOff>
        </xdr:to>
        <xdr:sp macro="" textlink="">
          <xdr:nvSpPr>
            <xdr:cNvPr id="72715" name="Spinner 11" hidden="1">
              <a:extLst>
                <a:ext uri="{63B3BB69-23CF-44E3-9099-C40C66FF867C}">
                  <a14:compatExt spid="_x0000_s72715"/>
                </a:ext>
                <a:ext uri="{FF2B5EF4-FFF2-40B4-BE49-F238E27FC236}">
                  <a16:creationId xmlns:a16="http://schemas.microsoft.com/office/drawing/2014/main" id="{00000000-0008-0000-1100-00000B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35</xdr:row>
          <xdr:rowOff>57150</xdr:rowOff>
        </xdr:from>
        <xdr:to>
          <xdr:col>2</xdr:col>
          <xdr:colOff>1619250</xdr:colOff>
          <xdr:row>35</xdr:row>
          <xdr:rowOff>247650</xdr:rowOff>
        </xdr:to>
        <xdr:sp macro="" textlink="">
          <xdr:nvSpPr>
            <xdr:cNvPr id="72716" name="Spinner 12" hidden="1">
              <a:extLst>
                <a:ext uri="{63B3BB69-23CF-44E3-9099-C40C66FF867C}">
                  <a14:compatExt spid="_x0000_s72716"/>
                </a:ext>
                <a:ext uri="{FF2B5EF4-FFF2-40B4-BE49-F238E27FC236}">
                  <a16:creationId xmlns:a16="http://schemas.microsoft.com/office/drawing/2014/main" id="{00000000-0008-0000-1100-00000C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1266825</xdr:colOff>
          <xdr:row>33</xdr:row>
          <xdr:rowOff>19050</xdr:rowOff>
        </xdr:from>
        <xdr:to>
          <xdr:col>2</xdr:col>
          <xdr:colOff>1609725</xdr:colOff>
          <xdr:row>33</xdr:row>
          <xdr:rowOff>219075</xdr:rowOff>
        </xdr:to>
        <xdr:sp macro="" textlink="">
          <xdr:nvSpPr>
            <xdr:cNvPr id="72717" name="Spinner 13" hidden="1">
              <a:extLst>
                <a:ext uri="{63B3BB69-23CF-44E3-9099-C40C66FF867C}">
                  <a14:compatExt spid="_x0000_s72717"/>
                </a:ext>
                <a:ext uri="{FF2B5EF4-FFF2-40B4-BE49-F238E27FC236}">
                  <a16:creationId xmlns:a16="http://schemas.microsoft.com/office/drawing/2014/main" id="{00000000-0008-0000-1100-00000D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16</xdr:row>
          <xdr:rowOff>0</xdr:rowOff>
        </xdr:from>
        <xdr:to>
          <xdr:col>3</xdr:col>
          <xdr:colOff>9525</xdr:colOff>
          <xdr:row>16</xdr:row>
          <xdr:rowOff>0</xdr:rowOff>
        </xdr:to>
        <xdr:sp macro="" textlink="">
          <xdr:nvSpPr>
            <xdr:cNvPr id="72718" name="Spinner 14" hidden="1">
              <a:extLst>
                <a:ext uri="{63B3BB69-23CF-44E3-9099-C40C66FF867C}">
                  <a14:compatExt spid="_x0000_s72718"/>
                </a:ext>
                <a:ext uri="{FF2B5EF4-FFF2-40B4-BE49-F238E27FC236}">
                  <a16:creationId xmlns:a16="http://schemas.microsoft.com/office/drawing/2014/main" id="{00000000-0008-0000-1100-00000E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xdr:col>
      <xdr:colOff>0</xdr:colOff>
      <xdr:row>11</xdr:row>
      <xdr:rowOff>1</xdr:rowOff>
    </xdr:from>
    <xdr:to>
      <xdr:col>8</xdr:col>
      <xdr:colOff>681036</xdr:colOff>
      <xdr:row>55</xdr:row>
      <xdr:rowOff>1</xdr:rowOff>
    </xdr:to>
    <xdr:graphicFrame macro="">
      <xdr:nvGraphicFramePr>
        <xdr:cNvPr id="2" name="Chart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11</xdr:row>
      <xdr:rowOff>8467</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211667" y="0"/>
          <a:ext cx="18574808" cy="14986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Impact of extended lactations on reducing enteric methane</a:t>
          </a:r>
          <a:r>
            <a:rPr lang="en-AU" sz="2200" b="1" baseline="0"/>
            <a:t> emissions</a:t>
          </a:r>
        </a:p>
        <a:p>
          <a:pPr marL="0" marR="0" indent="0" defTabSz="914400" eaLnBrk="1" fontAlgn="auto" latinLnBrk="0" hangingPunct="1">
            <a:lnSpc>
              <a:spcPct val="110000"/>
            </a:lnSpc>
            <a:spcBef>
              <a:spcPts val="0"/>
            </a:spcBef>
            <a:spcAft>
              <a:spcPts val="0"/>
            </a:spcAft>
            <a:buClrTx/>
            <a:buSzTx/>
            <a:buFontTx/>
            <a:buNone/>
            <a:tabLst/>
            <a:defRPr/>
          </a:pPr>
          <a:r>
            <a:rPr lang="en-AU" sz="1200">
              <a:solidFill>
                <a:schemeClr val="dk1"/>
              </a:solidFill>
              <a:latin typeface="+mn-lt"/>
              <a:ea typeface="+mn-ea"/>
              <a:cs typeface="+mn-cs"/>
            </a:rPr>
            <a:t>This spreadsheet is setup to help producers examine the validity of adopting a program of extended lactations to</a:t>
          </a:r>
          <a:r>
            <a:rPr lang="en-AU" sz="1200" baseline="0">
              <a:solidFill>
                <a:schemeClr val="dk1"/>
              </a:solidFill>
              <a:latin typeface="+mn-lt"/>
              <a:ea typeface="+mn-ea"/>
              <a:cs typeface="+mn-cs"/>
            </a:rPr>
            <a:t> reduce enteric methane production per cow over her lifetime</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a:t>
          </a:r>
          <a:r>
            <a:rPr lang="en-AU" sz="1200" b="1">
              <a:solidFill>
                <a:sysClr val="windowText" lastClr="000000"/>
              </a:solidFill>
              <a:latin typeface="+mn-lt"/>
              <a:ea typeface="+mn-ea"/>
              <a:cs typeface="+mn-cs"/>
            </a:rPr>
            <a:t>Unlike previous abatement strategies, with this strategy some 'Baseline farm system</a:t>
          </a:r>
          <a:r>
            <a:rPr lang="en-AU" sz="1200" b="1" baseline="0">
              <a:solidFill>
                <a:sysClr val="windowText" lastClr="000000"/>
              </a:solidFill>
              <a:latin typeface="+mn-lt"/>
              <a:ea typeface="+mn-ea"/>
              <a:cs typeface="+mn-cs"/>
            </a:rPr>
            <a:t> data relevant to this abatement strategy' green cells need filling in by the user.  These are the average number of lactation before culling and average daily milk production for the two age groups, they are white cells as opposed to green and refer to the baseline annual calving milking herd</a:t>
          </a:r>
          <a:r>
            <a:rPr lang="en-AU" sz="1200" b="0">
              <a:solidFill>
                <a:sysClr val="windowText" lastClr="000000"/>
              </a:solidFill>
              <a:latin typeface="+mn-lt"/>
              <a:ea typeface="+mn-ea"/>
              <a:cs typeface="+mn-cs"/>
            </a:rPr>
            <a:t>.  The other green</a:t>
          </a:r>
          <a:r>
            <a:rPr lang="en-AU" sz="1200" b="0" baseline="0">
              <a:solidFill>
                <a:sysClr val="windowText" lastClr="000000"/>
              </a:solidFill>
              <a:latin typeface="+mn-lt"/>
              <a:ea typeface="+mn-ea"/>
              <a:cs typeface="+mn-cs"/>
            </a:rPr>
            <a:t> cells are linked to the baseline arm data entered by the user.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estimations of changes in milk production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a:p>
          <a:pPr>
            <a:lnSpc>
              <a:spcPct val="110000"/>
            </a:lnSpc>
          </a:pPr>
          <a:r>
            <a:rPr lang="en-AU" sz="1200">
              <a:solidFill>
                <a:schemeClr val="dk1"/>
              </a:solidFill>
              <a:latin typeface="+mn-lt"/>
              <a:ea typeface="+mn-ea"/>
              <a:cs typeface="+mn-cs"/>
            </a:rPr>
            <a:t>Also unlike previous abatement strategies, this one does not determine the implications of altered</a:t>
          </a:r>
          <a:r>
            <a:rPr lang="en-AU" sz="1200" baseline="0">
              <a:solidFill>
                <a:schemeClr val="dk1"/>
              </a:solidFill>
              <a:latin typeface="+mn-lt"/>
              <a:ea typeface="+mn-ea"/>
              <a:cs typeface="+mn-cs"/>
            </a:rPr>
            <a:t> GHG emissions from animal waste (either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or N</a:t>
          </a:r>
          <a:r>
            <a:rPr lang="en-AU" sz="1200" baseline="-25000">
              <a:solidFill>
                <a:schemeClr val="dk1"/>
              </a:solidFill>
              <a:latin typeface="+mn-lt"/>
              <a:ea typeface="+mn-ea"/>
              <a:cs typeface="+mn-cs"/>
            </a:rPr>
            <a:t>2</a:t>
          </a:r>
          <a:r>
            <a:rPr lang="en-AU" sz="1200" baseline="0">
              <a:solidFill>
                <a:schemeClr val="dk1"/>
              </a:solidFill>
              <a:latin typeface="+mn-lt"/>
              <a:ea typeface="+mn-ea"/>
              <a:cs typeface="+mn-cs"/>
            </a:rPr>
            <a:t>O) nor changes to N</a:t>
          </a:r>
          <a:r>
            <a:rPr lang="en-AU" sz="1200" baseline="-25000">
              <a:solidFill>
                <a:schemeClr val="dk1"/>
              </a:solidFill>
              <a:latin typeface="+mn-lt"/>
              <a:ea typeface="+mn-ea"/>
              <a:cs typeface="+mn-cs"/>
            </a:rPr>
            <a:t>2</a:t>
          </a:r>
          <a:r>
            <a:rPr lang="en-AU" sz="1200" baseline="0">
              <a:solidFill>
                <a:schemeClr val="dk1"/>
              </a:solidFill>
              <a:latin typeface="+mn-lt"/>
              <a:ea typeface="+mn-ea"/>
              <a:cs typeface="+mn-cs"/>
            </a:rPr>
            <a:t>O emissions from N fertilisers; the calculations focus solely on changes to enteric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  These are likely to also alter but the method of estimating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 didn't follow the NGGI approach and therefore it was difficult to estimate these non enteric CH</a:t>
          </a:r>
          <a:r>
            <a:rPr lang="en-AU" sz="1200" baseline="-25000">
              <a:solidFill>
                <a:schemeClr val="dk1"/>
              </a:solidFill>
              <a:latin typeface="+mn-lt"/>
              <a:ea typeface="+mn-ea"/>
              <a:cs typeface="+mn-cs"/>
            </a:rPr>
            <a:t>4</a:t>
          </a:r>
          <a:r>
            <a:rPr lang="en-AU" sz="1200" baseline="0">
              <a:solidFill>
                <a:schemeClr val="dk1"/>
              </a:solidFill>
              <a:latin typeface="+mn-lt"/>
              <a:ea typeface="+mn-ea"/>
              <a:cs typeface="+mn-cs"/>
            </a:rPr>
            <a:t> emissions.</a:t>
          </a:r>
          <a:endParaRPr lang="en-AU" sz="1200"/>
        </a:p>
      </xdr:txBody>
    </xdr:sp>
    <xdr:clientData/>
  </xdr:twoCellAnchor>
  <xdr:twoCellAnchor>
    <xdr:from>
      <xdr:col>1</xdr:col>
      <xdr:colOff>552450</xdr:colOff>
      <xdr:row>57</xdr:row>
      <xdr:rowOff>114300</xdr:rowOff>
    </xdr:from>
    <xdr:to>
      <xdr:col>2</xdr:col>
      <xdr:colOff>1524000</xdr:colOff>
      <xdr:row>60</xdr:row>
      <xdr:rowOff>123825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762000" y="9391650"/>
          <a:ext cx="6562725"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 farm sheet</a:t>
          </a:r>
        </a:p>
      </xdr:txBody>
    </xdr:sp>
    <xdr:clientData/>
  </xdr:twoCellAnchor>
  <mc:AlternateContent xmlns:mc="http://schemas.openxmlformats.org/markup-compatibility/2006">
    <mc:Choice xmlns:a14="http://schemas.microsoft.com/office/drawing/2010/main" Requires="a14">
      <xdr:twoCellAnchor>
        <xdr:from>
          <xdr:col>2</xdr:col>
          <xdr:colOff>1181100</xdr:colOff>
          <xdr:row>21</xdr:row>
          <xdr:rowOff>38100</xdr:rowOff>
        </xdr:from>
        <xdr:to>
          <xdr:col>2</xdr:col>
          <xdr:colOff>1524000</xdr:colOff>
          <xdr:row>21</xdr:row>
          <xdr:rowOff>219075</xdr:rowOff>
        </xdr:to>
        <xdr:sp macro="" textlink="">
          <xdr:nvSpPr>
            <xdr:cNvPr id="32769" name="Spinner 1" hidden="1">
              <a:extLst>
                <a:ext uri="{63B3BB69-23CF-44E3-9099-C40C66FF867C}">
                  <a14:compatExt spid="_x0000_s32769"/>
                </a:ext>
                <a:ext uri="{FF2B5EF4-FFF2-40B4-BE49-F238E27FC236}">
                  <a16:creationId xmlns:a16="http://schemas.microsoft.com/office/drawing/2014/main" id="{00000000-0008-0000-1200-000001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23</xdr:row>
          <xdr:rowOff>38100</xdr:rowOff>
        </xdr:from>
        <xdr:to>
          <xdr:col>2</xdr:col>
          <xdr:colOff>1524000</xdr:colOff>
          <xdr:row>23</xdr:row>
          <xdr:rowOff>219075</xdr:rowOff>
        </xdr:to>
        <xdr:sp macro="" textlink="">
          <xdr:nvSpPr>
            <xdr:cNvPr id="32770" name="Spinner 2" hidden="1">
              <a:extLst>
                <a:ext uri="{63B3BB69-23CF-44E3-9099-C40C66FF867C}">
                  <a14:compatExt spid="_x0000_s32770"/>
                </a:ext>
                <a:ext uri="{FF2B5EF4-FFF2-40B4-BE49-F238E27FC236}">
                  <a16:creationId xmlns:a16="http://schemas.microsoft.com/office/drawing/2014/main" id="{00000000-0008-0000-1200-000002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25</xdr:row>
          <xdr:rowOff>19050</xdr:rowOff>
        </xdr:from>
        <xdr:to>
          <xdr:col>2</xdr:col>
          <xdr:colOff>1524000</xdr:colOff>
          <xdr:row>25</xdr:row>
          <xdr:rowOff>219075</xdr:rowOff>
        </xdr:to>
        <xdr:sp macro="" textlink="">
          <xdr:nvSpPr>
            <xdr:cNvPr id="32771" name="Spinner 3" hidden="1">
              <a:extLst>
                <a:ext uri="{63B3BB69-23CF-44E3-9099-C40C66FF867C}">
                  <a14:compatExt spid="_x0000_s32771"/>
                </a:ext>
                <a:ext uri="{FF2B5EF4-FFF2-40B4-BE49-F238E27FC236}">
                  <a16:creationId xmlns:a16="http://schemas.microsoft.com/office/drawing/2014/main" id="{00000000-0008-0000-1200-000003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33</xdr:row>
          <xdr:rowOff>38100</xdr:rowOff>
        </xdr:from>
        <xdr:to>
          <xdr:col>2</xdr:col>
          <xdr:colOff>1524000</xdr:colOff>
          <xdr:row>33</xdr:row>
          <xdr:rowOff>247650</xdr:rowOff>
        </xdr:to>
        <xdr:sp macro="" textlink="">
          <xdr:nvSpPr>
            <xdr:cNvPr id="32772" name="Spinner 4" hidden="1">
              <a:extLst>
                <a:ext uri="{63B3BB69-23CF-44E3-9099-C40C66FF867C}">
                  <a14:compatExt spid="_x0000_s32772"/>
                </a:ext>
                <a:ext uri="{FF2B5EF4-FFF2-40B4-BE49-F238E27FC236}">
                  <a16:creationId xmlns:a16="http://schemas.microsoft.com/office/drawing/2014/main" id="{00000000-0008-0000-1200-000004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35</xdr:row>
          <xdr:rowOff>19050</xdr:rowOff>
        </xdr:from>
        <xdr:to>
          <xdr:col>2</xdr:col>
          <xdr:colOff>1524000</xdr:colOff>
          <xdr:row>35</xdr:row>
          <xdr:rowOff>219075</xdr:rowOff>
        </xdr:to>
        <xdr:sp macro="" textlink="">
          <xdr:nvSpPr>
            <xdr:cNvPr id="32773" name="Spinner 5" hidden="1">
              <a:extLst>
                <a:ext uri="{63B3BB69-23CF-44E3-9099-C40C66FF867C}">
                  <a14:compatExt spid="_x0000_s32773"/>
                </a:ext>
                <a:ext uri="{FF2B5EF4-FFF2-40B4-BE49-F238E27FC236}">
                  <a16:creationId xmlns:a16="http://schemas.microsoft.com/office/drawing/2014/main" id="{00000000-0008-0000-1200-000005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27</xdr:row>
          <xdr:rowOff>38100</xdr:rowOff>
        </xdr:from>
        <xdr:to>
          <xdr:col>2</xdr:col>
          <xdr:colOff>1524000</xdr:colOff>
          <xdr:row>27</xdr:row>
          <xdr:rowOff>238125</xdr:rowOff>
        </xdr:to>
        <xdr:sp macro="" textlink="">
          <xdr:nvSpPr>
            <xdr:cNvPr id="32774" name="Spinner 6" hidden="1">
              <a:extLst>
                <a:ext uri="{63B3BB69-23CF-44E3-9099-C40C66FF867C}">
                  <a14:compatExt spid="_x0000_s32774"/>
                </a:ext>
                <a:ext uri="{FF2B5EF4-FFF2-40B4-BE49-F238E27FC236}">
                  <a16:creationId xmlns:a16="http://schemas.microsoft.com/office/drawing/2014/main" id="{00000000-0008-0000-1200-000006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1190625</xdr:colOff>
          <xdr:row>29</xdr:row>
          <xdr:rowOff>28575</xdr:rowOff>
        </xdr:from>
        <xdr:to>
          <xdr:col>2</xdr:col>
          <xdr:colOff>1533525</xdr:colOff>
          <xdr:row>29</xdr:row>
          <xdr:rowOff>238125</xdr:rowOff>
        </xdr:to>
        <xdr:sp macro="" textlink="">
          <xdr:nvSpPr>
            <xdr:cNvPr id="32775" name="Spinner 7" hidden="1">
              <a:extLst>
                <a:ext uri="{63B3BB69-23CF-44E3-9099-C40C66FF867C}">
                  <a14:compatExt spid="_x0000_s32775"/>
                </a:ext>
                <a:ext uri="{FF2B5EF4-FFF2-40B4-BE49-F238E27FC236}">
                  <a16:creationId xmlns:a16="http://schemas.microsoft.com/office/drawing/2014/main" id="{00000000-0008-0000-1200-000007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1190625</xdr:colOff>
          <xdr:row>31</xdr:row>
          <xdr:rowOff>19050</xdr:rowOff>
        </xdr:from>
        <xdr:to>
          <xdr:col>2</xdr:col>
          <xdr:colOff>1533525</xdr:colOff>
          <xdr:row>31</xdr:row>
          <xdr:rowOff>228600</xdr:rowOff>
        </xdr:to>
        <xdr:sp macro="" textlink="">
          <xdr:nvSpPr>
            <xdr:cNvPr id="32825" name="Spinner 57" hidden="1">
              <a:extLst>
                <a:ext uri="{63B3BB69-23CF-44E3-9099-C40C66FF867C}">
                  <a14:compatExt spid="_x0000_s32825"/>
                </a:ext>
                <a:ext uri="{FF2B5EF4-FFF2-40B4-BE49-F238E27FC236}">
                  <a16:creationId xmlns:a16="http://schemas.microsoft.com/office/drawing/2014/main" id="{00000000-0008-0000-1200-000039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31</xdr:row>
          <xdr:rowOff>38100</xdr:rowOff>
        </xdr:from>
        <xdr:to>
          <xdr:col>2</xdr:col>
          <xdr:colOff>1524000</xdr:colOff>
          <xdr:row>31</xdr:row>
          <xdr:rowOff>238125</xdr:rowOff>
        </xdr:to>
        <xdr:sp macro="" textlink="">
          <xdr:nvSpPr>
            <xdr:cNvPr id="32828" name="Spinner 60" hidden="1">
              <a:extLst>
                <a:ext uri="{63B3BB69-23CF-44E3-9099-C40C66FF867C}">
                  <a14:compatExt spid="_x0000_s32828"/>
                </a:ext>
                <a:ext uri="{FF2B5EF4-FFF2-40B4-BE49-F238E27FC236}">
                  <a16:creationId xmlns:a16="http://schemas.microsoft.com/office/drawing/2014/main" id="{00000000-0008-0000-1200-00003C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xdr:col>
      <xdr:colOff>0</xdr:colOff>
      <xdr:row>7</xdr:row>
      <xdr:rowOff>1</xdr:rowOff>
    </xdr:from>
    <xdr:to>
      <xdr:col>8</xdr:col>
      <xdr:colOff>681036</xdr:colOff>
      <xdr:row>42</xdr:row>
      <xdr:rowOff>1</xdr:rowOff>
    </xdr:to>
    <xdr:graphicFrame macro="">
      <xdr:nvGraphicFramePr>
        <xdr:cNvPr id="2" name="Chart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7</xdr:row>
      <xdr:rowOff>8467</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11667" y="0"/>
          <a:ext cx="16788341" cy="14986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Impact of extended longevity</a:t>
          </a:r>
          <a:r>
            <a:rPr lang="en-AU" sz="2200" b="1" baseline="0"/>
            <a:t> of the milking cow</a:t>
          </a:r>
        </a:p>
        <a:p>
          <a:pPr eaLnBrk="1" fontAlgn="auto" latinLnBrk="0" hangingPunct="1"/>
          <a:r>
            <a:rPr lang="en-AU" sz="1200">
              <a:solidFill>
                <a:schemeClr val="dk1"/>
              </a:solidFill>
              <a:latin typeface="+mn-lt"/>
              <a:ea typeface="+mn-ea"/>
              <a:cs typeface="+mn-cs"/>
            </a:rPr>
            <a:t>This spreadsheet is setup to help producers examine the validity of adopting a program of extending</a:t>
          </a:r>
          <a:r>
            <a:rPr lang="en-AU" sz="1200" baseline="0">
              <a:solidFill>
                <a:schemeClr val="dk1"/>
              </a:solidFill>
              <a:latin typeface="+mn-lt"/>
              <a:ea typeface="+mn-ea"/>
              <a:cs typeface="+mn-cs"/>
            </a:rPr>
            <a:t> the number of lactations per cow so that fewer heifers need retaining every year and its impact on methane and nitrous oxide emissions</a:t>
          </a:r>
          <a:r>
            <a:rPr lang="en-AU" sz="1200">
              <a:solidFill>
                <a:schemeClr val="dk1"/>
              </a:solidFill>
              <a:latin typeface="+mn-lt"/>
              <a:ea typeface="+mn-ea"/>
              <a:cs typeface="+mn-cs"/>
            </a:rPr>
            <a:t>.  This spreadsheet then estimates the potential level of abatement that can be achieved and calculates the overall potential economic benefit to the farm</a:t>
          </a:r>
          <a:r>
            <a:rPr lang="en-AU" sz="1200" b="0">
              <a:solidFill>
                <a:sysClr val="windowText" lastClr="000000"/>
              </a:solidFill>
              <a:latin typeface="+mn-lt"/>
              <a:ea typeface="+mn-ea"/>
              <a:cs typeface="+mn-cs"/>
            </a:rPr>
            <a:t>.  </a:t>
          </a:r>
          <a:r>
            <a:rPr lang="en-AU" sz="1200" b="0">
              <a:solidFill>
                <a:schemeClr val="dk1"/>
              </a:solidFill>
              <a:effectLst/>
              <a:latin typeface="+mn-lt"/>
              <a:ea typeface="+mn-ea"/>
              <a:cs typeface="+mn-cs"/>
            </a:rPr>
            <a:t>The 'Baseline farm system data relevant to this abatement strategy' green cells are linked to the baseline</a:t>
          </a:r>
          <a:r>
            <a:rPr lang="en-AU" sz="1200" b="0" baseline="0">
              <a:solidFill>
                <a:schemeClr val="dk1"/>
              </a:solidFill>
              <a:effectLst/>
              <a:latin typeface="+mn-lt"/>
              <a:ea typeface="+mn-ea"/>
              <a:cs typeface="+mn-cs"/>
            </a:rPr>
            <a:t> farm data entered by the user</a:t>
          </a:r>
          <a:r>
            <a:rPr lang="en-AU" sz="1200" b="0">
              <a:solidFill>
                <a:schemeClr val="dk1"/>
              </a:solidFill>
              <a:effectLst/>
              <a:latin typeface="+mn-lt"/>
              <a:ea typeface="+mn-ea"/>
              <a:cs typeface="+mn-cs"/>
            </a:rPr>
            <a:t>.  </a:t>
          </a:r>
          <a:r>
            <a:rPr lang="en-AU" sz="1200">
              <a:solidFill>
                <a:schemeClr val="dk1"/>
              </a:solidFill>
              <a:effectLst/>
              <a:latin typeface="+mn-lt"/>
              <a:ea typeface="+mn-ea"/>
              <a:cs typeface="+mn-cs"/>
            </a:rPr>
            <a:t>The 'Key variables for the strategy farm' </a:t>
          </a:r>
          <a:r>
            <a:rPr lang="en-AU" sz="1200" baseline="0">
              <a:solidFill>
                <a:schemeClr val="dk1"/>
              </a:solidFill>
              <a:effectLst/>
              <a:latin typeface="+mn-lt"/>
              <a:ea typeface="+mn-ea"/>
              <a:cs typeface="+mn-cs"/>
            </a:rPr>
            <a:t>pink cells must be entered and refer to the abatement strategy under review.  The 'Variation in production' purple cells are the baseline and strategy farm system's replacement rates and the 'GHG and economic results' blue cells are a summary of the results.  </a:t>
          </a:r>
          <a:r>
            <a:rPr lang="en-AU" sz="1200">
              <a:solidFill>
                <a:schemeClr val="dk1"/>
              </a:solidFill>
              <a:effectLst/>
              <a:latin typeface="+mn-lt"/>
              <a:ea typeface="+mn-ea"/>
              <a:cs typeface="+mn-cs"/>
            </a:rPr>
            <a:t>Details on the data required and any underlining assumptions are given by hovering over the cells marked with a red triangle.</a:t>
          </a:r>
          <a:endParaRPr lang="en-AU" sz="1200">
            <a:effectLst/>
          </a:endParaRPr>
        </a:p>
      </xdr:txBody>
    </xdr:sp>
    <xdr:clientData/>
  </xdr:twoCellAnchor>
  <xdr:twoCellAnchor>
    <xdr:from>
      <xdr:col>1</xdr:col>
      <xdr:colOff>552450</xdr:colOff>
      <xdr:row>44</xdr:row>
      <xdr:rowOff>114300</xdr:rowOff>
    </xdr:from>
    <xdr:to>
      <xdr:col>2</xdr:col>
      <xdr:colOff>1524000</xdr:colOff>
      <xdr:row>47</xdr:row>
      <xdr:rowOff>123825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300-000004000000}"/>
            </a:ext>
          </a:extLst>
        </xdr:cNvPr>
        <xdr:cNvSpPr txBox="1"/>
      </xdr:nvSpPr>
      <xdr:spPr>
        <a:xfrm>
          <a:off x="762000" y="10210800"/>
          <a:ext cx="6991350" cy="58102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the baseline</a:t>
          </a:r>
          <a:r>
            <a:rPr lang="en-AU" sz="2800" baseline="0"/>
            <a:t> farm </a:t>
          </a:r>
          <a:r>
            <a:rPr lang="en-AU" sz="2800"/>
            <a:t>sheet</a:t>
          </a:r>
        </a:p>
      </xdr:txBody>
    </xdr:sp>
    <xdr:clientData/>
  </xdr:twoCellAnchor>
  <mc:AlternateContent xmlns:mc="http://schemas.openxmlformats.org/markup-compatibility/2006">
    <mc:Choice xmlns:a14="http://schemas.microsoft.com/office/drawing/2010/main" Requires="a14">
      <xdr:twoCellAnchor>
        <xdr:from>
          <xdr:col>2</xdr:col>
          <xdr:colOff>1200150</xdr:colOff>
          <xdr:row>14</xdr:row>
          <xdr:rowOff>57150</xdr:rowOff>
        </xdr:from>
        <xdr:to>
          <xdr:col>2</xdr:col>
          <xdr:colOff>1543050</xdr:colOff>
          <xdr:row>14</xdr:row>
          <xdr:rowOff>238125</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13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16</xdr:row>
          <xdr:rowOff>57150</xdr:rowOff>
        </xdr:from>
        <xdr:to>
          <xdr:col>2</xdr:col>
          <xdr:colOff>1543050</xdr:colOff>
          <xdr:row>16</xdr:row>
          <xdr:rowOff>238125</xdr:rowOff>
        </xdr:to>
        <xdr:sp macro="" textlink="">
          <xdr:nvSpPr>
            <xdr:cNvPr id="36866" name="Spinner 2" hidden="1">
              <a:extLst>
                <a:ext uri="{63B3BB69-23CF-44E3-9099-C40C66FF867C}">
                  <a14:compatExt spid="_x0000_s36866"/>
                </a:ext>
                <a:ext uri="{FF2B5EF4-FFF2-40B4-BE49-F238E27FC236}">
                  <a16:creationId xmlns:a16="http://schemas.microsoft.com/office/drawing/2014/main" id="{00000000-0008-0000-1300-000002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20</xdr:row>
          <xdr:rowOff>0</xdr:rowOff>
        </xdr:from>
        <xdr:to>
          <xdr:col>2</xdr:col>
          <xdr:colOff>1362075</xdr:colOff>
          <xdr:row>20</xdr:row>
          <xdr:rowOff>0</xdr:rowOff>
        </xdr:to>
        <xdr:sp macro="" textlink="">
          <xdr:nvSpPr>
            <xdr:cNvPr id="36867" name="Spinner 3" hidden="1">
              <a:extLst>
                <a:ext uri="{63B3BB69-23CF-44E3-9099-C40C66FF867C}">
                  <a14:compatExt spid="_x0000_s36867"/>
                </a:ext>
                <a:ext uri="{FF2B5EF4-FFF2-40B4-BE49-F238E27FC236}">
                  <a16:creationId xmlns:a16="http://schemas.microsoft.com/office/drawing/2014/main" id="{00000000-0008-0000-1300-000003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20</xdr:row>
          <xdr:rowOff>57150</xdr:rowOff>
        </xdr:from>
        <xdr:to>
          <xdr:col>2</xdr:col>
          <xdr:colOff>1543050</xdr:colOff>
          <xdr:row>20</xdr:row>
          <xdr:rowOff>238125</xdr:rowOff>
        </xdr:to>
        <xdr:sp macro="" textlink="">
          <xdr:nvSpPr>
            <xdr:cNvPr id="36868" name="Spinner 4" hidden="1">
              <a:extLst>
                <a:ext uri="{63B3BB69-23CF-44E3-9099-C40C66FF867C}">
                  <a14:compatExt spid="_x0000_s36868"/>
                </a:ext>
                <a:ext uri="{FF2B5EF4-FFF2-40B4-BE49-F238E27FC236}">
                  <a16:creationId xmlns:a16="http://schemas.microsoft.com/office/drawing/2014/main" id="{00000000-0008-0000-1300-000004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22</xdr:row>
          <xdr:rowOff>57150</xdr:rowOff>
        </xdr:from>
        <xdr:to>
          <xdr:col>2</xdr:col>
          <xdr:colOff>1543050</xdr:colOff>
          <xdr:row>22</xdr:row>
          <xdr:rowOff>238125</xdr:rowOff>
        </xdr:to>
        <xdr:sp macro="" textlink="">
          <xdr:nvSpPr>
            <xdr:cNvPr id="36869" name="Spinner 5" hidden="1">
              <a:extLst>
                <a:ext uri="{63B3BB69-23CF-44E3-9099-C40C66FF867C}">
                  <a14:compatExt spid="_x0000_s36869"/>
                </a:ext>
                <a:ext uri="{FF2B5EF4-FFF2-40B4-BE49-F238E27FC236}">
                  <a16:creationId xmlns:a16="http://schemas.microsoft.com/office/drawing/2014/main" id="{00000000-0008-0000-1300-000005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20</xdr:row>
          <xdr:rowOff>0</xdr:rowOff>
        </xdr:from>
        <xdr:to>
          <xdr:col>2</xdr:col>
          <xdr:colOff>1362075</xdr:colOff>
          <xdr:row>20</xdr:row>
          <xdr:rowOff>0</xdr:rowOff>
        </xdr:to>
        <xdr:sp macro="" textlink="">
          <xdr:nvSpPr>
            <xdr:cNvPr id="36870" name="Spinner 6" hidden="1">
              <a:extLst>
                <a:ext uri="{63B3BB69-23CF-44E3-9099-C40C66FF867C}">
                  <a14:compatExt spid="_x0000_s36870"/>
                </a:ext>
                <a:ext uri="{FF2B5EF4-FFF2-40B4-BE49-F238E27FC236}">
                  <a16:creationId xmlns:a16="http://schemas.microsoft.com/office/drawing/2014/main" id="{00000000-0008-0000-1300-000006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20</xdr:row>
          <xdr:rowOff>0</xdr:rowOff>
        </xdr:from>
        <xdr:to>
          <xdr:col>3</xdr:col>
          <xdr:colOff>0</xdr:colOff>
          <xdr:row>20</xdr:row>
          <xdr:rowOff>0</xdr:rowOff>
        </xdr:to>
        <xdr:sp macro="" textlink="">
          <xdr:nvSpPr>
            <xdr:cNvPr id="36871" name="Spinner 7" hidden="1">
              <a:extLst>
                <a:ext uri="{63B3BB69-23CF-44E3-9099-C40C66FF867C}">
                  <a14:compatExt spid="_x0000_s36871"/>
                </a:ext>
                <a:ext uri="{FF2B5EF4-FFF2-40B4-BE49-F238E27FC236}">
                  <a16:creationId xmlns:a16="http://schemas.microsoft.com/office/drawing/2014/main" id="{00000000-0008-0000-1300-000007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18</xdr:row>
          <xdr:rowOff>57150</xdr:rowOff>
        </xdr:from>
        <xdr:to>
          <xdr:col>2</xdr:col>
          <xdr:colOff>1543050</xdr:colOff>
          <xdr:row>18</xdr:row>
          <xdr:rowOff>238125</xdr:rowOff>
        </xdr:to>
        <xdr:sp macro="" textlink="">
          <xdr:nvSpPr>
            <xdr:cNvPr id="36904" name="Spinner 40" hidden="1">
              <a:extLst>
                <a:ext uri="{63B3BB69-23CF-44E3-9099-C40C66FF867C}">
                  <a14:compatExt spid="_x0000_s36904"/>
                </a:ext>
                <a:ext uri="{FF2B5EF4-FFF2-40B4-BE49-F238E27FC236}">
                  <a16:creationId xmlns:a16="http://schemas.microsoft.com/office/drawing/2014/main" id="{00000000-0008-0000-1300-000028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xdr:col>
      <xdr:colOff>0</xdr:colOff>
      <xdr:row>12</xdr:row>
      <xdr:rowOff>1</xdr:rowOff>
    </xdr:from>
    <xdr:to>
      <xdr:col>8</xdr:col>
      <xdr:colOff>681036</xdr:colOff>
      <xdr:row>54</xdr:row>
      <xdr:rowOff>1</xdr:rowOff>
    </xdr:to>
    <xdr:graphicFrame macro="">
      <xdr:nvGraphicFramePr>
        <xdr:cNvPr id="2" name="Chart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676275</xdr:colOff>
      <xdr:row>12</xdr:row>
      <xdr:rowOff>8466</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213360" y="0"/>
          <a:ext cx="15916275" cy="1441026"/>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Enteric</a:t>
          </a:r>
          <a:r>
            <a:rPr lang="en-AU" sz="2200" b="1" baseline="0"/>
            <a:t> methane reduction through the capture of all methane from dairy/feedpad and flared</a:t>
          </a:r>
        </a:p>
      </xdr:txBody>
    </xdr:sp>
    <xdr:clientData/>
  </xdr:twoCellAnchor>
  <xdr:twoCellAnchor>
    <xdr:from>
      <xdr:col>1</xdr:col>
      <xdr:colOff>552450</xdr:colOff>
      <xdr:row>56</xdr:row>
      <xdr:rowOff>114300</xdr:rowOff>
    </xdr:from>
    <xdr:to>
      <xdr:col>2</xdr:col>
      <xdr:colOff>1524000</xdr:colOff>
      <xdr:row>59</xdr:row>
      <xdr:rowOff>123825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400-000004000000}"/>
            </a:ext>
          </a:extLst>
        </xdr:cNvPr>
        <xdr:cNvSpPr txBox="1"/>
      </xdr:nvSpPr>
      <xdr:spPr>
        <a:xfrm>
          <a:off x="765810" y="9822180"/>
          <a:ext cx="6724650" cy="55816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to return to front sheet</a:t>
          </a:r>
        </a:p>
      </xdr:txBody>
    </xdr:sp>
    <xdr:clientData/>
  </xdr:twoCellAnchor>
  <xdr:twoCellAnchor>
    <xdr:from>
      <xdr:col>0</xdr:col>
      <xdr:colOff>209550</xdr:colOff>
      <xdr:row>0</xdr:row>
      <xdr:rowOff>0</xdr:rowOff>
    </xdr:from>
    <xdr:to>
      <xdr:col>8</xdr:col>
      <xdr:colOff>690562</xdr:colOff>
      <xdr:row>12</xdr:row>
      <xdr:rowOff>25400</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09550" y="0"/>
          <a:ext cx="15934372" cy="145796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ct val="110000"/>
            </a:lnSpc>
          </a:pPr>
          <a:r>
            <a:rPr lang="en-AU" sz="2200" b="1"/>
            <a:t>Capturing</a:t>
          </a:r>
          <a:r>
            <a:rPr lang="en-AU" sz="2200" b="1" baseline="0"/>
            <a:t> and flaring all the manure methane deposited in the dairy or feedpad areas</a:t>
          </a:r>
        </a:p>
        <a:p>
          <a:pPr>
            <a:lnSpc>
              <a:spcPct val="110000"/>
            </a:lnSpc>
          </a:pPr>
          <a:r>
            <a:rPr lang="en-AU" sz="1200">
              <a:solidFill>
                <a:schemeClr val="dk1"/>
              </a:solidFill>
              <a:latin typeface="+mn-lt"/>
              <a:ea typeface="+mn-ea"/>
              <a:cs typeface="+mn-cs"/>
            </a:rPr>
            <a:t>This spreadsheet is setup to help producers examine the validity of adopting the strategy of capturing all the manure methane from the dairy</a:t>
          </a:r>
          <a:r>
            <a:rPr lang="en-AU" sz="1200" baseline="0">
              <a:solidFill>
                <a:schemeClr val="dk1"/>
              </a:solidFill>
              <a:latin typeface="+mn-lt"/>
              <a:ea typeface="+mn-ea"/>
              <a:cs typeface="+mn-cs"/>
            </a:rPr>
            <a:t> and feedpad and flaring the methane and converting it into carbon dioxide.  If this strategy is being explored, when entering the baseline farm data, the user must have selected the option of a "User-defined factors and fractions" with respect to manure management and then also entered the relevant data for the milkers.  For example, how many hours per day are the milkers at the dairy, is there any pre-treatment of the waste before it enters the lagoon/ pond system.  By doing this, DGAS can estimate how much volatiel solids is entering the pond system which can then be captured and flared as per the CFI methodology.</a:t>
          </a:r>
        </a:p>
        <a:p>
          <a:pPr>
            <a:lnSpc>
              <a:spcPct val="110000"/>
            </a:lnSpc>
          </a:pPr>
          <a:endParaRPr lang="en-AU" sz="1200" baseline="0">
            <a:solidFill>
              <a:schemeClr val="dk1"/>
            </a:solidFill>
            <a:latin typeface="+mn-lt"/>
            <a:ea typeface="+mn-ea"/>
            <a:cs typeface="+mn-cs"/>
          </a:endParaRPr>
        </a:p>
        <a:p>
          <a:pPr>
            <a:lnSpc>
              <a:spcPct val="110000"/>
            </a:lnSpc>
          </a:pPr>
          <a:r>
            <a:rPr lang="en-AU" sz="1200" baseline="0">
              <a:solidFill>
                <a:schemeClr val="dk1"/>
              </a:solidFill>
              <a:latin typeface="+mn-lt"/>
              <a:ea typeface="+mn-ea"/>
              <a:cs typeface="+mn-cs"/>
            </a:rPr>
            <a:t>The savings in GHG emissions comes with the reduction in the GWP of the gas released with methane 21 times greater than carbon dioxide.  </a:t>
          </a:r>
          <a:r>
            <a:rPr lang="en-AU" sz="1200">
              <a:solidFill>
                <a:schemeClr val="dk1"/>
              </a:solidFill>
              <a:latin typeface="+mn-lt"/>
              <a:ea typeface="+mn-ea"/>
              <a:cs typeface="+mn-cs"/>
            </a:rPr>
            <a:t>This spreadsheet estimates the potential level of abatement that can be achieved and calculates the overall potential economic benefit to the farm.  </a:t>
          </a:r>
          <a:r>
            <a:rPr lang="en-AU" sz="1100" b="0">
              <a:solidFill>
                <a:schemeClr val="dk1"/>
              </a:solidFill>
              <a:effectLst/>
              <a:latin typeface="+mn-lt"/>
              <a:ea typeface="+mn-ea"/>
              <a:cs typeface="+mn-cs"/>
            </a:rPr>
            <a:t>The green cells are linked to the baseline</a:t>
          </a:r>
          <a:r>
            <a:rPr lang="en-AU" sz="1100" b="0" baseline="0">
              <a:solidFill>
                <a:schemeClr val="dk1"/>
              </a:solidFill>
              <a:effectLst/>
              <a:latin typeface="+mn-lt"/>
              <a:ea typeface="+mn-ea"/>
              <a:cs typeface="+mn-cs"/>
            </a:rPr>
            <a:t> farm data entered by the user</a:t>
          </a:r>
          <a:r>
            <a:rPr lang="en-AU" sz="1100" b="0">
              <a:solidFill>
                <a:schemeClr val="dk1"/>
              </a:solidFill>
              <a:effectLst/>
              <a:latin typeface="+mn-lt"/>
              <a:ea typeface="+mn-ea"/>
              <a:cs typeface="+mn-cs"/>
            </a:rPr>
            <a:t>.   </a:t>
          </a:r>
          <a:r>
            <a:rPr lang="en-AU" sz="1200">
              <a:solidFill>
                <a:schemeClr val="dk1"/>
              </a:solidFill>
              <a:latin typeface="+mn-lt"/>
              <a:ea typeface="+mn-ea"/>
              <a:cs typeface="+mn-cs"/>
            </a:rPr>
            <a:t>The </a:t>
          </a:r>
          <a:r>
            <a:rPr lang="en-AU" sz="1200" baseline="0">
              <a:solidFill>
                <a:schemeClr val="dk1"/>
              </a:solidFill>
              <a:latin typeface="+mn-lt"/>
              <a:ea typeface="+mn-ea"/>
              <a:cs typeface="+mn-cs"/>
            </a:rPr>
            <a:t> pink cells must be entered and refer to the abatement strategy under review.  The purple cells are estimations  (not relevant for this strategy) and  the blue cells  are a summary of the results.  </a:t>
          </a:r>
          <a:r>
            <a:rPr lang="en-AU" sz="1200">
              <a:solidFill>
                <a:schemeClr val="dk1"/>
              </a:solidFill>
              <a:latin typeface="+mn-lt"/>
              <a:ea typeface="+mn-ea"/>
              <a:cs typeface="+mn-cs"/>
            </a:rPr>
            <a:t>Details on the data required and any underlining assumptions are given by hovering over the cells marked with a red triangle.</a:t>
          </a:r>
        </a:p>
        <a:p>
          <a:pPr>
            <a:lnSpc>
              <a:spcPct val="110000"/>
            </a:lnSpc>
          </a:pPr>
          <a:endParaRPr lang="en-AU" sz="1200"/>
        </a:p>
      </xdr:txBody>
    </xdr:sp>
    <xdr:clientData/>
  </xdr:twoCellAnchor>
  <mc:AlternateContent xmlns:mc="http://schemas.openxmlformats.org/markup-compatibility/2006">
    <mc:Choice xmlns:a14="http://schemas.microsoft.com/office/drawing/2010/main" Requires="a14">
      <xdr:twoCellAnchor>
        <xdr:from>
          <xdr:col>2</xdr:col>
          <xdr:colOff>1238250</xdr:colOff>
          <xdr:row>23</xdr:row>
          <xdr:rowOff>57150</xdr:rowOff>
        </xdr:from>
        <xdr:to>
          <xdr:col>2</xdr:col>
          <xdr:colOff>1581150</xdr:colOff>
          <xdr:row>24</xdr:row>
          <xdr:rowOff>19050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14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29</xdr:row>
          <xdr:rowOff>57150</xdr:rowOff>
        </xdr:from>
        <xdr:to>
          <xdr:col>2</xdr:col>
          <xdr:colOff>1581150</xdr:colOff>
          <xdr:row>30</xdr:row>
          <xdr:rowOff>0</xdr:rowOff>
        </xdr:to>
        <xdr:sp macro="" textlink="">
          <xdr:nvSpPr>
            <xdr:cNvPr id="68610" name="Spinner 2" hidden="1">
              <a:extLst>
                <a:ext uri="{63B3BB69-23CF-44E3-9099-C40C66FF867C}">
                  <a14:compatExt spid="_x0000_s68610"/>
                </a:ext>
                <a:ext uri="{FF2B5EF4-FFF2-40B4-BE49-F238E27FC236}">
                  <a16:creationId xmlns:a16="http://schemas.microsoft.com/office/drawing/2014/main" id="{00000000-0008-0000-1400-000002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32</xdr:row>
          <xdr:rowOff>0</xdr:rowOff>
        </xdr:from>
        <xdr:to>
          <xdr:col>2</xdr:col>
          <xdr:colOff>1362075</xdr:colOff>
          <xdr:row>32</xdr:row>
          <xdr:rowOff>0</xdr:rowOff>
        </xdr:to>
        <xdr:sp macro="" textlink="">
          <xdr:nvSpPr>
            <xdr:cNvPr id="68611" name="Spinner 3" hidden="1">
              <a:extLst>
                <a:ext uri="{63B3BB69-23CF-44E3-9099-C40C66FF867C}">
                  <a14:compatExt spid="_x0000_s68611"/>
                </a:ext>
                <a:ext uri="{FF2B5EF4-FFF2-40B4-BE49-F238E27FC236}">
                  <a16:creationId xmlns:a16="http://schemas.microsoft.com/office/drawing/2014/main" id="{00000000-0008-0000-1400-000003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33</xdr:row>
          <xdr:rowOff>38100</xdr:rowOff>
        </xdr:from>
        <xdr:to>
          <xdr:col>2</xdr:col>
          <xdr:colOff>1581150</xdr:colOff>
          <xdr:row>33</xdr:row>
          <xdr:rowOff>238125</xdr:rowOff>
        </xdr:to>
        <xdr:sp macro="" textlink="">
          <xdr:nvSpPr>
            <xdr:cNvPr id="68612" name="Spinner 4" hidden="1">
              <a:extLst>
                <a:ext uri="{63B3BB69-23CF-44E3-9099-C40C66FF867C}">
                  <a14:compatExt spid="_x0000_s68612"/>
                </a:ext>
                <a:ext uri="{FF2B5EF4-FFF2-40B4-BE49-F238E27FC236}">
                  <a16:creationId xmlns:a16="http://schemas.microsoft.com/office/drawing/2014/main" id="{00000000-0008-0000-1400-000004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35</xdr:row>
          <xdr:rowOff>38100</xdr:rowOff>
        </xdr:from>
        <xdr:to>
          <xdr:col>2</xdr:col>
          <xdr:colOff>1581150</xdr:colOff>
          <xdr:row>35</xdr:row>
          <xdr:rowOff>238125</xdr:rowOff>
        </xdr:to>
        <xdr:sp macro="" textlink="">
          <xdr:nvSpPr>
            <xdr:cNvPr id="68613" name="Spinner 5" hidden="1">
              <a:extLst>
                <a:ext uri="{63B3BB69-23CF-44E3-9099-C40C66FF867C}">
                  <a14:compatExt spid="_x0000_s68613"/>
                </a:ext>
                <a:ext uri="{FF2B5EF4-FFF2-40B4-BE49-F238E27FC236}">
                  <a16:creationId xmlns:a16="http://schemas.microsoft.com/office/drawing/2014/main" id="{00000000-0008-0000-1400-000005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32</xdr:row>
          <xdr:rowOff>0</xdr:rowOff>
        </xdr:from>
        <xdr:to>
          <xdr:col>2</xdr:col>
          <xdr:colOff>1362075</xdr:colOff>
          <xdr:row>32</xdr:row>
          <xdr:rowOff>0</xdr:rowOff>
        </xdr:to>
        <xdr:sp macro="" textlink="">
          <xdr:nvSpPr>
            <xdr:cNvPr id="68614" name="Spinner 6" hidden="1">
              <a:extLst>
                <a:ext uri="{63B3BB69-23CF-44E3-9099-C40C66FF867C}">
                  <a14:compatExt spid="_x0000_s68614"/>
                </a:ext>
                <a:ext uri="{FF2B5EF4-FFF2-40B4-BE49-F238E27FC236}">
                  <a16:creationId xmlns:a16="http://schemas.microsoft.com/office/drawing/2014/main" id="{00000000-0008-0000-1400-000006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31</xdr:row>
          <xdr:rowOff>95250</xdr:rowOff>
        </xdr:from>
        <xdr:to>
          <xdr:col>2</xdr:col>
          <xdr:colOff>1581150</xdr:colOff>
          <xdr:row>32</xdr:row>
          <xdr:rowOff>38100</xdr:rowOff>
        </xdr:to>
        <xdr:sp macro="" textlink="">
          <xdr:nvSpPr>
            <xdr:cNvPr id="68615" name="Spinner 7" hidden="1">
              <a:extLst>
                <a:ext uri="{63B3BB69-23CF-44E3-9099-C40C66FF867C}">
                  <a14:compatExt spid="_x0000_s68615"/>
                </a:ext>
                <a:ext uri="{FF2B5EF4-FFF2-40B4-BE49-F238E27FC236}">
                  <a16:creationId xmlns:a16="http://schemas.microsoft.com/office/drawing/2014/main" id="{00000000-0008-0000-1400-000007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21</xdr:row>
          <xdr:rowOff>57150</xdr:rowOff>
        </xdr:from>
        <xdr:to>
          <xdr:col>2</xdr:col>
          <xdr:colOff>1581150</xdr:colOff>
          <xdr:row>22</xdr:row>
          <xdr:rowOff>0</xdr:rowOff>
        </xdr:to>
        <xdr:sp macro="" textlink="">
          <xdr:nvSpPr>
            <xdr:cNvPr id="68616" name="Spinner 8" hidden="1">
              <a:extLst>
                <a:ext uri="{63B3BB69-23CF-44E3-9099-C40C66FF867C}">
                  <a14:compatExt spid="_x0000_s68616"/>
                </a:ext>
                <a:ext uri="{FF2B5EF4-FFF2-40B4-BE49-F238E27FC236}">
                  <a16:creationId xmlns:a16="http://schemas.microsoft.com/office/drawing/2014/main" id="{00000000-0008-0000-1400-000008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25</xdr:row>
          <xdr:rowOff>28575</xdr:rowOff>
        </xdr:from>
        <xdr:to>
          <xdr:col>2</xdr:col>
          <xdr:colOff>1581150</xdr:colOff>
          <xdr:row>25</xdr:row>
          <xdr:rowOff>228600</xdr:rowOff>
        </xdr:to>
        <xdr:sp macro="" textlink="">
          <xdr:nvSpPr>
            <xdr:cNvPr id="68617" name="Spinner 9" hidden="1">
              <a:extLst>
                <a:ext uri="{63B3BB69-23CF-44E3-9099-C40C66FF867C}">
                  <a14:compatExt spid="_x0000_s68617"/>
                </a:ext>
                <a:ext uri="{FF2B5EF4-FFF2-40B4-BE49-F238E27FC236}">
                  <a16:creationId xmlns:a16="http://schemas.microsoft.com/office/drawing/2014/main" id="{00000000-0008-0000-1400-000009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27</xdr:row>
          <xdr:rowOff>19050</xdr:rowOff>
        </xdr:from>
        <xdr:to>
          <xdr:col>2</xdr:col>
          <xdr:colOff>1581150</xdr:colOff>
          <xdr:row>27</xdr:row>
          <xdr:rowOff>219075</xdr:rowOff>
        </xdr:to>
        <xdr:sp macro="" textlink="">
          <xdr:nvSpPr>
            <xdr:cNvPr id="68618" name="Spinner 10" hidden="1">
              <a:extLst>
                <a:ext uri="{63B3BB69-23CF-44E3-9099-C40C66FF867C}">
                  <a14:compatExt spid="_x0000_s68618"/>
                </a:ext>
                <a:ext uri="{FF2B5EF4-FFF2-40B4-BE49-F238E27FC236}">
                  <a16:creationId xmlns:a16="http://schemas.microsoft.com/office/drawing/2014/main" id="{00000000-0008-0000-1400-00000A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38101</xdr:colOff>
      <xdr:row>121</xdr:row>
      <xdr:rowOff>0</xdr:rowOff>
    </xdr:from>
    <xdr:to>
      <xdr:col>5</xdr:col>
      <xdr:colOff>123825</xdr:colOff>
      <xdr:row>146</xdr:row>
      <xdr:rowOff>142874</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342900</xdr:colOff>
      <xdr:row>497</xdr:row>
      <xdr:rowOff>47625</xdr:rowOff>
    </xdr:from>
    <xdr:to>
      <xdr:col>21</xdr:col>
      <xdr:colOff>266700</xdr:colOff>
      <xdr:row>514</xdr:row>
      <xdr:rowOff>9525</xdr:rowOff>
    </xdr:to>
    <xdr:graphicFrame macro="">
      <xdr:nvGraphicFramePr>
        <xdr:cNvPr id="3" name="Chart 6">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149</xdr:row>
      <xdr:rowOff>0</xdr:rowOff>
    </xdr:from>
    <xdr:to>
      <xdr:col>7</xdr:col>
      <xdr:colOff>114300</xdr:colOff>
      <xdr:row>152</xdr:row>
      <xdr:rowOff>32960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100-000004000000}"/>
            </a:ext>
          </a:extLst>
        </xdr:cNvPr>
        <xdr:cNvSpPr txBox="1"/>
      </xdr:nvSpPr>
      <xdr:spPr>
        <a:xfrm>
          <a:off x="228600" y="30127575"/>
          <a:ext cx="1074420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progress to the Abatement Strategy worksheet</a:t>
          </a:r>
        </a:p>
      </xdr:txBody>
    </xdr:sp>
    <xdr:clientData/>
  </xdr:twoCellAnchor>
  <xdr:twoCellAnchor>
    <xdr:from>
      <xdr:col>5</xdr:col>
      <xdr:colOff>66675</xdr:colOff>
      <xdr:row>121</xdr:row>
      <xdr:rowOff>0</xdr:rowOff>
    </xdr:from>
    <xdr:to>
      <xdr:col>11</xdr:col>
      <xdr:colOff>628649</xdr:colOff>
      <xdr:row>146</xdr:row>
      <xdr:rowOff>142874</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57151</xdr:colOff>
      <xdr:row>122</xdr:row>
      <xdr:rowOff>19050</xdr:rowOff>
    </xdr:from>
    <xdr:to>
      <xdr:col>5</xdr:col>
      <xdr:colOff>142875</xdr:colOff>
      <xdr:row>147</xdr:row>
      <xdr:rowOff>161924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342900</xdr:colOff>
      <xdr:row>501</xdr:row>
      <xdr:rowOff>47625</xdr:rowOff>
    </xdr:from>
    <xdr:to>
      <xdr:col>21</xdr:col>
      <xdr:colOff>266700</xdr:colOff>
      <xdr:row>518</xdr:row>
      <xdr:rowOff>9525</xdr:rowOff>
    </xdr:to>
    <xdr:graphicFrame macro="">
      <xdr:nvGraphicFramePr>
        <xdr:cNvPr id="3" name="Chart 6">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2028825</xdr:colOff>
      <xdr:row>151</xdr:row>
      <xdr:rowOff>123825</xdr:rowOff>
    </xdr:from>
    <xdr:to>
      <xdr:col>6</xdr:col>
      <xdr:colOff>714375</xdr:colOff>
      <xdr:row>154</xdr:row>
      <xdr:rowOff>156785</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2257425" y="30394275"/>
          <a:ext cx="796290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return to the baseline farm</a:t>
          </a:r>
          <a:r>
            <a:rPr lang="en-AU" sz="2800" baseline="0"/>
            <a:t> worksheet</a:t>
          </a:r>
          <a:endParaRPr lang="en-AU" sz="2800"/>
        </a:p>
      </xdr:txBody>
    </xdr:sp>
    <xdr:clientData/>
  </xdr:twoCellAnchor>
  <xdr:twoCellAnchor>
    <xdr:from>
      <xdr:col>5</xdr:col>
      <xdr:colOff>0</xdr:colOff>
      <xdr:row>122</xdr:row>
      <xdr:rowOff>9525</xdr:rowOff>
    </xdr:from>
    <xdr:to>
      <xdr:col>11</xdr:col>
      <xdr:colOff>561974</xdr:colOff>
      <xdr:row>147</xdr:row>
      <xdr:rowOff>152399</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161906</xdr:colOff>
      <xdr:row>1</xdr:row>
      <xdr:rowOff>38100</xdr:rowOff>
    </xdr:from>
    <xdr:to>
      <xdr:col>7</xdr:col>
      <xdr:colOff>601125</xdr:colOff>
      <xdr:row>11</xdr:row>
      <xdr:rowOff>113100</xdr:rowOff>
    </xdr:to>
    <xdr:sp macro="" textlink="">
      <xdr:nvSpPr>
        <xdr:cNvPr id="3" name="Oval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983562" y="228600"/>
          <a:ext cx="2868094" cy="19800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a:solidFill>
                <a:schemeClr val="tx1"/>
              </a:solidFill>
              <a:latin typeface="+mn-lt"/>
              <a:ea typeface="+mn-ea"/>
              <a:cs typeface="+mn-cs"/>
            </a:rPr>
            <a:t>Herd and breeding management for reducing enteric methane emissions </a:t>
          </a:r>
        </a:p>
      </xdr:txBody>
    </xdr:sp>
    <xdr:clientData/>
  </xdr:twoCellAnchor>
  <xdr:twoCellAnchor>
    <xdr:from>
      <xdr:col>14</xdr:col>
      <xdr:colOff>511949</xdr:colOff>
      <xdr:row>28</xdr:row>
      <xdr:rowOff>152399</xdr:rowOff>
    </xdr:from>
    <xdr:to>
      <xdr:col>19</xdr:col>
      <xdr:colOff>343950</xdr:colOff>
      <xdr:row>39</xdr:row>
      <xdr:rowOff>36899</xdr:rowOff>
    </xdr:to>
    <xdr:sp macro="" textlink="">
      <xdr:nvSpPr>
        <xdr:cNvPr id="5" name="Oval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9013012" y="5486399"/>
          <a:ext cx="2868094" cy="19800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a:solidFill>
                <a:schemeClr val="tx1"/>
              </a:solidFill>
              <a:latin typeface="+mn-lt"/>
              <a:ea typeface="+mn-ea"/>
              <a:cs typeface="+mn-cs"/>
            </a:rPr>
            <a:t>Feed base management for reducing nitrous oxide emissions </a:t>
          </a:r>
        </a:p>
      </xdr:txBody>
    </xdr:sp>
    <xdr:clientData/>
  </xdr:twoCellAnchor>
  <xdr:twoCellAnchor>
    <xdr:from>
      <xdr:col>15</xdr:col>
      <xdr:colOff>209532</xdr:colOff>
      <xdr:row>0</xdr:row>
      <xdr:rowOff>180976</xdr:rowOff>
    </xdr:from>
    <xdr:to>
      <xdr:col>20</xdr:col>
      <xdr:colOff>41532</xdr:colOff>
      <xdr:row>11</xdr:row>
      <xdr:rowOff>65476</xdr:rowOff>
    </xdr:to>
    <xdr:grpSp>
      <xdr:nvGrpSpPr>
        <xdr:cNvPr id="24" name="Group 5">
          <a:hlinkClick xmlns:r="http://schemas.openxmlformats.org/officeDocument/2006/relationships" r:id="rId3"/>
          <a:extLst>
            <a:ext uri="{FF2B5EF4-FFF2-40B4-BE49-F238E27FC236}">
              <a16:creationId xmlns:a16="http://schemas.microsoft.com/office/drawing/2014/main" id="{00000000-0008-0000-0400-000018000000}"/>
            </a:ext>
          </a:extLst>
        </xdr:cNvPr>
        <xdr:cNvGrpSpPr/>
      </xdr:nvGrpSpPr>
      <xdr:grpSpPr>
        <a:xfrm>
          <a:off x="9394353" y="180976"/>
          <a:ext cx="2893608" cy="1980000"/>
          <a:chOff x="4310728" y="4207"/>
          <a:chExt cx="1894142" cy="1894142"/>
        </a:xfrm>
        <a:solidFill>
          <a:schemeClr val="bg2">
            <a:lumMod val="75000"/>
          </a:schemeClr>
        </a:solidFill>
      </xdr:grpSpPr>
      <xdr:sp macro="" textlink="">
        <xdr:nvSpPr>
          <xdr:cNvPr id="7" name="Oval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4329521" y="4206"/>
            <a:ext cx="1898137" cy="1895290"/>
          </a:xfrm>
          <a:prstGeom prst="ellipse">
            <a:avLst/>
          </a:prstGeom>
          <a:grp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en-AU"/>
          </a:p>
        </xdr:txBody>
      </xdr:sp>
      <xdr:sp macro="" textlink="">
        <xdr:nvSpPr>
          <xdr:cNvPr id="8" name="Oval 4">
            <a:extLst>
              <a:ext uri="{FF2B5EF4-FFF2-40B4-BE49-F238E27FC236}">
                <a16:creationId xmlns:a16="http://schemas.microsoft.com/office/drawing/2014/main" id="{00000000-0008-0000-0400-000008000000}"/>
              </a:ext>
            </a:extLst>
          </xdr:cNvPr>
          <xdr:cNvSpPr/>
        </xdr:nvSpPr>
        <xdr:spPr>
          <a:xfrm>
            <a:off x="4636480" y="304901"/>
            <a:ext cx="1315541" cy="132123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2860" tIns="22860" rIns="22860" bIns="22860" numCol="1" spcCol="1270" anchor="ctr" anchorCtr="0">
            <a:noAutofit/>
          </a:bodyPr>
          <a:lstStyle/>
          <a:p>
            <a:pPr algn="ctr"/>
            <a:r>
              <a:rPr lang="en-AU" sz="1600">
                <a:solidFill>
                  <a:schemeClr val="tx1"/>
                </a:solidFill>
                <a:latin typeface="+mn-lt"/>
                <a:ea typeface="+mn-ea"/>
                <a:cs typeface="+mn-cs"/>
              </a:rPr>
              <a:t>Diet manipulation for reducing enteric methane and nitrous oxide emissions </a:t>
            </a:r>
          </a:p>
        </xdr:txBody>
      </xdr:sp>
    </xdr:grpSp>
    <xdr:clientData/>
  </xdr:twoCellAnchor>
  <xdr:twoCellAnchor>
    <xdr:from>
      <xdr:col>8</xdr:col>
      <xdr:colOff>104756</xdr:colOff>
      <xdr:row>12</xdr:row>
      <xdr:rowOff>9525</xdr:rowOff>
    </xdr:from>
    <xdr:to>
      <xdr:col>14</xdr:col>
      <xdr:colOff>540524</xdr:colOff>
      <xdr:row>27</xdr:row>
      <xdr:rowOff>28575</xdr:rowOff>
    </xdr:to>
    <xdr:grpSp>
      <xdr:nvGrpSpPr>
        <xdr:cNvPr id="19533" name="Group 8">
          <a:extLst>
            <a:ext uri="{FF2B5EF4-FFF2-40B4-BE49-F238E27FC236}">
              <a16:creationId xmlns:a16="http://schemas.microsoft.com/office/drawing/2014/main" id="{00000000-0008-0000-0400-00004D4C0000}"/>
            </a:ext>
          </a:extLst>
        </xdr:cNvPr>
        <xdr:cNvGrpSpPr>
          <a:grpSpLocks/>
        </xdr:cNvGrpSpPr>
      </xdr:nvGrpSpPr>
      <xdr:grpSpPr bwMode="auto">
        <a:xfrm>
          <a:off x="5003327" y="2295525"/>
          <a:ext cx="4109697" cy="2876550"/>
          <a:chOff x="4310728" y="4207"/>
          <a:chExt cx="1894142" cy="1894142"/>
        </a:xfrm>
      </xdr:grpSpPr>
      <xdr:sp macro="" textlink="">
        <xdr:nvSpPr>
          <xdr:cNvPr id="10" name="Oval 9">
            <a:extLst>
              <a:ext uri="{FF2B5EF4-FFF2-40B4-BE49-F238E27FC236}">
                <a16:creationId xmlns:a16="http://schemas.microsoft.com/office/drawing/2014/main" id="{00000000-0008-0000-0400-00000A000000}"/>
              </a:ext>
            </a:extLst>
          </xdr:cNvPr>
          <xdr:cNvSpPr/>
        </xdr:nvSpPr>
        <xdr:spPr>
          <a:xfrm>
            <a:off x="4310728" y="4207"/>
            <a:ext cx="1894142" cy="1894142"/>
          </a:xfrm>
          <a:prstGeom prst="ellipse">
            <a:avLst/>
          </a:prstGeom>
          <a:solidFill>
            <a:schemeClr val="accent3">
              <a:lumMod val="7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en-AU"/>
          </a:p>
        </xdr:txBody>
      </xdr:sp>
      <xdr:sp macro="" textlink="">
        <xdr:nvSpPr>
          <xdr:cNvPr id="11" name="Oval 4">
            <a:extLst>
              <a:ext uri="{FF2B5EF4-FFF2-40B4-BE49-F238E27FC236}">
                <a16:creationId xmlns:a16="http://schemas.microsoft.com/office/drawing/2014/main" id="{00000000-0008-0000-0400-00000B000000}"/>
              </a:ext>
            </a:extLst>
          </xdr:cNvPr>
          <xdr:cNvSpPr/>
        </xdr:nvSpPr>
        <xdr:spPr>
          <a:xfrm>
            <a:off x="4588242" y="280175"/>
            <a:ext cx="1339114" cy="134220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22860" tIns="22860" rIns="22860" bIns="22860" numCol="1" spcCol="1270" anchor="ctr" anchorCtr="0">
            <a:noAutofit/>
          </a:bodyPr>
          <a:lstStyle/>
          <a:p>
            <a:pPr algn="ctr"/>
            <a:r>
              <a:rPr lang="en-AU" sz="2400" b="1">
                <a:solidFill>
                  <a:sysClr val="windowText" lastClr="000000"/>
                </a:solidFill>
                <a:latin typeface="+mn-lt"/>
                <a:ea typeface="+mn-ea"/>
                <a:cs typeface="+mn-cs"/>
              </a:rPr>
              <a:t>Evaluating strategies to reduce on farm GHG emissions for dairy farm systems </a:t>
            </a:r>
          </a:p>
        </xdr:txBody>
      </xdr:sp>
    </xdr:grpSp>
    <xdr:clientData/>
  </xdr:twoCellAnchor>
  <xdr:twoCellAnchor>
    <xdr:from>
      <xdr:col>12</xdr:col>
      <xdr:colOff>550048</xdr:colOff>
      <xdr:row>6</xdr:row>
      <xdr:rowOff>28574</xdr:rowOff>
    </xdr:from>
    <xdr:to>
      <xdr:col>16</xdr:col>
      <xdr:colOff>502423</xdr:colOff>
      <xdr:row>34</xdr:row>
      <xdr:rowOff>66675</xdr:rowOff>
    </xdr:to>
    <xdr:sp macro="" textlink="">
      <xdr:nvSpPr>
        <xdr:cNvPr id="12" name="Curved Left Arrow 11">
          <a:extLst>
            <a:ext uri="{FF2B5EF4-FFF2-40B4-BE49-F238E27FC236}">
              <a16:creationId xmlns:a16="http://schemas.microsoft.com/office/drawing/2014/main" id="{00000000-0008-0000-0400-00000C000000}"/>
            </a:ext>
          </a:extLst>
        </xdr:cNvPr>
        <xdr:cNvSpPr/>
      </xdr:nvSpPr>
      <xdr:spPr>
        <a:xfrm>
          <a:off x="7836673" y="1171574"/>
          <a:ext cx="2381250" cy="5372101"/>
        </a:xfrm>
        <a:prstGeom prst="curvedLeftArrow">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AU"/>
        </a:p>
      </xdr:txBody>
    </xdr:sp>
    <xdr:clientData/>
  </xdr:twoCellAnchor>
  <xdr:twoCellAnchor>
    <xdr:from>
      <xdr:col>6</xdr:col>
      <xdr:colOff>200005</xdr:colOff>
      <xdr:row>4</xdr:row>
      <xdr:rowOff>161925</xdr:rowOff>
    </xdr:from>
    <xdr:to>
      <xdr:col>10</xdr:col>
      <xdr:colOff>152380</xdr:colOff>
      <xdr:row>33</xdr:row>
      <xdr:rowOff>9526</xdr:rowOff>
    </xdr:to>
    <xdr:sp macro="" textlink="">
      <xdr:nvSpPr>
        <xdr:cNvPr id="13" name="Curved Left Arrow 12">
          <a:extLst>
            <a:ext uri="{FF2B5EF4-FFF2-40B4-BE49-F238E27FC236}">
              <a16:creationId xmlns:a16="http://schemas.microsoft.com/office/drawing/2014/main" id="{00000000-0008-0000-0400-00000D000000}"/>
            </a:ext>
          </a:extLst>
        </xdr:cNvPr>
        <xdr:cNvSpPr/>
      </xdr:nvSpPr>
      <xdr:spPr>
        <a:xfrm rot="10800000">
          <a:off x="3843318" y="923925"/>
          <a:ext cx="2381250" cy="5372101"/>
        </a:xfrm>
        <a:prstGeom prst="curvedLeftArrow">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AU"/>
        </a:p>
      </xdr:txBody>
    </xdr:sp>
    <xdr:clientData/>
  </xdr:twoCellAnchor>
  <xdr:twoCellAnchor>
    <xdr:from>
      <xdr:col>15</xdr:col>
      <xdr:colOff>471466</xdr:colOff>
      <xdr:row>39</xdr:row>
      <xdr:rowOff>95250</xdr:rowOff>
    </xdr:from>
    <xdr:to>
      <xdr:col>21</xdr:col>
      <xdr:colOff>35699</xdr:colOff>
      <xdr:row>42</xdr:row>
      <xdr:rowOff>28575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400-00000E000000}"/>
            </a:ext>
          </a:extLst>
        </xdr:cNvPr>
        <xdr:cNvSpPr txBox="1"/>
      </xdr:nvSpPr>
      <xdr:spPr>
        <a:xfrm>
          <a:off x="9579747" y="7524750"/>
          <a:ext cx="3207546" cy="504825"/>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solidFill>
                <a:schemeClr val="dk1"/>
              </a:solidFill>
              <a:latin typeface="+mn-lt"/>
              <a:ea typeface="+mn-ea"/>
              <a:cs typeface="+mn-cs"/>
            </a:rPr>
            <a:t>Coating of N fertiliser with an N inhibitor </a:t>
          </a:r>
        </a:p>
      </xdr:txBody>
    </xdr:sp>
    <xdr:clientData/>
  </xdr:twoCellAnchor>
  <xdr:twoCellAnchor>
    <xdr:from>
      <xdr:col>15</xdr:col>
      <xdr:colOff>452416</xdr:colOff>
      <xdr:row>42</xdr:row>
      <xdr:rowOff>154781</xdr:rowOff>
    </xdr:from>
    <xdr:to>
      <xdr:col>21</xdr:col>
      <xdr:colOff>16649</xdr:colOff>
      <xdr:row>45</xdr:row>
      <xdr:rowOff>88106</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400-00000F000000}"/>
            </a:ext>
          </a:extLst>
        </xdr:cNvPr>
        <xdr:cNvSpPr txBox="1"/>
      </xdr:nvSpPr>
      <xdr:spPr>
        <a:xfrm>
          <a:off x="9560697" y="8155781"/>
          <a:ext cx="3207546" cy="504825"/>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solidFill>
                <a:schemeClr val="dk1"/>
              </a:solidFill>
              <a:latin typeface="+mn-lt"/>
              <a:ea typeface="+mn-ea"/>
              <a:cs typeface="+mn-cs"/>
            </a:rPr>
            <a:t>Applying N inhibitors to urine patches </a:t>
          </a:r>
        </a:p>
      </xdr:txBody>
    </xdr:sp>
    <xdr:clientData/>
  </xdr:twoCellAnchor>
  <xdr:twoCellAnchor>
    <xdr:from>
      <xdr:col>17</xdr:col>
      <xdr:colOff>261916</xdr:colOff>
      <xdr:row>11</xdr:row>
      <xdr:rowOff>119063</xdr:rowOff>
    </xdr:from>
    <xdr:to>
      <xdr:col>22</xdr:col>
      <xdr:colOff>95230</xdr:colOff>
      <xdr:row>15</xdr:row>
      <xdr:rowOff>154781</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400-000010000000}"/>
            </a:ext>
          </a:extLst>
        </xdr:cNvPr>
        <xdr:cNvSpPr txBox="1"/>
      </xdr:nvSpPr>
      <xdr:spPr>
        <a:xfrm>
          <a:off x="10584635" y="2214563"/>
          <a:ext cx="2869408" cy="797718"/>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Replace</a:t>
          </a:r>
          <a:r>
            <a:rPr lang="en-AU" sz="1400" baseline="0"/>
            <a:t> supplements in the diet with a source of dietary fats/oils (CFI aligned)</a:t>
          </a:r>
          <a:endParaRPr lang="en-AU" sz="1400"/>
        </a:p>
      </xdr:txBody>
    </xdr:sp>
    <xdr:clientData/>
  </xdr:twoCellAnchor>
  <xdr:twoCellAnchor>
    <xdr:from>
      <xdr:col>17</xdr:col>
      <xdr:colOff>261917</xdr:colOff>
      <xdr:row>16</xdr:row>
      <xdr:rowOff>83344</xdr:rowOff>
    </xdr:from>
    <xdr:to>
      <xdr:col>22</xdr:col>
      <xdr:colOff>95231</xdr:colOff>
      <xdr:row>19</xdr:row>
      <xdr:rowOff>107156</xdr:rowOff>
    </xdr:to>
    <xdr:sp macro="" textlink="">
      <xdr:nvSpPr>
        <xdr:cNvPr id="17" name="TextBox 16">
          <a:hlinkClick xmlns:r="http://schemas.openxmlformats.org/officeDocument/2006/relationships" r:id="rId8"/>
          <a:extLst>
            <a:ext uri="{FF2B5EF4-FFF2-40B4-BE49-F238E27FC236}">
              <a16:creationId xmlns:a16="http://schemas.microsoft.com/office/drawing/2014/main" id="{00000000-0008-0000-0400-000011000000}"/>
            </a:ext>
          </a:extLst>
        </xdr:cNvPr>
        <xdr:cNvSpPr txBox="1"/>
      </xdr:nvSpPr>
      <xdr:spPr>
        <a:xfrm>
          <a:off x="10584636" y="3131344"/>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Increase</a:t>
          </a:r>
          <a:r>
            <a:rPr lang="en-AU" sz="1400" baseline="0"/>
            <a:t> diet supplementation  with a source of dietary fats /oils</a:t>
          </a:r>
          <a:endParaRPr lang="en-AU" sz="1400"/>
        </a:p>
      </xdr:txBody>
    </xdr:sp>
    <xdr:clientData/>
  </xdr:twoCellAnchor>
  <xdr:twoCellAnchor>
    <xdr:from>
      <xdr:col>1</xdr:col>
      <xdr:colOff>273827</xdr:colOff>
      <xdr:row>12</xdr:row>
      <xdr:rowOff>119059</xdr:rowOff>
    </xdr:from>
    <xdr:to>
      <xdr:col>6</xdr:col>
      <xdr:colOff>71420</xdr:colOff>
      <xdr:row>15</xdr:row>
      <xdr:rowOff>142871</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00000000-0008-0000-0400-000012000000}"/>
            </a:ext>
          </a:extLst>
        </xdr:cNvPr>
        <xdr:cNvSpPr txBox="1"/>
      </xdr:nvSpPr>
      <xdr:spPr>
        <a:xfrm>
          <a:off x="881046" y="2405059"/>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Reduced enteric methane emissions through breeding or management</a:t>
          </a:r>
        </a:p>
      </xdr:txBody>
    </xdr:sp>
    <xdr:clientData/>
  </xdr:twoCellAnchor>
  <xdr:twoCellAnchor>
    <xdr:from>
      <xdr:col>17</xdr:col>
      <xdr:colOff>261917</xdr:colOff>
      <xdr:row>20</xdr:row>
      <xdr:rowOff>0</xdr:rowOff>
    </xdr:from>
    <xdr:to>
      <xdr:col>22</xdr:col>
      <xdr:colOff>95231</xdr:colOff>
      <xdr:row>23</xdr:row>
      <xdr:rowOff>23812</xdr:rowOff>
    </xdr:to>
    <xdr:sp macro="" textlink="">
      <xdr:nvSpPr>
        <xdr:cNvPr id="19" name="TextBox 18">
          <a:hlinkClick xmlns:r="http://schemas.openxmlformats.org/officeDocument/2006/relationships" r:id="rId10"/>
          <a:extLst>
            <a:ext uri="{FF2B5EF4-FFF2-40B4-BE49-F238E27FC236}">
              <a16:creationId xmlns:a16="http://schemas.microsoft.com/office/drawing/2014/main" id="{00000000-0008-0000-0400-000013000000}"/>
            </a:ext>
          </a:extLst>
        </xdr:cNvPr>
        <xdr:cNvSpPr txBox="1"/>
      </xdr:nvSpPr>
      <xdr:spPr>
        <a:xfrm>
          <a:off x="10584636" y="3810000"/>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Improved</a:t>
          </a:r>
          <a:r>
            <a:rPr lang="en-AU" sz="1400" baseline="0"/>
            <a:t> diet digestibility through management</a:t>
          </a:r>
          <a:endParaRPr lang="en-AU" sz="1400"/>
        </a:p>
      </xdr:txBody>
    </xdr:sp>
    <xdr:clientData/>
  </xdr:twoCellAnchor>
  <xdr:twoCellAnchor>
    <xdr:from>
      <xdr:col>17</xdr:col>
      <xdr:colOff>261918</xdr:colOff>
      <xdr:row>23</xdr:row>
      <xdr:rowOff>107157</xdr:rowOff>
    </xdr:from>
    <xdr:to>
      <xdr:col>22</xdr:col>
      <xdr:colOff>95232</xdr:colOff>
      <xdr:row>26</xdr:row>
      <xdr:rowOff>130969</xdr:rowOff>
    </xdr:to>
    <xdr:sp macro="" textlink="">
      <xdr:nvSpPr>
        <xdr:cNvPr id="20" name="TextBox 19">
          <a:hlinkClick xmlns:r="http://schemas.openxmlformats.org/officeDocument/2006/relationships" r:id="rId11"/>
          <a:extLst>
            <a:ext uri="{FF2B5EF4-FFF2-40B4-BE49-F238E27FC236}">
              <a16:creationId xmlns:a16="http://schemas.microsoft.com/office/drawing/2014/main" id="{00000000-0008-0000-0400-000014000000}"/>
            </a:ext>
          </a:extLst>
        </xdr:cNvPr>
        <xdr:cNvSpPr txBox="1"/>
      </xdr:nvSpPr>
      <xdr:spPr>
        <a:xfrm>
          <a:off x="10584637" y="4488657"/>
          <a:ext cx="2869408"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Improved</a:t>
          </a:r>
          <a:r>
            <a:rPr lang="en-AU" sz="1400" baseline="0"/>
            <a:t> diet digestibility through supplementary  feeding</a:t>
          </a:r>
          <a:endParaRPr lang="en-AU" sz="1400"/>
        </a:p>
      </xdr:txBody>
    </xdr:sp>
    <xdr:clientData/>
  </xdr:twoCellAnchor>
  <xdr:twoCellAnchor>
    <xdr:from>
      <xdr:col>1</xdr:col>
      <xdr:colOff>273838</xdr:colOff>
      <xdr:row>16</xdr:row>
      <xdr:rowOff>95252</xdr:rowOff>
    </xdr:from>
    <xdr:to>
      <xdr:col>6</xdr:col>
      <xdr:colOff>71431</xdr:colOff>
      <xdr:row>19</xdr:row>
      <xdr:rowOff>119064</xdr:rowOff>
    </xdr:to>
    <xdr:sp macro="" textlink="">
      <xdr:nvSpPr>
        <xdr:cNvPr id="22" name="TextBox 21">
          <a:hlinkClick xmlns:r="http://schemas.openxmlformats.org/officeDocument/2006/relationships" r:id="rId12"/>
          <a:extLst>
            <a:ext uri="{FF2B5EF4-FFF2-40B4-BE49-F238E27FC236}">
              <a16:creationId xmlns:a16="http://schemas.microsoft.com/office/drawing/2014/main" id="{00000000-0008-0000-0400-000016000000}"/>
            </a:ext>
          </a:extLst>
        </xdr:cNvPr>
        <xdr:cNvSpPr txBox="1"/>
      </xdr:nvSpPr>
      <xdr:spPr>
        <a:xfrm>
          <a:off x="881057" y="3143252"/>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Extended lactation</a:t>
          </a:r>
          <a:r>
            <a:rPr lang="en-AU" sz="1400" baseline="0"/>
            <a:t> to reduce enteric methane production</a:t>
          </a:r>
          <a:endParaRPr lang="en-AU" sz="1400"/>
        </a:p>
      </xdr:txBody>
    </xdr:sp>
    <xdr:clientData/>
  </xdr:twoCellAnchor>
  <xdr:twoCellAnchor>
    <xdr:from>
      <xdr:col>1</xdr:col>
      <xdr:colOff>273845</xdr:colOff>
      <xdr:row>20</xdr:row>
      <xdr:rowOff>47621</xdr:rowOff>
    </xdr:from>
    <xdr:to>
      <xdr:col>6</xdr:col>
      <xdr:colOff>71438</xdr:colOff>
      <xdr:row>23</xdr:row>
      <xdr:rowOff>71433</xdr:rowOff>
    </xdr:to>
    <xdr:sp macro="" textlink="">
      <xdr:nvSpPr>
        <xdr:cNvPr id="23" name="TextBox 22">
          <a:hlinkClick xmlns:r="http://schemas.openxmlformats.org/officeDocument/2006/relationships" r:id="rId13"/>
          <a:extLst>
            <a:ext uri="{FF2B5EF4-FFF2-40B4-BE49-F238E27FC236}">
              <a16:creationId xmlns:a16="http://schemas.microsoft.com/office/drawing/2014/main" id="{00000000-0008-0000-0400-000017000000}"/>
            </a:ext>
          </a:extLst>
        </xdr:cNvPr>
        <xdr:cNvSpPr txBox="1"/>
      </xdr:nvSpPr>
      <xdr:spPr>
        <a:xfrm>
          <a:off x="881064" y="3857621"/>
          <a:ext cx="2833687" cy="595312"/>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400"/>
            <a:t>Extend</a:t>
          </a:r>
          <a:r>
            <a:rPr lang="en-AU" sz="1400" baseline="0"/>
            <a:t> herd longevity to reduce replacements rates</a:t>
          </a:r>
          <a:endParaRPr lang="en-AU" sz="1400"/>
        </a:p>
      </xdr:txBody>
    </xdr:sp>
    <xdr:clientData/>
  </xdr:twoCellAnchor>
  <xdr:twoCellAnchor>
    <xdr:from>
      <xdr:col>3</xdr:col>
      <xdr:colOff>254000</xdr:colOff>
      <xdr:row>29</xdr:row>
      <xdr:rowOff>152400</xdr:rowOff>
    </xdr:from>
    <xdr:to>
      <xdr:col>8</xdr:col>
      <xdr:colOff>86001</xdr:colOff>
      <xdr:row>40</xdr:row>
      <xdr:rowOff>36900</xdr:rowOff>
    </xdr:to>
    <xdr:sp macro="" textlink="">
      <xdr:nvSpPr>
        <xdr:cNvPr id="26" name="Oval 25">
          <a:hlinkClick xmlns:r="http://schemas.openxmlformats.org/officeDocument/2006/relationships" r:id="rId14"/>
          <a:extLst>
            <a:ext uri="{FF2B5EF4-FFF2-40B4-BE49-F238E27FC236}">
              <a16:creationId xmlns:a16="http://schemas.microsoft.com/office/drawing/2014/main" id="{00000000-0008-0000-0400-00001A000000}"/>
            </a:ext>
          </a:extLst>
        </xdr:cNvPr>
        <xdr:cNvSpPr/>
      </xdr:nvSpPr>
      <xdr:spPr>
        <a:xfrm>
          <a:off x="2120900" y="5308600"/>
          <a:ext cx="2943501" cy="1840300"/>
        </a:xfrm>
        <a:prstGeom prst="ellips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AU" sz="1600" baseline="0">
              <a:solidFill>
                <a:schemeClr val="tx1"/>
              </a:solidFill>
              <a:latin typeface="+mn-lt"/>
              <a:ea typeface="+mn-ea"/>
              <a:cs typeface="+mn-cs"/>
            </a:rPr>
            <a:t>Abatement strategy farm system </a:t>
          </a:r>
        </a:p>
        <a:p>
          <a:pPr algn="ctr"/>
          <a:r>
            <a:rPr lang="en-AU" sz="1600" baseline="0">
              <a:solidFill>
                <a:schemeClr val="tx1"/>
              </a:solidFill>
              <a:latin typeface="+mn-lt"/>
              <a:ea typeface="+mn-ea"/>
              <a:cs typeface="+mn-cs"/>
            </a:rPr>
            <a:t>(click here) </a:t>
          </a:r>
          <a:endParaRPr lang="en-AU" sz="1600">
            <a:solidFill>
              <a:schemeClr val="tx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5126</xdr:colOff>
      <xdr:row>0</xdr:row>
      <xdr:rowOff>0</xdr:rowOff>
    </xdr:from>
    <xdr:to>
      <xdr:col>21</xdr:col>
      <xdr:colOff>481377</xdr:colOff>
      <xdr:row>40</xdr:row>
      <xdr:rowOff>190499</xdr:rowOff>
    </xdr:to>
    <xdr:graphicFrame macro="">
      <xdr:nvGraphicFramePr>
        <xdr:cNvPr id="2" name="Diagram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461282</xdr:colOff>
      <xdr:row>34</xdr:row>
      <xdr:rowOff>124605</xdr:rowOff>
    </xdr:from>
    <xdr:to>
      <xdr:col>3</xdr:col>
      <xdr:colOff>27215</xdr:colOff>
      <xdr:row>36</xdr:row>
      <xdr:rowOff>37349</xdr:rowOff>
    </xdr:to>
    <xdr:sp macro="" textlink="">
      <xdr:nvSpPr>
        <xdr:cNvPr id="3" name="TextBox 2">
          <a:hlinkClick xmlns:r="http://schemas.openxmlformats.org/officeDocument/2006/relationships" r:id="rId6"/>
          <a:extLst>
            <a:ext uri="{FF2B5EF4-FFF2-40B4-BE49-F238E27FC236}">
              <a16:creationId xmlns:a16="http://schemas.microsoft.com/office/drawing/2014/main" id="{00000000-0008-0000-0500-000003000000}"/>
            </a:ext>
          </a:extLst>
        </xdr:cNvPr>
        <xdr:cNvSpPr txBox="1"/>
      </xdr:nvSpPr>
      <xdr:spPr>
        <a:xfrm>
          <a:off x="461282" y="6649230"/>
          <a:ext cx="1402897"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8659</xdr:rowOff>
    </xdr:from>
    <xdr:to>
      <xdr:col>26</xdr:col>
      <xdr:colOff>159397</xdr:colOff>
      <xdr:row>50</xdr:row>
      <xdr:rowOff>43296</xdr:rowOff>
    </xdr:to>
    <xdr:graphicFrame macro="">
      <xdr:nvGraphicFramePr>
        <xdr:cNvPr id="2" name="Diagra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118629</xdr:colOff>
      <xdr:row>47</xdr:row>
      <xdr:rowOff>142543</xdr:rowOff>
    </xdr:from>
    <xdr:to>
      <xdr:col>3</xdr:col>
      <xdr:colOff>443345</xdr:colOff>
      <xdr:row>49</xdr:row>
      <xdr:rowOff>55287</xdr:rowOff>
    </xdr:to>
    <xdr:sp macro="" textlink="">
      <xdr:nvSpPr>
        <xdr:cNvPr id="3" name="TextBox 2">
          <a:hlinkClick xmlns:r="http://schemas.openxmlformats.org/officeDocument/2006/relationships" r:id="rId6"/>
          <a:extLst>
            <a:ext uri="{FF2B5EF4-FFF2-40B4-BE49-F238E27FC236}">
              <a16:creationId xmlns:a16="http://schemas.microsoft.com/office/drawing/2014/main" id="{00000000-0008-0000-0600-000003000000}"/>
            </a:ext>
          </a:extLst>
        </xdr:cNvPr>
        <xdr:cNvSpPr txBox="1"/>
      </xdr:nvSpPr>
      <xdr:spPr>
        <a:xfrm>
          <a:off x="724765" y="9199952"/>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twoCellAnchor>
    <xdr:from>
      <xdr:col>8</xdr:col>
      <xdr:colOff>398318</xdr:colOff>
      <xdr:row>48</xdr:row>
      <xdr:rowOff>43296</xdr:rowOff>
    </xdr:from>
    <xdr:to>
      <xdr:col>11</xdr:col>
      <xdr:colOff>116898</xdr:colOff>
      <xdr:row>49</xdr:row>
      <xdr:rowOff>146540</xdr:rowOff>
    </xdr:to>
    <xdr:sp macro="" textlink="">
      <xdr:nvSpPr>
        <xdr:cNvPr id="4" name="TextBox 3">
          <a:hlinkClick xmlns:r="http://schemas.openxmlformats.org/officeDocument/2006/relationships" r:id="rId7"/>
          <a:extLst>
            <a:ext uri="{FF2B5EF4-FFF2-40B4-BE49-F238E27FC236}">
              <a16:creationId xmlns:a16="http://schemas.microsoft.com/office/drawing/2014/main" id="{00000000-0008-0000-0600-000004000000}"/>
            </a:ext>
          </a:extLst>
        </xdr:cNvPr>
        <xdr:cNvSpPr txBox="1"/>
      </xdr:nvSpPr>
      <xdr:spPr>
        <a:xfrm>
          <a:off x="5247409" y="9291205"/>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159397</xdr:colOff>
      <xdr:row>47</xdr:row>
      <xdr:rowOff>17317</xdr:rowOff>
    </xdr:to>
    <xdr:graphicFrame macro="">
      <xdr:nvGraphicFramePr>
        <xdr:cNvPr id="2" name="Diagram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200094</xdr:colOff>
      <xdr:row>37</xdr:row>
      <xdr:rowOff>185837</xdr:rowOff>
    </xdr:from>
    <xdr:to>
      <xdr:col>4</xdr:col>
      <xdr:colOff>524811</xdr:colOff>
      <xdr:row>39</xdr:row>
      <xdr:rowOff>98581</xdr:rowOff>
    </xdr:to>
    <xdr:sp macro="" textlink="">
      <xdr:nvSpPr>
        <xdr:cNvPr id="3" name="TextBox 2">
          <a:hlinkClick xmlns:r="http://schemas.openxmlformats.org/officeDocument/2006/relationships" r:id="rId6"/>
          <a:extLst>
            <a:ext uri="{FF2B5EF4-FFF2-40B4-BE49-F238E27FC236}">
              <a16:creationId xmlns:a16="http://schemas.microsoft.com/office/drawing/2014/main" id="{00000000-0008-0000-0700-000003000000}"/>
            </a:ext>
          </a:extLst>
        </xdr:cNvPr>
        <xdr:cNvSpPr txBox="1"/>
      </xdr:nvSpPr>
      <xdr:spPr>
        <a:xfrm>
          <a:off x="1412367" y="7286292"/>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twoCellAnchor>
    <xdr:from>
      <xdr:col>9</xdr:col>
      <xdr:colOff>25977</xdr:colOff>
      <xdr:row>47</xdr:row>
      <xdr:rowOff>103909</xdr:rowOff>
    </xdr:from>
    <xdr:to>
      <xdr:col>11</xdr:col>
      <xdr:colOff>350693</xdr:colOff>
      <xdr:row>49</xdr:row>
      <xdr:rowOff>16653</xdr:rowOff>
    </xdr:to>
    <xdr:sp macro="" textlink="">
      <xdr:nvSpPr>
        <xdr:cNvPr id="4" name="TextBox 3">
          <a:hlinkClick xmlns:r="http://schemas.openxmlformats.org/officeDocument/2006/relationships" r:id="rId7"/>
          <a:extLst>
            <a:ext uri="{FF2B5EF4-FFF2-40B4-BE49-F238E27FC236}">
              <a16:creationId xmlns:a16="http://schemas.microsoft.com/office/drawing/2014/main" id="{00000000-0008-0000-0700-000004000000}"/>
            </a:ext>
          </a:extLst>
        </xdr:cNvPr>
        <xdr:cNvSpPr txBox="1"/>
      </xdr:nvSpPr>
      <xdr:spPr>
        <a:xfrm>
          <a:off x="5481204" y="9161318"/>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twoCellAnchor>
    <xdr:from>
      <xdr:col>2</xdr:col>
      <xdr:colOff>259772</xdr:colOff>
      <xdr:row>44</xdr:row>
      <xdr:rowOff>129887</xdr:rowOff>
    </xdr:from>
    <xdr:to>
      <xdr:col>4</xdr:col>
      <xdr:colOff>584489</xdr:colOff>
      <xdr:row>46</xdr:row>
      <xdr:rowOff>42631</xdr:rowOff>
    </xdr:to>
    <xdr:sp macro="" textlink="">
      <xdr:nvSpPr>
        <xdr:cNvPr id="7" name="TextBox 6">
          <a:hlinkClick xmlns:r="http://schemas.openxmlformats.org/officeDocument/2006/relationships" r:id="rId8"/>
          <a:extLst>
            <a:ext uri="{FF2B5EF4-FFF2-40B4-BE49-F238E27FC236}">
              <a16:creationId xmlns:a16="http://schemas.microsoft.com/office/drawing/2014/main" id="{00000000-0008-0000-0700-000007000000}"/>
            </a:ext>
          </a:extLst>
        </xdr:cNvPr>
        <xdr:cNvSpPr txBox="1"/>
      </xdr:nvSpPr>
      <xdr:spPr>
        <a:xfrm>
          <a:off x="1472045" y="8615796"/>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twoCellAnchor>
    <xdr:from>
      <xdr:col>9</xdr:col>
      <xdr:colOff>0</xdr:colOff>
      <xdr:row>40</xdr:row>
      <xdr:rowOff>138546</xdr:rowOff>
    </xdr:from>
    <xdr:to>
      <xdr:col>11</xdr:col>
      <xdr:colOff>324716</xdr:colOff>
      <xdr:row>42</xdr:row>
      <xdr:rowOff>51290</xdr:rowOff>
    </xdr:to>
    <xdr:sp macro="" textlink="">
      <xdr:nvSpPr>
        <xdr:cNvPr id="8" name="TextBox 7">
          <a:hlinkClick xmlns:r="http://schemas.openxmlformats.org/officeDocument/2006/relationships" r:id="rId9"/>
          <a:extLst>
            <a:ext uri="{FF2B5EF4-FFF2-40B4-BE49-F238E27FC236}">
              <a16:creationId xmlns:a16="http://schemas.microsoft.com/office/drawing/2014/main" id="{00000000-0008-0000-0700-000008000000}"/>
            </a:ext>
          </a:extLst>
        </xdr:cNvPr>
        <xdr:cNvSpPr txBox="1"/>
      </xdr:nvSpPr>
      <xdr:spPr>
        <a:xfrm>
          <a:off x="5455227" y="7862455"/>
          <a:ext cx="1536989" cy="29374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Go to detail analysis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857250</xdr:colOff>
      <xdr:row>125</xdr:row>
      <xdr:rowOff>42863</xdr:rowOff>
    </xdr:from>
    <xdr:to>
      <xdr:col>10</xdr:col>
      <xdr:colOff>123825</xdr:colOff>
      <xdr:row>148</xdr:row>
      <xdr:rowOff>171450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6</xdr:col>
          <xdr:colOff>1000125</xdr:colOff>
          <xdr:row>156</xdr:row>
          <xdr:rowOff>9525</xdr:rowOff>
        </xdr:from>
        <xdr:to>
          <xdr:col>6</xdr:col>
          <xdr:colOff>1343025</xdr:colOff>
          <xdr:row>156</xdr:row>
          <xdr:rowOff>190500</xdr:rowOff>
        </xdr:to>
        <xdr:sp macro="" textlink="">
          <xdr:nvSpPr>
            <xdr:cNvPr id="39034" name="Spinner 122" hidden="1">
              <a:extLst>
                <a:ext uri="{63B3BB69-23CF-44E3-9099-C40C66FF867C}">
                  <a14:compatExt spid="_x0000_s39034"/>
                </a:ext>
                <a:ext uri="{FF2B5EF4-FFF2-40B4-BE49-F238E27FC236}">
                  <a16:creationId xmlns:a16="http://schemas.microsoft.com/office/drawing/2014/main" id="{00000000-0008-0000-0900-00007A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1000125</xdr:colOff>
          <xdr:row>158</xdr:row>
          <xdr:rowOff>9525</xdr:rowOff>
        </xdr:from>
        <xdr:to>
          <xdr:col>6</xdr:col>
          <xdr:colOff>1343025</xdr:colOff>
          <xdr:row>158</xdr:row>
          <xdr:rowOff>190500</xdr:rowOff>
        </xdr:to>
        <xdr:sp macro="" textlink="">
          <xdr:nvSpPr>
            <xdr:cNvPr id="39035" name="Spinner 123" hidden="1">
              <a:extLst>
                <a:ext uri="{63B3BB69-23CF-44E3-9099-C40C66FF867C}">
                  <a14:compatExt spid="_x0000_s39035"/>
                </a:ext>
                <a:ext uri="{FF2B5EF4-FFF2-40B4-BE49-F238E27FC236}">
                  <a16:creationId xmlns:a16="http://schemas.microsoft.com/office/drawing/2014/main" id="{00000000-0008-0000-0900-00007B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1000125</xdr:colOff>
          <xdr:row>160</xdr:row>
          <xdr:rowOff>9525</xdr:rowOff>
        </xdr:from>
        <xdr:to>
          <xdr:col>6</xdr:col>
          <xdr:colOff>1343025</xdr:colOff>
          <xdr:row>160</xdr:row>
          <xdr:rowOff>190500</xdr:rowOff>
        </xdr:to>
        <xdr:sp macro="" textlink="">
          <xdr:nvSpPr>
            <xdr:cNvPr id="39036" name="Spinner 124" hidden="1">
              <a:extLst>
                <a:ext uri="{63B3BB69-23CF-44E3-9099-C40C66FF867C}">
                  <a14:compatExt spid="_x0000_s39036"/>
                </a:ext>
                <a:ext uri="{FF2B5EF4-FFF2-40B4-BE49-F238E27FC236}">
                  <a16:creationId xmlns:a16="http://schemas.microsoft.com/office/drawing/2014/main" id="{00000000-0008-0000-0900-00007C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1000125</xdr:colOff>
          <xdr:row>162</xdr:row>
          <xdr:rowOff>9525</xdr:rowOff>
        </xdr:from>
        <xdr:to>
          <xdr:col>6</xdr:col>
          <xdr:colOff>1343025</xdr:colOff>
          <xdr:row>162</xdr:row>
          <xdr:rowOff>190500</xdr:rowOff>
        </xdr:to>
        <xdr:sp macro="" textlink="">
          <xdr:nvSpPr>
            <xdr:cNvPr id="39037" name="Spinner 125" hidden="1">
              <a:extLst>
                <a:ext uri="{63B3BB69-23CF-44E3-9099-C40C66FF867C}">
                  <a14:compatExt spid="_x0000_s39037"/>
                </a:ext>
                <a:ext uri="{FF2B5EF4-FFF2-40B4-BE49-F238E27FC236}">
                  <a16:creationId xmlns:a16="http://schemas.microsoft.com/office/drawing/2014/main" id="{00000000-0008-0000-0900-00007D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2257425</xdr:colOff>
      <xdr:row>178</xdr:row>
      <xdr:rowOff>0</xdr:rowOff>
    </xdr:from>
    <xdr:to>
      <xdr:col>7</xdr:col>
      <xdr:colOff>581025</xdr:colOff>
      <xdr:row>203</xdr:row>
      <xdr:rowOff>0</xdr:rowOff>
    </xdr:to>
    <xdr:graphicFrame macro="">
      <xdr:nvGraphicFramePr>
        <xdr:cNvPr id="7" name="Chart 1">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205</xdr:row>
      <xdr:rowOff>0</xdr:rowOff>
    </xdr:from>
    <xdr:to>
      <xdr:col>7</xdr:col>
      <xdr:colOff>85725</xdr:colOff>
      <xdr:row>208</xdr:row>
      <xdr:rowOff>32960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900-00000B000000}"/>
            </a:ext>
          </a:extLst>
        </xdr:cNvPr>
        <xdr:cNvSpPr txBox="1"/>
      </xdr:nvSpPr>
      <xdr:spPr>
        <a:xfrm>
          <a:off x="3190875" y="40681275"/>
          <a:ext cx="7791450" cy="57588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AU" sz="2800"/>
            <a:t>Click here to return to the baseline farm</a:t>
          </a:r>
          <a:r>
            <a:rPr lang="en-AU" sz="2800" baseline="0"/>
            <a:t> worksheet</a:t>
          </a:r>
          <a:endParaRPr lang="en-AU" sz="2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342900</xdr:colOff>
      <xdr:row>498</xdr:row>
      <xdr:rowOff>47625</xdr:rowOff>
    </xdr:from>
    <xdr:to>
      <xdr:col>21</xdr:col>
      <xdr:colOff>266700</xdr:colOff>
      <xdr:row>515</xdr:row>
      <xdr:rowOff>9525</xdr:rowOff>
    </xdr:to>
    <xdr:graphicFrame macro="">
      <xdr:nvGraphicFramePr>
        <xdr:cNvPr id="3" name="Chart 6">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2114549</xdr:colOff>
      <xdr:row>126</xdr:row>
      <xdr:rowOff>200024</xdr:rowOff>
    </xdr:from>
    <xdr:to>
      <xdr:col>10</xdr:col>
      <xdr:colOff>180974</xdr:colOff>
      <xdr:row>150</xdr:row>
      <xdr:rowOff>95249</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il-idf.org/wp-content/uploads/2016/09/Bulletin479-2015_A-common-carbon-footprint-approach-for-the-dairy-sector.CAT.pdf" TargetMode="External"/><Relationship Id="rId1" Type="http://schemas.openxmlformats.org/officeDocument/2006/relationships/hyperlink" Target="../../../AppData/Local/Microsoft/Windows/AppData/Local/Microsoft/Windows/Temporary%20Internet%20Files/%7bA5CABD99-080B-40E8-9C8F-F146EA9810FB%7d/%7b77EA645A-D0F4-4E3B-A0BD-E8B37D1487CE%7d.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5.vml"/><Relationship Id="rId7" Type="http://schemas.openxmlformats.org/officeDocument/2006/relationships/ctrlProp" Target="../ctrlProps/ctrlProp8.x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trlProp" Target="../ctrlProps/ctrlProp7.xml"/><Relationship Id="rId5" Type="http://schemas.openxmlformats.org/officeDocument/2006/relationships/ctrlProp" Target="../ctrlProps/ctrlProp6.xml"/><Relationship Id="rId10" Type="http://schemas.openxmlformats.org/officeDocument/2006/relationships/comments" Target="../comments5.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6.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drawing" Target="../drawings/drawing11.xml"/><Relationship Id="rId16" Type="http://schemas.openxmlformats.org/officeDocument/2006/relationships/ctrlProp" Target="../ctrlProps/ctrlProp23.xml"/><Relationship Id="rId20"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vmlDrawing" Target="../drawings/vmlDrawing7.vml"/><Relationship Id="rId7" Type="http://schemas.openxmlformats.org/officeDocument/2006/relationships/ctrlProp" Target="../ctrlProps/ctrlProp30.xml"/><Relationship Id="rId12" Type="http://schemas.openxmlformats.org/officeDocument/2006/relationships/ctrlProp" Target="../ctrlProps/ctrlProp35.x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omments" Target="../comments7.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9.vml"/><Relationship Id="rId7" Type="http://schemas.openxmlformats.org/officeDocument/2006/relationships/ctrlProp" Target="../ctrlProps/ctrlProp50.xml"/><Relationship Id="rId2" Type="http://schemas.openxmlformats.org/officeDocument/2006/relationships/drawing" Target="../drawings/drawing14.xml"/><Relationship Id="rId1" Type="http://schemas.openxmlformats.org/officeDocument/2006/relationships/printerSettings" Target="../printerSettings/printerSettings11.bin"/><Relationship Id="rId6" Type="http://schemas.openxmlformats.org/officeDocument/2006/relationships/ctrlProp" Target="../ctrlProps/ctrlProp49.xml"/><Relationship Id="rId11" Type="http://schemas.openxmlformats.org/officeDocument/2006/relationships/comments" Target="../comments9.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8.xml"/><Relationship Id="rId3" Type="http://schemas.openxmlformats.org/officeDocument/2006/relationships/vmlDrawing" Target="../drawings/vmlDrawing10.vml"/><Relationship Id="rId7" Type="http://schemas.openxmlformats.org/officeDocument/2006/relationships/ctrlProp" Target="../ctrlProps/ctrlProp57.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ctrlProp" Target="../ctrlProps/ctrlProp56.xml"/><Relationship Id="rId5" Type="http://schemas.openxmlformats.org/officeDocument/2006/relationships/ctrlProp" Target="../ctrlProps/ctrlProp55.xml"/><Relationship Id="rId10" Type="http://schemas.openxmlformats.org/officeDocument/2006/relationships/comments" Target="../comments10.xml"/><Relationship Id="rId4" Type="http://schemas.openxmlformats.org/officeDocument/2006/relationships/ctrlProp" Target="../ctrlProps/ctrlProp54.xml"/><Relationship Id="rId9" Type="http://schemas.openxmlformats.org/officeDocument/2006/relationships/ctrlProp" Target="../ctrlProps/ctrlProp5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 Type="http://schemas.openxmlformats.org/officeDocument/2006/relationships/drawing" Target="../drawings/drawing16.xml"/><Relationship Id="rId16" Type="http://schemas.openxmlformats.org/officeDocument/2006/relationships/ctrlProp" Target="../ctrlProps/ctrlProp72.xml"/><Relationship Id="rId1" Type="http://schemas.openxmlformats.org/officeDocument/2006/relationships/printerSettings" Target="../printerSettings/printerSettings13.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drawing" Target="../drawings/drawing17.xml"/><Relationship Id="rId1" Type="http://schemas.openxmlformats.org/officeDocument/2006/relationships/printerSettings" Target="../printerSettings/printerSettings14.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13.vml"/><Relationship Id="rId7" Type="http://schemas.openxmlformats.org/officeDocument/2006/relationships/ctrlProp" Target="../ctrlProps/ctrlProp86.xml"/><Relationship Id="rId12" Type="http://schemas.openxmlformats.org/officeDocument/2006/relationships/comments" Target="../comments13.xml"/><Relationship Id="rId2" Type="http://schemas.openxmlformats.org/officeDocument/2006/relationships/drawing" Target="../drawings/drawing18.xml"/><Relationship Id="rId1" Type="http://schemas.openxmlformats.org/officeDocument/2006/relationships/printerSettings" Target="../printerSettings/printerSettings15.bin"/><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omments" Target="../comments14.xml"/><Relationship Id="rId3" Type="http://schemas.openxmlformats.org/officeDocument/2006/relationships/ctrlProp" Target="../ctrlProps/ctrlProp91.xml"/><Relationship Id="rId7" Type="http://schemas.openxmlformats.org/officeDocument/2006/relationships/ctrlProp" Target="../ctrlProps/ctrlProp95.xml"/><Relationship Id="rId12" Type="http://schemas.openxmlformats.org/officeDocument/2006/relationships/ctrlProp" Target="../ctrlProps/ctrlProp100.xml"/><Relationship Id="rId2" Type="http://schemas.openxmlformats.org/officeDocument/2006/relationships/vmlDrawing" Target="../drawings/vmlDrawing14.vml"/><Relationship Id="rId1" Type="http://schemas.openxmlformats.org/officeDocument/2006/relationships/drawing" Target="../drawings/drawing19.xml"/><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0" Type="http://schemas.openxmlformats.org/officeDocument/2006/relationships/ctrlProp" Target="../ctrlProps/ctrlProp98.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164"/>
  <sheetViews>
    <sheetView tabSelected="1" workbookViewId="0"/>
  </sheetViews>
  <sheetFormatPr defaultColWidth="8.85546875" defaultRowHeight="15" x14ac:dyDescent="0.25"/>
  <cols>
    <col min="1" max="1" width="2.28515625" style="558" customWidth="1"/>
    <col min="2" max="16384" width="8.85546875" style="558"/>
  </cols>
  <sheetData>
    <row r="1" spans="2:18" ht="30" customHeight="1" x14ac:dyDescent="0.25"/>
    <row r="2" spans="2:18" ht="30" customHeight="1" x14ac:dyDescent="0.25">
      <c r="C2" s="2104" t="s">
        <v>1687</v>
      </c>
      <c r="D2" s="2104"/>
      <c r="E2" s="2104"/>
      <c r="F2" s="2104"/>
      <c r="G2" s="2104"/>
      <c r="H2" s="2104"/>
      <c r="I2" s="2104"/>
      <c r="J2" s="2104"/>
      <c r="K2" s="2104"/>
      <c r="L2" s="2104"/>
      <c r="M2" s="2104"/>
      <c r="N2" s="2104"/>
      <c r="O2" s="2104"/>
      <c r="P2" s="2104"/>
      <c r="Q2" s="2104"/>
      <c r="R2" s="2104"/>
    </row>
    <row r="3" spans="2:18" ht="30" customHeight="1" x14ac:dyDescent="0.25">
      <c r="C3" s="2104"/>
      <c r="D3" s="2104"/>
      <c r="E3" s="2104"/>
      <c r="F3" s="2104"/>
      <c r="G3" s="2104"/>
      <c r="H3" s="2104"/>
      <c r="I3" s="2104"/>
      <c r="J3" s="2104"/>
      <c r="K3" s="2104"/>
      <c r="L3" s="2104"/>
      <c r="M3" s="2104"/>
      <c r="N3" s="2104"/>
      <c r="O3" s="2104"/>
      <c r="P3" s="2104"/>
      <c r="Q3" s="2104"/>
      <c r="R3" s="2104"/>
    </row>
    <row r="4" spans="2:18" ht="30" customHeight="1" x14ac:dyDescent="0.25">
      <c r="C4" s="2104"/>
      <c r="D4" s="2104"/>
      <c r="E4" s="2104"/>
      <c r="F4" s="2104"/>
      <c r="G4" s="2104"/>
      <c r="H4" s="2104"/>
      <c r="I4" s="2104"/>
      <c r="J4" s="2104"/>
      <c r="K4" s="2104"/>
      <c r="L4" s="2104"/>
      <c r="M4" s="2104"/>
      <c r="N4" s="2104"/>
      <c r="O4" s="2104"/>
      <c r="P4" s="2104"/>
      <c r="Q4" s="2104"/>
      <c r="R4" s="2104"/>
    </row>
    <row r="6" spans="2:18" ht="18.75" x14ac:dyDescent="0.3">
      <c r="G6" s="2105" t="s">
        <v>1711</v>
      </c>
      <c r="H6" s="2105"/>
      <c r="I6" s="2105"/>
      <c r="J6" s="2105"/>
      <c r="K6" s="2105"/>
    </row>
    <row r="8" spans="2:18" x14ac:dyDescent="0.25">
      <c r="B8" s="862" t="s">
        <v>1083</v>
      </c>
    </row>
    <row r="9" spans="2:18" ht="14.45" customHeight="1" x14ac:dyDescent="0.25">
      <c r="B9" s="2095" t="s">
        <v>1707</v>
      </c>
      <c r="C9" s="2095"/>
      <c r="D9" s="2095"/>
      <c r="E9" s="2095"/>
      <c r="F9" s="2095"/>
      <c r="G9" s="2095"/>
      <c r="H9" s="2095"/>
      <c r="I9" s="2095"/>
      <c r="J9" s="2095"/>
      <c r="K9" s="2095"/>
      <c r="L9" s="2095"/>
      <c r="M9" s="2095"/>
      <c r="N9" s="2095"/>
      <c r="O9" s="2095"/>
      <c r="P9" s="2095"/>
      <c r="Q9" s="2095"/>
      <c r="R9" s="2095"/>
    </row>
    <row r="10" spans="2:18" x14ac:dyDescent="0.25">
      <c r="B10" s="2095"/>
      <c r="C10" s="2095"/>
      <c r="D10" s="2095"/>
      <c r="E10" s="2095"/>
      <c r="F10" s="2095"/>
      <c r="G10" s="2095"/>
      <c r="H10" s="2095"/>
      <c r="I10" s="2095"/>
      <c r="J10" s="2095"/>
      <c r="K10" s="2095"/>
      <c r="L10" s="2095"/>
      <c r="M10" s="2095"/>
      <c r="N10" s="2095"/>
      <c r="O10" s="2095"/>
      <c r="P10" s="2095"/>
      <c r="Q10" s="2095"/>
      <c r="R10" s="2095"/>
    </row>
    <row r="11" spans="2:18" x14ac:dyDescent="0.25">
      <c r="B11" s="2095"/>
      <c r="C11" s="2095"/>
      <c r="D11" s="2095"/>
      <c r="E11" s="2095"/>
      <c r="F11" s="2095"/>
      <c r="G11" s="2095"/>
      <c r="H11" s="2095"/>
      <c r="I11" s="2095"/>
      <c r="J11" s="2095"/>
      <c r="K11" s="2095"/>
      <c r="L11" s="2095"/>
      <c r="M11" s="2095"/>
      <c r="N11" s="2095"/>
      <c r="O11" s="2095"/>
      <c r="P11" s="2095"/>
      <c r="Q11" s="2095"/>
      <c r="R11" s="2095"/>
    </row>
    <row r="13" spans="2:18" x14ac:dyDescent="0.25">
      <c r="B13" s="2101" t="s">
        <v>1708</v>
      </c>
      <c r="C13" s="2101"/>
      <c r="D13" s="2101"/>
      <c r="E13" s="2101"/>
      <c r="F13" s="2101"/>
      <c r="G13" s="2101"/>
      <c r="H13" s="2101"/>
      <c r="I13" s="2101"/>
      <c r="J13" s="2101"/>
      <c r="K13" s="2101"/>
      <c r="L13" s="2101"/>
      <c r="M13" s="2101"/>
      <c r="N13" s="2101"/>
      <c r="O13" s="2101"/>
      <c r="P13" s="2101"/>
      <c r="Q13" s="2101"/>
      <c r="R13" s="2101"/>
    </row>
    <row r="14" spans="2:18" x14ac:dyDescent="0.25">
      <c r="B14" s="2101"/>
      <c r="C14" s="2101"/>
      <c r="D14" s="2101"/>
      <c r="E14" s="2101"/>
      <c r="F14" s="2101"/>
      <c r="G14" s="2101"/>
      <c r="H14" s="2101"/>
      <c r="I14" s="2101"/>
      <c r="J14" s="2101"/>
      <c r="K14" s="2101"/>
      <c r="L14" s="2101"/>
      <c r="M14" s="2101"/>
      <c r="N14" s="2101"/>
      <c r="O14" s="2101"/>
      <c r="P14" s="2101"/>
      <c r="Q14" s="2101"/>
      <c r="R14" s="2101"/>
    </row>
    <row r="15" spans="2:18" x14ac:dyDescent="0.25">
      <c r="B15" s="1961" t="s">
        <v>1674</v>
      </c>
      <c r="C15" s="1037"/>
      <c r="D15" s="1037"/>
      <c r="E15" s="1037"/>
      <c r="F15" s="1037"/>
      <c r="G15" s="1037"/>
      <c r="H15" s="1037"/>
      <c r="I15" s="1037"/>
      <c r="J15" s="1037"/>
      <c r="K15" s="1037"/>
    </row>
    <row r="17" spans="2:18" x14ac:dyDescent="0.25">
      <c r="B17" s="862" t="s">
        <v>1709</v>
      </c>
      <c r="C17" s="1037"/>
    </row>
    <row r="18" spans="2:18" x14ac:dyDescent="0.25">
      <c r="B18" s="2101" t="s">
        <v>1688</v>
      </c>
      <c r="C18" s="2101"/>
      <c r="D18" s="2101"/>
      <c r="E18" s="2101"/>
      <c r="F18" s="2101"/>
      <c r="G18" s="2101"/>
      <c r="H18" s="2101"/>
      <c r="I18" s="2101"/>
      <c r="J18" s="2101"/>
      <c r="K18" s="2101"/>
      <c r="L18" s="2101"/>
      <c r="M18" s="2101"/>
      <c r="N18" s="2101"/>
      <c r="O18" s="2101"/>
      <c r="P18" s="2101"/>
      <c r="Q18" s="2101"/>
      <c r="R18" s="2101"/>
    </row>
    <row r="19" spans="2:18" x14ac:dyDescent="0.25">
      <c r="B19" s="2101"/>
      <c r="C19" s="2101"/>
      <c r="D19" s="2101"/>
      <c r="E19" s="2101"/>
      <c r="F19" s="2101"/>
      <c r="G19" s="2101"/>
      <c r="H19" s="2101"/>
      <c r="I19" s="2101"/>
      <c r="J19" s="2101"/>
      <c r="K19" s="2101"/>
      <c r="L19" s="2101"/>
      <c r="M19" s="2101"/>
      <c r="N19" s="2101"/>
      <c r="O19" s="2101"/>
      <c r="P19" s="2101"/>
      <c r="Q19" s="2101"/>
      <c r="R19" s="2101"/>
    </row>
    <row r="20" spans="2:18" x14ac:dyDescent="0.25">
      <c r="B20" s="2101"/>
      <c r="C20" s="2101"/>
      <c r="D20" s="2101"/>
      <c r="E20" s="2101"/>
      <c r="F20" s="2101"/>
      <c r="G20" s="2101"/>
      <c r="H20" s="2101"/>
      <c r="I20" s="2101"/>
      <c r="J20" s="2101"/>
      <c r="K20" s="2101"/>
      <c r="L20" s="2101"/>
      <c r="M20" s="2101"/>
      <c r="N20" s="2101"/>
      <c r="O20" s="2101"/>
      <c r="P20" s="2101"/>
      <c r="Q20" s="2101"/>
      <c r="R20" s="2101"/>
    </row>
    <row r="24" spans="2:18" ht="14.45" customHeight="1" x14ac:dyDescent="0.25">
      <c r="B24" s="2095" t="s">
        <v>1088</v>
      </c>
      <c r="C24" s="2095"/>
      <c r="D24" s="2095"/>
      <c r="E24" s="2095"/>
      <c r="F24" s="2095"/>
      <c r="G24" s="2095"/>
      <c r="H24" s="2095"/>
      <c r="I24" s="2095"/>
      <c r="J24" s="2095"/>
      <c r="K24" s="2095"/>
      <c r="L24" s="2095"/>
      <c r="M24" s="2095"/>
      <c r="N24" s="2095"/>
      <c r="O24" s="2095"/>
      <c r="P24" s="2095"/>
      <c r="Q24" s="2095"/>
      <c r="R24" s="2095"/>
    </row>
    <row r="25" spans="2:18" x14ac:dyDescent="0.25">
      <c r="B25" s="2095"/>
      <c r="C25" s="2095"/>
      <c r="D25" s="2095"/>
      <c r="E25" s="2095"/>
      <c r="F25" s="2095"/>
      <c r="G25" s="2095"/>
      <c r="H25" s="2095"/>
      <c r="I25" s="2095"/>
      <c r="J25" s="2095"/>
      <c r="K25" s="2095"/>
      <c r="L25" s="2095"/>
      <c r="M25" s="2095"/>
      <c r="N25" s="2095"/>
      <c r="O25" s="2095"/>
      <c r="P25" s="2095"/>
      <c r="Q25" s="2095"/>
      <c r="R25" s="2095"/>
    </row>
    <row r="26" spans="2:18" x14ac:dyDescent="0.25">
      <c r="B26" s="2095"/>
      <c r="C26" s="2095"/>
      <c r="D26" s="2095"/>
      <c r="E26" s="2095"/>
      <c r="F26" s="2095"/>
      <c r="G26" s="2095"/>
      <c r="H26" s="2095"/>
      <c r="I26" s="2095"/>
      <c r="J26" s="2095"/>
      <c r="K26" s="2095"/>
      <c r="L26" s="2095"/>
      <c r="M26" s="2095"/>
      <c r="N26" s="2095"/>
      <c r="O26" s="2095"/>
      <c r="P26" s="2095"/>
      <c r="Q26" s="2095"/>
      <c r="R26" s="2095"/>
    </row>
    <row r="27" spans="2:18" x14ac:dyDescent="0.25">
      <c r="B27" s="2095"/>
      <c r="C27" s="2095"/>
      <c r="D27" s="2095"/>
      <c r="E27" s="2095"/>
      <c r="F27" s="2095"/>
      <c r="G27" s="2095"/>
      <c r="H27" s="2095"/>
      <c r="I27" s="2095"/>
      <c r="J27" s="2095"/>
      <c r="K27" s="2095"/>
      <c r="L27" s="2095"/>
      <c r="M27" s="2095"/>
      <c r="N27" s="2095"/>
      <c r="O27" s="2095"/>
      <c r="P27" s="2095"/>
      <c r="Q27" s="2095"/>
      <c r="R27" s="2095"/>
    </row>
    <row r="28" spans="2:18" x14ac:dyDescent="0.25">
      <c r="B28" s="2095"/>
      <c r="C28" s="2095"/>
      <c r="D28" s="2095"/>
      <c r="E28" s="2095"/>
      <c r="F28" s="2095"/>
      <c r="G28" s="2095"/>
      <c r="H28" s="2095"/>
      <c r="I28" s="2095"/>
      <c r="J28" s="2095"/>
      <c r="K28" s="2095"/>
      <c r="L28" s="2095"/>
      <c r="M28" s="2095"/>
      <c r="N28" s="2095"/>
      <c r="O28" s="2095"/>
      <c r="P28" s="2095"/>
      <c r="Q28" s="2095"/>
      <c r="R28" s="2095"/>
    </row>
    <row r="29" spans="2:18" x14ac:dyDescent="0.25">
      <c r="B29" s="2095"/>
      <c r="C29" s="2095"/>
      <c r="D29" s="2095"/>
      <c r="E29" s="2095"/>
      <c r="F29" s="2095"/>
      <c r="G29" s="2095"/>
      <c r="H29" s="2095"/>
      <c r="I29" s="2095"/>
      <c r="J29" s="2095"/>
      <c r="K29" s="2095"/>
      <c r="L29" s="2095"/>
      <c r="M29" s="2095"/>
      <c r="N29" s="2095"/>
      <c r="O29" s="2095"/>
      <c r="P29" s="2095"/>
      <c r="Q29" s="2095"/>
      <c r="R29" s="2095"/>
    </row>
    <row r="30" spans="2:18" x14ac:dyDescent="0.25">
      <c r="B30" s="2095"/>
      <c r="C30" s="2095"/>
      <c r="D30" s="2095"/>
      <c r="E30" s="2095"/>
      <c r="F30" s="2095"/>
      <c r="G30" s="2095"/>
      <c r="H30" s="2095"/>
      <c r="I30" s="2095"/>
      <c r="J30" s="2095"/>
      <c r="K30" s="2095"/>
      <c r="L30" s="2095"/>
      <c r="M30" s="2095"/>
      <c r="N30" s="2095"/>
      <c r="O30" s="2095"/>
      <c r="P30" s="2095"/>
      <c r="Q30" s="2095"/>
      <c r="R30" s="2095"/>
    </row>
    <row r="35" spans="2:18" x14ac:dyDescent="0.25">
      <c r="B35" s="862" t="s">
        <v>1090</v>
      </c>
    </row>
    <row r="36" spans="2:18" x14ac:dyDescent="0.25">
      <c r="B36" s="863" t="s">
        <v>1089</v>
      </c>
      <c r="C36" s="863"/>
      <c r="D36" s="863"/>
      <c r="E36" s="863"/>
      <c r="F36" s="863"/>
      <c r="G36" s="863"/>
      <c r="H36" s="863"/>
      <c r="I36" s="863"/>
      <c r="J36" s="863"/>
      <c r="K36" s="863"/>
      <c r="L36" s="863"/>
      <c r="M36" s="863"/>
      <c r="N36" s="863"/>
      <c r="O36" s="863"/>
      <c r="P36" s="863"/>
      <c r="Q36" s="863"/>
      <c r="R36" s="863"/>
    </row>
    <row r="37" spans="2:18" x14ac:dyDescent="0.25">
      <c r="B37" s="2095" t="s">
        <v>1086</v>
      </c>
      <c r="C37" s="2095"/>
      <c r="D37" s="2095"/>
      <c r="E37" s="2095"/>
      <c r="F37" s="2095"/>
      <c r="G37" s="2095"/>
      <c r="H37" s="2095"/>
      <c r="I37" s="2095"/>
      <c r="J37" s="2095"/>
      <c r="K37" s="2095"/>
      <c r="L37" s="2095"/>
      <c r="M37" s="2095"/>
      <c r="N37" s="2095"/>
      <c r="O37" s="2095"/>
      <c r="P37" s="2095"/>
      <c r="Q37" s="2101"/>
      <c r="R37" s="2101"/>
    </row>
    <row r="38" spans="2:18" x14ac:dyDescent="0.25">
      <c r="B38" s="2095"/>
      <c r="C38" s="2095"/>
      <c r="D38" s="2095"/>
      <c r="E38" s="2095"/>
      <c r="F38" s="2095"/>
      <c r="G38" s="2095"/>
      <c r="H38" s="2095"/>
      <c r="I38" s="2095"/>
      <c r="J38" s="2095"/>
      <c r="K38" s="2095"/>
      <c r="L38" s="2095"/>
      <c r="M38" s="2095"/>
      <c r="N38" s="2095"/>
      <c r="O38" s="2095"/>
      <c r="P38" s="2095"/>
      <c r="Q38" s="2101"/>
      <c r="R38" s="2101"/>
    </row>
    <row r="39" spans="2:18" x14ac:dyDescent="0.25">
      <c r="B39" s="865"/>
      <c r="C39" s="865"/>
      <c r="D39" s="865"/>
      <c r="E39" s="865"/>
      <c r="F39" s="865"/>
      <c r="G39" s="865"/>
      <c r="H39" s="865"/>
      <c r="I39" s="865"/>
      <c r="J39" s="865"/>
      <c r="K39" s="865"/>
      <c r="L39" s="865"/>
      <c r="M39" s="865"/>
      <c r="N39" s="865"/>
      <c r="O39" s="865"/>
      <c r="P39" s="865"/>
      <c r="Q39" s="866"/>
      <c r="R39" s="866"/>
    </row>
    <row r="40" spans="2:18" x14ac:dyDescent="0.25">
      <c r="B40" s="2097" t="s">
        <v>1084</v>
      </c>
      <c r="C40" s="2097"/>
      <c r="D40" s="2097"/>
      <c r="E40" s="2097"/>
      <c r="F40" s="2097"/>
      <c r="G40" s="2097"/>
      <c r="H40" s="2097"/>
      <c r="I40" s="2097"/>
      <c r="J40" s="2097"/>
      <c r="K40" s="2097"/>
      <c r="L40" s="2097"/>
      <c r="M40" s="2097"/>
      <c r="N40" s="2097"/>
      <c r="O40" s="2097"/>
      <c r="P40" s="2097"/>
      <c r="Q40" s="2097"/>
      <c r="R40" s="2097"/>
    </row>
    <row r="41" spans="2:18" ht="4.9000000000000004" customHeight="1" x14ac:dyDescent="0.25">
      <c r="B41" s="864"/>
      <c r="C41" s="863"/>
      <c r="D41" s="863"/>
      <c r="E41" s="863"/>
      <c r="F41" s="863"/>
      <c r="G41" s="863"/>
      <c r="H41" s="863"/>
      <c r="I41" s="863"/>
      <c r="J41" s="863"/>
      <c r="K41" s="863"/>
      <c r="L41" s="863"/>
      <c r="M41" s="863"/>
      <c r="N41" s="863"/>
      <c r="O41" s="863"/>
      <c r="P41" s="863"/>
      <c r="Q41" s="863"/>
      <c r="R41" s="863"/>
    </row>
    <row r="42" spans="2:18" ht="14.45" customHeight="1" x14ac:dyDescent="0.25">
      <c r="B42" s="2096" t="s">
        <v>1091</v>
      </c>
      <c r="C42" s="2096"/>
      <c r="D42" s="2096"/>
      <c r="E42" s="2096"/>
      <c r="F42" s="2096"/>
      <c r="G42" s="2096"/>
      <c r="H42" s="2096"/>
      <c r="I42" s="2096"/>
      <c r="J42" s="2096"/>
      <c r="K42" s="2096"/>
      <c r="L42" s="2096"/>
      <c r="M42" s="2096"/>
      <c r="N42" s="2096"/>
      <c r="O42" s="2096"/>
      <c r="P42" s="2096"/>
      <c r="Q42" s="2096"/>
      <c r="R42" s="2096"/>
    </row>
    <row r="43" spans="2:18" ht="14.45" customHeight="1" x14ac:dyDescent="0.25">
      <c r="B43" s="2096"/>
      <c r="C43" s="2096"/>
      <c r="D43" s="2096"/>
      <c r="E43" s="2096"/>
      <c r="F43" s="2096"/>
      <c r="G43" s="2096"/>
      <c r="H43" s="2096"/>
      <c r="I43" s="2096"/>
      <c r="J43" s="2096"/>
      <c r="K43" s="2096"/>
      <c r="L43" s="2096"/>
      <c r="M43" s="2096"/>
      <c r="N43" s="2096"/>
      <c r="O43" s="2096"/>
      <c r="P43" s="2096"/>
      <c r="Q43" s="2096"/>
      <c r="R43" s="2096"/>
    </row>
    <row r="44" spans="2:18" x14ac:dyDescent="0.25">
      <c r="B44" s="2096"/>
      <c r="C44" s="2096"/>
      <c r="D44" s="2096"/>
      <c r="E44" s="2096"/>
      <c r="F44" s="2096"/>
      <c r="G44" s="2096"/>
      <c r="H44" s="2096"/>
      <c r="I44" s="2096"/>
      <c r="J44" s="2096"/>
      <c r="K44" s="2096"/>
      <c r="L44" s="2096"/>
      <c r="M44" s="2096"/>
      <c r="N44" s="2096"/>
      <c r="O44" s="2096"/>
      <c r="P44" s="2096"/>
      <c r="Q44" s="2096"/>
      <c r="R44" s="2096"/>
    </row>
    <row r="45" spans="2:18" x14ac:dyDescent="0.25">
      <c r="B45" s="2096"/>
      <c r="C45" s="2096"/>
      <c r="D45" s="2096"/>
      <c r="E45" s="2096"/>
      <c r="F45" s="2096"/>
      <c r="G45" s="2096"/>
      <c r="H45" s="2096"/>
      <c r="I45" s="2096"/>
      <c r="J45" s="2096"/>
      <c r="K45" s="2096"/>
      <c r="L45" s="2096"/>
      <c r="M45" s="2096"/>
      <c r="N45" s="2096"/>
      <c r="O45" s="2096"/>
      <c r="P45" s="2096"/>
      <c r="Q45" s="2096"/>
      <c r="R45" s="2096"/>
    </row>
    <row r="46" spans="2:18" x14ac:dyDescent="0.25">
      <c r="B46" s="2096"/>
      <c r="C46" s="2096"/>
      <c r="D46" s="2096"/>
      <c r="E46" s="2096"/>
      <c r="F46" s="2096"/>
      <c r="G46" s="2096"/>
      <c r="H46" s="2096"/>
      <c r="I46" s="2096"/>
      <c r="J46" s="2096"/>
      <c r="K46" s="2096"/>
      <c r="L46" s="2096"/>
      <c r="M46" s="2096"/>
      <c r="N46" s="2096"/>
      <c r="O46" s="2096"/>
      <c r="P46" s="2096"/>
      <c r="Q46" s="2096"/>
      <c r="R46" s="2096"/>
    </row>
    <row r="47" spans="2:18" ht="4.9000000000000004" customHeight="1" x14ac:dyDescent="0.25">
      <c r="B47" s="865"/>
      <c r="C47" s="865"/>
      <c r="D47" s="865"/>
      <c r="E47" s="865"/>
      <c r="F47" s="865"/>
      <c r="G47" s="865"/>
      <c r="H47" s="865"/>
      <c r="I47" s="865"/>
      <c r="J47" s="865"/>
      <c r="K47" s="865"/>
      <c r="L47" s="865"/>
      <c r="M47" s="865"/>
      <c r="N47" s="865"/>
      <c r="O47" s="865"/>
      <c r="P47" s="865"/>
      <c r="Q47" s="863"/>
      <c r="R47" s="863"/>
    </row>
    <row r="48" spans="2:18" x14ac:dyDescent="0.25">
      <c r="B48" s="2098" t="s">
        <v>1689</v>
      </c>
      <c r="C48" s="2098"/>
      <c r="D48" s="2098"/>
      <c r="E48" s="2098"/>
      <c r="F48" s="2098"/>
      <c r="G48" s="2098"/>
      <c r="H48" s="2098"/>
      <c r="I48" s="2098"/>
      <c r="J48" s="2098"/>
      <c r="K48" s="2098"/>
      <c r="L48" s="2098"/>
      <c r="M48" s="2098"/>
      <c r="N48" s="2098"/>
      <c r="O48" s="2098"/>
      <c r="P48" s="2098"/>
      <c r="Q48" s="2098"/>
      <c r="R48" s="2098"/>
    </row>
    <row r="49" spans="2:18" x14ac:dyDescent="0.25">
      <c r="B49" s="2098"/>
      <c r="C49" s="2098"/>
      <c r="D49" s="2098"/>
      <c r="E49" s="2098"/>
      <c r="F49" s="2098"/>
      <c r="G49" s="2098"/>
      <c r="H49" s="2098"/>
      <c r="I49" s="2098"/>
      <c r="J49" s="2098"/>
      <c r="K49" s="2098"/>
      <c r="L49" s="2098"/>
      <c r="M49" s="2098"/>
      <c r="N49" s="2098"/>
      <c r="O49" s="2098"/>
      <c r="P49" s="2098"/>
      <c r="Q49" s="2098"/>
      <c r="R49" s="2098"/>
    </row>
    <row r="50" spans="2:18" ht="14.45" customHeight="1" x14ac:dyDescent="0.25">
      <c r="B50" s="2099"/>
      <c r="C50" s="2099"/>
      <c r="D50" s="2099"/>
      <c r="E50" s="2099"/>
      <c r="F50" s="2099"/>
      <c r="G50" s="2099"/>
      <c r="H50" s="2099"/>
      <c r="I50" s="2099"/>
      <c r="J50" s="2099"/>
      <c r="K50" s="2099"/>
      <c r="L50" s="2099"/>
      <c r="M50" s="2099"/>
      <c r="N50" s="2099"/>
      <c r="O50" s="2099"/>
      <c r="P50" s="2099"/>
      <c r="Q50" s="2099"/>
      <c r="R50" s="2099"/>
    </row>
    <row r="51" spans="2:18" ht="4.9000000000000004" customHeight="1" x14ac:dyDescent="0.25"/>
    <row r="52" spans="2:18" ht="14.45" customHeight="1" x14ac:dyDescent="0.25">
      <c r="B52" s="2100" t="s">
        <v>1092</v>
      </c>
      <c r="C52" s="2100"/>
      <c r="D52" s="2100"/>
      <c r="E52" s="2100"/>
      <c r="F52" s="2100"/>
      <c r="G52" s="2100"/>
      <c r="H52" s="2100"/>
      <c r="I52" s="2100"/>
      <c r="J52" s="2100"/>
      <c r="K52" s="2100"/>
      <c r="L52" s="2100"/>
      <c r="M52" s="2100"/>
      <c r="N52" s="2100"/>
      <c r="O52" s="2100"/>
      <c r="P52" s="2100"/>
      <c r="Q52" s="2100"/>
      <c r="R52" s="2100"/>
    </row>
    <row r="53" spans="2:18" ht="4.9000000000000004" customHeight="1" x14ac:dyDescent="0.25"/>
    <row r="54" spans="2:18" x14ac:dyDescent="0.25">
      <c r="B54" s="2103" t="s">
        <v>1085</v>
      </c>
      <c r="C54" s="2103"/>
      <c r="D54" s="2103"/>
      <c r="E54" s="2103"/>
      <c r="F54" s="2103"/>
      <c r="G54" s="2103"/>
      <c r="H54" s="2103"/>
      <c r="I54" s="2103"/>
      <c r="J54" s="2103"/>
      <c r="K54" s="2103"/>
      <c r="L54" s="2103"/>
      <c r="M54" s="2103"/>
      <c r="N54" s="2103"/>
      <c r="O54" s="2103"/>
      <c r="P54" s="2103"/>
      <c r="Q54" s="2103"/>
      <c r="R54" s="2103"/>
    </row>
    <row r="55" spans="2:18" x14ac:dyDescent="0.25">
      <c r="B55" s="2103"/>
      <c r="C55" s="2103"/>
      <c r="D55" s="2103"/>
      <c r="E55" s="2103"/>
      <c r="F55" s="2103"/>
      <c r="G55" s="2103"/>
      <c r="H55" s="2103"/>
      <c r="I55" s="2103"/>
      <c r="J55" s="2103"/>
      <c r="K55" s="2103"/>
      <c r="L55" s="2103"/>
      <c r="M55" s="2103"/>
      <c r="N55" s="2103"/>
      <c r="O55" s="2103"/>
      <c r="P55" s="2103"/>
      <c r="Q55" s="2103"/>
      <c r="R55" s="2103"/>
    </row>
    <row r="56" spans="2:18" ht="14.45" customHeight="1" x14ac:dyDescent="0.25">
      <c r="B56" s="2095" t="s">
        <v>1093</v>
      </c>
      <c r="C56" s="2095"/>
      <c r="D56" s="2095"/>
      <c r="E56" s="2095"/>
      <c r="F56" s="2095"/>
      <c r="G56" s="2095"/>
      <c r="H56" s="2095"/>
      <c r="I56" s="2095"/>
      <c r="J56" s="2095"/>
      <c r="K56" s="2095"/>
      <c r="L56" s="2095"/>
      <c r="M56" s="2095"/>
      <c r="N56" s="2095"/>
      <c r="O56" s="2095"/>
      <c r="P56" s="2095"/>
      <c r="Q56" s="2095"/>
      <c r="R56" s="2095"/>
    </row>
    <row r="57" spans="2:18" x14ac:dyDescent="0.25">
      <c r="B57" s="2095"/>
      <c r="C57" s="2095"/>
      <c r="D57" s="2095"/>
      <c r="E57" s="2095"/>
      <c r="F57" s="2095"/>
      <c r="G57" s="2095"/>
      <c r="H57" s="2095"/>
      <c r="I57" s="2095"/>
      <c r="J57" s="2095"/>
      <c r="K57" s="2095"/>
      <c r="L57" s="2095"/>
      <c r="M57" s="2095"/>
      <c r="N57" s="2095"/>
      <c r="O57" s="2095"/>
      <c r="P57" s="2095"/>
      <c r="Q57" s="2095"/>
      <c r="R57" s="2095"/>
    </row>
    <row r="58" spans="2:18" x14ac:dyDescent="0.25">
      <c r="B58" s="2095"/>
      <c r="C58" s="2095"/>
      <c r="D58" s="2095"/>
      <c r="E58" s="2095"/>
      <c r="F58" s="2095"/>
      <c r="G58" s="2095"/>
      <c r="H58" s="2095"/>
      <c r="I58" s="2095"/>
      <c r="J58" s="2095"/>
      <c r="K58" s="2095"/>
      <c r="L58" s="2095"/>
      <c r="M58" s="2095"/>
      <c r="N58" s="2095"/>
      <c r="O58" s="2095"/>
      <c r="P58" s="2095"/>
      <c r="Q58" s="2095"/>
      <c r="R58" s="2095"/>
    </row>
    <row r="59" spans="2:18" x14ac:dyDescent="0.25">
      <c r="B59" s="2095"/>
      <c r="C59" s="2095"/>
      <c r="D59" s="2095"/>
      <c r="E59" s="2095"/>
      <c r="F59" s="2095"/>
      <c r="G59" s="2095"/>
      <c r="H59" s="2095"/>
      <c r="I59" s="2095"/>
      <c r="J59" s="2095"/>
      <c r="K59" s="2095"/>
      <c r="L59" s="2095"/>
      <c r="M59" s="2095"/>
      <c r="N59" s="2095"/>
      <c r="O59" s="2095"/>
      <c r="P59" s="2095"/>
      <c r="Q59" s="2095"/>
      <c r="R59" s="2095"/>
    </row>
    <row r="60" spans="2:18" x14ac:dyDescent="0.25">
      <c r="B60" s="2095"/>
      <c r="C60" s="2095"/>
      <c r="D60" s="2095"/>
      <c r="E60" s="2095"/>
      <c r="F60" s="2095"/>
      <c r="G60" s="2095"/>
      <c r="H60" s="2095"/>
      <c r="I60" s="2095"/>
      <c r="J60" s="2095"/>
      <c r="K60" s="2095"/>
      <c r="L60" s="2095"/>
      <c r="M60" s="2095"/>
      <c r="N60" s="2095"/>
      <c r="O60" s="2095"/>
      <c r="P60" s="2095"/>
      <c r="Q60" s="2095"/>
      <c r="R60" s="2095"/>
    </row>
    <row r="61" spans="2:18" x14ac:dyDescent="0.25">
      <c r="B61" s="2095"/>
      <c r="C61" s="2095"/>
      <c r="D61" s="2095"/>
      <c r="E61" s="2095"/>
      <c r="F61" s="2095"/>
      <c r="G61" s="2095"/>
      <c r="H61" s="2095"/>
      <c r="I61" s="2095"/>
      <c r="J61" s="2095"/>
      <c r="K61" s="2095"/>
      <c r="L61" s="2095"/>
      <c r="M61" s="2095"/>
      <c r="N61" s="2095"/>
      <c r="O61" s="2095"/>
      <c r="P61" s="2095"/>
      <c r="Q61" s="2095"/>
      <c r="R61" s="2095"/>
    </row>
    <row r="62" spans="2:18" x14ac:dyDescent="0.25">
      <c r="B62" s="2095"/>
      <c r="C62" s="2095"/>
      <c r="D62" s="2095"/>
      <c r="E62" s="2095"/>
      <c r="F62" s="2095"/>
      <c r="G62" s="2095"/>
      <c r="H62" s="2095"/>
      <c r="I62" s="2095"/>
      <c r="J62" s="2095"/>
      <c r="K62" s="2095"/>
      <c r="L62" s="2095"/>
      <c r="M62" s="2095"/>
      <c r="N62" s="2095"/>
      <c r="O62" s="2095"/>
      <c r="P62" s="2095"/>
      <c r="Q62" s="2095"/>
      <c r="R62" s="2095"/>
    </row>
    <row r="63" spans="2:18" x14ac:dyDescent="0.25">
      <c r="B63" s="2095"/>
      <c r="C63" s="2095"/>
      <c r="D63" s="2095"/>
      <c r="E63" s="2095"/>
      <c r="F63" s="2095"/>
      <c r="G63" s="2095"/>
      <c r="H63" s="2095"/>
      <c r="I63" s="2095"/>
      <c r="J63" s="2095"/>
      <c r="K63" s="2095"/>
      <c r="L63" s="2095"/>
      <c r="M63" s="2095"/>
      <c r="N63" s="2095"/>
      <c r="O63" s="2095"/>
      <c r="P63" s="2095"/>
      <c r="Q63" s="2095"/>
      <c r="R63" s="2095"/>
    </row>
    <row r="64" spans="2:18" x14ac:dyDescent="0.25">
      <c r="B64" s="2095"/>
      <c r="C64" s="2095"/>
      <c r="D64" s="2095"/>
      <c r="E64" s="2095"/>
      <c r="F64" s="2095"/>
      <c r="G64" s="2095"/>
      <c r="H64" s="2095"/>
      <c r="I64" s="2095"/>
      <c r="J64" s="2095"/>
      <c r="K64" s="2095"/>
      <c r="L64" s="2095"/>
      <c r="M64" s="2095"/>
      <c r="N64" s="2095"/>
      <c r="O64" s="2095"/>
      <c r="P64" s="2095"/>
      <c r="Q64" s="2095"/>
      <c r="R64" s="2095"/>
    </row>
    <row r="65" spans="2:18" x14ac:dyDescent="0.25">
      <c r="B65" s="2095"/>
      <c r="C65" s="2095"/>
      <c r="D65" s="2095"/>
      <c r="E65" s="2095"/>
      <c r="F65" s="2095"/>
      <c r="G65" s="2095"/>
      <c r="H65" s="2095"/>
      <c r="I65" s="2095"/>
      <c r="J65" s="2095"/>
      <c r="K65" s="2095"/>
      <c r="L65" s="2095"/>
      <c r="M65" s="2095"/>
      <c r="N65" s="2095"/>
      <c r="O65" s="2095"/>
      <c r="P65" s="2095"/>
      <c r="Q65" s="2095"/>
      <c r="R65" s="2095"/>
    </row>
    <row r="66" spans="2:18" x14ac:dyDescent="0.25">
      <c r="B66" s="2095"/>
      <c r="C66" s="2095"/>
      <c r="D66" s="2095"/>
      <c r="E66" s="2095"/>
      <c r="F66" s="2095"/>
      <c r="G66" s="2095"/>
      <c r="H66" s="2095"/>
      <c r="I66" s="2095"/>
      <c r="J66" s="2095"/>
      <c r="K66" s="2095"/>
      <c r="L66" s="2095"/>
      <c r="M66" s="2095"/>
      <c r="N66" s="2095"/>
      <c r="O66" s="2095"/>
      <c r="P66" s="2095"/>
      <c r="Q66" s="2095"/>
      <c r="R66" s="2095"/>
    </row>
    <row r="67" spans="2:18" x14ac:dyDescent="0.25">
      <c r="B67" s="862"/>
    </row>
    <row r="68" spans="2:18" x14ac:dyDescent="0.25">
      <c r="B68" s="862" t="s">
        <v>1095</v>
      </c>
    </row>
    <row r="69" spans="2:18" ht="14.45" customHeight="1" x14ac:dyDescent="0.25">
      <c r="B69" s="2102" t="s">
        <v>1096</v>
      </c>
      <c r="C69" s="2102"/>
      <c r="D69" s="2102"/>
      <c r="E69" s="2102"/>
      <c r="F69" s="2102"/>
      <c r="G69" s="2102"/>
      <c r="H69" s="2102"/>
      <c r="I69" s="2102"/>
      <c r="J69" s="2102"/>
      <c r="K69" s="2102"/>
      <c r="L69" s="2102"/>
      <c r="M69" s="2102"/>
      <c r="N69" s="2102"/>
      <c r="O69" s="2102"/>
      <c r="P69" s="2102"/>
      <c r="Q69" s="2102"/>
      <c r="R69" s="2102"/>
    </row>
    <row r="70" spans="2:18" x14ac:dyDescent="0.25">
      <c r="B70" s="2102"/>
      <c r="C70" s="2102"/>
      <c r="D70" s="2102"/>
      <c r="E70" s="2102"/>
      <c r="F70" s="2102"/>
      <c r="G70" s="2102"/>
      <c r="H70" s="2102"/>
      <c r="I70" s="2102"/>
      <c r="J70" s="2102"/>
      <c r="K70" s="2102"/>
      <c r="L70" s="2102"/>
      <c r="M70" s="2102"/>
      <c r="N70" s="2102"/>
      <c r="O70" s="2102"/>
      <c r="P70" s="2102"/>
      <c r="Q70" s="2102"/>
      <c r="R70" s="2102"/>
    </row>
    <row r="71" spans="2:18" x14ac:dyDescent="0.25">
      <c r="B71" s="2102"/>
      <c r="C71" s="2102"/>
      <c r="D71" s="2102"/>
      <c r="E71" s="2102"/>
      <c r="F71" s="2102"/>
      <c r="G71" s="2102"/>
      <c r="H71" s="2102"/>
      <c r="I71" s="2102"/>
      <c r="J71" s="2102"/>
      <c r="K71" s="2102"/>
      <c r="L71" s="2102"/>
      <c r="M71" s="2102"/>
      <c r="N71" s="2102"/>
      <c r="O71" s="2102"/>
      <c r="P71" s="2102"/>
      <c r="Q71" s="2102"/>
      <c r="R71" s="2102"/>
    </row>
    <row r="72" spans="2:18" x14ac:dyDescent="0.25">
      <c r="B72" s="2102"/>
      <c r="C72" s="2102"/>
      <c r="D72" s="2102"/>
      <c r="E72" s="2102"/>
      <c r="F72" s="2102"/>
      <c r="G72" s="2102"/>
      <c r="H72" s="2102"/>
      <c r="I72" s="2102"/>
      <c r="J72" s="2102"/>
      <c r="K72" s="2102"/>
      <c r="L72" s="2102"/>
      <c r="M72" s="2102"/>
      <c r="N72" s="2102"/>
      <c r="O72" s="2102"/>
      <c r="P72" s="2102"/>
      <c r="Q72" s="2102"/>
      <c r="R72" s="2102"/>
    </row>
    <row r="73" spans="2:18" x14ac:dyDescent="0.25">
      <c r="B73" s="2102"/>
      <c r="C73" s="2102"/>
      <c r="D73" s="2102"/>
      <c r="E73" s="2102"/>
      <c r="F73" s="2102"/>
      <c r="G73" s="2102"/>
      <c r="H73" s="2102"/>
      <c r="I73" s="2102"/>
      <c r="J73" s="2102"/>
      <c r="K73" s="2102"/>
      <c r="L73" s="2102"/>
      <c r="M73" s="2102"/>
      <c r="N73" s="2102"/>
      <c r="O73" s="2102"/>
      <c r="P73" s="2102"/>
      <c r="Q73" s="2102"/>
      <c r="R73" s="2102"/>
    </row>
    <row r="74" spans="2:18" x14ac:dyDescent="0.25">
      <c r="B74" s="2102"/>
      <c r="C74" s="2102"/>
      <c r="D74" s="2102"/>
      <c r="E74" s="2102"/>
      <c r="F74" s="2102"/>
      <c r="G74" s="2102"/>
      <c r="H74" s="2102"/>
      <c r="I74" s="2102"/>
      <c r="J74" s="2102"/>
      <c r="K74" s="2102"/>
      <c r="L74" s="2102"/>
      <c r="M74" s="2102"/>
      <c r="N74" s="2102"/>
      <c r="O74" s="2102"/>
      <c r="P74" s="2102"/>
      <c r="Q74" s="2102"/>
      <c r="R74" s="2102"/>
    </row>
    <row r="75" spans="2:18" x14ac:dyDescent="0.25">
      <c r="B75" s="2102"/>
      <c r="C75" s="2102"/>
      <c r="D75" s="2102"/>
      <c r="E75" s="2102"/>
      <c r="F75" s="2102"/>
      <c r="G75" s="2102"/>
      <c r="H75" s="2102"/>
      <c r="I75" s="2102"/>
      <c r="J75" s="2102"/>
      <c r="K75" s="2102"/>
      <c r="L75" s="2102"/>
      <c r="M75" s="2102"/>
      <c r="N75" s="2102"/>
      <c r="O75" s="2102"/>
      <c r="P75" s="2102"/>
      <c r="Q75" s="2102"/>
      <c r="R75" s="2102"/>
    </row>
    <row r="76" spans="2:18" x14ac:dyDescent="0.25">
      <c r="B76" s="2102"/>
      <c r="C76" s="2102"/>
      <c r="D76" s="2102"/>
      <c r="E76" s="2102"/>
      <c r="F76" s="2102"/>
      <c r="G76" s="2102"/>
      <c r="H76" s="2102"/>
      <c r="I76" s="2102"/>
      <c r="J76" s="2102"/>
      <c r="K76" s="2102"/>
      <c r="L76" s="2102"/>
      <c r="M76" s="2102"/>
      <c r="N76" s="2102"/>
      <c r="O76" s="2102"/>
      <c r="P76" s="2102"/>
      <c r="Q76" s="2102"/>
      <c r="R76" s="2102"/>
    </row>
    <row r="77" spans="2:18" x14ac:dyDescent="0.25">
      <c r="B77" s="2102"/>
      <c r="C77" s="2102"/>
      <c r="D77" s="2102"/>
      <c r="E77" s="2102"/>
      <c r="F77" s="2102"/>
      <c r="G77" s="2102"/>
      <c r="H77" s="2102"/>
      <c r="I77" s="2102"/>
      <c r="J77" s="2102"/>
      <c r="K77" s="2102"/>
      <c r="L77" s="2102"/>
      <c r="M77" s="2102"/>
      <c r="N77" s="2102"/>
      <c r="O77" s="2102"/>
      <c r="P77" s="2102"/>
      <c r="Q77" s="2102"/>
      <c r="R77" s="2102"/>
    </row>
    <row r="78" spans="2:18" x14ac:dyDescent="0.25">
      <c r="B78" s="866"/>
      <c r="C78" s="866"/>
      <c r="D78" s="866"/>
      <c r="E78" s="866"/>
      <c r="F78" s="866"/>
      <c r="G78" s="866"/>
      <c r="H78" s="866"/>
      <c r="I78" s="866"/>
      <c r="J78" s="866"/>
      <c r="K78" s="866"/>
      <c r="L78" s="866"/>
      <c r="M78" s="866"/>
      <c r="N78" s="866"/>
      <c r="O78" s="866"/>
      <c r="P78" s="866"/>
      <c r="Q78" s="866"/>
      <c r="R78" s="866"/>
    </row>
    <row r="79" spans="2:18" x14ac:dyDescent="0.25">
      <c r="B79" s="866"/>
      <c r="C79" s="866"/>
      <c r="D79" s="866"/>
      <c r="E79" s="866"/>
      <c r="F79" s="866"/>
      <c r="G79" s="866"/>
      <c r="H79" s="866"/>
      <c r="I79" s="866"/>
      <c r="J79" s="866"/>
      <c r="K79" s="866"/>
      <c r="L79" s="866"/>
      <c r="M79" s="866"/>
      <c r="N79" s="866"/>
      <c r="O79" s="866"/>
      <c r="P79" s="866"/>
      <c r="Q79" s="866"/>
      <c r="R79" s="866"/>
    </row>
    <row r="80" spans="2:18" x14ac:dyDescent="0.25">
      <c r="B80" s="866"/>
      <c r="C80" s="866"/>
      <c r="D80" s="866"/>
      <c r="E80" s="866"/>
      <c r="F80" s="866"/>
      <c r="G80" s="866"/>
      <c r="H80" s="866"/>
      <c r="I80" s="866"/>
      <c r="J80" s="866"/>
      <c r="K80" s="866"/>
      <c r="L80" s="866"/>
      <c r="M80" s="866"/>
      <c r="N80" s="866"/>
      <c r="O80" s="866"/>
      <c r="P80" s="866"/>
      <c r="Q80" s="866"/>
      <c r="R80" s="866"/>
    </row>
    <row r="81" spans="2:18" x14ac:dyDescent="0.25">
      <c r="B81" s="866"/>
      <c r="C81" s="866"/>
      <c r="D81" s="866"/>
      <c r="E81" s="866"/>
      <c r="F81" s="866"/>
      <c r="G81" s="866"/>
      <c r="H81" s="866"/>
      <c r="I81" s="866"/>
      <c r="J81" s="866"/>
      <c r="K81" s="866"/>
      <c r="L81" s="866"/>
      <c r="M81" s="866"/>
      <c r="N81" s="866"/>
      <c r="O81" s="866"/>
      <c r="P81" s="866"/>
      <c r="Q81" s="866"/>
      <c r="R81" s="866"/>
    </row>
    <row r="82" spans="2:18" x14ac:dyDescent="0.25">
      <c r="B82" s="866"/>
      <c r="C82" s="866"/>
      <c r="D82" s="866"/>
      <c r="E82" s="866"/>
      <c r="F82" s="866"/>
      <c r="G82" s="866"/>
      <c r="H82" s="866"/>
      <c r="I82" s="866"/>
      <c r="J82" s="866"/>
      <c r="K82" s="866"/>
      <c r="L82" s="866"/>
      <c r="M82" s="866"/>
      <c r="N82" s="866"/>
      <c r="O82" s="866"/>
      <c r="P82" s="866"/>
      <c r="Q82" s="866"/>
      <c r="R82" s="866"/>
    </row>
    <row r="83" spans="2:18" x14ac:dyDescent="0.25">
      <c r="B83" s="866"/>
      <c r="C83" s="866"/>
      <c r="D83" s="866"/>
      <c r="E83" s="866"/>
      <c r="F83" s="866"/>
      <c r="G83" s="866"/>
      <c r="H83" s="866"/>
      <c r="I83" s="866"/>
      <c r="J83" s="866"/>
      <c r="K83" s="866"/>
      <c r="L83" s="866"/>
      <c r="M83" s="866"/>
      <c r="N83" s="866"/>
      <c r="O83" s="866"/>
      <c r="P83" s="866"/>
      <c r="Q83" s="866"/>
      <c r="R83" s="866"/>
    </row>
    <row r="84" spans="2:18" ht="14.45" customHeight="1" x14ac:dyDescent="0.25">
      <c r="B84" s="2095" t="s">
        <v>1097</v>
      </c>
      <c r="C84" s="2095"/>
      <c r="D84" s="2095"/>
      <c r="E84" s="2095"/>
      <c r="F84" s="2095"/>
      <c r="G84" s="2095"/>
      <c r="H84" s="2095"/>
      <c r="I84" s="2095"/>
      <c r="J84" s="2095"/>
      <c r="K84" s="2095"/>
      <c r="L84" s="2095"/>
      <c r="M84" s="2095"/>
      <c r="N84" s="2095"/>
      <c r="O84" s="2095"/>
      <c r="P84" s="2095"/>
      <c r="Q84" s="2095"/>
      <c r="R84" s="2095"/>
    </row>
    <row r="85" spans="2:18" x14ac:dyDescent="0.25">
      <c r="B85" s="2095"/>
      <c r="C85" s="2095"/>
      <c r="D85" s="2095"/>
      <c r="E85" s="2095"/>
      <c r="F85" s="2095"/>
      <c r="G85" s="2095"/>
      <c r="H85" s="2095"/>
      <c r="I85" s="2095"/>
      <c r="J85" s="2095"/>
      <c r="K85" s="2095"/>
      <c r="L85" s="2095"/>
      <c r="M85" s="2095"/>
      <c r="N85" s="2095"/>
      <c r="O85" s="2095"/>
      <c r="P85" s="2095"/>
      <c r="Q85" s="2095"/>
      <c r="R85" s="2095"/>
    </row>
    <row r="86" spans="2:18" x14ac:dyDescent="0.25">
      <c r="B86" s="2095"/>
      <c r="C86" s="2095"/>
      <c r="D86" s="2095"/>
      <c r="E86" s="2095"/>
      <c r="F86" s="2095"/>
      <c r="G86" s="2095"/>
      <c r="H86" s="2095"/>
      <c r="I86" s="2095"/>
      <c r="J86" s="2095"/>
      <c r="K86" s="2095"/>
      <c r="L86" s="2095"/>
      <c r="M86" s="2095"/>
      <c r="N86" s="2095"/>
      <c r="O86" s="2095"/>
      <c r="P86" s="2095"/>
      <c r="Q86" s="2095"/>
      <c r="R86" s="2095"/>
    </row>
    <row r="87" spans="2:18" x14ac:dyDescent="0.25">
      <c r="B87" s="868"/>
      <c r="C87" s="868"/>
      <c r="D87" s="868"/>
      <c r="E87" s="868"/>
      <c r="F87" s="868"/>
      <c r="G87" s="868"/>
      <c r="H87" s="868"/>
      <c r="I87" s="868"/>
      <c r="J87" s="868"/>
      <c r="K87" s="868"/>
      <c r="L87" s="868"/>
      <c r="M87" s="868"/>
      <c r="N87" s="868"/>
      <c r="O87" s="868"/>
      <c r="P87" s="868"/>
      <c r="Q87" s="868"/>
      <c r="R87" s="868"/>
    </row>
    <row r="88" spans="2:18" x14ac:dyDescent="0.25">
      <c r="B88" s="862" t="s">
        <v>1690</v>
      </c>
    </row>
    <row r="89" spans="2:18" x14ac:dyDescent="0.25">
      <c r="B89" s="867" t="s">
        <v>1691</v>
      </c>
    </row>
    <row r="90" spans="2:18" x14ac:dyDescent="0.25">
      <c r="B90" s="2101" t="s">
        <v>1101</v>
      </c>
      <c r="C90" s="2101"/>
      <c r="D90" s="2101"/>
      <c r="E90" s="2101"/>
      <c r="F90" s="2101"/>
      <c r="G90" s="2101"/>
      <c r="H90" s="2101"/>
      <c r="I90" s="2101"/>
      <c r="J90" s="2101"/>
      <c r="K90" s="2101"/>
      <c r="L90" s="2101"/>
      <c r="M90" s="2101"/>
      <c r="N90" s="2101"/>
      <c r="O90" s="2101"/>
      <c r="P90" s="2101"/>
      <c r="Q90" s="2101"/>
      <c r="R90" s="2101"/>
    </row>
    <row r="91" spans="2:18" x14ac:dyDescent="0.25">
      <c r="B91" s="2101"/>
      <c r="C91" s="2101"/>
      <c r="D91" s="2101"/>
      <c r="E91" s="2101"/>
      <c r="F91" s="2101"/>
      <c r="G91" s="2101"/>
      <c r="H91" s="2101"/>
      <c r="I91" s="2101"/>
      <c r="J91" s="2101"/>
      <c r="K91" s="2101"/>
      <c r="L91" s="2101"/>
      <c r="M91" s="2101"/>
      <c r="N91" s="2101"/>
      <c r="O91" s="2101"/>
      <c r="P91" s="2101"/>
      <c r="Q91" s="2101"/>
      <c r="R91" s="2101"/>
    </row>
    <row r="92" spans="2:18" x14ac:dyDescent="0.25">
      <c r="B92" s="2101"/>
      <c r="C92" s="2101"/>
      <c r="D92" s="2101"/>
      <c r="E92" s="2101"/>
      <c r="F92" s="2101"/>
      <c r="G92" s="2101"/>
      <c r="H92" s="2101"/>
      <c r="I92" s="2101"/>
      <c r="J92" s="2101"/>
      <c r="K92" s="2101"/>
      <c r="L92" s="2101"/>
      <c r="M92" s="2101"/>
      <c r="N92" s="2101"/>
      <c r="O92" s="2101"/>
      <c r="P92" s="2101"/>
      <c r="Q92" s="2101"/>
      <c r="R92" s="2101"/>
    </row>
    <row r="94" spans="2:18" x14ac:dyDescent="0.25">
      <c r="B94" s="862" t="s">
        <v>1692</v>
      </c>
    </row>
    <row r="95" spans="2:18" x14ac:dyDescent="0.25">
      <c r="B95" s="2101" t="s">
        <v>1693</v>
      </c>
      <c r="C95" s="2101"/>
      <c r="D95" s="2101"/>
      <c r="E95" s="2101"/>
      <c r="F95" s="2101"/>
      <c r="G95" s="2101"/>
      <c r="H95" s="2101"/>
      <c r="I95" s="2101"/>
      <c r="J95" s="2101"/>
      <c r="K95" s="2101"/>
      <c r="L95" s="2101"/>
      <c r="M95" s="2101"/>
      <c r="N95" s="2101"/>
      <c r="O95" s="2101"/>
      <c r="P95" s="2101"/>
      <c r="Q95" s="2101"/>
      <c r="R95" s="2101"/>
    </row>
    <row r="96" spans="2:18" x14ac:dyDescent="0.25">
      <c r="B96" s="2101"/>
      <c r="C96" s="2101"/>
      <c r="D96" s="2101"/>
      <c r="E96" s="2101"/>
      <c r="F96" s="2101"/>
      <c r="G96" s="2101"/>
      <c r="H96" s="2101"/>
      <c r="I96" s="2101"/>
      <c r="J96" s="2101"/>
      <c r="K96" s="2101"/>
      <c r="L96" s="2101"/>
      <c r="M96" s="2101"/>
      <c r="N96" s="2101"/>
      <c r="O96" s="2101"/>
      <c r="P96" s="2101"/>
      <c r="Q96" s="2101"/>
      <c r="R96" s="2101"/>
    </row>
    <row r="98" spans="2:18" x14ac:dyDescent="0.25">
      <c r="B98" s="2101" t="s">
        <v>1087</v>
      </c>
      <c r="C98" s="2101"/>
      <c r="D98" s="2101"/>
      <c r="E98" s="2101"/>
      <c r="F98" s="2101"/>
      <c r="G98" s="2101"/>
      <c r="H98" s="2101"/>
      <c r="I98" s="2101"/>
      <c r="J98" s="2101"/>
      <c r="K98" s="2101"/>
      <c r="L98" s="2101"/>
      <c r="M98" s="2101"/>
      <c r="N98" s="2101"/>
      <c r="O98" s="2101"/>
      <c r="P98" s="2101"/>
      <c r="Q98" s="2101"/>
      <c r="R98" s="2101"/>
    </row>
    <row r="99" spans="2:18" x14ac:dyDescent="0.25">
      <c r="B99" s="2101"/>
      <c r="C99" s="2101"/>
      <c r="D99" s="2101"/>
      <c r="E99" s="2101"/>
      <c r="F99" s="2101"/>
      <c r="G99" s="2101"/>
      <c r="H99" s="2101"/>
      <c r="I99" s="2101"/>
      <c r="J99" s="2101"/>
      <c r="K99" s="2101"/>
      <c r="L99" s="2101"/>
      <c r="M99" s="2101"/>
      <c r="N99" s="2101"/>
      <c r="O99" s="2101"/>
      <c r="P99" s="2101"/>
      <c r="Q99" s="2101"/>
      <c r="R99" s="2101"/>
    </row>
    <row r="100" spans="2:18" ht="14.45" customHeight="1" x14ac:dyDescent="0.25">
      <c r="B100" s="2095" t="s">
        <v>1694</v>
      </c>
      <c r="C100" s="2095"/>
      <c r="D100" s="2095"/>
      <c r="E100" s="2095"/>
      <c r="F100" s="2095"/>
      <c r="G100" s="2095"/>
      <c r="H100" s="2095"/>
      <c r="I100" s="2095"/>
      <c r="J100" s="2095"/>
      <c r="K100" s="2095"/>
      <c r="L100" s="2095"/>
      <c r="M100" s="2095"/>
      <c r="N100" s="2095"/>
      <c r="O100" s="2095"/>
      <c r="P100" s="2095"/>
      <c r="Q100" s="2095"/>
      <c r="R100" s="2095"/>
    </row>
    <row r="101" spans="2:18" x14ac:dyDescent="0.25">
      <c r="B101" s="2095"/>
      <c r="C101" s="2095"/>
      <c r="D101" s="2095"/>
      <c r="E101" s="2095"/>
      <c r="F101" s="2095"/>
      <c r="G101" s="2095"/>
      <c r="H101" s="2095"/>
      <c r="I101" s="2095"/>
      <c r="J101" s="2095"/>
      <c r="K101" s="2095"/>
      <c r="L101" s="2095"/>
      <c r="M101" s="2095"/>
      <c r="N101" s="2095"/>
      <c r="O101" s="2095"/>
      <c r="P101" s="2095"/>
      <c r="Q101" s="2095"/>
      <c r="R101" s="2095"/>
    </row>
    <row r="102" spans="2:18" x14ac:dyDescent="0.25">
      <c r="B102" s="2095"/>
      <c r="C102" s="2095"/>
      <c r="D102" s="2095"/>
      <c r="E102" s="2095"/>
      <c r="F102" s="2095"/>
      <c r="G102" s="2095"/>
      <c r="H102" s="2095"/>
      <c r="I102" s="2095"/>
      <c r="J102" s="2095"/>
      <c r="K102" s="2095"/>
      <c r="L102" s="2095"/>
      <c r="M102" s="2095"/>
      <c r="N102" s="2095"/>
      <c r="O102" s="2095"/>
      <c r="P102" s="2095"/>
      <c r="Q102" s="2095"/>
      <c r="R102" s="2095"/>
    </row>
    <row r="103" spans="2:18" x14ac:dyDescent="0.25">
      <c r="B103" s="2095"/>
      <c r="C103" s="2095"/>
      <c r="D103" s="2095"/>
      <c r="E103" s="2095"/>
      <c r="F103" s="2095"/>
      <c r="G103" s="2095"/>
      <c r="H103" s="2095"/>
      <c r="I103" s="2095"/>
      <c r="J103" s="2095"/>
      <c r="K103" s="2095"/>
      <c r="L103" s="2095"/>
      <c r="M103" s="2095"/>
      <c r="N103" s="2095"/>
      <c r="O103" s="2095"/>
      <c r="P103" s="2095"/>
      <c r="Q103" s="2095"/>
      <c r="R103" s="2095"/>
    </row>
    <row r="104" spans="2:18" x14ac:dyDescent="0.25">
      <c r="B104" s="2095"/>
      <c r="C104" s="2095"/>
      <c r="D104" s="2095"/>
      <c r="E104" s="2095"/>
      <c r="F104" s="2095"/>
      <c r="G104" s="2095"/>
      <c r="H104" s="2095"/>
      <c r="I104" s="2095"/>
      <c r="J104" s="2095"/>
      <c r="K104" s="2095"/>
      <c r="L104" s="2095"/>
      <c r="M104" s="2095"/>
      <c r="N104" s="2095"/>
      <c r="O104" s="2095"/>
      <c r="P104" s="2095"/>
      <c r="Q104" s="2095"/>
      <c r="R104" s="2095"/>
    </row>
    <row r="105" spans="2:18" x14ac:dyDescent="0.25">
      <c r="B105" s="2095"/>
      <c r="C105" s="2095"/>
      <c r="D105" s="2095"/>
      <c r="E105" s="2095"/>
      <c r="F105" s="2095"/>
      <c r="G105" s="2095"/>
      <c r="H105" s="2095"/>
      <c r="I105" s="2095"/>
      <c r="J105" s="2095"/>
      <c r="K105" s="2095"/>
      <c r="L105" s="2095"/>
      <c r="M105" s="2095"/>
      <c r="N105" s="2095"/>
      <c r="O105" s="2095"/>
      <c r="P105" s="2095"/>
      <c r="Q105" s="2095"/>
      <c r="R105" s="2095"/>
    </row>
    <row r="113" spans="2:17" x14ac:dyDescent="0.25">
      <c r="B113" s="862" t="s">
        <v>1368</v>
      </c>
    </row>
    <row r="114" spans="2:17" x14ac:dyDescent="0.25">
      <c r="B114" s="558" t="s">
        <v>1369</v>
      </c>
    </row>
    <row r="115" spans="2:17" x14ac:dyDescent="0.25">
      <c r="B115" s="2095" t="s">
        <v>1370</v>
      </c>
      <c r="C115" s="2095"/>
      <c r="D115" s="2095"/>
      <c r="E115" s="2095"/>
      <c r="F115" s="2095"/>
      <c r="G115" s="2095"/>
      <c r="H115" s="2095"/>
      <c r="I115" s="2095"/>
      <c r="J115" s="2095"/>
      <c r="K115" s="2095"/>
      <c r="L115" s="2095"/>
      <c r="M115" s="2095"/>
      <c r="N115" s="2095"/>
      <c r="O115" s="2095"/>
      <c r="P115" s="2095"/>
      <c r="Q115" s="2095"/>
    </row>
    <row r="116" spans="2:17" x14ac:dyDescent="0.25">
      <c r="B116" s="2095"/>
      <c r="C116" s="2095"/>
      <c r="D116" s="2095"/>
      <c r="E116" s="2095"/>
      <c r="F116" s="2095"/>
      <c r="G116" s="2095"/>
      <c r="H116" s="2095"/>
      <c r="I116" s="2095"/>
      <c r="J116" s="2095"/>
      <c r="K116" s="2095"/>
      <c r="L116" s="2095"/>
      <c r="M116" s="2095"/>
      <c r="N116" s="2095"/>
      <c r="O116" s="2095"/>
      <c r="P116" s="2095"/>
      <c r="Q116" s="2095"/>
    </row>
    <row r="117" spans="2:17" x14ac:dyDescent="0.25">
      <c r="B117" s="558" t="s">
        <v>1371</v>
      </c>
    </row>
    <row r="118" spans="2:17" x14ac:dyDescent="0.25">
      <c r="B118" s="2095" t="s">
        <v>1372</v>
      </c>
      <c r="C118" s="2095"/>
      <c r="D118" s="2095"/>
      <c r="E118" s="2095"/>
      <c r="F118" s="2095"/>
      <c r="G118" s="2095"/>
      <c r="H118" s="2095"/>
      <c r="I118" s="2095"/>
      <c r="J118" s="2095"/>
      <c r="K118" s="2095"/>
      <c r="L118" s="2095"/>
      <c r="M118" s="2095"/>
      <c r="N118" s="2095"/>
      <c r="O118" s="2095"/>
      <c r="P118" s="2095"/>
      <c r="Q118" s="2095"/>
    </row>
    <row r="119" spans="2:17" x14ac:dyDescent="0.25">
      <c r="B119" s="2095"/>
      <c r="C119" s="2095"/>
      <c r="D119" s="2095"/>
      <c r="E119" s="2095"/>
      <c r="F119" s="2095"/>
      <c r="G119" s="2095"/>
      <c r="H119" s="2095"/>
      <c r="I119" s="2095"/>
      <c r="J119" s="2095"/>
      <c r="K119" s="2095"/>
      <c r="L119" s="2095"/>
      <c r="M119" s="2095"/>
      <c r="N119" s="2095"/>
      <c r="O119" s="2095"/>
      <c r="P119" s="2095"/>
      <c r="Q119" s="2095"/>
    </row>
    <row r="121" spans="2:17" x14ac:dyDescent="0.25">
      <c r="B121" s="862" t="s">
        <v>1379</v>
      </c>
    </row>
    <row r="122" spans="2:17" x14ac:dyDescent="0.25">
      <c r="B122" s="2095" t="s">
        <v>1382</v>
      </c>
      <c r="C122" s="2095"/>
      <c r="D122" s="2095"/>
      <c r="E122" s="2095"/>
      <c r="F122" s="2095"/>
      <c r="G122" s="2095"/>
      <c r="H122" s="2095"/>
      <c r="I122" s="2095"/>
      <c r="J122" s="2095"/>
      <c r="K122" s="2095"/>
      <c r="L122" s="2095"/>
    </row>
    <row r="123" spans="2:17" x14ac:dyDescent="0.25">
      <c r="B123" s="2095"/>
      <c r="C123" s="2095"/>
      <c r="D123" s="2095"/>
      <c r="E123" s="2095"/>
      <c r="F123" s="2095"/>
      <c r="G123" s="2095"/>
      <c r="H123" s="2095"/>
      <c r="I123" s="2095"/>
      <c r="J123" s="2095"/>
      <c r="K123" s="2095"/>
      <c r="L123" s="2095"/>
    </row>
    <row r="124" spans="2:17" x14ac:dyDescent="0.25">
      <c r="B124" s="2095" t="s">
        <v>1381</v>
      </c>
      <c r="C124" s="2095"/>
      <c r="D124" s="2095"/>
      <c r="E124" s="2095"/>
      <c r="F124" s="2095"/>
      <c r="G124" s="2095"/>
      <c r="H124" s="2095"/>
      <c r="I124" s="2095"/>
      <c r="J124" s="2095"/>
      <c r="K124" s="2095"/>
      <c r="L124" s="2095"/>
    </row>
    <row r="125" spans="2:17" x14ac:dyDescent="0.25">
      <c r="B125" s="2095"/>
      <c r="C125" s="2095"/>
      <c r="D125" s="2095"/>
      <c r="E125" s="2095"/>
      <c r="F125" s="2095"/>
      <c r="G125" s="2095"/>
      <c r="H125" s="2095"/>
      <c r="I125" s="2095"/>
      <c r="J125" s="2095"/>
      <c r="K125" s="2095"/>
      <c r="L125" s="2095"/>
    </row>
    <row r="127" spans="2:17" x14ac:dyDescent="0.25">
      <c r="B127" s="862" t="s">
        <v>1657</v>
      </c>
    </row>
    <row r="128" spans="2:17" x14ac:dyDescent="0.25">
      <c r="B128" s="1953" t="s">
        <v>1658</v>
      </c>
    </row>
    <row r="129" spans="2:15" x14ac:dyDescent="0.25">
      <c r="B129" s="1835" t="s">
        <v>1696</v>
      </c>
    </row>
    <row r="130" spans="2:15" x14ac:dyDescent="0.25">
      <c r="B130" s="1835" t="s">
        <v>1669</v>
      </c>
    </row>
    <row r="131" spans="2:15" x14ac:dyDescent="0.25">
      <c r="B131" s="867" t="s">
        <v>1659</v>
      </c>
      <c r="C131" s="1079"/>
      <c r="D131" s="1079"/>
      <c r="E131" s="1079"/>
      <c r="F131" s="1079"/>
      <c r="G131" s="1079"/>
      <c r="H131" s="1079"/>
      <c r="I131" s="1079"/>
      <c r="J131" s="1079"/>
      <c r="K131" s="1079"/>
      <c r="L131" s="1079"/>
      <c r="M131" s="1079"/>
      <c r="N131" s="1079"/>
      <c r="O131" s="1079"/>
    </row>
    <row r="132" spans="2:15" x14ac:dyDescent="0.25">
      <c r="B132" s="867" t="s">
        <v>1399</v>
      </c>
      <c r="C132" s="1079"/>
      <c r="D132" s="1079"/>
      <c r="E132" s="1079"/>
      <c r="F132" s="1079"/>
      <c r="G132" s="1079"/>
      <c r="H132" s="1079"/>
      <c r="I132" s="1079"/>
      <c r="J132" s="1079"/>
      <c r="K132" s="1079"/>
      <c r="L132" s="1079"/>
      <c r="M132" s="1079"/>
      <c r="N132" s="1079"/>
      <c r="O132" s="1079"/>
    </row>
    <row r="133" spans="2:15" x14ac:dyDescent="0.25">
      <c r="B133" s="558" t="s">
        <v>1660</v>
      </c>
    </row>
    <row r="134" spans="2:15" x14ac:dyDescent="0.25">
      <c r="B134" s="1079" t="s">
        <v>1661</v>
      </c>
    </row>
    <row r="135" spans="2:15" x14ac:dyDescent="0.25">
      <c r="B135" s="1079" t="s">
        <v>1664</v>
      </c>
    </row>
    <row r="136" spans="2:15" x14ac:dyDescent="0.25">
      <c r="B136" s="558" t="s">
        <v>1670</v>
      </c>
    </row>
    <row r="137" spans="2:15" x14ac:dyDescent="0.25">
      <c r="B137" s="558" t="s">
        <v>1672</v>
      </c>
    </row>
    <row r="138" spans="2:15" x14ac:dyDescent="0.25">
      <c r="B138" s="558" t="s">
        <v>1671</v>
      </c>
    </row>
    <row r="139" spans="2:15" x14ac:dyDescent="0.25">
      <c r="B139" s="558" t="s">
        <v>1673</v>
      </c>
    </row>
    <row r="140" spans="2:15" x14ac:dyDescent="0.25">
      <c r="B140" s="558" t="s">
        <v>1662</v>
      </c>
    </row>
    <row r="141" spans="2:15" x14ac:dyDescent="0.25">
      <c r="B141" s="558" t="s">
        <v>1663</v>
      </c>
    </row>
    <row r="143" spans="2:15" x14ac:dyDescent="0.25">
      <c r="B143" s="1835" t="s">
        <v>1676</v>
      </c>
    </row>
    <row r="144" spans="2:15" s="1472" customFormat="1" x14ac:dyDescent="0.25">
      <c r="B144" s="1835" t="s">
        <v>1683</v>
      </c>
    </row>
    <row r="145" spans="2:14" x14ac:dyDescent="0.25">
      <c r="B145" s="558" t="s">
        <v>1681</v>
      </c>
    </row>
    <row r="146" spans="2:14" x14ac:dyDescent="0.25">
      <c r="B146" s="558" t="s">
        <v>1682</v>
      </c>
    </row>
    <row r="147" spans="2:14" x14ac:dyDescent="0.25">
      <c r="B147" s="558" t="s">
        <v>1678</v>
      </c>
    </row>
    <row r="148" spans="2:14" x14ac:dyDescent="0.25">
      <c r="B148" s="558" t="s">
        <v>1679</v>
      </c>
    </row>
    <row r="150" spans="2:14" x14ac:dyDescent="0.25">
      <c r="B150" s="1835" t="s">
        <v>1685</v>
      </c>
    </row>
    <row r="151" spans="2:14" x14ac:dyDescent="0.25">
      <c r="B151" s="1835" t="s">
        <v>1695</v>
      </c>
    </row>
    <row r="152" spans="2:14" x14ac:dyDescent="0.25">
      <c r="B152" s="558" t="s">
        <v>1706</v>
      </c>
      <c r="C152" s="867"/>
    </row>
    <row r="153" spans="2:14" ht="18.75" x14ac:dyDescent="0.3">
      <c r="B153" s="1961" t="s">
        <v>1704</v>
      </c>
      <c r="C153" s="2"/>
      <c r="D153" s="2"/>
      <c r="E153" s="2"/>
      <c r="F153" s="2"/>
      <c r="G153" s="2"/>
      <c r="H153" s="2"/>
      <c r="I153" s="2"/>
      <c r="J153" s="2"/>
      <c r="K153" s="2"/>
      <c r="L153" s="2"/>
      <c r="M153" s="2"/>
      <c r="N153" s="2"/>
    </row>
    <row r="154" spans="2:14" x14ac:dyDescent="0.25">
      <c r="B154" s="558" t="s">
        <v>1705</v>
      </c>
    </row>
    <row r="155" spans="2:14" x14ac:dyDescent="0.25">
      <c r="B155" s="558" t="s">
        <v>1703</v>
      </c>
    </row>
    <row r="156" spans="2:14" x14ac:dyDescent="0.25">
      <c r="B156" s="558" t="s">
        <v>1686</v>
      </c>
    </row>
    <row r="157" spans="2:14" x14ac:dyDescent="0.25">
      <c r="B157" s="558" t="s">
        <v>1710</v>
      </c>
    </row>
    <row r="159" spans="2:14" x14ac:dyDescent="0.25">
      <c r="B159" s="1835" t="s">
        <v>1712</v>
      </c>
    </row>
    <row r="160" spans="2:14" x14ac:dyDescent="0.25">
      <c r="B160" s="558" t="s">
        <v>1713</v>
      </c>
    </row>
    <row r="162" spans="2:2" x14ac:dyDescent="0.25">
      <c r="B162" s="1835" t="s">
        <v>1715</v>
      </c>
    </row>
    <row r="163" spans="2:2" x14ac:dyDescent="0.25">
      <c r="B163" s="558" t="s">
        <v>1716</v>
      </c>
    </row>
    <row r="164" spans="2:2" x14ac:dyDescent="0.25">
      <c r="B164" s="558" t="s">
        <v>1717</v>
      </c>
    </row>
  </sheetData>
  <sheetProtection algorithmName="SHA-512" hashValue="9KrIJdeUbHjkx7pwrQ0DZAtQ7iQhMDUByhHoKtet3JOv5psldP7n7ZKrzXBMgGfRSCh6cPpUnccnkc6ro97TGw==" saltValue="LaM+5jSwuzMTTiGnLbaqIQ==" spinCount="100000" sheet="1" objects="1" scenarios="1"/>
  <mergeCells count="23">
    <mergeCell ref="B84:R86"/>
    <mergeCell ref="B54:R55"/>
    <mergeCell ref="C2:R4"/>
    <mergeCell ref="G6:K6"/>
    <mergeCell ref="B13:R14"/>
    <mergeCell ref="B18:R20"/>
    <mergeCell ref="B9:R11"/>
    <mergeCell ref="B124:L125"/>
    <mergeCell ref="B122:L123"/>
    <mergeCell ref="B24:R30"/>
    <mergeCell ref="B42:R46"/>
    <mergeCell ref="B40:R40"/>
    <mergeCell ref="B48:R50"/>
    <mergeCell ref="B52:R52"/>
    <mergeCell ref="B115:Q116"/>
    <mergeCell ref="B118:Q119"/>
    <mergeCell ref="B100:R105"/>
    <mergeCell ref="B37:R38"/>
    <mergeCell ref="B90:R92"/>
    <mergeCell ref="B95:R96"/>
    <mergeCell ref="B98:R99"/>
    <mergeCell ref="B56:R66"/>
    <mergeCell ref="B69:R77"/>
  </mergeCells>
  <hyperlinks>
    <hyperlink ref="B15" r:id="rId1" xr:uid="{00000000-0004-0000-0000-000000000000}"/>
    <hyperlink ref="B153:N153" r:id="rId2" display=" https://www.fil-idf.org/wp-content/uploads/2016/09/Bulletin479-2015_A-common-carbon-footprint-approach-for-the-dairy-sector.CAT.pdf"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R649"/>
  <sheetViews>
    <sheetView zoomScale="80" zoomScaleNormal="80" workbookViewId="0"/>
  </sheetViews>
  <sheetFormatPr defaultColWidth="9.140625" defaultRowHeight="15" x14ac:dyDescent="0.25"/>
  <cols>
    <col min="1" max="1" width="3.28515625" style="559" customWidth="1"/>
    <col min="2" max="2" width="43.28515625" style="559" customWidth="1"/>
    <col min="3" max="3" width="40.7109375" style="559" customWidth="1"/>
    <col min="4" max="9" width="19.7109375" style="559" customWidth="1"/>
    <col min="10" max="10" width="16.28515625" style="559" customWidth="1"/>
    <col min="11" max="11" width="26.28515625" style="559" customWidth="1"/>
    <col min="12" max="12" width="34.7109375" style="559" customWidth="1"/>
    <col min="13" max="13" width="14" style="559" bestFit="1" customWidth="1"/>
    <col min="14" max="14" width="14.28515625" style="559" bestFit="1" customWidth="1"/>
    <col min="15" max="15" width="10.42578125" style="559" bestFit="1" customWidth="1"/>
    <col min="16" max="16" width="11.140625" style="559" bestFit="1" customWidth="1"/>
    <col min="17" max="17" width="10.85546875" style="559" bestFit="1" customWidth="1"/>
    <col min="18" max="18" width="11.7109375" style="559" bestFit="1" customWidth="1"/>
    <col min="19" max="19" width="41.28515625" style="559" bestFit="1" customWidth="1"/>
    <col min="20" max="20" width="32.140625" style="559" bestFit="1" customWidth="1"/>
    <col min="21" max="21" width="10.7109375" style="559" bestFit="1" customWidth="1"/>
    <col min="22" max="22" width="13.5703125" style="559" bestFit="1" customWidth="1"/>
    <col min="23" max="23" width="9.140625" style="559"/>
    <col min="24" max="24" width="10.7109375" style="559" customWidth="1"/>
    <col min="25" max="25" width="9.28515625" style="559" bestFit="1" customWidth="1"/>
    <col min="26" max="26" width="22.5703125" style="559" bestFit="1" customWidth="1"/>
    <col min="27" max="28" width="9.140625" style="559"/>
    <col min="29" max="29" width="10.28515625" style="559" bestFit="1" customWidth="1"/>
    <col min="30" max="30" width="12.28515625" style="559" customWidth="1"/>
    <col min="31" max="31" width="9.140625" style="559"/>
    <col min="32" max="32" width="9.28515625" style="559" bestFit="1" customWidth="1"/>
    <col min="33" max="33" width="9.42578125" style="559" bestFit="1" customWidth="1"/>
    <col min="34" max="34" width="20.5703125" style="559" bestFit="1" customWidth="1"/>
    <col min="35" max="35" width="22.42578125" style="559" customWidth="1"/>
    <col min="36" max="36" width="10.5703125" style="559" bestFit="1" customWidth="1"/>
    <col min="37" max="39" width="9.28515625" style="559" bestFit="1" customWidth="1"/>
    <col min="40" max="41" width="9.140625" style="559"/>
    <col min="42" max="42" width="31.28515625" style="559" customWidth="1"/>
    <col min="43" max="43" width="9.140625" style="559"/>
    <col min="44" max="44" width="49.42578125" style="559" bestFit="1" customWidth="1"/>
    <col min="45" max="45" width="9.140625" style="559"/>
    <col min="46" max="46" width="37.7109375" style="559" bestFit="1" customWidth="1"/>
    <col min="47" max="47" width="9.28515625" style="559" bestFit="1" customWidth="1"/>
    <col min="48" max="48" width="37.7109375" style="559" bestFit="1" customWidth="1"/>
    <col min="49" max="49" width="9.28515625" style="559" bestFit="1" customWidth="1"/>
    <col min="50" max="50" width="37.7109375" style="559" bestFit="1" customWidth="1"/>
    <col min="51" max="52" width="9.28515625" style="559" bestFit="1" customWidth="1"/>
    <col min="53" max="53" width="10.5703125" style="559" customWidth="1"/>
    <col min="54" max="55" width="10.7109375" style="559" bestFit="1" customWidth="1"/>
    <col min="56" max="57" width="10.5703125" style="559" bestFit="1" customWidth="1"/>
    <col min="58" max="16384" width="9.140625" style="559"/>
  </cols>
  <sheetData>
    <row r="1" spans="2:11" ht="19.899999999999999" customHeight="1" x14ac:dyDescent="0.25"/>
    <row r="2" spans="2:11" ht="19.899999999999999" customHeight="1" x14ac:dyDescent="0.25">
      <c r="B2" s="2197" t="s">
        <v>1075</v>
      </c>
      <c r="C2" s="2197"/>
      <c r="D2" s="2197"/>
      <c r="E2" s="2197"/>
      <c r="F2" s="2197"/>
      <c r="G2" s="2197"/>
      <c r="H2" s="2197"/>
      <c r="I2" s="2197"/>
    </row>
    <row r="3" spans="2:11" ht="19.899999999999999" customHeight="1" x14ac:dyDescent="0.25">
      <c r="B3" s="2197"/>
      <c r="C3" s="2197"/>
      <c r="D3" s="2197"/>
      <c r="E3" s="2197"/>
      <c r="F3" s="2197"/>
      <c r="G3" s="2197"/>
      <c r="H3" s="2197"/>
      <c r="I3" s="2197"/>
    </row>
    <row r="4" spans="2:11" s="811" customFormat="1" ht="57" customHeight="1" x14ac:dyDescent="0.3">
      <c r="B4" s="2198" t="s">
        <v>1699</v>
      </c>
      <c r="C4" s="2198"/>
      <c r="D4" s="2198"/>
      <c r="E4" s="2198"/>
      <c r="F4" s="2198"/>
      <c r="G4" s="2198"/>
      <c r="H4" s="2198"/>
      <c r="I4" s="2198"/>
    </row>
    <row r="5" spans="2:11" ht="48" customHeight="1" x14ac:dyDescent="0.3">
      <c r="B5" s="2199" t="s">
        <v>1395</v>
      </c>
      <c r="C5" s="2199"/>
      <c r="D5" s="2199"/>
      <c r="E5" s="2199"/>
      <c r="F5" s="2199"/>
      <c r="G5" s="2199"/>
      <c r="H5" s="2199"/>
      <c r="I5" s="2199"/>
    </row>
    <row r="6" spans="2:11" ht="93" customHeight="1" x14ac:dyDescent="0.3">
      <c r="B6" s="2199" t="s">
        <v>1398</v>
      </c>
      <c r="C6" s="2200"/>
      <c r="D6" s="2200"/>
      <c r="E6" s="2200"/>
      <c r="F6" s="2200"/>
      <c r="G6" s="2200"/>
      <c r="H6" s="2200"/>
      <c r="I6" s="2200"/>
    </row>
    <row r="7" spans="2:11" ht="48" customHeight="1" x14ac:dyDescent="0.3">
      <c r="B7" s="2199" t="s">
        <v>1397</v>
      </c>
      <c r="C7" s="2199"/>
      <c r="D7" s="2199"/>
      <c r="E7" s="2199"/>
      <c r="F7" s="2199"/>
      <c r="G7" s="2199"/>
      <c r="H7" s="2199"/>
      <c r="I7" s="2199"/>
    </row>
    <row r="8" spans="2:11" ht="51" customHeight="1" x14ac:dyDescent="0.3">
      <c r="B8" s="2199" t="s">
        <v>1396</v>
      </c>
      <c r="C8" s="2199"/>
      <c r="D8" s="2199"/>
      <c r="E8" s="2199"/>
      <c r="F8" s="2199"/>
      <c r="G8" s="2199"/>
      <c r="H8" s="2199"/>
      <c r="I8" s="2199"/>
    </row>
    <row r="9" spans="2:11" ht="23.45" customHeight="1" x14ac:dyDescent="0.25"/>
    <row r="10" spans="2:11" ht="18.75" x14ac:dyDescent="0.3">
      <c r="B10" s="812"/>
      <c r="C10" s="563"/>
      <c r="D10" s="563"/>
      <c r="E10" s="813"/>
      <c r="F10" s="563"/>
      <c r="G10" s="585"/>
      <c r="H10" s="563"/>
      <c r="I10" s="814"/>
      <c r="J10" s="5"/>
      <c r="K10" s="5"/>
    </row>
    <row r="11" spans="2:11" ht="18.75" x14ac:dyDescent="0.3">
      <c r="B11" s="815" t="s">
        <v>912</v>
      </c>
      <c r="C11" s="603" t="s">
        <v>1074</v>
      </c>
      <c r="D11" s="2128">
        <f>'Baseline farm'!D10:F10</f>
        <v>0</v>
      </c>
      <c r="E11" s="2128"/>
      <c r="F11" s="2128"/>
      <c r="G11" s="598" t="s">
        <v>913</v>
      </c>
      <c r="H11" s="1038">
        <f>'Baseline farm'!H10</f>
        <v>0</v>
      </c>
      <c r="I11" s="816"/>
      <c r="J11" s="5"/>
      <c r="K11" s="5"/>
    </row>
    <row r="12" spans="2:11" ht="18.75" x14ac:dyDescent="0.3">
      <c r="B12" s="815"/>
      <c r="C12" s="562"/>
      <c r="D12" s="562"/>
      <c r="E12" s="817"/>
      <c r="F12" s="562"/>
      <c r="G12" s="665"/>
      <c r="H12" s="562"/>
      <c r="I12" s="816"/>
      <c r="J12" s="5"/>
      <c r="K12" s="5"/>
    </row>
    <row r="13" spans="2:11" ht="18.75" x14ac:dyDescent="0.3">
      <c r="B13" s="815"/>
      <c r="C13" s="803" t="s">
        <v>914</v>
      </c>
      <c r="D13" s="2128">
        <f>'Baseline farm'!D12:F12</f>
        <v>0</v>
      </c>
      <c r="E13" s="2128"/>
      <c r="F13" s="2128"/>
      <c r="G13" s="598" t="s">
        <v>1006</v>
      </c>
      <c r="H13" s="1038">
        <f>'Baseline farm'!H12</f>
        <v>0</v>
      </c>
      <c r="I13" s="818"/>
      <c r="J13" s="5"/>
      <c r="K13" s="5"/>
    </row>
    <row r="14" spans="2:11" ht="18.75" x14ac:dyDescent="0.3">
      <c r="B14" s="815"/>
      <c r="C14" s="562"/>
      <c r="D14" s="562"/>
      <c r="E14" s="817"/>
      <c r="F14" s="562"/>
      <c r="G14" s="817"/>
      <c r="H14" s="817"/>
      <c r="I14" s="818"/>
      <c r="J14" s="5"/>
      <c r="K14" s="5"/>
    </row>
    <row r="15" spans="2:11" ht="15.75" x14ac:dyDescent="0.25">
      <c r="B15" s="819"/>
      <c r="C15" s="487" t="s">
        <v>915</v>
      </c>
      <c r="D15" s="1038">
        <f>'Baseline farm'!D14</f>
        <v>0</v>
      </c>
      <c r="E15" s="573"/>
      <c r="F15" s="2125" t="s">
        <v>963</v>
      </c>
      <c r="G15" s="2125"/>
      <c r="H15" s="843">
        <f>'Baseline farm'!H14</f>
        <v>0</v>
      </c>
      <c r="I15" s="820"/>
      <c r="J15" s="5"/>
      <c r="K15" s="5"/>
    </row>
    <row r="16" spans="2:11" ht="18.75" x14ac:dyDescent="0.3">
      <c r="B16" s="821"/>
      <c r="C16" s="365"/>
      <c r="D16" s="365"/>
      <c r="E16" s="365"/>
      <c r="F16" s="365"/>
      <c r="G16" s="365"/>
      <c r="H16" s="365"/>
      <c r="I16" s="822"/>
      <c r="J16" s="5"/>
      <c r="K16" s="5"/>
    </row>
    <row r="17" spans="2:33" ht="15.75" x14ac:dyDescent="0.25">
      <c r="B17" s="565"/>
      <c r="C17" s="563"/>
      <c r="D17" s="571" t="s">
        <v>249</v>
      </c>
      <c r="E17" s="571" t="s">
        <v>250</v>
      </c>
      <c r="F17" s="571" t="s">
        <v>251</v>
      </c>
      <c r="G17" s="571" t="s">
        <v>1129</v>
      </c>
      <c r="H17" s="571" t="s">
        <v>1128</v>
      </c>
      <c r="I17" s="581"/>
      <c r="J17" s="5"/>
      <c r="K17" s="5"/>
    </row>
    <row r="18" spans="2:33" ht="15.75" x14ac:dyDescent="0.25">
      <c r="B18" s="796" t="s">
        <v>254</v>
      </c>
      <c r="C18" s="562"/>
      <c r="D18" s="1041">
        <f>'Baseline farm'!D17</f>
        <v>0</v>
      </c>
      <c r="E18" s="1041">
        <f>'Baseline farm'!E17</f>
        <v>0</v>
      </c>
      <c r="F18" s="1041">
        <f>'Baseline farm'!F17</f>
        <v>0</v>
      </c>
      <c r="G18" s="1041">
        <f>'Baseline farm'!G17</f>
        <v>0</v>
      </c>
      <c r="H18" s="2089">
        <f>'Baseline farm'!H17</f>
        <v>0</v>
      </c>
      <c r="I18" s="1002" t="s">
        <v>255</v>
      </c>
      <c r="J18" s="5"/>
      <c r="K18" s="5"/>
    </row>
    <row r="19" spans="2:33" ht="15.75" x14ac:dyDescent="0.25">
      <c r="B19" s="796"/>
      <c r="C19" s="562"/>
      <c r="D19" s="663"/>
      <c r="E19" s="663"/>
      <c r="F19" s="663"/>
      <c r="G19" s="663"/>
      <c r="H19" s="663"/>
      <c r="I19" s="1002"/>
      <c r="J19" s="5"/>
      <c r="K19" s="5"/>
    </row>
    <row r="20" spans="2:33" ht="15.75" x14ac:dyDescent="0.25">
      <c r="B20" s="796" t="s">
        <v>256</v>
      </c>
      <c r="C20" s="562"/>
      <c r="D20" s="1041">
        <f>'Baseline farm'!D19</f>
        <v>0</v>
      </c>
      <c r="E20" s="1041">
        <f>'Baseline farm'!E19</f>
        <v>0</v>
      </c>
      <c r="F20" s="1041">
        <f>'Baseline farm'!F19</f>
        <v>0</v>
      </c>
      <c r="G20" s="1041">
        <f>'Baseline farm'!G19</f>
        <v>0</v>
      </c>
      <c r="H20" s="1041">
        <f>'Baseline farm'!H19</f>
        <v>0</v>
      </c>
      <c r="I20" s="1002" t="s">
        <v>257</v>
      </c>
      <c r="J20" s="5"/>
      <c r="K20" s="5"/>
    </row>
    <row r="21" spans="2:33" ht="15.75" x14ac:dyDescent="0.25">
      <c r="B21" s="796"/>
      <c r="C21" s="562"/>
      <c r="D21" s="663"/>
      <c r="E21" s="663"/>
      <c r="F21" s="663"/>
      <c r="G21" s="663"/>
      <c r="H21" s="663"/>
      <c r="I21" s="1002"/>
      <c r="J21" s="5"/>
      <c r="K21" s="5"/>
    </row>
    <row r="22" spans="2:33" ht="15.75" x14ac:dyDescent="0.25">
      <c r="B22" s="796" t="s">
        <v>895</v>
      </c>
      <c r="C22" s="562"/>
      <c r="D22" s="668"/>
      <c r="E22" s="1041">
        <f>'Baseline farm'!E21</f>
        <v>0</v>
      </c>
      <c r="F22" s="1041">
        <f>'Baseline farm'!F21</f>
        <v>0</v>
      </c>
      <c r="G22" s="663"/>
      <c r="H22" s="1041">
        <f>'Baseline farm'!H21</f>
        <v>0</v>
      </c>
      <c r="I22" s="1002" t="s">
        <v>258</v>
      </c>
      <c r="J22" s="5"/>
      <c r="K22" s="5"/>
    </row>
    <row r="23" spans="2:33" ht="15.75" x14ac:dyDescent="0.25">
      <c r="B23" s="797"/>
      <c r="C23" s="363"/>
      <c r="D23" s="810"/>
      <c r="E23" s="664"/>
      <c r="F23" s="664"/>
      <c r="G23" s="664"/>
      <c r="H23" s="664"/>
      <c r="I23" s="364"/>
      <c r="J23" s="5"/>
      <c r="K23" s="5"/>
    </row>
    <row r="24" spans="2:33" ht="15.75" x14ac:dyDescent="0.25">
      <c r="B24" s="873" t="s">
        <v>820</v>
      </c>
      <c r="C24" s="813"/>
      <c r="D24" s="813"/>
      <c r="E24" s="813"/>
      <c r="F24" s="813"/>
      <c r="G24" s="813"/>
      <c r="H24" s="813"/>
      <c r="I24" s="362"/>
      <c r="J24" s="5"/>
      <c r="K24" s="5"/>
    </row>
    <row r="25" spans="2:33" ht="15.75" x14ac:dyDescent="0.25">
      <c r="B25" s="874"/>
      <c r="C25" s="562" t="s">
        <v>1111</v>
      </c>
      <c r="D25" s="2128">
        <f>'Baseline farm'!D24:E24</f>
        <v>0</v>
      </c>
      <c r="E25" s="2128"/>
      <c r="F25" s="2159" t="s">
        <v>1304</v>
      </c>
      <c r="G25" s="2159"/>
      <c r="H25" s="1043">
        <f>'Baseline farm'!H24</f>
        <v>0</v>
      </c>
      <c r="I25" s="1002" t="str">
        <f>IF(S238="1","litres of milk","kg milksolids")</f>
        <v>kg milksolids</v>
      </c>
      <c r="J25" s="5"/>
      <c r="K25" s="5"/>
    </row>
    <row r="26" spans="2:33" ht="15.75" x14ac:dyDescent="0.25">
      <c r="B26" s="874"/>
      <c r="C26" s="562"/>
      <c r="D26" s="511"/>
      <c r="E26" s="508"/>
      <c r="F26" s="508"/>
      <c r="G26" s="509"/>
      <c r="H26" s="667"/>
      <c r="I26" s="364"/>
      <c r="J26" s="5"/>
      <c r="K26" s="5"/>
    </row>
    <row r="27" spans="2:33" ht="15.75" x14ac:dyDescent="0.25">
      <c r="B27" s="874"/>
      <c r="C27" s="562" t="s">
        <v>1377</v>
      </c>
      <c r="D27" s="1040">
        <f>'Baseline farm'!D26</f>
        <v>0</v>
      </c>
      <c r="E27" s="508" t="s">
        <v>259</v>
      </c>
      <c r="F27" s="2160" t="s">
        <v>1378</v>
      </c>
      <c r="G27" s="2160"/>
      <c r="H27" s="1040">
        <f>'Baseline farm'!H26</f>
        <v>0</v>
      </c>
      <c r="I27" s="1002" t="s">
        <v>259</v>
      </c>
      <c r="J27" s="5"/>
      <c r="K27" s="5"/>
      <c r="Z27" s="56"/>
      <c r="AA27" s="56"/>
      <c r="AB27" s="56"/>
      <c r="AC27" s="56"/>
      <c r="AD27" s="56"/>
      <c r="AE27" s="56"/>
      <c r="AF27" s="56"/>
      <c r="AG27" s="56"/>
    </row>
    <row r="28" spans="2:33" ht="15.75" x14ac:dyDescent="0.25">
      <c r="B28" s="660"/>
      <c r="C28" s="562"/>
      <c r="D28" s="511"/>
      <c r="E28" s="509"/>
      <c r="F28" s="663"/>
      <c r="G28" s="663"/>
      <c r="H28" s="509"/>
      <c r="I28" s="364"/>
      <c r="J28" s="5"/>
      <c r="K28" s="5"/>
      <c r="Z28" s="56"/>
      <c r="AA28" s="56"/>
      <c r="AB28" s="56"/>
      <c r="AC28" s="56"/>
      <c r="AD28" s="56"/>
      <c r="AE28" s="56"/>
      <c r="AF28" s="56"/>
      <c r="AG28" s="56"/>
    </row>
    <row r="29" spans="2:33" ht="15.75" x14ac:dyDescent="0.25">
      <c r="B29" s="660"/>
      <c r="C29" s="562" t="s">
        <v>515</v>
      </c>
      <c r="D29" s="624">
        <f>'Baseline farm'!D28</f>
        <v>0</v>
      </c>
      <c r="E29" s="509" t="s">
        <v>1308</v>
      </c>
      <c r="F29" s="2161" t="s">
        <v>829</v>
      </c>
      <c r="G29" s="2161"/>
      <c r="H29" s="2020" t="e">
        <f>P234</f>
        <v>#DIV/0!</v>
      </c>
      <c r="I29" s="364"/>
      <c r="J29" s="5"/>
      <c r="K29" s="5"/>
      <c r="Z29" s="56"/>
      <c r="AA29" s="56"/>
      <c r="AB29" s="56"/>
      <c r="AC29" s="56"/>
      <c r="AD29" s="56"/>
      <c r="AE29" s="56"/>
      <c r="AF29" s="56"/>
      <c r="AG29" s="56"/>
    </row>
    <row r="30" spans="2:33" ht="15.75" x14ac:dyDescent="0.25">
      <c r="B30" s="661" t="s">
        <v>1135</v>
      </c>
      <c r="C30" s="563"/>
      <c r="D30" s="2162" t="s">
        <v>899</v>
      </c>
      <c r="E30" s="2162"/>
      <c r="F30" s="2163" t="s">
        <v>949</v>
      </c>
      <c r="G30" s="2163"/>
      <c r="H30" s="2163" t="s">
        <v>950</v>
      </c>
      <c r="I30" s="2164"/>
      <c r="J30" s="5"/>
      <c r="K30" s="5"/>
    </row>
    <row r="31" spans="2:33" ht="15.75" x14ac:dyDescent="0.25">
      <c r="B31" s="662"/>
      <c r="C31" s="562" t="s">
        <v>900</v>
      </c>
      <c r="D31" s="2121">
        <f>'Baseline farm'!D30</f>
        <v>0</v>
      </c>
      <c r="E31" s="2121"/>
      <c r="F31" s="2121">
        <f>'Baseline farm'!F30</f>
        <v>0</v>
      </c>
      <c r="G31" s="2121"/>
      <c r="H31" s="2121">
        <f>'Baseline farm'!H30</f>
        <v>0</v>
      </c>
      <c r="I31" s="2122"/>
      <c r="J31" s="5"/>
      <c r="K31" s="5"/>
    </row>
    <row r="32" spans="2:33" ht="15.75" x14ac:dyDescent="0.25">
      <c r="B32" s="801" t="s">
        <v>1072</v>
      </c>
      <c r="C32" s="562" t="s">
        <v>901</v>
      </c>
      <c r="D32" s="2121">
        <f>'Baseline farm'!D31</f>
        <v>0</v>
      </c>
      <c r="E32" s="2121"/>
      <c r="F32" s="2121">
        <f>'Baseline farm'!F31</f>
        <v>0</v>
      </c>
      <c r="G32" s="2121"/>
      <c r="H32" s="2121">
        <f>'Baseline farm'!H31</f>
        <v>0</v>
      </c>
      <c r="I32" s="2122"/>
      <c r="J32" s="5"/>
      <c r="K32" s="5"/>
    </row>
    <row r="33" spans="2:33" ht="15.75" x14ac:dyDescent="0.25">
      <c r="B33" s="801" t="s">
        <v>1073</v>
      </c>
      <c r="C33" s="562" t="s">
        <v>902</v>
      </c>
      <c r="D33" s="2121">
        <f>'Baseline farm'!D32</f>
        <v>0</v>
      </c>
      <c r="E33" s="2121"/>
      <c r="F33" s="2121">
        <f>'Baseline farm'!F32</f>
        <v>0</v>
      </c>
      <c r="G33" s="2121"/>
      <c r="H33" s="2121">
        <f>'Baseline farm'!H32</f>
        <v>0</v>
      </c>
      <c r="I33" s="2122"/>
      <c r="J33" s="5"/>
      <c r="K33" s="5"/>
    </row>
    <row r="34" spans="2:33" ht="15.75" x14ac:dyDescent="0.25">
      <c r="B34" s="572" t="e">
        <f>P238 &amp;" kg DM/cow.day"</f>
        <v>#DIV/0!</v>
      </c>
      <c r="C34" s="562" t="s">
        <v>903</v>
      </c>
      <c r="D34" s="2121">
        <f>'Baseline farm'!D33</f>
        <v>0</v>
      </c>
      <c r="E34" s="2121"/>
      <c r="F34" s="2121">
        <f>'Baseline farm'!F33</f>
        <v>0</v>
      </c>
      <c r="G34" s="2121"/>
      <c r="H34" s="2121">
        <f>'Baseline farm'!H33</f>
        <v>0</v>
      </c>
      <c r="I34" s="2122"/>
      <c r="J34" s="5"/>
      <c r="K34" s="5"/>
    </row>
    <row r="35" spans="2:33" ht="15.75" x14ac:dyDescent="0.25">
      <c r="B35" s="662"/>
      <c r="C35" s="562" t="s">
        <v>904</v>
      </c>
      <c r="D35" s="2121">
        <f>'Baseline farm'!D34</f>
        <v>0</v>
      </c>
      <c r="E35" s="2121"/>
      <c r="F35" s="2121">
        <f>'Baseline farm'!F34</f>
        <v>0</v>
      </c>
      <c r="G35" s="2121"/>
      <c r="H35" s="2121">
        <f>'Baseline farm'!H34</f>
        <v>0</v>
      </c>
      <c r="I35" s="2122"/>
      <c r="J35" s="5"/>
      <c r="K35" s="5"/>
    </row>
    <row r="36" spans="2:33" ht="15.75" x14ac:dyDescent="0.25">
      <c r="B36" s="2201" t="s">
        <v>1351</v>
      </c>
      <c r="C36" s="562" t="s">
        <v>905</v>
      </c>
      <c r="D36" s="2121">
        <f>'Baseline farm'!D35</f>
        <v>0</v>
      </c>
      <c r="E36" s="2121"/>
      <c r="F36" s="2121">
        <f>'Baseline farm'!F35</f>
        <v>0</v>
      </c>
      <c r="G36" s="2121"/>
      <c r="H36" s="2121">
        <f>'Baseline farm'!H35</f>
        <v>0</v>
      </c>
      <c r="I36" s="2122"/>
      <c r="J36" s="5"/>
      <c r="K36" s="5"/>
    </row>
    <row r="37" spans="2:33" ht="15.75" x14ac:dyDescent="0.25">
      <c r="B37" s="2202"/>
      <c r="C37" s="557" t="s">
        <v>908</v>
      </c>
      <c r="D37" s="2115">
        <f>SUM(D31:E36)</f>
        <v>0</v>
      </c>
      <c r="E37" s="2115"/>
      <c r="F37" s="2115" t="e">
        <f>P236</f>
        <v>#DIV/0!</v>
      </c>
      <c r="G37" s="2115"/>
      <c r="H37" s="2115" t="e">
        <f>P237</f>
        <v>#DIV/0!</v>
      </c>
      <c r="I37" s="2116"/>
      <c r="J37" s="5"/>
      <c r="K37" s="5"/>
    </row>
    <row r="38" spans="2:33" ht="15.75" x14ac:dyDescent="0.25">
      <c r="B38" s="823"/>
      <c r="C38" s="813"/>
      <c r="D38" s="813"/>
      <c r="E38" s="1004"/>
      <c r="F38" s="2195"/>
      <c r="G38" s="2195"/>
      <c r="H38" s="2195"/>
      <c r="I38" s="362"/>
      <c r="J38" s="5"/>
      <c r="K38" s="5"/>
    </row>
    <row r="39" spans="2:33" ht="15.75" x14ac:dyDescent="0.25">
      <c r="B39" s="1808" t="s">
        <v>1136</v>
      </c>
      <c r="C39" s="808"/>
      <c r="D39" s="1040">
        <f>'Baseline farm'!D38</f>
        <v>0</v>
      </c>
      <c r="E39" s="930" t="s">
        <v>259</v>
      </c>
      <c r="F39" s="2196"/>
      <c r="G39" s="2196"/>
      <c r="H39" s="2196"/>
      <c r="I39" s="364"/>
      <c r="J39" s="5"/>
      <c r="K39" s="5"/>
    </row>
    <row r="40" spans="2:33" ht="15.75" x14ac:dyDescent="0.25">
      <c r="B40" s="1808" t="s">
        <v>1137</v>
      </c>
      <c r="C40" s="808"/>
      <c r="D40" s="1040">
        <f>'Baseline farm'!D39</f>
        <v>0</v>
      </c>
      <c r="E40" s="930" t="s">
        <v>259</v>
      </c>
      <c r="F40" s="2196"/>
      <c r="G40" s="2196"/>
      <c r="H40" s="2196"/>
      <c r="I40" s="364"/>
      <c r="J40" s="5"/>
      <c r="K40" s="5"/>
    </row>
    <row r="41" spans="2:33" ht="15.75" x14ac:dyDescent="0.25">
      <c r="B41" s="797"/>
      <c r="C41" s="802"/>
      <c r="D41" s="824"/>
      <c r="E41" s="824"/>
      <c r="F41" s="2115"/>
      <c r="G41" s="2115"/>
      <c r="H41" s="2115"/>
      <c r="I41" s="364"/>
      <c r="J41" s="5"/>
      <c r="K41" s="5"/>
    </row>
    <row r="42" spans="2:33" ht="15.6" customHeight="1" x14ac:dyDescent="0.25">
      <c r="B42" s="560" t="s">
        <v>921</v>
      </c>
      <c r="C42" s="2166"/>
      <c r="D42" s="2166"/>
      <c r="E42" s="561"/>
      <c r="F42" s="564"/>
      <c r="G42" s="2166"/>
      <c r="H42" s="2166"/>
      <c r="I42" s="2167"/>
      <c r="J42" s="5"/>
      <c r="K42" s="5"/>
      <c r="L42" s="568"/>
      <c r="Z42" s="56"/>
      <c r="AA42" s="56"/>
      <c r="AB42" s="56"/>
      <c r="AC42" s="56"/>
      <c r="AD42" s="56"/>
      <c r="AE42" s="56"/>
      <c r="AF42" s="56"/>
      <c r="AG42" s="56"/>
    </row>
    <row r="43" spans="2:33" ht="15.75" x14ac:dyDescent="0.25">
      <c r="B43" s="604"/>
      <c r="C43" s="562" t="s">
        <v>922</v>
      </c>
      <c r="D43" s="513"/>
      <c r="E43" s="2128">
        <f>'Baseline farm'!E42</f>
        <v>0</v>
      </c>
      <c r="F43" s="2128"/>
      <c r="G43" s="489"/>
      <c r="H43" s="2171" t="s">
        <v>1254</v>
      </c>
      <c r="I43" s="2171"/>
      <c r="J43" s="5"/>
      <c r="K43" s="5"/>
      <c r="L43" s="568"/>
      <c r="Z43" s="56"/>
      <c r="AA43" s="56"/>
      <c r="AB43" s="56"/>
      <c r="AC43" s="56"/>
      <c r="AD43" s="56"/>
      <c r="AE43" s="56"/>
      <c r="AF43" s="56"/>
      <c r="AG43" s="56"/>
    </row>
    <row r="44" spans="2:33" ht="15.75" x14ac:dyDescent="0.25">
      <c r="B44" s="604"/>
      <c r="C44" s="562"/>
      <c r="D44" s="513"/>
      <c r="E44" s="589"/>
      <c r="F44" s="589"/>
      <c r="G44" s="489"/>
      <c r="H44" s="2171"/>
      <c r="I44" s="2171"/>
      <c r="J44" s="5"/>
      <c r="K44" s="5"/>
      <c r="L44" s="999"/>
      <c r="Z44" s="56"/>
      <c r="AA44" s="56"/>
      <c r="AB44" s="56"/>
      <c r="AC44" s="56"/>
      <c r="AD44" s="56"/>
      <c r="AE44" s="56"/>
      <c r="AF44" s="56"/>
      <c r="AG44" s="56"/>
    </row>
    <row r="45" spans="2:33" ht="15.75" x14ac:dyDescent="0.25">
      <c r="B45" s="604"/>
      <c r="C45" s="574" t="s">
        <v>1221</v>
      </c>
      <c r="D45" s="513"/>
      <c r="E45" s="513"/>
      <c r="F45" s="513"/>
      <c r="G45" s="962" t="s">
        <v>1223</v>
      </c>
      <c r="H45" s="964"/>
      <c r="I45" s="514"/>
      <c r="J45" s="5"/>
      <c r="K45" s="5"/>
      <c r="L45" s="568"/>
      <c r="Z45" s="56"/>
      <c r="AA45" s="56"/>
      <c r="AB45" s="56"/>
      <c r="AC45" s="56"/>
      <c r="AD45" s="56"/>
      <c r="AE45" s="56"/>
      <c r="AF45" s="56"/>
      <c r="AG45" s="56"/>
    </row>
    <row r="46" spans="2:33" ht="15.75" x14ac:dyDescent="0.25">
      <c r="B46" s="569" t="s">
        <v>1123</v>
      </c>
      <c r="C46" s="1042">
        <f>'Baseline farm'!C45</f>
        <v>0</v>
      </c>
      <c r="D46" s="562" t="s">
        <v>261</v>
      </c>
      <c r="E46" s="890" t="s">
        <v>1130</v>
      </c>
      <c r="F46" s="513"/>
      <c r="G46" s="1039">
        <f>'Baseline farm'!G45</f>
        <v>0</v>
      </c>
      <c r="H46" s="883" t="str">
        <f>'Baseline farm'!H45</f>
        <v>t per annum</v>
      </c>
      <c r="I46" s="364"/>
      <c r="J46" s="5"/>
      <c r="K46" s="5"/>
      <c r="L46" s="568"/>
      <c r="Z46" s="56"/>
      <c r="AA46" s="56"/>
      <c r="AB46" s="56"/>
      <c r="AC46" s="56"/>
      <c r="AD46" s="56"/>
      <c r="AE46" s="56"/>
      <c r="AF46" s="56"/>
      <c r="AG46" s="56"/>
    </row>
    <row r="47" spans="2:33" ht="15.75" x14ac:dyDescent="0.25">
      <c r="B47" s="569" t="s">
        <v>1124</v>
      </c>
      <c r="C47" s="1042">
        <f>'Baseline farm'!C46</f>
        <v>0</v>
      </c>
      <c r="D47" s="562" t="s">
        <v>261</v>
      </c>
      <c r="E47" s="890" t="s">
        <v>1131</v>
      </c>
      <c r="F47" s="513"/>
      <c r="G47" s="1039">
        <f>'Baseline farm'!G46</f>
        <v>0</v>
      </c>
      <c r="H47" s="883" t="str">
        <f>H46</f>
        <v>t per annum</v>
      </c>
      <c r="I47" s="364"/>
      <c r="J47" s="5"/>
      <c r="K47" s="5"/>
      <c r="L47" s="568"/>
      <c r="Z47" s="56"/>
      <c r="AA47" s="56"/>
      <c r="AB47" s="56"/>
      <c r="AC47" s="56"/>
      <c r="AD47" s="56"/>
      <c r="AE47" s="56"/>
      <c r="AF47" s="56"/>
      <c r="AG47" s="56"/>
    </row>
    <row r="48" spans="2:33" ht="15.75" x14ac:dyDescent="0.25">
      <c r="B48" s="566"/>
      <c r="C48" s="562"/>
      <c r="D48" s="562"/>
      <c r="E48" s="562"/>
      <c r="F48" s="562"/>
      <c r="G48" s="562"/>
      <c r="H48" s="562"/>
      <c r="I48" s="364"/>
      <c r="J48" s="5"/>
      <c r="K48" s="5"/>
      <c r="L48" s="568"/>
      <c r="Z48" s="56"/>
      <c r="AA48" s="56"/>
      <c r="AB48" s="56"/>
      <c r="AC48" s="56"/>
      <c r="AD48" s="56"/>
      <c r="AE48" s="56"/>
      <c r="AF48" s="56"/>
      <c r="AG48" s="56"/>
    </row>
    <row r="49" spans="2:33" ht="15.75" x14ac:dyDescent="0.25">
      <c r="B49" s="566"/>
      <c r="C49" s="1962" t="s">
        <v>1220</v>
      </c>
      <c r="D49" s="825"/>
      <c r="E49" s="576" t="s">
        <v>1226</v>
      </c>
      <c r="F49" s="576" t="s">
        <v>1227</v>
      </c>
      <c r="G49" s="576" t="s">
        <v>1228</v>
      </c>
      <c r="H49" s="576" t="s">
        <v>1229</v>
      </c>
      <c r="I49" s="818"/>
      <c r="J49" s="5"/>
      <c r="K49" s="5"/>
      <c r="L49" s="568"/>
      <c r="Z49" s="56"/>
      <c r="AA49" s="56"/>
      <c r="AB49" s="56"/>
      <c r="AC49" s="56"/>
      <c r="AD49" s="56"/>
      <c r="AE49" s="56"/>
      <c r="AF49" s="56"/>
      <c r="AG49" s="56"/>
    </row>
    <row r="50" spans="2:33" ht="15.75" x14ac:dyDescent="0.25">
      <c r="B50" s="566" t="s">
        <v>1125</v>
      </c>
      <c r="C50" s="1042">
        <f>'Baseline farm'!C49</f>
        <v>0</v>
      </c>
      <c r="D50" s="889" t="s">
        <v>1225</v>
      </c>
      <c r="E50" s="2019">
        <f>'Baseline farm'!E49</f>
        <v>0</v>
      </c>
      <c r="F50" s="2019">
        <f>'Baseline farm'!F49</f>
        <v>0</v>
      </c>
      <c r="G50" s="2019">
        <f>'Baseline farm'!G49</f>
        <v>0</v>
      </c>
      <c r="H50" s="2019">
        <f>'Baseline farm'!H49</f>
        <v>0</v>
      </c>
      <c r="I50" s="632" t="str">
        <f>H46</f>
        <v>t per annum</v>
      </c>
      <c r="J50" s="5"/>
      <c r="K50" s="5"/>
      <c r="L50" s="568"/>
      <c r="Z50" s="56"/>
      <c r="AA50" s="56"/>
      <c r="AB50" s="56"/>
      <c r="AC50" s="56"/>
      <c r="AD50" s="56"/>
      <c r="AE50" s="56"/>
      <c r="AF50" s="56"/>
      <c r="AG50" s="56"/>
    </row>
    <row r="51" spans="2:33" ht="15.75" x14ac:dyDescent="0.25">
      <c r="B51" s="566" t="s">
        <v>1126</v>
      </c>
      <c r="C51" s="1042">
        <f>'Baseline farm'!C50</f>
        <v>0</v>
      </c>
      <c r="D51" s="889" t="s">
        <v>1225</v>
      </c>
      <c r="E51" s="2019">
        <f>'Baseline farm'!E50</f>
        <v>0</v>
      </c>
      <c r="F51" s="2019">
        <f>'Baseline farm'!F50</f>
        <v>0</v>
      </c>
      <c r="G51" s="2019">
        <f>'Baseline farm'!G50</f>
        <v>0</v>
      </c>
      <c r="H51" s="2019">
        <f>'Baseline farm'!H50</f>
        <v>0</v>
      </c>
      <c r="I51" s="826" t="str">
        <f>H46</f>
        <v>t per annum</v>
      </c>
      <c r="J51" s="5"/>
      <c r="K51" s="5"/>
      <c r="L51" s="568"/>
      <c r="Z51" s="56"/>
      <c r="AA51" s="56"/>
      <c r="AB51" s="56"/>
      <c r="AC51" s="56"/>
      <c r="AD51" s="56"/>
      <c r="AE51" s="56"/>
      <c r="AF51" s="56"/>
      <c r="AG51" s="56"/>
    </row>
    <row r="52" spans="2:33" ht="15.75" x14ac:dyDescent="0.25">
      <c r="B52" s="575"/>
      <c r="C52" s="322"/>
      <c r="D52" s="827"/>
      <c r="E52" s="827"/>
      <c r="F52" s="827"/>
      <c r="G52" s="827"/>
      <c r="H52" s="827"/>
      <c r="I52" s="828"/>
      <c r="J52" s="5"/>
      <c r="K52" s="5"/>
      <c r="L52" s="568"/>
      <c r="Z52" s="56"/>
      <c r="AA52" s="56"/>
      <c r="AB52" s="56"/>
      <c r="AC52" s="56"/>
      <c r="AD52" s="56"/>
      <c r="AE52" s="56"/>
      <c r="AF52" s="56"/>
      <c r="AG52" s="56"/>
    </row>
    <row r="53" spans="2:33" ht="15.75" x14ac:dyDescent="0.25">
      <c r="B53" s="638" t="s">
        <v>948</v>
      </c>
      <c r="C53" s="585"/>
      <c r="D53" s="813"/>
      <c r="E53" s="813"/>
      <c r="F53" s="813"/>
      <c r="G53" s="813"/>
      <c r="H53" s="813"/>
      <c r="I53" s="829"/>
      <c r="J53" s="5"/>
      <c r="K53" s="5"/>
      <c r="L53" s="568"/>
      <c r="Z53" s="56"/>
      <c r="AA53" s="56"/>
      <c r="AB53" s="56"/>
      <c r="AC53" s="56"/>
      <c r="AD53" s="56"/>
      <c r="AE53" s="56"/>
      <c r="AF53" s="56"/>
      <c r="AG53" s="56"/>
    </row>
    <row r="54" spans="2:33" ht="15.75" x14ac:dyDescent="0.25">
      <c r="B54" s="569" t="s">
        <v>886</v>
      </c>
      <c r="C54" s="637">
        <f>'Baseline farm'!C53</f>
        <v>0</v>
      </c>
      <c r="D54" s="976" t="s">
        <v>639</v>
      </c>
      <c r="E54" s="2129" t="s">
        <v>1029</v>
      </c>
      <c r="F54" s="2129"/>
      <c r="G54" s="2119">
        <f>'Baseline farm'!G53:H53</f>
        <v>0</v>
      </c>
      <c r="H54" s="2119"/>
      <c r="I54" s="570"/>
      <c r="J54" s="5"/>
      <c r="K54" s="5"/>
      <c r="L54" s="568"/>
      <c r="Z54" s="56"/>
      <c r="AA54" s="56"/>
      <c r="AB54" s="56"/>
      <c r="AC54" s="56"/>
      <c r="AD54" s="56"/>
      <c r="AE54" s="56"/>
      <c r="AF54" s="56"/>
      <c r="AG54" s="56"/>
    </row>
    <row r="55" spans="2:33" ht="15.75" x14ac:dyDescent="0.25">
      <c r="B55" s="636" t="s">
        <v>894</v>
      </c>
      <c r="C55" s="637">
        <f>'Baseline farm'!C54</f>
        <v>0</v>
      </c>
      <c r="D55" s="365" t="s">
        <v>1305</v>
      </c>
      <c r="E55" s="802"/>
      <c r="F55" s="802"/>
      <c r="G55" s="802"/>
      <c r="H55" s="365"/>
      <c r="I55" s="373"/>
      <c r="J55" s="5"/>
      <c r="K55" s="5"/>
      <c r="L55" s="568"/>
      <c r="Z55" s="56"/>
      <c r="AA55" s="56"/>
      <c r="AB55" s="56"/>
      <c r="AC55" s="56"/>
      <c r="AD55" s="56"/>
      <c r="AE55" s="56"/>
      <c r="AF55" s="56"/>
      <c r="AG55" s="56"/>
    </row>
    <row r="56" spans="2:33" ht="15.75" x14ac:dyDescent="0.25">
      <c r="B56" s="565" t="s">
        <v>920</v>
      </c>
      <c r="C56" s="563"/>
      <c r="D56" s="563"/>
      <c r="E56" s="563"/>
      <c r="F56" s="563"/>
      <c r="G56" s="563"/>
      <c r="H56" s="563"/>
      <c r="I56" s="368"/>
      <c r="J56" s="5"/>
      <c r="K56" s="5"/>
    </row>
    <row r="57" spans="2:33" ht="15.75" x14ac:dyDescent="0.25">
      <c r="B57" s="546" t="s">
        <v>1222</v>
      </c>
      <c r="C57" s="637">
        <f>'Baseline farm'!C56</f>
        <v>0</v>
      </c>
      <c r="D57" s="573" t="s">
        <v>1306</v>
      </c>
      <c r="E57" s="2168" t="s">
        <v>916</v>
      </c>
      <c r="F57" s="2168"/>
      <c r="G57" s="2117">
        <f>'Baseline farm'!G56:H56</f>
        <v>0</v>
      </c>
      <c r="H57" s="2117"/>
      <c r="I57" s="1003" t="s">
        <v>1306</v>
      </c>
      <c r="J57" s="5"/>
      <c r="K57" s="5"/>
    </row>
    <row r="58" spans="2:33" ht="15.75" x14ac:dyDescent="0.25">
      <c r="B58" s="566"/>
      <c r="C58" s="665"/>
      <c r="D58" s="562"/>
      <c r="E58" s="562"/>
      <c r="F58" s="562"/>
      <c r="G58" s="562"/>
      <c r="H58" s="562"/>
      <c r="I58" s="372"/>
      <c r="J58" s="5"/>
      <c r="K58" s="5"/>
    </row>
    <row r="59" spans="2:33" ht="15.75" x14ac:dyDescent="0.25">
      <c r="B59" s="566" t="s">
        <v>917</v>
      </c>
      <c r="C59" s="637">
        <f>'Baseline farm'!C58</f>
        <v>0</v>
      </c>
      <c r="D59" s="573" t="s">
        <v>1306</v>
      </c>
      <c r="E59" s="2168" t="s">
        <v>918</v>
      </c>
      <c r="F59" s="2168"/>
      <c r="G59" s="2117">
        <f>'Baseline farm'!G58:H58</f>
        <v>0</v>
      </c>
      <c r="H59" s="2117"/>
      <c r="I59" s="1003" t="s">
        <v>1306</v>
      </c>
      <c r="J59" s="5"/>
      <c r="K59" s="5"/>
    </row>
    <row r="60" spans="2:33" ht="15.75" x14ac:dyDescent="0.25">
      <c r="B60" s="566"/>
      <c r="C60" s="665"/>
      <c r="D60" s="562"/>
      <c r="E60" s="562"/>
      <c r="F60" s="562"/>
      <c r="G60" s="562"/>
      <c r="H60" s="562"/>
      <c r="I60" s="372"/>
      <c r="J60" s="5"/>
      <c r="K60" s="5"/>
    </row>
    <row r="61" spans="2:33" ht="15.75" x14ac:dyDescent="0.25">
      <c r="B61" s="830" t="s">
        <v>919</v>
      </c>
      <c r="C61" s="637">
        <f>'Baseline farm'!C60</f>
        <v>0</v>
      </c>
      <c r="D61" s="573" t="s">
        <v>1306</v>
      </c>
      <c r="E61" s="562" t="s">
        <v>1041</v>
      </c>
      <c r="F61" s="562"/>
      <c r="G61" s="2117">
        <f>'Baseline farm'!G60:H60</f>
        <v>0</v>
      </c>
      <c r="H61" s="2117"/>
      <c r="I61" s="1003" t="s">
        <v>1306</v>
      </c>
      <c r="J61" s="5"/>
      <c r="K61" s="5"/>
    </row>
    <row r="62" spans="2:33" ht="15.75" x14ac:dyDescent="0.25">
      <c r="B62" s="831"/>
      <c r="C62" s="365"/>
      <c r="D62" s="365"/>
      <c r="E62" s="365"/>
      <c r="F62" s="365"/>
      <c r="G62" s="365"/>
      <c r="H62" s="365"/>
      <c r="I62" s="373"/>
      <c r="J62" s="5"/>
      <c r="K62" s="5"/>
    </row>
    <row r="63" spans="2:33" ht="15.75" x14ac:dyDescent="0.25">
      <c r="B63" s="544" t="s">
        <v>887</v>
      </c>
      <c r="C63" s="563"/>
      <c r="D63" s="563"/>
      <c r="E63" s="366"/>
      <c r="F63" s="363"/>
      <c r="G63" s="367"/>
      <c r="H63" s="563"/>
      <c r="I63" s="368"/>
      <c r="J63" s="5"/>
      <c r="K63" s="5"/>
    </row>
    <row r="64" spans="2:33" ht="15.75" x14ac:dyDescent="0.25">
      <c r="B64" s="566" t="s">
        <v>1132</v>
      </c>
      <c r="C64" s="2128" t="str">
        <f>'Baseline farm'!C63</f>
        <v>No estimate of carbon sequestration</v>
      </c>
      <c r="D64" s="2128"/>
      <c r="E64" s="370"/>
      <c r="F64" s="363"/>
      <c r="G64" s="371"/>
      <c r="H64" s="562"/>
      <c r="I64" s="372"/>
      <c r="J64" s="5"/>
      <c r="K64" s="5"/>
    </row>
    <row r="65" spans="1:33" ht="15.75" x14ac:dyDescent="0.25">
      <c r="B65" s="566"/>
      <c r="C65" s="562"/>
      <c r="D65" s="562"/>
      <c r="E65" s="370"/>
      <c r="F65" s="371"/>
      <c r="G65" s="371"/>
      <c r="H65" s="562"/>
      <c r="I65" s="372"/>
      <c r="J65" s="5"/>
      <c r="K65" s="5"/>
    </row>
    <row r="66" spans="1:33" ht="18.75" x14ac:dyDescent="0.35">
      <c r="B66" s="546" t="s">
        <v>967</v>
      </c>
      <c r="C66" s="363"/>
      <c r="D66" s="1042">
        <f>'Baseline farm'!D65</f>
        <v>0</v>
      </c>
      <c r="E66" s="363" t="s">
        <v>1307</v>
      </c>
      <c r="F66" s="370" t="s">
        <v>1158</v>
      </c>
      <c r="G66" s="371"/>
      <c r="H66" s="1042">
        <f>'Baseline farm'!H65</f>
        <v>0</v>
      </c>
      <c r="I66" s="372" t="s">
        <v>261</v>
      </c>
      <c r="J66" s="5"/>
      <c r="K66" s="5"/>
      <c r="L66" s="568"/>
      <c r="Z66" s="56"/>
      <c r="AA66" s="56"/>
      <c r="AB66" s="56"/>
      <c r="AC66" s="56"/>
      <c r="AD66" s="56"/>
      <c r="AE66" s="56"/>
      <c r="AF66" s="56"/>
      <c r="AG66" s="56"/>
    </row>
    <row r="67" spans="1:33" ht="15.75" x14ac:dyDescent="0.25">
      <c r="B67" s="369"/>
      <c r="C67" s="832"/>
      <c r="D67" s="562"/>
      <c r="E67" s="363"/>
      <c r="F67" s="370"/>
      <c r="G67" s="371"/>
      <c r="H67" s="562"/>
      <c r="I67" s="372"/>
      <c r="J67" s="5"/>
      <c r="K67" s="5"/>
      <c r="L67" s="568"/>
      <c r="Z67" s="56"/>
      <c r="AA67" s="56"/>
      <c r="AB67" s="56"/>
      <c r="AC67" s="56"/>
      <c r="AD67" s="56"/>
      <c r="AE67" s="56"/>
      <c r="AF67" s="56"/>
      <c r="AG67" s="56"/>
    </row>
    <row r="68" spans="1:33" ht="15.75" x14ac:dyDescent="0.25">
      <c r="B68" s="590" t="s">
        <v>594</v>
      </c>
      <c r="C68" s="2136">
        <f>'Baseline farm'!C67:D67</f>
        <v>0</v>
      </c>
      <c r="D68" s="2136"/>
      <c r="E68" s="363"/>
      <c r="F68" s="562" t="s">
        <v>770</v>
      </c>
      <c r="G68" s="371"/>
      <c r="H68" s="1038">
        <f>'Baseline farm'!H67</f>
        <v>0</v>
      </c>
      <c r="I68" s="372"/>
      <c r="J68" s="5"/>
      <c r="K68" s="5"/>
      <c r="L68" s="568"/>
      <c r="Z68" s="56"/>
      <c r="AA68" s="56"/>
      <c r="AB68" s="56"/>
      <c r="AC68" s="56"/>
      <c r="AD68" s="56"/>
      <c r="AE68" s="56"/>
      <c r="AF68" s="56"/>
      <c r="AG68" s="56"/>
    </row>
    <row r="69" spans="1:33" ht="15.75" x14ac:dyDescent="0.25">
      <c r="B69" s="831"/>
      <c r="C69" s="365"/>
      <c r="D69" s="365"/>
      <c r="E69" s="365"/>
      <c r="F69" s="365"/>
      <c r="G69" s="365"/>
      <c r="H69" s="365"/>
      <c r="I69" s="373"/>
      <c r="J69" s="5"/>
      <c r="K69" s="5"/>
      <c r="L69" s="568"/>
      <c r="Z69" s="56"/>
      <c r="AA69" s="56"/>
      <c r="AB69" s="56"/>
      <c r="AC69" s="56"/>
      <c r="AD69" s="56"/>
      <c r="AE69" s="56"/>
      <c r="AF69" s="56"/>
      <c r="AG69" s="56"/>
    </row>
    <row r="70" spans="1:33" ht="15.75" x14ac:dyDescent="0.25">
      <c r="A70" s="56"/>
      <c r="B70" s="565" t="s">
        <v>954</v>
      </c>
      <c r="C70" s="813"/>
      <c r="D70" s="813"/>
      <c r="E70" s="813"/>
      <c r="F70" s="813"/>
      <c r="G70" s="813"/>
      <c r="H70" s="813"/>
      <c r="I70" s="829"/>
      <c r="J70" s="62"/>
      <c r="K70" s="5"/>
      <c r="M70" s="568"/>
    </row>
    <row r="71" spans="1:33" ht="15.75" x14ac:dyDescent="0.25">
      <c r="A71" s="56"/>
      <c r="B71" s="567"/>
      <c r="C71" s="2134" t="s">
        <v>956</v>
      </c>
      <c r="D71" s="2134"/>
      <c r="E71" s="2134"/>
      <c r="F71" s="2137" t="str">
        <f>'Baseline farm'!F70</f>
        <v>Default state-based factors and fractions</v>
      </c>
      <c r="G71" s="2137"/>
      <c r="H71" s="1070" t="s">
        <v>1380</v>
      </c>
      <c r="I71" s="836" t="e">
        <f>D271</f>
        <v>#DIV/0!</v>
      </c>
      <c r="J71" s="62"/>
      <c r="K71" s="5"/>
      <c r="M71" s="568"/>
    </row>
    <row r="72" spans="1:33" ht="15.6" customHeight="1" x14ac:dyDescent="0.25">
      <c r="A72" s="56"/>
      <c r="B72" s="2172" t="s">
        <v>1004</v>
      </c>
      <c r="C72" s="817"/>
      <c r="D72" s="817"/>
      <c r="E72" s="817"/>
      <c r="F72" s="817"/>
      <c r="G72" s="817"/>
      <c r="H72" s="817"/>
      <c r="I72" s="818"/>
      <c r="J72" s="62"/>
      <c r="K72" s="5"/>
      <c r="M72" s="568"/>
    </row>
    <row r="73" spans="1:33" ht="15.75" x14ac:dyDescent="0.25">
      <c r="A73" s="56"/>
      <c r="B73" s="2172"/>
      <c r="C73" s="1296" t="s">
        <v>1407</v>
      </c>
      <c r="D73" s="1296" t="s">
        <v>1408</v>
      </c>
      <c r="E73" s="1296" t="s">
        <v>1409</v>
      </c>
      <c r="F73" s="1296" t="s">
        <v>263</v>
      </c>
      <c r="G73" s="1296" t="s">
        <v>264</v>
      </c>
      <c r="H73" s="1296"/>
      <c r="I73" s="1297"/>
      <c r="J73" s="62"/>
      <c r="K73" s="5"/>
      <c r="M73" s="568"/>
    </row>
    <row r="74" spans="1:33" ht="15.75" x14ac:dyDescent="0.25">
      <c r="A74" s="56"/>
      <c r="B74" s="566" t="s">
        <v>489</v>
      </c>
      <c r="C74" s="614" t="e">
        <f>AH252</f>
        <v>#N/A</v>
      </c>
      <c r="D74" s="1374" t="e">
        <f>AI252</f>
        <v>#N/A</v>
      </c>
      <c r="E74" s="1374" t="e">
        <f>AJ252</f>
        <v>#N/A</v>
      </c>
      <c r="F74" s="1374" t="e">
        <f>AL252</f>
        <v>#N/A</v>
      </c>
      <c r="G74" s="1337" t="e">
        <f>AG252</f>
        <v>#N/A</v>
      </c>
      <c r="H74" s="614"/>
      <c r="I74" s="615"/>
      <c r="J74" s="62"/>
      <c r="K74" s="5"/>
      <c r="M74" s="568"/>
    </row>
    <row r="75" spans="1:33" ht="15.75" x14ac:dyDescent="0.25">
      <c r="A75" s="56"/>
      <c r="B75" s="566" t="s">
        <v>955</v>
      </c>
      <c r="C75" s="614">
        <f>AH255</f>
        <v>0</v>
      </c>
      <c r="D75" s="1337">
        <f>AI255</f>
        <v>0</v>
      </c>
      <c r="E75" s="1337">
        <f>AJ255</f>
        <v>0</v>
      </c>
      <c r="F75" s="1337">
        <f>AL255</f>
        <v>0</v>
      </c>
      <c r="G75" s="1337">
        <f>AG255</f>
        <v>100</v>
      </c>
      <c r="H75" s="614"/>
      <c r="I75" s="615"/>
      <c r="J75" s="62"/>
      <c r="K75" s="5"/>
      <c r="M75" s="568"/>
    </row>
    <row r="76" spans="1:33" ht="15.75" x14ac:dyDescent="0.25">
      <c r="A76" s="56"/>
      <c r="B76" s="567"/>
      <c r="C76" s="817"/>
      <c r="D76" s="817"/>
      <c r="E76" s="817"/>
      <c r="F76" s="817"/>
      <c r="G76" s="817"/>
      <c r="H76" s="817"/>
      <c r="I76" s="818"/>
      <c r="J76" s="62"/>
      <c r="K76" s="5"/>
      <c r="M76" s="568"/>
    </row>
    <row r="77" spans="1:33" ht="15.6" customHeight="1" x14ac:dyDescent="0.25">
      <c r="A77" s="56"/>
      <c r="B77" s="2173" t="s">
        <v>1042</v>
      </c>
      <c r="C77" s="2174"/>
      <c r="D77" s="2174"/>
      <c r="E77" s="2174"/>
      <c r="F77" s="2174"/>
      <c r="G77" s="2174"/>
      <c r="H77" s="2174"/>
      <c r="I77" s="2175"/>
      <c r="J77" s="62"/>
      <c r="K77" s="5"/>
      <c r="M77" s="568"/>
    </row>
    <row r="78" spans="1:33" ht="15.6" customHeight="1" x14ac:dyDescent="0.25">
      <c r="A78" s="56"/>
      <c r="B78" s="2173"/>
      <c r="C78" s="2174"/>
      <c r="D78" s="2174"/>
      <c r="E78" s="2174"/>
      <c r="F78" s="2174"/>
      <c r="G78" s="2174"/>
      <c r="H78" s="2174"/>
      <c r="I78" s="2175"/>
      <c r="J78" s="62"/>
      <c r="K78" s="5"/>
      <c r="M78" s="568"/>
    </row>
    <row r="79" spans="1:33" ht="15.75" x14ac:dyDescent="0.25">
      <c r="A79" s="56"/>
      <c r="B79" s="2173"/>
      <c r="C79" s="2174"/>
      <c r="D79" s="2174"/>
      <c r="E79" s="2174"/>
      <c r="F79" s="2174"/>
      <c r="G79" s="2174"/>
      <c r="H79" s="2174"/>
      <c r="I79" s="2175"/>
      <c r="J79" s="62"/>
      <c r="K79" s="5"/>
      <c r="M79" s="568"/>
    </row>
    <row r="80" spans="1:33" ht="15.75" x14ac:dyDescent="0.25">
      <c r="A80" s="56"/>
      <c r="B80" s="567" t="s">
        <v>489</v>
      </c>
      <c r="C80" s="562"/>
      <c r="D80" s="562"/>
      <c r="E80" s="562"/>
      <c r="F80" s="562"/>
      <c r="G80" s="574" t="s">
        <v>964</v>
      </c>
      <c r="H80" s="598" t="s">
        <v>965</v>
      </c>
      <c r="I80" s="816"/>
      <c r="J80" s="62"/>
      <c r="K80" s="5"/>
      <c r="M80" s="568"/>
    </row>
    <row r="81" spans="1:33" s="56" customFormat="1" ht="15.75" x14ac:dyDescent="0.25">
      <c r="A81" s="559"/>
      <c r="B81" s="546" t="s">
        <v>1384</v>
      </c>
      <c r="C81" s="562"/>
      <c r="D81" s="562"/>
      <c r="E81" s="562"/>
      <c r="F81" s="833"/>
      <c r="G81" s="1340">
        <f>'Baseline farm'!G80</f>
        <v>0</v>
      </c>
      <c r="H81" s="1340">
        <f>'Baseline farm'!H80</f>
        <v>0</v>
      </c>
      <c r="I81" s="816"/>
      <c r="J81" s="5"/>
      <c r="K81" s="5"/>
      <c r="L81" s="559"/>
      <c r="M81" s="559"/>
      <c r="N81" s="559"/>
      <c r="O81" s="559"/>
      <c r="P81" s="559"/>
      <c r="Q81" s="559"/>
      <c r="R81" s="559"/>
      <c r="S81" s="559"/>
      <c r="T81" s="559"/>
      <c r="U81" s="559"/>
      <c r="V81" s="559"/>
      <c r="W81" s="559"/>
      <c r="X81" s="559"/>
      <c r="Y81" s="559"/>
      <c r="Z81" s="559"/>
      <c r="AA81" s="559"/>
      <c r="AB81" s="559"/>
      <c r="AC81" s="559"/>
      <c r="AD81" s="559"/>
      <c r="AE81" s="559"/>
      <c r="AF81" s="559"/>
      <c r="AG81" s="559"/>
    </row>
    <row r="82" spans="1:33" s="56" customFormat="1" ht="15.75" x14ac:dyDescent="0.25">
      <c r="A82" s="559"/>
      <c r="B82" s="546"/>
      <c r="C82" s="562"/>
      <c r="D82" s="562"/>
      <c r="E82" s="562"/>
      <c r="F82" s="562"/>
      <c r="G82" s="562"/>
      <c r="H82" s="825"/>
      <c r="I82" s="816"/>
      <c r="J82" s="5"/>
      <c r="K82" s="5"/>
      <c r="L82" s="559"/>
      <c r="M82" s="559"/>
      <c r="N82" s="559"/>
      <c r="O82" s="559"/>
      <c r="P82" s="559"/>
      <c r="Q82" s="559"/>
      <c r="R82" s="559"/>
      <c r="S82" s="559"/>
      <c r="T82" s="559"/>
      <c r="U82" s="559"/>
      <c r="V82" s="559"/>
      <c r="W82" s="559"/>
      <c r="X82" s="559"/>
      <c r="Y82" s="559"/>
      <c r="Z82" s="559"/>
      <c r="AA82" s="559"/>
      <c r="AB82" s="559"/>
      <c r="AC82" s="559"/>
      <c r="AD82" s="559"/>
      <c r="AE82" s="559"/>
      <c r="AF82" s="559"/>
      <c r="AG82" s="559"/>
    </row>
    <row r="83" spans="1:33" s="56" customFormat="1" ht="15.75" x14ac:dyDescent="0.25">
      <c r="A83" s="559"/>
      <c r="B83" s="1307" t="s">
        <v>1412</v>
      </c>
      <c r="C83" s="1301"/>
      <c r="D83" s="1301"/>
      <c r="E83" s="1301"/>
      <c r="F83" s="1301"/>
      <c r="G83" s="1339">
        <f>'Baseline farm'!G82</f>
        <v>0</v>
      </c>
      <c r="H83" s="1308" t="s">
        <v>259</v>
      </c>
      <c r="I83" s="816"/>
      <c r="J83" s="5"/>
      <c r="K83" s="5"/>
      <c r="L83" s="559"/>
      <c r="M83" s="559"/>
      <c r="N83" s="559"/>
      <c r="O83" s="559"/>
      <c r="P83" s="559"/>
      <c r="Q83" s="559"/>
      <c r="R83" s="559"/>
      <c r="S83" s="559"/>
      <c r="T83" s="559"/>
      <c r="U83" s="559"/>
      <c r="V83" s="559"/>
      <c r="W83" s="559"/>
      <c r="X83" s="559"/>
      <c r="Y83" s="559"/>
      <c r="Z83" s="559"/>
      <c r="AA83" s="559"/>
      <c r="AB83" s="559"/>
      <c r="AC83" s="559"/>
      <c r="AD83" s="559"/>
      <c r="AE83" s="559"/>
      <c r="AF83" s="559"/>
      <c r="AG83" s="559"/>
    </row>
    <row r="84" spans="1:33" s="56" customFormat="1" ht="15.75" x14ac:dyDescent="0.25">
      <c r="A84" s="559"/>
      <c r="B84" s="1303" t="s">
        <v>1413</v>
      </c>
      <c r="C84" s="665"/>
      <c r="D84" s="665"/>
      <c r="E84" s="665"/>
      <c r="F84" s="363"/>
      <c r="G84" s="1340">
        <f>'Baseline farm'!G83</f>
        <v>0</v>
      </c>
      <c r="H84" s="976" t="s">
        <v>259</v>
      </c>
      <c r="I84" s="570"/>
      <c r="J84" s="5"/>
      <c r="K84" s="5"/>
      <c r="L84" s="559"/>
      <c r="M84" s="559"/>
      <c r="N84" s="559"/>
      <c r="O84" s="559"/>
      <c r="P84" s="559"/>
      <c r="Q84" s="559"/>
      <c r="R84" s="559"/>
      <c r="S84" s="559"/>
      <c r="T84" s="559"/>
      <c r="U84" s="559"/>
      <c r="V84" s="559"/>
      <c r="W84" s="559"/>
      <c r="X84" s="559"/>
      <c r="Y84" s="559"/>
      <c r="Z84" s="559"/>
      <c r="AA84" s="559"/>
      <c r="AB84" s="559"/>
      <c r="AC84" s="559"/>
      <c r="AD84" s="559"/>
      <c r="AE84" s="559"/>
      <c r="AF84" s="559"/>
      <c r="AG84" s="559"/>
    </row>
    <row r="85" spans="1:33" s="56" customFormat="1" ht="15.75" x14ac:dyDescent="0.25">
      <c r="A85" s="559"/>
      <c r="B85" s="1305" t="s">
        <v>1411</v>
      </c>
      <c r="C85" s="665"/>
      <c r="D85" s="665"/>
      <c r="E85" s="665"/>
      <c r="F85" s="363"/>
      <c r="G85" s="1336">
        <f>(100-SUM(G83:G84))</f>
        <v>100</v>
      </c>
      <c r="H85" s="1312" t="s">
        <v>259</v>
      </c>
      <c r="I85" s="570"/>
      <c r="J85" s="5"/>
      <c r="K85" s="5"/>
      <c r="L85" s="559"/>
      <c r="M85" s="559"/>
      <c r="N85" s="559"/>
      <c r="O85" s="559"/>
      <c r="P85" s="559"/>
      <c r="Q85" s="559"/>
      <c r="R85" s="559"/>
      <c r="S85" s="559"/>
      <c r="T85" s="559"/>
      <c r="U85" s="559"/>
      <c r="V85" s="559"/>
      <c r="W85" s="559"/>
      <c r="X85" s="559"/>
      <c r="Y85" s="559"/>
      <c r="Z85" s="559"/>
      <c r="AA85" s="559"/>
      <c r="AB85" s="559"/>
      <c r="AC85" s="559"/>
      <c r="AD85" s="559"/>
      <c r="AE85" s="559"/>
      <c r="AF85" s="559"/>
      <c r="AG85" s="559"/>
    </row>
    <row r="86" spans="1:33" s="1300" customFormat="1" ht="15.75" x14ac:dyDescent="0.25">
      <c r="A86" s="1299"/>
      <c r="B86" s="1305"/>
      <c r="C86" s="1304"/>
      <c r="D86" s="1304"/>
      <c r="E86" s="1304"/>
      <c r="F86" s="1302"/>
      <c r="G86" s="1304"/>
      <c r="H86" s="1304"/>
      <c r="I86" s="1306"/>
      <c r="J86" s="1298"/>
      <c r="K86" s="1298"/>
      <c r="L86" s="1299"/>
      <c r="M86" s="1299"/>
      <c r="N86" s="1299"/>
      <c r="O86" s="1299"/>
      <c r="P86" s="1299"/>
      <c r="Q86" s="1299"/>
      <c r="R86" s="1299"/>
      <c r="S86" s="1299"/>
      <c r="T86" s="1299"/>
      <c r="U86" s="1299"/>
      <c r="V86" s="1299"/>
      <c r="W86" s="1299"/>
      <c r="X86" s="1299"/>
      <c r="Y86" s="1299"/>
      <c r="Z86" s="1299"/>
      <c r="AA86" s="1299"/>
      <c r="AB86" s="1299"/>
      <c r="AC86" s="1299"/>
      <c r="AD86" s="1299"/>
      <c r="AE86" s="1299"/>
      <c r="AF86" s="1299"/>
      <c r="AG86" s="1299"/>
    </row>
    <row r="87" spans="1:33" s="56" customFormat="1" ht="15.75" x14ac:dyDescent="0.25">
      <c r="A87" s="559"/>
      <c r="B87" s="566" t="s">
        <v>1364</v>
      </c>
      <c r="C87" s="665"/>
      <c r="D87" s="665"/>
      <c r="E87" s="665"/>
      <c r="F87" s="363"/>
      <c r="G87" s="1341">
        <f>'Baseline farm'!G86</f>
        <v>0</v>
      </c>
      <c r="H87" s="665"/>
      <c r="I87" s="570"/>
      <c r="J87" s="5"/>
      <c r="K87" s="5"/>
      <c r="L87" s="559"/>
      <c r="M87" s="559"/>
      <c r="N87" s="559"/>
      <c r="O87" s="559"/>
      <c r="P87" s="559"/>
      <c r="Q87" s="559"/>
      <c r="R87" s="559"/>
      <c r="S87" s="559"/>
      <c r="T87" s="559"/>
      <c r="U87" s="559"/>
      <c r="V87" s="559"/>
      <c r="W87" s="559"/>
      <c r="X87" s="559"/>
      <c r="Y87" s="559"/>
      <c r="Z87" s="559"/>
      <c r="AA87" s="559"/>
      <c r="AB87" s="559"/>
      <c r="AC87" s="559"/>
      <c r="AD87" s="559"/>
      <c r="AE87" s="559"/>
      <c r="AF87" s="559"/>
      <c r="AG87" s="559"/>
    </row>
    <row r="88" spans="1:33" s="56" customFormat="1" ht="15.75" x14ac:dyDescent="0.25">
      <c r="A88" s="559"/>
      <c r="B88" s="566"/>
      <c r="C88" s="665"/>
      <c r="D88" s="665"/>
      <c r="E88" s="665"/>
      <c r="F88" s="665"/>
      <c r="G88" s="574" t="s">
        <v>964</v>
      </c>
      <c r="H88" s="574" t="s">
        <v>965</v>
      </c>
      <c r="I88" s="570"/>
      <c r="J88" s="5"/>
      <c r="K88" s="5"/>
      <c r="L88" s="559"/>
      <c r="M88" s="559"/>
      <c r="N88" s="559"/>
      <c r="O88" s="559"/>
      <c r="P88" s="559"/>
      <c r="Q88" s="559"/>
      <c r="R88" s="559"/>
      <c r="S88" s="559"/>
      <c r="T88" s="559"/>
      <c r="U88" s="559"/>
      <c r="V88" s="559"/>
      <c r="W88" s="559"/>
      <c r="X88" s="559"/>
      <c r="Y88" s="559"/>
      <c r="Z88" s="559"/>
      <c r="AA88" s="559"/>
      <c r="AB88" s="559"/>
      <c r="AC88" s="559"/>
      <c r="AD88" s="559"/>
      <c r="AE88" s="559"/>
      <c r="AF88" s="559"/>
      <c r="AG88" s="559"/>
    </row>
    <row r="89" spans="1:33" s="56" customFormat="1" ht="15.75" x14ac:dyDescent="0.25">
      <c r="A89" s="559"/>
      <c r="B89" s="566" t="s">
        <v>1385</v>
      </c>
      <c r="C89" s="665"/>
      <c r="D89" s="665"/>
      <c r="E89" s="665"/>
      <c r="F89" s="665"/>
      <c r="G89" s="1340">
        <f>'Baseline farm'!G88</f>
        <v>0</v>
      </c>
      <c r="H89" s="1340">
        <f>'Baseline farm'!H88</f>
        <v>0</v>
      </c>
      <c r="I89" s="570"/>
      <c r="J89" s="5"/>
      <c r="K89" s="5"/>
      <c r="L89" s="559"/>
      <c r="M89" s="559"/>
      <c r="N89" s="559"/>
      <c r="O89" s="559"/>
      <c r="P89" s="559"/>
      <c r="Q89" s="559"/>
      <c r="R89" s="559"/>
      <c r="S89" s="559"/>
      <c r="T89" s="559"/>
      <c r="U89" s="559"/>
      <c r="V89" s="559"/>
      <c r="W89" s="559"/>
      <c r="X89" s="559"/>
      <c r="Y89" s="559"/>
      <c r="Z89" s="559"/>
      <c r="AA89" s="559"/>
      <c r="AB89" s="559"/>
      <c r="AC89" s="559"/>
      <c r="AD89" s="559"/>
      <c r="AE89" s="559"/>
      <c r="AF89" s="559"/>
      <c r="AG89" s="559"/>
    </row>
    <row r="90" spans="1:33" s="56" customFormat="1" ht="15.75" x14ac:dyDescent="0.25">
      <c r="A90" s="559"/>
      <c r="B90" s="566"/>
      <c r="C90" s="665"/>
      <c r="D90" s="665"/>
      <c r="E90" s="665"/>
      <c r="F90" s="665"/>
      <c r="G90" s="665"/>
      <c r="H90" s="665"/>
      <c r="I90" s="570"/>
      <c r="J90" s="5"/>
      <c r="K90" s="5"/>
      <c r="L90" s="559"/>
      <c r="M90" s="559"/>
      <c r="N90" s="559"/>
      <c r="O90" s="559"/>
      <c r="P90" s="559"/>
      <c r="Q90" s="559"/>
      <c r="R90" s="559"/>
      <c r="S90" s="559"/>
      <c r="T90" s="559"/>
      <c r="U90" s="559"/>
      <c r="V90" s="559"/>
      <c r="W90" s="559"/>
      <c r="X90" s="559"/>
      <c r="Y90" s="559"/>
      <c r="Z90" s="559"/>
      <c r="AA90" s="559"/>
      <c r="AB90" s="559"/>
      <c r="AC90" s="559"/>
      <c r="AD90" s="559"/>
      <c r="AE90" s="559"/>
      <c r="AF90" s="559"/>
      <c r="AG90" s="559"/>
    </row>
    <row r="91" spans="1:33" s="56" customFormat="1" ht="15.75" x14ac:dyDescent="0.25">
      <c r="A91" s="559"/>
      <c r="B91" s="566" t="s">
        <v>1362</v>
      </c>
      <c r="C91" s="665"/>
      <c r="D91" s="665"/>
      <c r="E91" s="363"/>
      <c r="F91" s="2185">
        <f>'Baseline farm'!F90</f>
        <v>0</v>
      </c>
      <c r="G91" s="2185"/>
      <c r="H91" s="574" t="s">
        <v>1031</v>
      </c>
      <c r="I91" s="1292" t="e">
        <f>AN252</f>
        <v>#N/A</v>
      </c>
      <c r="J91" s="5"/>
      <c r="K91" s="5"/>
      <c r="L91" s="559"/>
      <c r="M91" s="559"/>
      <c r="N91" s="559"/>
      <c r="O91" s="559"/>
      <c r="P91" s="559"/>
      <c r="Q91" s="559"/>
      <c r="R91" s="559"/>
      <c r="S91" s="559"/>
      <c r="T91" s="559"/>
      <c r="U91" s="559"/>
      <c r="V91" s="559"/>
      <c r="W91" s="559"/>
      <c r="X91" s="559"/>
      <c r="Y91" s="559"/>
      <c r="Z91" s="559"/>
      <c r="AA91" s="559"/>
      <c r="AB91" s="559"/>
      <c r="AC91" s="559"/>
      <c r="AD91" s="559"/>
      <c r="AE91" s="559"/>
      <c r="AF91" s="559"/>
      <c r="AG91" s="559"/>
    </row>
    <row r="92" spans="1:33" s="56" customFormat="1" ht="15.75" x14ac:dyDescent="0.25">
      <c r="A92" s="559"/>
      <c r="B92" s="567"/>
      <c r="C92" s="665"/>
      <c r="D92" s="665"/>
      <c r="E92" s="665"/>
      <c r="F92" s="665"/>
      <c r="G92" s="665"/>
      <c r="H92" s="665"/>
      <c r="I92" s="570"/>
      <c r="J92" s="5"/>
      <c r="K92" s="5"/>
      <c r="L92" s="559"/>
      <c r="M92" s="559"/>
      <c r="N92" s="559"/>
      <c r="O92" s="559"/>
      <c r="P92" s="559"/>
      <c r="Q92" s="559"/>
      <c r="R92" s="559"/>
      <c r="S92" s="559"/>
      <c r="T92" s="559"/>
      <c r="U92" s="559"/>
      <c r="V92" s="559"/>
      <c r="W92" s="559"/>
      <c r="X92" s="559"/>
      <c r="Y92" s="559"/>
      <c r="Z92" s="559"/>
      <c r="AA92" s="559"/>
      <c r="AB92" s="559"/>
      <c r="AC92" s="559"/>
      <c r="AD92" s="559"/>
      <c r="AE92" s="559"/>
      <c r="AF92" s="559"/>
      <c r="AG92" s="559"/>
    </row>
    <row r="93" spans="1:33" s="56" customFormat="1" ht="15.75" x14ac:dyDescent="0.25">
      <c r="A93" s="559"/>
      <c r="B93" s="567" t="s">
        <v>971</v>
      </c>
      <c r="C93" s="665"/>
      <c r="D93" s="665"/>
      <c r="E93" s="665"/>
      <c r="F93" s="665"/>
      <c r="G93" s="574" t="s">
        <v>964</v>
      </c>
      <c r="H93" s="574" t="s">
        <v>965</v>
      </c>
      <c r="I93" s="570"/>
      <c r="J93" s="5"/>
      <c r="K93" s="5"/>
      <c r="L93" s="559"/>
      <c r="M93" s="559"/>
      <c r="N93" s="559"/>
      <c r="O93" s="559"/>
      <c r="P93" s="559"/>
      <c r="Q93" s="559"/>
      <c r="R93" s="559"/>
      <c r="S93" s="559"/>
      <c r="T93" s="559"/>
      <c r="U93" s="559"/>
      <c r="V93" s="559"/>
      <c r="W93" s="559"/>
      <c r="X93" s="559"/>
      <c r="Y93" s="559"/>
      <c r="Z93" s="559"/>
      <c r="AA93" s="559"/>
      <c r="AB93" s="559"/>
      <c r="AC93" s="559"/>
      <c r="AD93" s="559"/>
      <c r="AE93" s="559"/>
      <c r="AF93" s="559"/>
      <c r="AG93" s="559"/>
    </row>
    <row r="94" spans="1:33" ht="15.75" x14ac:dyDescent="0.25">
      <c r="B94" s="566" t="s">
        <v>1102</v>
      </c>
      <c r="C94" s="665"/>
      <c r="D94" s="665"/>
      <c r="E94" s="665"/>
      <c r="F94" s="665"/>
      <c r="G94" s="1340">
        <f>'Baseline farm'!G93</f>
        <v>0</v>
      </c>
      <c r="H94" s="1340">
        <f>'Baseline farm'!H93</f>
        <v>0</v>
      </c>
      <c r="I94" s="570"/>
      <c r="J94" s="5"/>
      <c r="K94" s="5"/>
    </row>
    <row r="95" spans="1:33" x14ac:dyDescent="0.25">
      <c r="B95" s="596"/>
      <c r="C95" s="834"/>
      <c r="D95" s="834"/>
      <c r="E95" s="834"/>
      <c r="F95" s="834"/>
      <c r="G95" s="834"/>
      <c r="H95" s="834"/>
      <c r="I95" s="835"/>
      <c r="J95" s="5"/>
      <c r="K95" s="5"/>
    </row>
    <row r="96" spans="1:33" ht="15.75" x14ac:dyDescent="0.25">
      <c r="B96" s="1310" t="s">
        <v>966</v>
      </c>
      <c r="C96" s="1311"/>
      <c r="D96" s="1311"/>
      <c r="E96" s="1309"/>
      <c r="F96" s="2186">
        <f>'Baseline farm'!F95</f>
        <v>0</v>
      </c>
      <c r="G96" s="2186"/>
      <c r="H96" s="1313" t="s">
        <v>1031</v>
      </c>
      <c r="I96" s="1293">
        <f>AN255</f>
        <v>1</v>
      </c>
      <c r="J96" s="5"/>
      <c r="K96" s="5"/>
    </row>
    <row r="97" spans="1:25" x14ac:dyDescent="0.25">
      <c r="B97" s="5"/>
      <c r="C97" s="5"/>
      <c r="D97" s="5"/>
      <c r="E97" s="5"/>
      <c r="F97" s="5"/>
      <c r="G97" s="5"/>
      <c r="H97" s="5"/>
      <c r="I97" s="5"/>
      <c r="J97" s="5"/>
      <c r="K97" s="5"/>
    </row>
    <row r="98" spans="1:25" ht="15.75" x14ac:dyDescent="0.25">
      <c r="B98" s="840" t="s">
        <v>1138</v>
      </c>
      <c r="C98" s="5"/>
      <c r="D98" s="5"/>
      <c r="E98" s="5"/>
      <c r="F98" s="5"/>
      <c r="G98" s="5"/>
      <c r="H98" s="5"/>
      <c r="I98" s="5"/>
      <c r="J98" s="5"/>
      <c r="K98" s="5"/>
    </row>
    <row r="99" spans="1:25" ht="25.15" customHeight="1" x14ac:dyDescent="0.25">
      <c r="B99" s="2112"/>
      <c r="C99" s="2112"/>
      <c r="D99" s="2148" t="str">
        <f>D17</f>
        <v>Milking Cows</v>
      </c>
      <c r="E99" s="2148" t="str">
        <f>E17</f>
        <v xml:space="preserve">Heifers &gt;1 </v>
      </c>
      <c r="F99" s="2148" t="str">
        <f>F17</f>
        <v xml:space="preserve">Heifers &lt;1 </v>
      </c>
      <c r="G99" s="2148" t="str">
        <f>G17</f>
        <v>Mature bulls</v>
      </c>
      <c r="H99" s="2148" t="str">
        <f>H17</f>
        <v>Immature bulls</v>
      </c>
      <c r="I99" s="2148" t="s">
        <v>463</v>
      </c>
      <c r="J99" s="2150" t="s">
        <v>1070</v>
      </c>
      <c r="K99" s="2176" t="s">
        <v>1071</v>
      </c>
    </row>
    <row r="100" spans="1:25" ht="25.15" customHeight="1" x14ac:dyDescent="0.25">
      <c r="B100" s="795"/>
      <c r="C100" s="795"/>
      <c r="D100" s="2149"/>
      <c r="E100" s="2149"/>
      <c r="F100" s="2149"/>
      <c r="G100" s="2149"/>
      <c r="H100" s="2149"/>
      <c r="I100" s="2149"/>
      <c r="J100" s="2151"/>
      <c r="K100" s="2177"/>
    </row>
    <row r="101" spans="1:25" ht="15.75" x14ac:dyDescent="0.25">
      <c r="B101" s="60" t="s">
        <v>891</v>
      </c>
      <c r="C101" s="794" t="s">
        <v>457</v>
      </c>
      <c r="D101" s="1882" t="e">
        <f>D259*25*10^3</f>
        <v>#DIV/0!</v>
      </c>
      <c r="E101" s="1882">
        <f>E259*25*10^3</f>
        <v>0</v>
      </c>
      <c r="F101" s="1882">
        <f>(F259+I259)*25*10^3</f>
        <v>0</v>
      </c>
      <c r="G101" s="1882">
        <f>G259*25*10^3</f>
        <v>0</v>
      </c>
      <c r="H101" s="1882">
        <f>(H259+J259)*25*10^3</f>
        <v>0</v>
      </c>
      <c r="I101" s="1882"/>
      <c r="J101" s="1882" t="e">
        <f t="shared" ref="J101:J104" si="0">SUM(D101:H101)</f>
        <v>#DIV/0!</v>
      </c>
      <c r="K101" s="973" t="e">
        <f t="shared" ref="K101:K112" si="1">J101/($J$114-$J$113)</f>
        <v>#DIV/0!</v>
      </c>
      <c r="L101" s="356"/>
      <c r="S101" s="568"/>
      <c r="T101" s="568"/>
      <c r="U101" s="56"/>
      <c r="V101" s="56"/>
      <c r="W101" s="56"/>
      <c r="X101" s="56"/>
      <c r="Y101" s="56"/>
    </row>
    <row r="102" spans="1:25" ht="15.75" x14ac:dyDescent="0.25">
      <c r="B102" s="58"/>
      <c r="C102" s="58" t="s">
        <v>458</v>
      </c>
      <c r="D102" s="1882" t="e">
        <f>D284*25*10^3</f>
        <v>#DIV/0!</v>
      </c>
      <c r="E102" s="1882">
        <f>E284*25*10^3</f>
        <v>0</v>
      </c>
      <c r="F102" s="1882">
        <f>(F284+I284)*25*10^3</f>
        <v>0</v>
      </c>
      <c r="G102" s="1882">
        <f>G284*25*10^3</f>
        <v>0</v>
      </c>
      <c r="H102" s="1882">
        <f>(H284+J284)*25*10^3</f>
        <v>0</v>
      </c>
      <c r="I102" s="1882"/>
      <c r="J102" s="1882" t="e">
        <f t="shared" si="0"/>
        <v>#DIV/0!</v>
      </c>
      <c r="K102" s="973" t="e">
        <f t="shared" si="1"/>
        <v>#DIV/0!</v>
      </c>
      <c r="L102" s="356"/>
      <c r="S102" s="568"/>
      <c r="T102" s="568"/>
      <c r="U102" s="56"/>
      <c r="V102" s="56"/>
      <c r="W102" s="56"/>
      <c r="X102" s="56"/>
      <c r="Y102" s="56"/>
    </row>
    <row r="103" spans="1:25" ht="15.75" x14ac:dyDescent="0.25">
      <c r="A103" s="56"/>
      <c r="B103" s="60" t="s">
        <v>892</v>
      </c>
      <c r="C103" s="58" t="s">
        <v>1505</v>
      </c>
      <c r="D103" s="1882" t="e">
        <f>D469*298*10^3</f>
        <v>#DIV/0!</v>
      </c>
      <c r="E103" s="1882" t="e">
        <f>E469*298*10^3</f>
        <v>#N/A</v>
      </c>
      <c r="F103" s="1882" t="e">
        <f>(F469+I469)*298*10^3</f>
        <v>#N/A</v>
      </c>
      <c r="G103" s="1882" t="e">
        <f>G469*298*10^3</f>
        <v>#N/A</v>
      </c>
      <c r="H103" s="1882" t="e">
        <f>(H469+J469)*298*10^3</f>
        <v>#N/A</v>
      </c>
      <c r="I103" s="1882"/>
      <c r="J103" s="1882" t="e">
        <f t="shared" si="0"/>
        <v>#DIV/0!</v>
      </c>
      <c r="K103" s="973" t="e">
        <f t="shared" si="1"/>
        <v>#DIV/0!</v>
      </c>
      <c r="L103" s="356"/>
      <c r="N103" s="356"/>
    </row>
    <row r="104" spans="1:25" ht="15.75" x14ac:dyDescent="0.25">
      <c r="A104" s="56"/>
      <c r="B104" s="58"/>
      <c r="C104" s="58" t="s">
        <v>1515</v>
      </c>
      <c r="D104" s="1882" t="e">
        <f>(D348+D424)*298*10^3</f>
        <v>#DIV/0!</v>
      </c>
      <c r="E104" s="1882" t="e">
        <f>(E348+E424)*298*10^3</f>
        <v>#N/A</v>
      </c>
      <c r="F104" s="1882" t="e">
        <f>(F348+F424+I348+I424)*298*10^3</f>
        <v>#N/A</v>
      </c>
      <c r="G104" s="1882" t="e">
        <f>(G348+G424)*298*10^3</f>
        <v>#N/A</v>
      </c>
      <c r="H104" s="1882" t="e">
        <f>(H348+H424+J348+J424)*298*10^3</f>
        <v>#N/A</v>
      </c>
      <c r="I104" s="1882"/>
      <c r="J104" s="1882" t="e">
        <f t="shared" si="0"/>
        <v>#DIV/0!</v>
      </c>
      <c r="K104" s="973" t="e">
        <f t="shared" si="1"/>
        <v>#DIV/0!</v>
      </c>
      <c r="L104" s="356"/>
      <c r="N104" s="356"/>
      <c r="O104" s="568"/>
      <c r="P104" s="568"/>
      <c r="Q104" s="568"/>
      <c r="R104" s="568"/>
    </row>
    <row r="105" spans="1:25" ht="15.75" x14ac:dyDescent="0.25">
      <c r="A105" s="56"/>
      <c r="B105" s="58"/>
      <c r="C105" s="58" t="s">
        <v>461</v>
      </c>
      <c r="D105" s="1882" t="e">
        <f>(D363+D372+D506+D540)*298*10^3</f>
        <v>#DIV/0!</v>
      </c>
      <c r="E105" s="1882" t="e">
        <f>(E363+E372+E506+E540)*298*10^3</f>
        <v>#N/A</v>
      </c>
      <c r="F105" s="1882" t="e">
        <f>(F363+F372+F506+F540+I363+I372+I506+I540)*298*10^3</f>
        <v>#N/A</v>
      </c>
      <c r="G105" s="1882" t="e">
        <f>(G363+G372+G506+G540)*298*10^3</f>
        <v>#N/A</v>
      </c>
      <c r="H105" s="1882" t="e">
        <f>(H363+H372+H506+H540+J363+J372+J506+J540)*298*10^3</f>
        <v>#N/A</v>
      </c>
      <c r="I105" s="1882"/>
      <c r="J105" s="1882" t="e">
        <f>SUM(D105:H105)</f>
        <v>#DIV/0!</v>
      </c>
      <c r="K105" s="973" t="e">
        <f t="shared" si="1"/>
        <v>#DIV/0!</v>
      </c>
      <c r="L105" s="356"/>
      <c r="N105" s="356"/>
    </row>
    <row r="106" spans="1:25" ht="15.75" x14ac:dyDescent="0.25">
      <c r="A106" s="56"/>
      <c r="B106" s="58"/>
      <c r="C106" s="58" t="s">
        <v>462</v>
      </c>
      <c r="D106" s="1883"/>
      <c r="E106" s="1882"/>
      <c r="F106" s="1882"/>
      <c r="G106" s="1882"/>
      <c r="H106" s="1882"/>
      <c r="I106" s="1882">
        <f>C402</f>
        <v>0</v>
      </c>
      <c r="J106" s="1882">
        <f>I106</f>
        <v>0</v>
      </c>
      <c r="K106" s="973" t="e">
        <f t="shared" si="1"/>
        <v>#DIV/0!</v>
      </c>
      <c r="L106" s="356"/>
    </row>
    <row r="107" spans="1:25" ht="15.75" x14ac:dyDescent="0.25">
      <c r="A107" s="56"/>
      <c r="B107" s="58"/>
      <c r="C107" s="58" t="s">
        <v>460</v>
      </c>
      <c r="D107" s="1883"/>
      <c r="E107" s="1882"/>
      <c r="F107" s="1882"/>
      <c r="G107" s="1882"/>
      <c r="H107" s="1882"/>
      <c r="I107" s="1882">
        <f>(SUM(D501:D504)+SUM(D535:D538))*298*10^3</f>
        <v>0</v>
      </c>
      <c r="J107" s="1882">
        <f>I107</f>
        <v>0</v>
      </c>
      <c r="K107" s="973" t="e">
        <f t="shared" si="1"/>
        <v>#DIV/0!</v>
      </c>
    </row>
    <row r="108" spans="1:25" ht="15.75" x14ac:dyDescent="0.25">
      <c r="A108" s="56"/>
      <c r="B108" s="60" t="s">
        <v>893</v>
      </c>
      <c r="C108" s="58" t="s">
        <v>889</v>
      </c>
      <c r="D108" s="1883"/>
      <c r="E108" s="1882"/>
      <c r="F108" s="1882"/>
      <c r="G108" s="1882"/>
      <c r="H108" s="1882"/>
      <c r="I108" s="1882"/>
      <c r="J108" s="1882" t="e">
        <f>C614</f>
        <v>#N/A</v>
      </c>
      <c r="K108" s="973" t="e">
        <f t="shared" si="1"/>
        <v>#N/A</v>
      </c>
    </row>
    <row r="109" spans="1:25" ht="15.75" x14ac:dyDescent="0.25">
      <c r="A109" s="56"/>
      <c r="B109" s="60"/>
      <c r="C109" s="58" t="s">
        <v>890</v>
      </c>
      <c r="D109" s="1883"/>
      <c r="E109" s="1882"/>
      <c r="F109" s="1882"/>
      <c r="G109" s="1882"/>
      <c r="H109" s="1882"/>
      <c r="I109" s="1882"/>
      <c r="J109" s="1882">
        <f>C607+C608</f>
        <v>0</v>
      </c>
      <c r="K109" s="973" t="e">
        <f t="shared" si="1"/>
        <v>#DIV/0!</v>
      </c>
    </row>
    <row r="110" spans="1:25" ht="15.75" x14ac:dyDescent="0.25">
      <c r="A110" s="56"/>
      <c r="B110" s="1088" t="s">
        <v>1677</v>
      </c>
      <c r="C110" s="58" t="s">
        <v>938</v>
      </c>
      <c r="D110" s="1883"/>
      <c r="E110" s="1882"/>
      <c r="F110" s="1882"/>
      <c r="G110" s="1882"/>
      <c r="H110" s="1882"/>
      <c r="I110" s="1882"/>
      <c r="J110" s="1882">
        <f>E638</f>
        <v>0</v>
      </c>
      <c r="K110" s="973" t="e">
        <f t="shared" si="1"/>
        <v>#DIV/0!</v>
      </c>
    </row>
    <row r="111" spans="1:25" ht="15.75" x14ac:dyDescent="0.25">
      <c r="A111" s="56"/>
      <c r="B111" s="60"/>
      <c r="C111" s="58" t="s">
        <v>939</v>
      </c>
      <c r="D111" s="1883"/>
      <c r="E111" s="1882"/>
      <c r="F111" s="1882"/>
      <c r="G111" s="1882"/>
      <c r="H111" s="1882"/>
      <c r="I111" s="1882"/>
      <c r="J111" s="1882">
        <f>E640-E638</f>
        <v>0</v>
      </c>
      <c r="K111" s="973" t="e">
        <f t="shared" si="1"/>
        <v>#DIV/0!</v>
      </c>
    </row>
    <row r="112" spans="1:25" ht="15.75" x14ac:dyDescent="0.25">
      <c r="A112" s="56"/>
      <c r="B112" s="60"/>
      <c r="C112" s="58" t="s">
        <v>921</v>
      </c>
      <c r="D112" s="1883"/>
      <c r="E112" s="1882"/>
      <c r="F112" s="1882"/>
      <c r="G112" s="1882"/>
      <c r="H112" s="1882"/>
      <c r="I112" s="1882"/>
      <c r="J112" s="1882">
        <f>E647</f>
        <v>0</v>
      </c>
      <c r="K112" s="973" t="e">
        <f t="shared" si="1"/>
        <v>#DIV/0!</v>
      </c>
    </row>
    <row r="113" spans="2:13" ht="15.75" x14ac:dyDescent="0.25">
      <c r="B113" s="60" t="s">
        <v>676</v>
      </c>
      <c r="C113" s="58" t="s">
        <v>1153</v>
      </c>
      <c r="D113" s="1883"/>
      <c r="E113" s="1882"/>
      <c r="F113" s="1882"/>
      <c r="G113" s="1882"/>
      <c r="H113" s="1882"/>
      <c r="I113" s="1882"/>
      <c r="J113" s="1882">
        <f>G579*H66*-1</f>
        <v>0</v>
      </c>
      <c r="K113" s="319"/>
    </row>
    <row r="114" spans="2:13" ht="17.25" x14ac:dyDescent="0.3">
      <c r="B114" s="60" t="s">
        <v>767</v>
      </c>
      <c r="C114" s="58"/>
      <c r="D114" s="1882" t="e">
        <f t="shared" ref="D114:J114" si="2">SUM(D101:D113)</f>
        <v>#DIV/0!</v>
      </c>
      <c r="E114" s="1882" t="e">
        <f t="shared" si="2"/>
        <v>#N/A</v>
      </c>
      <c r="F114" s="1882" t="e">
        <f t="shared" si="2"/>
        <v>#N/A</v>
      </c>
      <c r="G114" s="1882" t="e">
        <f t="shared" si="2"/>
        <v>#N/A</v>
      </c>
      <c r="H114" s="1882" t="e">
        <f t="shared" si="2"/>
        <v>#N/A</v>
      </c>
      <c r="I114" s="1882">
        <f t="shared" si="2"/>
        <v>0</v>
      </c>
      <c r="J114" s="2008" t="e">
        <f t="shared" si="2"/>
        <v>#DIV/0!</v>
      </c>
      <c r="K114" s="1077" t="s">
        <v>1389</v>
      </c>
      <c r="M114" s="357"/>
    </row>
    <row r="115" spans="2:13" ht="15.75" x14ac:dyDescent="0.25">
      <c r="B115" s="60" t="s">
        <v>1045</v>
      </c>
      <c r="C115" s="58"/>
      <c r="D115" s="1887" t="e">
        <f t="shared" ref="D115:I115" si="3">D114/SUM($J$101:$J$112)</f>
        <v>#DIV/0!</v>
      </c>
      <c r="E115" s="1887" t="e">
        <f t="shared" si="3"/>
        <v>#N/A</v>
      </c>
      <c r="F115" s="1887" t="e">
        <f t="shared" si="3"/>
        <v>#N/A</v>
      </c>
      <c r="G115" s="1887" t="e">
        <f t="shared" si="3"/>
        <v>#N/A</v>
      </c>
      <c r="H115" s="1887" t="e">
        <f t="shared" si="3"/>
        <v>#N/A</v>
      </c>
      <c r="I115" s="1887" t="e">
        <f t="shared" si="3"/>
        <v>#DIV/0!</v>
      </c>
      <c r="J115" s="629"/>
      <c r="K115" s="512"/>
    </row>
    <row r="116" spans="2:13" ht="17.25" x14ac:dyDescent="0.3">
      <c r="B116" s="841" t="s">
        <v>1392</v>
      </c>
      <c r="C116" s="842"/>
      <c r="D116" s="842"/>
      <c r="E116" s="842"/>
      <c r="F116" s="842"/>
      <c r="G116" s="842"/>
      <c r="H116" s="842"/>
      <c r="I116" s="842"/>
      <c r="J116" s="321" t="e">
        <f>'Baseline farm'!J113-'Strategy farm'!J114</f>
        <v>#DIV/0!</v>
      </c>
      <c r="K116" s="1077" t="s">
        <v>1389</v>
      </c>
    </row>
    <row r="117" spans="2:13" ht="15.75" x14ac:dyDescent="0.25">
      <c r="B117" s="60" t="s">
        <v>1386</v>
      </c>
      <c r="C117" s="58"/>
      <c r="D117" s="974"/>
      <c r="E117" s="974"/>
      <c r="F117" s="974"/>
      <c r="G117" s="974"/>
      <c r="H117" s="974"/>
      <c r="I117" s="974"/>
      <c r="J117" s="1449" t="e">
        <f>('Baseline farm'!J113-'Strategy farm'!J114)/'Baseline farm'!J113*100</f>
        <v>#DIV/0!</v>
      </c>
      <c r="K117" s="1078" t="s">
        <v>259</v>
      </c>
    </row>
    <row r="118" spans="2:13" ht="15.75" x14ac:dyDescent="0.25">
      <c r="B118" s="60"/>
      <c r="C118" s="58"/>
      <c r="D118" s="974"/>
      <c r="E118" s="974"/>
      <c r="F118" s="974"/>
      <c r="G118" s="974"/>
      <c r="H118" s="974"/>
      <c r="I118" s="974"/>
      <c r="J118" s="629"/>
      <c r="K118" s="512"/>
    </row>
    <row r="119" spans="2:13" ht="17.25" x14ac:dyDescent="0.3">
      <c r="B119" s="60" t="s">
        <v>1044</v>
      </c>
      <c r="C119" s="58"/>
      <c r="D119" s="320"/>
      <c r="E119" s="59"/>
      <c r="F119" s="59"/>
      <c r="G119" s="59"/>
      <c r="H119" s="59"/>
      <c r="I119" s="59"/>
      <c r="J119" s="324" t="e">
        <f>P241</f>
        <v>#DIV/0!</v>
      </c>
      <c r="K119" s="1078" t="s">
        <v>1390</v>
      </c>
    </row>
    <row r="120" spans="2:13" ht="17.25" x14ac:dyDescent="0.3">
      <c r="B120" s="841" t="s">
        <v>1043</v>
      </c>
      <c r="C120" s="842"/>
      <c r="D120" s="842"/>
      <c r="E120" s="842"/>
      <c r="F120" s="842"/>
      <c r="G120" s="842"/>
      <c r="H120" s="842"/>
      <c r="I120" s="842"/>
      <c r="J120" s="321" t="e">
        <f>P242</f>
        <v>#DIV/0!</v>
      </c>
      <c r="K120" s="1078" t="s">
        <v>1391</v>
      </c>
    </row>
    <row r="121" spans="2:13" ht="15.75" x14ac:dyDescent="0.25">
      <c r="B121" s="841"/>
      <c r="C121" s="842"/>
      <c r="D121" s="842"/>
      <c r="E121" s="842"/>
      <c r="F121" s="842"/>
      <c r="G121" s="842"/>
      <c r="H121" s="842"/>
      <c r="I121" s="842"/>
      <c r="J121" s="321"/>
      <c r="K121" s="842"/>
    </row>
    <row r="122" spans="2:13" ht="17.25" x14ac:dyDescent="0.3">
      <c r="B122" s="841" t="s">
        <v>1393</v>
      </c>
      <c r="C122" s="842"/>
      <c r="D122" s="842"/>
      <c r="E122" s="842"/>
      <c r="F122" s="842"/>
      <c r="G122" s="842"/>
      <c r="H122" s="842"/>
      <c r="I122" s="842"/>
      <c r="J122" s="324" t="e">
        <f>'Baseline farm'!J115-'Strategy farm'!J119</f>
        <v>#DIV/0!</v>
      </c>
      <c r="K122" s="1078" t="s">
        <v>1390</v>
      </c>
    </row>
    <row r="123" spans="2:13" ht="17.25" x14ac:dyDescent="0.3">
      <c r="B123" s="841" t="s">
        <v>1394</v>
      </c>
      <c r="C123" s="842"/>
      <c r="D123" s="842"/>
      <c r="E123" s="842"/>
      <c r="F123" s="842"/>
      <c r="G123" s="842"/>
      <c r="H123" s="842"/>
      <c r="I123" s="842"/>
      <c r="J123" s="324" t="e">
        <f>'Baseline farm'!J116-'Strategy farm'!J120</f>
        <v>#DIV/0!</v>
      </c>
      <c r="K123" s="1078" t="s">
        <v>1391</v>
      </c>
    </row>
    <row r="124" spans="2:13" ht="15.75" x14ac:dyDescent="0.25">
      <c r="B124" s="60" t="s">
        <v>1387</v>
      </c>
      <c r="C124" s="842"/>
      <c r="D124" s="842"/>
      <c r="E124" s="842"/>
      <c r="F124" s="842"/>
      <c r="G124" s="842"/>
      <c r="H124" s="842"/>
      <c r="I124" s="842"/>
      <c r="J124" s="321" t="e">
        <f>('Baseline farm'!J115-'Strategy farm'!J119)/'Baseline farm'!J115*100</f>
        <v>#DIV/0!</v>
      </c>
      <c r="K124" s="1078" t="s">
        <v>259</v>
      </c>
      <c r="L124" s="356"/>
    </row>
    <row r="126" spans="2:13" ht="15.75" x14ac:dyDescent="0.25">
      <c r="B126" s="358"/>
      <c r="C126" s="358"/>
      <c r="D126" s="359"/>
      <c r="E126" s="359"/>
      <c r="F126" s="359"/>
      <c r="G126" s="359"/>
      <c r="H126" s="359"/>
      <c r="I126" s="359"/>
    </row>
    <row r="127" spans="2:13" ht="15.75" x14ac:dyDescent="0.25">
      <c r="B127" s="358"/>
      <c r="C127" s="358"/>
      <c r="D127" s="359"/>
      <c r="E127" s="359"/>
      <c r="F127" s="359"/>
      <c r="G127" s="359"/>
      <c r="H127" s="359"/>
      <c r="I127" s="359"/>
      <c r="L127" s="1075"/>
    </row>
    <row r="128" spans="2:13" ht="15.75" x14ac:dyDescent="0.25">
      <c r="B128" s="358"/>
      <c r="C128" s="358"/>
      <c r="D128" s="359"/>
      <c r="E128" s="359"/>
      <c r="F128" s="359"/>
      <c r="G128" s="359"/>
      <c r="H128" s="359"/>
      <c r="I128" s="359"/>
      <c r="J128" s="506"/>
    </row>
    <row r="129" spans="2:9" ht="15.75" x14ac:dyDescent="0.25">
      <c r="B129" s="358"/>
      <c r="C129" s="358"/>
      <c r="D129" s="359"/>
      <c r="E129" s="359"/>
      <c r="F129" s="359"/>
      <c r="G129" s="359"/>
      <c r="H129" s="359"/>
      <c r="I129" s="359"/>
    </row>
    <row r="130" spans="2:9" ht="15.75" x14ac:dyDescent="0.25">
      <c r="B130" s="358"/>
      <c r="C130" s="358"/>
      <c r="D130" s="359"/>
      <c r="E130" s="359"/>
      <c r="F130" s="359"/>
      <c r="G130" s="359"/>
      <c r="H130" s="359"/>
      <c r="I130" s="359"/>
    </row>
    <row r="131" spans="2:9" ht="15.75" x14ac:dyDescent="0.25">
      <c r="B131" s="358"/>
      <c r="C131" s="358"/>
      <c r="D131" s="359"/>
      <c r="E131" s="359"/>
      <c r="F131" s="359"/>
      <c r="G131" s="359"/>
      <c r="H131" s="359"/>
      <c r="I131" s="359"/>
    </row>
    <row r="132" spans="2:9" ht="15.75" x14ac:dyDescent="0.25">
      <c r="B132" s="358"/>
      <c r="C132" s="358"/>
      <c r="D132" s="359"/>
      <c r="E132" s="359"/>
      <c r="F132" s="359"/>
      <c r="G132" s="359"/>
      <c r="H132" s="359"/>
      <c r="I132" s="359"/>
    </row>
    <row r="133" spans="2:9" ht="15.75" x14ac:dyDescent="0.25">
      <c r="B133" s="358"/>
      <c r="C133" s="358"/>
      <c r="D133" s="359"/>
      <c r="E133" s="359"/>
      <c r="F133" s="359"/>
      <c r="G133" s="359"/>
      <c r="H133" s="359"/>
      <c r="I133" s="359"/>
    </row>
    <row r="134" spans="2:9" ht="15.75" x14ac:dyDescent="0.25">
      <c r="B134" s="358"/>
      <c r="C134" s="358"/>
      <c r="D134" s="359"/>
      <c r="E134" s="359"/>
      <c r="F134" s="359"/>
      <c r="G134" s="359"/>
      <c r="H134" s="359"/>
      <c r="I134" s="359"/>
    </row>
    <row r="135" spans="2:9" ht="15.75" x14ac:dyDescent="0.25">
      <c r="B135" s="358"/>
      <c r="C135" s="358"/>
      <c r="D135" s="359"/>
      <c r="E135" s="359"/>
      <c r="F135" s="359"/>
      <c r="G135" s="359"/>
      <c r="H135" s="359"/>
      <c r="I135" s="359"/>
    </row>
    <row r="136" spans="2:9" ht="15.75" x14ac:dyDescent="0.25">
      <c r="B136" s="358"/>
      <c r="C136" s="358"/>
      <c r="D136" s="359"/>
      <c r="E136" s="359"/>
      <c r="F136" s="359"/>
      <c r="G136" s="359"/>
      <c r="H136" s="359"/>
      <c r="I136" s="359"/>
    </row>
    <row r="137" spans="2:9" ht="15.75" x14ac:dyDescent="0.25">
      <c r="B137" s="358"/>
      <c r="C137" s="358"/>
      <c r="D137" s="359"/>
      <c r="E137" s="359"/>
      <c r="F137" s="359"/>
      <c r="G137" s="359"/>
      <c r="H137" s="359"/>
      <c r="I137" s="359"/>
    </row>
    <row r="138" spans="2:9" ht="15.75" x14ac:dyDescent="0.25">
      <c r="B138" s="358"/>
      <c r="C138" s="358"/>
      <c r="D138" s="359"/>
      <c r="E138" s="359"/>
      <c r="F138" s="359"/>
      <c r="G138" s="359"/>
      <c r="H138" s="359"/>
      <c r="I138" s="359"/>
    </row>
    <row r="139" spans="2:9" ht="15.75" x14ac:dyDescent="0.25">
      <c r="B139" s="358"/>
      <c r="C139" s="358"/>
      <c r="D139" s="359"/>
      <c r="E139" s="359"/>
      <c r="F139" s="359"/>
      <c r="G139" s="359"/>
      <c r="H139" s="359"/>
      <c r="I139" s="359"/>
    </row>
    <row r="140" spans="2:9" ht="15.75" x14ac:dyDescent="0.25">
      <c r="B140" s="358"/>
      <c r="C140" s="358"/>
      <c r="D140" s="359"/>
      <c r="E140" s="359"/>
      <c r="F140" s="359"/>
      <c r="G140" s="359"/>
      <c r="H140" s="359"/>
      <c r="I140" s="359"/>
    </row>
    <row r="141" spans="2:9" ht="15.75" x14ac:dyDescent="0.25">
      <c r="B141" s="358"/>
      <c r="C141" s="358"/>
      <c r="D141" s="359"/>
      <c r="E141" s="359"/>
      <c r="F141" s="359"/>
      <c r="G141" s="359"/>
      <c r="H141" s="359"/>
      <c r="I141" s="359"/>
    </row>
    <row r="142" spans="2:9" ht="15.75" x14ac:dyDescent="0.25">
      <c r="B142" s="358"/>
      <c r="C142" s="358"/>
      <c r="D142" s="359"/>
      <c r="E142" s="359"/>
      <c r="F142" s="359"/>
      <c r="G142" s="359"/>
      <c r="H142" s="359"/>
      <c r="I142" s="359"/>
    </row>
    <row r="143" spans="2:9" ht="15.75" x14ac:dyDescent="0.25">
      <c r="B143" s="358"/>
      <c r="C143" s="358"/>
      <c r="D143" s="359"/>
      <c r="E143" s="359"/>
      <c r="F143" s="359"/>
      <c r="G143" s="359"/>
      <c r="H143" s="359"/>
      <c r="I143" s="359"/>
    </row>
    <row r="144" spans="2:9" ht="15.75" x14ac:dyDescent="0.25">
      <c r="B144" s="358"/>
      <c r="C144" s="358"/>
      <c r="D144" s="359"/>
      <c r="E144" s="359"/>
      <c r="F144" s="359"/>
      <c r="G144" s="359"/>
      <c r="H144" s="359"/>
      <c r="I144" s="359"/>
    </row>
    <row r="145" spans="2:9" ht="15.75" x14ac:dyDescent="0.25">
      <c r="B145" s="358"/>
      <c r="C145" s="358"/>
      <c r="D145" s="359"/>
      <c r="E145" s="359"/>
      <c r="F145" s="359"/>
      <c r="G145" s="359"/>
      <c r="H145" s="359"/>
      <c r="I145" s="359"/>
    </row>
    <row r="146" spans="2:9" ht="15.75" x14ac:dyDescent="0.25">
      <c r="B146" s="358"/>
      <c r="C146" s="358"/>
      <c r="D146" s="359"/>
      <c r="E146" s="359"/>
      <c r="F146" s="359"/>
      <c r="G146" s="359"/>
      <c r="H146" s="359"/>
      <c r="I146" s="359"/>
    </row>
    <row r="147" spans="2:9" ht="15.75" x14ac:dyDescent="0.25">
      <c r="B147" s="358"/>
      <c r="C147" s="358"/>
      <c r="D147" s="359"/>
      <c r="E147" s="359"/>
      <c r="F147" s="359"/>
      <c r="G147" s="359"/>
      <c r="H147" s="359"/>
      <c r="I147" s="359"/>
    </row>
    <row r="148" spans="2:9" ht="15.75" x14ac:dyDescent="0.25">
      <c r="B148" s="358"/>
      <c r="C148" s="358"/>
      <c r="D148" s="628"/>
      <c r="E148" s="628"/>
      <c r="F148" s="628"/>
      <c r="G148" s="628"/>
      <c r="H148" s="628"/>
      <c r="I148" s="628"/>
    </row>
    <row r="151" spans="2:9" ht="18.75" x14ac:dyDescent="0.3">
      <c r="C151" s="361" t="s">
        <v>1122</v>
      </c>
    </row>
    <row r="154" spans="2:9" ht="18.75" x14ac:dyDescent="0.3">
      <c r="C154" s="2187"/>
      <c r="D154" s="2187"/>
      <c r="E154" s="2187"/>
      <c r="F154" s="2187"/>
      <c r="G154" s="361"/>
      <c r="H154" s="361"/>
    </row>
    <row r="155" spans="2:9" ht="18.75" x14ac:dyDescent="0.3">
      <c r="C155" s="893" t="s">
        <v>1134</v>
      </c>
      <c r="D155" s="894"/>
      <c r="E155" s="894"/>
      <c r="F155" s="894"/>
      <c r="G155" s="895"/>
    </row>
    <row r="156" spans="2:9" ht="5.0999999999999996" customHeight="1" x14ac:dyDescent="0.25">
      <c r="C156" s="205"/>
      <c r="D156" s="892"/>
      <c r="E156" s="892"/>
      <c r="F156" s="892"/>
      <c r="G156" s="896"/>
    </row>
    <row r="157" spans="2:9" ht="15.75" x14ac:dyDescent="0.25">
      <c r="C157" s="2188" t="s">
        <v>1139</v>
      </c>
      <c r="D157" s="2189"/>
      <c r="E157" s="2189"/>
      <c r="F157" s="2189"/>
      <c r="G157" s="900">
        <f>C215/1</f>
        <v>0</v>
      </c>
    </row>
    <row r="158" spans="2:9" ht="5.0999999999999996" customHeight="1" x14ac:dyDescent="0.25">
      <c r="C158" s="205"/>
      <c r="D158" s="892"/>
      <c r="E158" s="892"/>
      <c r="F158" s="892"/>
      <c r="G158" s="901"/>
    </row>
    <row r="159" spans="2:9" ht="15.75" x14ac:dyDescent="0.25">
      <c r="C159" s="2188" t="s">
        <v>1141</v>
      </c>
      <c r="D159" s="2190"/>
      <c r="E159" s="2190"/>
      <c r="F159" s="2190"/>
      <c r="G159" s="900">
        <f>C216/1</f>
        <v>0</v>
      </c>
    </row>
    <row r="160" spans="2:9" ht="5.0999999999999996" customHeight="1" x14ac:dyDescent="0.25">
      <c r="C160" s="2191"/>
      <c r="D160" s="2190"/>
      <c r="E160" s="2190"/>
      <c r="F160" s="2190"/>
      <c r="G160" s="901"/>
    </row>
    <row r="161" spans="3:7" ht="15.75" x14ac:dyDescent="0.25">
      <c r="C161" s="2188" t="s">
        <v>1140</v>
      </c>
      <c r="D161" s="2190"/>
      <c r="E161" s="2190"/>
      <c r="F161" s="2190"/>
      <c r="G161" s="902">
        <f>C217/1000</f>
        <v>0.4</v>
      </c>
    </row>
    <row r="162" spans="3:7" ht="5.0999999999999996" customHeight="1" x14ac:dyDescent="0.25">
      <c r="C162" s="2191"/>
      <c r="D162" s="2190"/>
      <c r="E162" s="2190"/>
      <c r="F162" s="2190"/>
      <c r="G162" s="901"/>
    </row>
    <row r="163" spans="3:7" ht="15.75" x14ac:dyDescent="0.25">
      <c r="C163" s="2188" t="s">
        <v>72</v>
      </c>
      <c r="D163" s="2190"/>
      <c r="E163" s="2190"/>
      <c r="F163" s="2190"/>
      <c r="G163" s="903">
        <f>C218/100</f>
        <v>6</v>
      </c>
    </row>
    <row r="164" spans="3:7" ht="5.0999999999999996" customHeight="1" x14ac:dyDescent="0.25">
      <c r="C164" s="2192"/>
      <c r="D164" s="2179"/>
      <c r="E164" s="2179"/>
      <c r="F164" s="2179"/>
      <c r="G164" s="901"/>
    </row>
    <row r="165" spans="3:7" ht="15.75" x14ac:dyDescent="0.25">
      <c r="C165" s="2193" t="s">
        <v>1047</v>
      </c>
      <c r="D165" s="2194"/>
      <c r="E165" s="2194"/>
      <c r="F165" s="2194"/>
      <c r="G165" s="897">
        <f>F215</f>
        <v>0</v>
      </c>
    </row>
    <row r="166" spans="3:7" ht="5.0999999999999996" customHeight="1" x14ac:dyDescent="0.25">
      <c r="C166" s="916"/>
      <c r="D166" s="917"/>
      <c r="E166" s="917"/>
      <c r="F166" s="917"/>
      <c r="G166" s="898"/>
    </row>
    <row r="167" spans="3:7" ht="15.75" x14ac:dyDescent="0.25">
      <c r="C167" s="2180" t="s">
        <v>1048</v>
      </c>
      <c r="D167" s="2181"/>
      <c r="E167" s="2181"/>
      <c r="F167" s="2181"/>
      <c r="G167" s="898">
        <f>F216</f>
        <v>0</v>
      </c>
    </row>
    <row r="168" spans="3:7" ht="5.0999999999999996" customHeight="1" x14ac:dyDescent="0.25">
      <c r="C168" s="916"/>
      <c r="D168" s="918"/>
      <c r="E168" s="918"/>
      <c r="F168" s="918"/>
      <c r="G168" s="898"/>
    </row>
    <row r="169" spans="3:7" ht="15.75" x14ac:dyDescent="0.25">
      <c r="C169" s="2180" t="s">
        <v>20</v>
      </c>
      <c r="D169" s="2181"/>
      <c r="E169" s="2181"/>
      <c r="F169" s="2181"/>
      <c r="G169" s="898">
        <f>F217</f>
        <v>0</v>
      </c>
    </row>
    <row r="170" spans="3:7" ht="5.0999999999999996" customHeight="1" x14ac:dyDescent="0.25">
      <c r="C170" s="916"/>
      <c r="D170" s="918"/>
      <c r="E170" s="918"/>
      <c r="F170" s="918"/>
      <c r="G170" s="898"/>
    </row>
    <row r="171" spans="3:7" ht="15.75" x14ac:dyDescent="0.25">
      <c r="C171" s="2180" t="s">
        <v>95</v>
      </c>
      <c r="D171" s="2181"/>
      <c r="E171" s="2181"/>
      <c r="F171" s="2181"/>
      <c r="G171" s="898">
        <f>F218</f>
        <v>0</v>
      </c>
    </row>
    <row r="172" spans="3:7" ht="5.0999999999999996" customHeight="1" x14ac:dyDescent="0.25">
      <c r="C172" s="916"/>
      <c r="D172" s="918"/>
      <c r="E172" s="918"/>
      <c r="F172" s="918"/>
      <c r="G172" s="898"/>
    </row>
    <row r="173" spans="3:7" ht="15.75" x14ac:dyDescent="0.25">
      <c r="C173" s="2182" t="s">
        <v>18</v>
      </c>
      <c r="D173" s="2183"/>
      <c r="E173" s="2183"/>
      <c r="F173" s="2183"/>
      <c r="G173" s="899">
        <f>F219</f>
        <v>0</v>
      </c>
    </row>
    <row r="174" spans="3:7" ht="5.0999999999999996" customHeight="1" x14ac:dyDescent="0.25">
      <c r="C174" s="919"/>
      <c r="D174" s="920"/>
      <c r="E174" s="920"/>
      <c r="F174" s="920"/>
      <c r="G174" s="898"/>
    </row>
    <row r="175" spans="3:7" ht="15.75" x14ac:dyDescent="0.25">
      <c r="C175" s="2180" t="s">
        <v>1154</v>
      </c>
      <c r="D175" s="2184"/>
      <c r="E175" s="2184"/>
      <c r="F175" s="2184"/>
      <c r="G175" s="531">
        <f>F220</f>
        <v>0</v>
      </c>
    </row>
    <row r="176" spans="3:7" ht="5.0999999999999996" customHeight="1" x14ac:dyDescent="0.25">
      <c r="C176" s="916"/>
      <c r="D176" s="917"/>
      <c r="E176" s="917"/>
      <c r="F176" s="917"/>
      <c r="G176" s="531"/>
    </row>
    <row r="177" spans="3:7" ht="15.75" x14ac:dyDescent="0.25">
      <c r="C177" s="2178" t="s">
        <v>1155</v>
      </c>
      <c r="D177" s="2179"/>
      <c r="E177" s="2179"/>
      <c r="F177" s="2179"/>
      <c r="G177" s="533">
        <f>F221</f>
        <v>0</v>
      </c>
    </row>
    <row r="178" spans="3:7" x14ac:dyDescent="0.25">
      <c r="D178" s="167"/>
    </row>
    <row r="179" spans="3:7" x14ac:dyDescent="0.25">
      <c r="C179" s="167"/>
      <c r="D179" s="167"/>
    </row>
    <row r="180" spans="3:7" x14ac:dyDescent="0.25">
      <c r="C180" s="167"/>
      <c r="D180" s="167"/>
    </row>
    <row r="211" spans="2:50" s="550" customFormat="1" ht="24" hidden="1" customHeight="1" x14ac:dyDescent="0.25"/>
    <row r="212" spans="2:50" s="550" customFormat="1" hidden="1" x14ac:dyDescent="0.25"/>
    <row r="213" spans="2:50" s="550" customFormat="1" hidden="1" x14ac:dyDescent="0.25"/>
    <row r="214" spans="2:50" s="550" customFormat="1" hidden="1" x14ac:dyDescent="0.25"/>
    <row r="215" spans="2:50" s="550" customFormat="1" hidden="1" x14ac:dyDescent="0.25">
      <c r="B215" s="550" t="s">
        <v>1142</v>
      </c>
      <c r="C215" s="742">
        <v>0</v>
      </c>
      <c r="E215" s="550" t="s">
        <v>1146</v>
      </c>
      <c r="F215" s="1046">
        <f>IF(ISERROR(J116),0,IF(J192&lt;0,0,(J116*G163)))</f>
        <v>0</v>
      </c>
    </row>
    <row r="216" spans="2:50" s="550" customFormat="1" hidden="1" x14ac:dyDescent="0.25">
      <c r="B216" s="550" t="s">
        <v>1143</v>
      </c>
      <c r="C216" s="742">
        <v>0</v>
      </c>
      <c r="E216" s="550" t="s">
        <v>1147</v>
      </c>
      <c r="F216" s="550">
        <f>IF(ISERROR(G157),0,(G157))</f>
        <v>0</v>
      </c>
    </row>
    <row r="217" spans="2:50" s="550" customFormat="1" hidden="1" x14ac:dyDescent="0.25">
      <c r="B217" s="550" t="s">
        <v>1144</v>
      </c>
      <c r="C217" s="742">
        <v>400</v>
      </c>
      <c r="E217" s="550" t="s">
        <v>1148</v>
      </c>
      <c r="F217" s="550">
        <f>IF(F215&gt;1,(F215-F216),(F216*-1))</f>
        <v>0</v>
      </c>
    </row>
    <row r="218" spans="2:50" s="550" customFormat="1" hidden="1" x14ac:dyDescent="0.25">
      <c r="B218" s="550" t="s">
        <v>1145</v>
      </c>
      <c r="C218" s="742">
        <v>600</v>
      </c>
      <c r="E218" s="550" t="s">
        <v>1149</v>
      </c>
      <c r="F218" s="550">
        <f>IF(ISERROR((P232-'Baseline farm'!P176)*'Strategy farm'!G161),0,(P232-'Baseline farm'!P176)*'Strategy farm'!G161)</f>
        <v>0</v>
      </c>
    </row>
    <row r="219" spans="2:50" s="550" customFormat="1" hidden="1" x14ac:dyDescent="0.25">
      <c r="E219" s="550" t="s">
        <v>1150</v>
      </c>
      <c r="F219" s="550">
        <f>IF(ISERROR(F215-F216+F218+G159),0,(F215-F216+F218+G159))</f>
        <v>0</v>
      </c>
    </row>
    <row r="220" spans="2:50" s="550" customFormat="1" hidden="1" x14ac:dyDescent="0.25">
      <c r="E220" s="550" t="s">
        <v>1151</v>
      </c>
      <c r="F220" s="607">
        <f>IF(ISERROR(J122/1000*P232*G163),0,(J122/1000*P232*G163))</f>
        <v>0</v>
      </c>
    </row>
    <row r="221" spans="2:50" s="550" customFormat="1" hidden="1" x14ac:dyDescent="0.25">
      <c r="E221" s="550" t="s">
        <v>1152</v>
      </c>
      <c r="F221" s="607">
        <f>IF(ISERROR(F220-F216+F218+G159),0,(F220-F216+F218+G159))</f>
        <v>0</v>
      </c>
    </row>
    <row r="222" spans="2:50" s="550" customFormat="1" hidden="1" x14ac:dyDescent="0.25"/>
    <row r="223" spans="2:50" s="550" customFormat="1" ht="15.75" hidden="1" x14ac:dyDescent="0.25">
      <c r="C223" s="550" t="s">
        <v>297</v>
      </c>
      <c r="D223" s="550" t="s">
        <v>1008</v>
      </c>
      <c r="E223" s="550" t="s">
        <v>1009</v>
      </c>
      <c r="F223" s="550" t="s">
        <v>960</v>
      </c>
      <c r="G223" s="550" t="s">
        <v>1010</v>
      </c>
      <c r="H223" s="550" t="s">
        <v>961</v>
      </c>
      <c r="I223" s="550" t="s">
        <v>962</v>
      </c>
      <c r="J223" s="550" t="s">
        <v>1011</v>
      </c>
      <c r="AA223" s="358"/>
      <c r="AG223" s="550" t="s">
        <v>1514</v>
      </c>
      <c r="AP223" s="609" t="s">
        <v>489</v>
      </c>
      <c r="AT223" s="1325" t="s">
        <v>971</v>
      </c>
    </row>
    <row r="224" spans="2:50" s="550" customFormat="1" ht="15.75" hidden="1" x14ac:dyDescent="0.25">
      <c r="B224" s="551">
        <v>1</v>
      </c>
      <c r="C224" s="552" t="s">
        <v>1008</v>
      </c>
      <c r="D224" s="550" t="s">
        <v>959</v>
      </c>
      <c r="E224" s="550" t="s">
        <v>1014</v>
      </c>
      <c r="N224" s="358" t="s">
        <v>821</v>
      </c>
      <c r="O224" s="358"/>
      <c r="P224" s="358"/>
      <c r="Q224" s="358"/>
      <c r="R224" s="358" t="s">
        <v>911</v>
      </c>
      <c r="S224" s="358" t="s">
        <v>1037</v>
      </c>
      <c r="T224" s="358"/>
      <c r="U224" s="358" t="s">
        <v>941</v>
      </c>
      <c r="V224" s="358"/>
      <c r="W224" s="358"/>
      <c r="AB224" s="358" t="s">
        <v>954</v>
      </c>
      <c r="AC224" s="550">
        <v>1</v>
      </c>
      <c r="AD224" s="358" t="s">
        <v>958</v>
      </c>
      <c r="AF224" s="550" t="s">
        <v>985</v>
      </c>
      <c r="AG224" s="550" t="s">
        <v>973</v>
      </c>
      <c r="AH224" s="550">
        <f>G81</f>
        <v>0</v>
      </c>
      <c r="AJ224" s="550" t="s">
        <v>971</v>
      </c>
      <c r="AK224" s="550" t="s">
        <v>979</v>
      </c>
      <c r="AM224" s="550">
        <f>G94</f>
        <v>0</v>
      </c>
      <c r="AP224" s="1320" t="s">
        <v>980</v>
      </c>
      <c r="AR224" s="610">
        <f>1-((AH224/24*AH225/365)+(AH229/24*AH230/365))</f>
        <v>1</v>
      </c>
      <c r="AT224" s="1328" t="s">
        <v>980</v>
      </c>
      <c r="AU224" s="610">
        <f>1-(AM224/24*AM225/365)</f>
        <v>1</v>
      </c>
      <c r="AX224" s="550" t="s">
        <v>993</v>
      </c>
    </row>
    <row r="225" spans="2:70" s="550" customFormat="1" ht="15.75" hidden="1" x14ac:dyDescent="0.25">
      <c r="B225" s="551">
        <v>2</v>
      </c>
      <c r="C225" s="552" t="s">
        <v>1015</v>
      </c>
      <c r="D225" s="550" t="s">
        <v>1012</v>
      </c>
      <c r="E225" s="550" t="s">
        <v>1019</v>
      </c>
      <c r="N225" s="358"/>
      <c r="O225" s="358"/>
      <c r="P225" s="358"/>
      <c r="Q225" s="358"/>
      <c r="R225" s="358"/>
      <c r="S225" s="358" t="s">
        <v>1036</v>
      </c>
      <c r="T225" s="358"/>
      <c r="U225" s="358" t="s">
        <v>942</v>
      </c>
      <c r="V225" s="580" t="e">
        <f>K101</f>
        <v>#DIV/0!</v>
      </c>
      <c r="W225" s="358"/>
      <c r="AC225" s="358">
        <v>2</v>
      </c>
      <c r="AD225" s="358" t="s">
        <v>957</v>
      </c>
      <c r="AE225" s="358"/>
      <c r="AG225" s="550" t="s">
        <v>974</v>
      </c>
      <c r="AH225" s="607">
        <f>H81</f>
        <v>0</v>
      </c>
      <c r="AK225" s="550" t="s">
        <v>965</v>
      </c>
      <c r="AM225" s="550">
        <f>H94</f>
        <v>0</v>
      </c>
      <c r="AP225" s="1319" t="s">
        <v>1419</v>
      </c>
      <c r="AR225" s="1324">
        <f>(AH224/24)*(AH225/365)*(AH226/100)</f>
        <v>0</v>
      </c>
      <c r="AT225" s="1328" t="s">
        <v>1421</v>
      </c>
      <c r="AU225" s="610">
        <f>IF(AL237=1,AM224/24*AM225/365,0)</f>
        <v>0</v>
      </c>
      <c r="AX225" s="608"/>
      <c r="AY225" s="1332" t="s">
        <v>262</v>
      </c>
      <c r="AZ225" s="1332" t="s">
        <v>1422</v>
      </c>
      <c r="BA225" s="1332" t="s">
        <v>1423</v>
      </c>
      <c r="BB225" s="1332" t="s">
        <v>266</v>
      </c>
      <c r="BC225" s="1332" t="s">
        <v>992</v>
      </c>
    </row>
    <row r="226" spans="2:70" s="550" customFormat="1" ht="15.75" hidden="1" x14ac:dyDescent="0.25">
      <c r="B226" s="551">
        <v>3</v>
      </c>
      <c r="C226" s="552" t="s">
        <v>960</v>
      </c>
      <c r="D226" s="550" t="s">
        <v>1013</v>
      </c>
      <c r="E226" s="550" t="s">
        <v>1013</v>
      </c>
      <c r="N226" s="358" t="s">
        <v>822</v>
      </c>
      <c r="O226" s="358"/>
      <c r="P226" s="555">
        <f>IF(S238="1",H25,0)</f>
        <v>0</v>
      </c>
      <c r="Q226" s="358"/>
      <c r="R226" s="358" t="s">
        <v>265</v>
      </c>
      <c r="S226" s="358">
        <f>E43</f>
        <v>0</v>
      </c>
      <c r="T226" s="871" t="str">
        <f>IF(S226="kg of element per ha per annum","1","2")</f>
        <v>2</v>
      </c>
      <c r="U226" s="358" t="s">
        <v>943</v>
      </c>
      <c r="V226" s="580" t="e">
        <f>K102</f>
        <v>#DIV/0!</v>
      </c>
      <c r="W226" s="358"/>
      <c r="AC226" s="358" t="s">
        <v>265</v>
      </c>
      <c r="AD226" s="871">
        <f>IF(F71=AD224,1,2)</f>
        <v>1</v>
      </c>
      <c r="AE226" s="358"/>
      <c r="AG226" s="1314" t="s">
        <v>1418</v>
      </c>
      <c r="AH226" s="550">
        <f>G83</f>
        <v>0</v>
      </c>
      <c r="AP226" s="1320" t="s">
        <v>981</v>
      </c>
      <c r="AR226" s="610">
        <f>(AH224/24*AH225/365*AH227/100)*IF(Z231=2,0.8,1)</f>
        <v>0</v>
      </c>
      <c r="AT226" s="1328" t="s">
        <v>1425</v>
      </c>
      <c r="AU226" s="610">
        <f>IF(AL237=2,(AM224/24*AM225/365)*IF(Z231=2,0.8,1),0)</f>
        <v>0</v>
      </c>
      <c r="AW226" s="550">
        <v>1</v>
      </c>
      <c r="AX226" s="552" t="s">
        <v>1008</v>
      </c>
      <c r="AY226" s="1331">
        <v>74</v>
      </c>
      <c r="AZ226" s="1331">
        <v>0.5</v>
      </c>
      <c r="BA226" s="1331">
        <v>17</v>
      </c>
      <c r="BB226" s="1331">
        <v>2</v>
      </c>
      <c r="BC226" s="1331">
        <v>1</v>
      </c>
    </row>
    <row r="227" spans="2:70" s="550" customFormat="1" ht="15.75" hidden="1" x14ac:dyDescent="0.25">
      <c r="B227" s="551">
        <v>4</v>
      </c>
      <c r="C227" s="552" t="s">
        <v>1010</v>
      </c>
      <c r="N227" s="358" t="s">
        <v>823</v>
      </c>
      <c r="O227" s="358"/>
      <c r="P227" s="555">
        <f>IF(S238="2",H25,0)</f>
        <v>0</v>
      </c>
      <c r="Q227" s="358"/>
      <c r="R227" s="358"/>
      <c r="S227" s="358"/>
      <c r="T227" s="358"/>
      <c r="U227" s="358" t="s">
        <v>944</v>
      </c>
      <c r="V227" s="580" t="e">
        <f>K103+K104</f>
        <v>#DIV/0!</v>
      </c>
      <c r="W227" s="358"/>
      <c r="X227" s="358"/>
      <c r="Y227" s="358"/>
      <c r="Z227" s="358"/>
      <c r="AA227" s="358"/>
      <c r="AB227" s="358"/>
      <c r="AC227" s="358"/>
      <c r="AD227" s="358"/>
      <c r="AE227" s="358"/>
      <c r="AG227" s="1314" t="s">
        <v>1417</v>
      </c>
      <c r="AH227" s="1314">
        <f>G84</f>
        <v>0</v>
      </c>
      <c r="AP227" s="1322" t="s">
        <v>1365</v>
      </c>
      <c r="AR227" s="610">
        <f>(AH224/24*AH225/365*AH227/100)*IF(Z231=1,0,0.2)</f>
        <v>0</v>
      </c>
      <c r="AT227" s="1330" t="s">
        <v>1363</v>
      </c>
      <c r="AU227" s="610">
        <f>IF(AL237=2,(AM224/24*AM225/365*IF(Z231=2,0.2,0)),0)</f>
        <v>0</v>
      </c>
      <c r="AW227" s="550">
        <v>2</v>
      </c>
      <c r="AX227" s="552" t="s">
        <v>1015</v>
      </c>
      <c r="AY227" s="1331">
        <v>75</v>
      </c>
      <c r="AZ227" s="1331">
        <v>0.5</v>
      </c>
      <c r="BA227" s="1331">
        <v>18</v>
      </c>
      <c r="BB227" s="1331">
        <v>2</v>
      </c>
      <c r="BC227" s="1331">
        <v>1</v>
      </c>
    </row>
    <row r="228" spans="2:70" s="550" customFormat="1" ht="15.75" hidden="1" x14ac:dyDescent="0.25">
      <c r="B228" s="551">
        <v>5</v>
      </c>
      <c r="C228" s="552" t="s">
        <v>1016</v>
      </c>
      <c r="N228" s="358" t="s">
        <v>824</v>
      </c>
      <c r="O228" s="358"/>
      <c r="P228" s="556">
        <f>IF(D27="",4,D27)</f>
        <v>0</v>
      </c>
      <c r="Q228" s="358"/>
      <c r="R228" s="358"/>
      <c r="S228" s="358"/>
      <c r="T228" s="358"/>
      <c r="U228" s="358" t="s">
        <v>945</v>
      </c>
      <c r="V228" s="580" t="e">
        <f>K106</f>
        <v>#DIV/0!</v>
      </c>
      <c r="W228" s="358"/>
      <c r="X228" s="358"/>
      <c r="Y228" s="358"/>
      <c r="Z228" s="358"/>
      <c r="AA228" s="358"/>
      <c r="AB228" s="358"/>
      <c r="AC228" s="358"/>
      <c r="AD228" s="358"/>
      <c r="AE228" s="358"/>
      <c r="AG228" s="550" t="s">
        <v>976</v>
      </c>
      <c r="AH228" s="1314">
        <f>G85</f>
        <v>100</v>
      </c>
      <c r="AP228" s="1321" t="s">
        <v>982</v>
      </c>
      <c r="AR228" s="610">
        <f>IF(Z231=1,(AH224/24*AH225/365*AH228/100),(AH224/24*AH225/365*AH228/100)*0.8)</f>
        <v>0</v>
      </c>
      <c r="AT228" s="1328" t="s">
        <v>990</v>
      </c>
      <c r="AU228" s="610">
        <f>IF(AL237=3,AM224/24*AM225/365*IF(Z231=2,0.8,1),0)</f>
        <v>0</v>
      </c>
      <c r="AW228" s="550">
        <v>3</v>
      </c>
      <c r="AX228" s="552" t="s">
        <v>960</v>
      </c>
      <c r="AY228" s="1331">
        <v>70</v>
      </c>
      <c r="AZ228" s="1331">
        <v>0.1</v>
      </c>
      <c r="BA228" s="1331">
        <v>15</v>
      </c>
      <c r="BB228" s="1331">
        <v>2</v>
      </c>
      <c r="BC228" s="1331">
        <v>1</v>
      </c>
      <c r="BR228" s="611"/>
    </row>
    <row r="229" spans="2:70" s="550" customFormat="1" ht="15.75" hidden="1" x14ac:dyDescent="0.25">
      <c r="B229" s="358">
        <v>6</v>
      </c>
      <c r="C229" s="553" t="s">
        <v>1017</v>
      </c>
      <c r="N229" s="358" t="s">
        <v>825</v>
      </c>
      <c r="O229" s="358"/>
      <c r="P229" s="358">
        <f>IF(H27="",3.3,H27)</f>
        <v>0</v>
      </c>
      <c r="Q229" s="358"/>
      <c r="R229" s="358"/>
      <c r="S229" s="358"/>
      <c r="T229" s="358"/>
      <c r="U229" s="358" t="s">
        <v>946</v>
      </c>
      <c r="V229" s="580" t="e">
        <f>K105</f>
        <v>#DIV/0!</v>
      </c>
      <c r="W229" s="358"/>
      <c r="X229" s="358" t="s">
        <v>968</v>
      </c>
      <c r="Y229" s="358">
        <v>1</v>
      </c>
      <c r="Z229" s="358" t="s">
        <v>969</v>
      </c>
      <c r="AA229" s="358"/>
      <c r="AB229" s="358"/>
      <c r="AC229" s="358"/>
      <c r="AD229" s="358"/>
      <c r="AE229" s="358"/>
      <c r="AG229" s="550" t="s">
        <v>977</v>
      </c>
      <c r="AH229" s="550">
        <f>G89</f>
        <v>0</v>
      </c>
      <c r="AP229" s="1321" t="s">
        <v>996</v>
      </c>
      <c r="AR229" s="610">
        <f>IF(Z231=1,0,(AH224/24*AH225/365*AH228/100)*0.2)</f>
        <v>0</v>
      </c>
      <c r="AT229" s="1328" t="s">
        <v>991</v>
      </c>
      <c r="AU229" s="610">
        <f>IF(AL237=3,AM224/24*AM225/365*IF(Z231=2,0.2,0),0)</f>
        <v>0</v>
      </c>
      <c r="AW229" s="611">
        <v>4</v>
      </c>
      <c r="AX229" s="552" t="s">
        <v>1010</v>
      </c>
      <c r="AY229" s="1331">
        <v>77</v>
      </c>
      <c r="AZ229" s="1331">
        <v>0.5</v>
      </c>
      <c r="BA229" s="1331">
        <v>24</v>
      </c>
      <c r="BB229" s="1331">
        <v>2</v>
      </c>
      <c r="BC229" s="1331">
        <v>1</v>
      </c>
      <c r="BR229" s="611"/>
    </row>
    <row r="230" spans="2:70" s="550" customFormat="1" ht="15.75" hidden="1" x14ac:dyDescent="0.25">
      <c r="B230" s="551">
        <v>7</v>
      </c>
      <c r="C230" s="552" t="s">
        <v>1018</v>
      </c>
      <c r="N230" s="358" t="s">
        <v>1025</v>
      </c>
      <c r="P230" s="555">
        <f>IF(P226=0,P227,(P226*(P228+P229)/100))</f>
        <v>0</v>
      </c>
      <c r="Q230" s="358"/>
      <c r="R230" s="358" t="s">
        <v>1032</v>
      </c>
      <c r="S230" s="358" t="s">
        <v>1162</v>
      </c>
      <c r="T230" s="358"/>
      <c r="U230" s="358" t="s">
        <v>947</v>
      </c>
      <c r="V230" s="580" t="e">
        <f>K107</f>
        <v>#DIV/0!</v>
      </c>
      <c r="W230" s="358"/>
      <c r="X230" s="358"/>
      <c r="Y230" s="358">
        <v>2</v>
      </c>
      <c r="Z230" s="358" t="s">
        <v>970</v>
      </c>
      <c r="AA230" s="358"/>
      <c r="AB230" s="358"/>
      <c r="AC230" s="358"/>
      <c r="AD230" s="358"/>
      <c r="AE230" s="358"/>
      <c r="AG230" s="550" t="s">
        <v>978</v>
      </c>
      <c r="AH230" s="550">
        <f>H89</f>
        <v>0</v>
      </c>
      <c r="AP230" s="1319" t="s">
        <v>1420</v>
      </c>
      <c r="AR230" s="610">
        <f>IF(AG238=1,(AH229/24*AH230/365),0)</f>
        <v>0</v>
      </c>
      <c r="AT230" s="1328" t="s">
        <v>1426</v>
      </c>
      <c r="AU230" s="610">
        <f>IF(AL237=4,AM224/24*AM225/365,0)</f>
        <v>0</v>
      </c>
      <c r="AW230" s="611">
        <v>5</v>
      </c>
      <c r="AX230" s="552" t="s">
        <v>1016</v>
      </c>
      <c r="AY230" s="1331">
        <v>74</v>
      </c>
      <c r="AZ230" s="1331">
        <v>0.5</v>
      </c>
      <c r="BA230" s="1331">
        <v>17</v>
      </c>
      <c r="BB230" s="1331">
        <v>2</v>
      </c>
      <c r="BC230" s="1331">
        <v>1</v>
      </c>
      <c r="BR230" s="611"/>
    </row>
    <row r="231" spans="2:70" s="550" customFormat="1" ht="15.75" hidden="1" x14ac:dyDescent="0.25">
      <c r="B231" s="554"/>
      <c r="N231" s="358" t="s">
        <v>827</v>
      </c>
      <c r="O231" s="358"/>
      <c r="P231" s="555" t="e">
        <f>IF(P226=0,(P227/((P228+P229)/100)),P226)</f>
        <v>#DIV/0!</v>
      </c>
      <c r="Q231" s="358"/>
      <c r="R231" s="358"/>
      <c r="S231" s="358" t="s">
        <v>1034</v>
      </c>
      <c r="T231" s="358"/>
      <c r="U231" s="358" t="s">
        <v>948</v>
      </c>
      <c r="V231" s="580" t="e">
        <f>K108+K109</f>
        <v>#N/A</v>
      </c>
      <c r="W231" s="358"/>
      <c r="X231" s="358"/>
      <c r="Y231" s="358" t="s">
        <v>265</v>
      </c>
      <c r="Z231" s="871">
        <f>IF(G87="",1,IF(G87=0,1,(IF(G87=Z229,1,2))))</f>
        <v>1</v>
      </c>
      <c r="AA231" s="358"/>
      <c r="AB231" s="358"/>
      <c r="AC231" s="358"/>
      <c r="AD231" s="358"/>
      <c r="AE231" s="358"/>
      <c r="AP231" s="1319" t="s">
        <v>988</v>
      </c>
      <c r="AR231" s="610">
        <f>IF(AG238=2,AH224/24*AH225/365*IF(Z231=2,0.8,1),0)</f>
        <v>0</v>
      </c>
      <c r="AT231" s="1328" t="s">
        <v>984</v>
      </c>
      <c r="AU231" s="610">
        <f>AU227+AU229+AU230</f>
        <v>0</v>
      </c>
      <c r="AW231" s="611">
        <v>6</v>
      </c>
      <c r="AX231" s="553" t="s">
        <v>1017</v>
      </c>
      <c r="AY231" s="1331">
        <v>75</v>
      </c>
      <c r="AZ231" s="1331">
        <v>0.5</v>
      </c>
      <c r="BA231" s="1331">
        <v>18</v>
      </c>
      <c r="BB231" s="1331">
        <v>2</v>
      </c>
      <c r="BC231" s="1331">
        <v>1</v>
      </c>
      <c r="BR231" s="611"/>
    </row>
    <row r="232" spans="2:70" s="550" customFormat="1" ht="15.75" hidden="1" x14ac:dyDescent="0.25">
      <c r="N232" s="358" t="s">
        <v>1376</v>
      </c>
      <c r="O232" s="358"/>
      <c r="P232" s="555" t="e">
        <f>(P231*1.03)*(0.2534+0.1226*P228+0.0776*P229)</f>
        <v>#DIV/0!</v>
      </c>
      <c r="Q232" s="358"/>
      <c r="S232" s="358" t="s">
        <v>1033</v>
      </c>
      <c r="T232" s="358"/>
      <c r="U232" s="358" t="s">
        <v>937</v>
      </c>
      <c r="V232" s="580" t="e">
        <f>SUM(K110:K112)</f>
        <v>#DIV/0!</v>
      </c>
      <c r="W232" s="358"/>
      <c r="X232" s="358"/>
      <c r="Y232" s="358"/>
      <c r="Z232" s="358"/>
      <c r="AA232" s="358"/>
      <c r="AB232" s="358"/>
      <c r="AC232" s="358"/>
      <c r="AD232" s="358"/>
      <c r="AE232" s="358"/>
      <c r="AF232" s="550" t="s">
        <v>986</v>
      </c>
      <c r="AJ232" s="550" t="s">
        <v>987</v>
      </c>
      <c r="AP232" s="1322" t="s">
        <v>1366</v>
      </c>
      <c r="AR232" s="610">
        <f>IF(AG238=2,(AH229/24*AH230/365*IF(Z231=2,0.2,0)),0)</f>
        <v>0</v>
      </c>
      <c r="AT232" s="1328" t="s">
        <v>1421</v>
      </c>
      <c r="AU232" s="1329">
        <f>AU225</f>
        <v>0</v>
      </c>
      <c r="AW232" s="611">
        <v>7</v>
      </c>
      <c r="AX232" s="552" t="s">
        <v>1018</v>
      </c>
      <c r="AY232" s="1331">
        <v>80</v>
      </c>
      <c r="AZ232" s="1331">
        <v>0.5</v>
      </c>
      <c r="BA232" s="1331">
        <v>50</v>
      </c>
      <c r="BB232" s="1331">
        <v>2</v>
      </c>
      <c r="BC232" s="1331">
        <v>2</v>
      </c>
      <c r="BR232" s="611"/>
    </row>
    <row r="233" spans="2:70" s="550" customFormat="1" ht="15.75" hidden="1" x14ac:dyDescent="0.25">
      <c r="B233" s="550" t="s">
        <v>1020</v>
      </c>
      <c r="C233" s="551">
        <f>D15</f>
        <v>0</v>
      </c>
      <c r="D233" s="358" t="s">
        <v>1021</v>
      </c>
      <c r="E233" s="550">
        <f>H15</f>
        <v>0</v>
      </c>
      <c r="N233" s="358" t="s">
        <v>828</v>
      </c>
      <c r="O233" s="358"/>
      <c r="P233" s="556" t="e">
        <f>ROUND((P232/D18/D29),1)</f>
        <v>#DIV/0!</v>
      </c>
      <c r="Q233" s="358"/>
      <c r="R233" s="358" t="s">
        <v>265</v>
      </c>
      <c r="S233" s="871" t="str">
        <f>IF(C64=S230,"1",IF(C64=S231,2,3))</f>
        <v>1</v>
      </c>
      <c r="T233" s="358"/>
      <c r="U233" s="358"/>
      <c r="V233" s="358"/>
      <c r="W233" s="358"/>
      <c r="AB233" s="358"/>
      <c r="AC233" s="358"/>
      <c r="AD233" s="358"/>
      <c r="AE233" s="358"/>
      <c r="AK233" s="550">
        <v>1</v>
      </c>
      <c r="AL233" s="1318" t="s">
        <v>1415</v>
      </c>
      <c r="AP233" s="1322" t="s">
        <v>1367</v>
      </c>
      <c r="AR233" s="610">
        <f>(IF(AG238=3,(AH229/24*AH230/365*IF(Z231=2,0.8,1)),0))</f>
        <v>0</v>
      </c>
      <c r="AT233" s="1330" t="s">
        <v>995</v>
      </c>
      <c r="AU233" s="1329">
        <f>AU228</f>
        <v>0</v>
      </c>
      <c r="AW233" s="611" t="s">
        <v>265</v>
      </c>
      <c r="AX233" s="611" t="e">
        <f>VLOOKUP($D$15,$AX$226:$BC$232,1,FALSE)</f>
        <v>#N/A</v>
      </c>
      <c r="AY233" s="611" t="e">
        <f>VLOOKUP($D$15,$AX$226:$BC$232,2,FALSE)</f>
        <v>#N/A</v>
      </c>
      <c r="AZ233" s="611" t="e">
        <f>VLOOKUP($D$15,$AX$226:$BC$232,3,FALSE)</f>
        <v>#N/A</v>
      </c>
      <c r="BA233" s="611" t="e">
        <f>VLOOKUP($D$15,$AX$226:$BC$232,4,FALSE)</f>
        <v>#N/A</v>
      </c>
      <c r="BB233" s="611" t="e">
        <f>VLOOKUP($D$15,$AX$226:$BC$232,5,FALSE)</f>
        <v>#N/A</v>
      </c>
      <c r="BC233" s="611" t="e">
        <f>VLOOKUP($D$15,$AX$226:$BC$232,6,FALSE)</f>
        <v>#N/A</v>
      </c>
    </row>
    <row r="234" spans="2:70" s="550" customFormat="1" ht="15.75" hidden="1" x14ac:dyDescent="0.25">
      <c r="N234" s="358" t="s">
        <v>826</v>
      </c>
      <c r="O234" s="358"/>
      <c r="P234" s="556" t="e">
        <f>(P231/D18/D29)</f>
        <v>#DIV/0!</v>
      </c>
      <c r="Q234" s="358"/>
      <c r="R234" s="358"/>
      <c r="S234" s="358"/>
      <c r="T234" s="358"/>
      <c r="U234" s="358"/>
      <c r="V234" s="358"/>
      <c r="W234" s="358"/>
      <c r="AE234" s="358"/>
      <c r="AF234" s="358">
        <v>1</v>
      </c>
      <c r="AG234" s="1316" t="s">
        <v>1415</v>
      </c>
      <c r="AH234" s="358"/>
      <c r="AI234" s="358"/>
      <c r="AJ234" s="550" t="s">
        <v>972</v>
      </c>
      <c r="AK234" s="550">
        <v>2</v>
      </c>
      <c r="AL234" s="1318" t="s">
        <v>1030</v>
      </c>
      <c r="AP234" s="1322" t="s">
        <v>989</v>
      </c>
      <c r="AR234" s="610">
        <f>(IF(AG238=3,(AH229/24*AH230/365*IF(Z231=2,0.2,0)),0))</f>
        <v>0</v>
      </c>
      <c r="AT234" s="1330" t="s">
        <v>1424</v>
      </c>
      <c r="AU234" s="1329">
        <f>AU226</f>
        <v>0</v>
      </c>
    </row>
    <row r="235" spans="2:70" s="550" customFormat="1" ht="15.75" hidden="1" x14ac:dyDescent="0.25">
      <c r="N235" s="358"/>
      <c r="O235" s="358"/>
      <c r="P235" s="358"/>
      <c r="Q235" s="358"/>
      <c r="R235" s="358"/>
      <c r="S235" s="358"/>
      <c r="T235" s="358"/>
      <c r="U235" s="358"/>
      <c r="V235" s="358"/>
      <c r="W235" s="358"/>
      <c r="AE235" s="358"/>
      <c r="AF235" s="358">
        <v>2</v>
      </c>
      <c r="AG235" s="1316" t="s">
        <v>1030</v>
      </c>
      <c r="AH235" s="358"/>
      <c r="AI235" s="358"/>
      <c r="AK235" s="550">
        <v>3</v>
      </c>
      <c r="AL235" s="1317" t="s">
        <v>1416</v>
      </c>
      <c r="AP235" s="1327" t="s">
        <v>1497</v>
      </c>
      <c r="AR235" s="610">
        <f>IF(AG238=4,(AH229/24*AH230/365),0)</f>
        <v>0</v>
      </c>
      <c r="AW235" s="550" t="s">
        <v>1000</v>
      </c>
      <c r="AY235" s="613" t="e">
        <f>AY233*AR238</f>
        <v>#N/A</v>
      </c>
      <c r="AZ235" s="613" t="e">
        <f>AZ233*AR239</f>
        <v>#N/A</v>
      </c>
      <c r="BA235" s="613" t="e">
        <f>BA233*AR237</f>
        <v>#N/A</v>
      </c>
      <c r="BB235" s="613" t="e">
        <f>BB233*AR236</f>
        <v>#N/A</v>
      </c>
      <c r="BC235" s="613" t="e">
        <f>BC233*AR224</f>
        <v>#N/A</v>
      </c>
    </row>
    <row r="236" spans="2:70" s="550" customFormat="1" ht="15.75" hidden="1" x14ac:dyDescent="0.25">
      <c r="N236" s="358" t="s">
        <v>906</v>
      </c>
      <c r="O236" s="358"/>
      <c r="P236" s="556" t="e">
        <f>((D31*F31)+(D32*F32)+(D33*F33)+(D34*F34)+(D35*F35)+(D36*F36))/D37</f>
        <v>#DIV/0!</v>
      </c>
      <c r="Q236" s="358"/>
      <c r="R236" s="358" t="s">
        <v>821</v>
      </c>
      <c r="S236" s="358" t="s">
        <v>1112</v>
      </c>
      <c r="T236" s="358"/>
      <c r="U236" s="358"/>
      <c r="V236" s="358"/>
      <c r="W236" s="358"/>
      <c r="AE236" s="358"/>
      <c r="AF236" s="358">
        <v>3</v>
      </c>
      <c r="AG236" s="1315" t="s">
        <v>1416</v>
      </c>
      <c r="AH236" s="358"/>
      <c r="AI236" s="358"/>
      <c r="AK236" s="550">
        <v>4</v>
      </c>
      <c r="AL236" s="1317" t="s">
        <v>1414</v>
      </c>
      <c r="AP236" s="1323" t="s">
        <v>984</v>
      </c>
      <c r="AR236" s="610">
        <f>AR227+AR229+AR232+AR234+AR235</f>
        <v>0</v>
      </c>
      <c r="AW236" s="550" t="s">
        <v>994</v>
      </c>
      <c r="AY236" s="613"/>
      <c r="AZ236" s="613"/>
      <c r="BA236" s="613"/>
      <c r="BB236" s="613"/>
      <c r="BC236" s="613" t="e">
        <f>SUM(AY235:BC235)</f>
        <v>#N/A</v>
      </c>
    </row>
    <row r="237" spans="2:70" s="550" customFormat="1" ht="15.75" hidden="1" x14ac:dyDescent="0.25">
      <c r="N237" s="358" t="s">
        <v>907</v>
      </c>
      <c r="O237" s="358"/>
      <c r="P237" s="556" t="e">
        <f>((D31*H31)+(D32*H32)+(D33*H33)+(D34*H34)+(D35*H35)+(D36*H36))/D37</f>
        <v>#DIV/0!</v>
      </c>
      <c r="Q237" s="358"/>
      <c r="R237" s="358"/>
      <c r="S237" s="358" t="s">
        <v>1113</v>
      </c>
      <c r="T237" s="358"/>
      <c r="U237" s="358"/>
      <c r="V237" s="358"/>
      <c r="W237" s="358"/>
      <c r="AE237" s="358"/>
      <c r="AF237" s="358">
        <v>4</v>
      </c>
      <c r="AG237" s="1315" t="s">
        <v>1414</v>
      </c>
      <c r="AH237" s="358"/>
      <c r="AI237" s="358"/>
      <c r="AK237" s="550" t="s">
        <v>265</v>
      </c>
      <c r="AL237" s="550">
        <f>IF(F96=AL233,1,IF(F96=AL234,2,IF(F96=AL235,3,4)))</f>
        <v>4</v>
      </c>
      <c r="AP237" s="1323" t="s">
        <v>1421</v>
      </c>
      <c r="AR237" s="610">
        <f>AR225+AR230</f>
        <v>0</v>
      </c>
    </row>
    <row r="238" spans="2:70" ht="15.75" hidden="1" x14ac:dyDescent="0.25">
      <c r="N238" s="358" t="s">
        <v>1373</v>
      </c>
      <c r="O238" s="358"/>
      <c r="P238" s="556" t="e">
        <f>ROUND((1.185+(0.00454*D20)-(0.0000026*(D20)^2)+((0.315*0)))^2*1.1+((H29*D29/365)*3.054/0.6/(0.00795*P236-0.0014)/18.4),1)</f>
        <v>#DIV/0!</v>
      </c>
      <c r="Q238" s="358"/>
      <c r="R238" s="358" t="s">
        <v>265</v>
      </c>
      <c r="S238" s="871" t="str">
        <f>IF(D25=S236,"1","2")</f>
        <v>2</v>
      </c>
      <c r="T238" s="358"/>
      <c r="U238" s="358"/>
      <c r="V238" s="358"/>
      <c r="W238" s="358"/>
      <c r="X238" s="358"/>
      <c r="Y238" s="358"/>
      <c r="Z238" s="358"/>
      <c r="AA238" s="358"/>
      <c r="AE238" s="358"/>
      <c r="AF238" s="550" t="s">
        <v>265</v>
      </c>
      <c r="AG238" s="550">
        <f>IF(F91=AG234,1,IF(F91=AG235,2,IF(F91=AG236,3,4)))</f>
        <v>4</v>
      </c>
      <c r="AH238" s="358"/>
      <c r="AI238" s="358"/>
      <c r="AJ238" s="550"/>
      <c r="AP238" s="1322" t="s">
        <v>995</v>
      </c>
      <c r="AQ238" s="550"/>
      <c r="AR238" s="610">
        <f>AR228+AR233</f>
        <v>0</v>
      </c>
      <c r="AW238" s="550" t="s">
        <v>1001</v>
      </c>
      <c r="AX238" s="550"/>
      <c r="AY238" s="550" t="e">
        <f>AY233*AU233</f>
        <v>#N/A</v>
      </c>
      <c r="AZ238" s="550" t="e">
        <f>AZ233*AU234</f>
        <v>#N/A</v>
      </c>
      <c r="BA238" s="550" t="e">
        <f>BA233*AU232</f>
        <v>#N/A</v>
      </c>
      <c r="BB238" s="550" t="e">
        <f>BB233*AU231</f>
        <v>#N/A</v>
      </c>
      <c r="BC238" s="550" t="e">
        <f>BC233*AU224</f>
        <v>#N/A</v>
      </c>
    </row>
    <row r="239" spans="2:70" ht="18.75" hidden="1" x14ac:dyDescent="0.3">
      <c r="B239" s="361" t="s">
        <v>679</v>
      </c>
      <c r="D239" s="358"/>
      <c r="E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P239" s="1322" t="s">
        <v>1424</v>
      </c>
      <c r="AQ239" s="550"/>
      <c r="AR239" s="610">
        <f>AR226+AR231</f>
        <v>0</v>
      </c>
      <c r="AW239" s="550" t="s">
        <v>994</v>
      </c>
      <c r="AX239" s="550"/>
      <c r="AY239" s="550"/>
      <c r="AZ239" s="550"/>
      <c r="BA239" s="550"/>
      <c r="BB239" s="550"/>
      <c r="BC239" s="613" t="e">
        <f>SUM(AY238:BC238)</f>
        <v>#N/A</v>
      </c>
    </row>
    <row r="240" spans="2:70" ht="15.75" hidden="1" x14ac:dyDescent="0.25">
      <c r="N240" s="358" t="s">
        <v>1026</v>
      </c>
      <c r="O240" s="358"/>
      <c r="P240" s="555" t="e">
        <f>J114*1000</f>
        <v>#DIV/0!</v>
      </c>
      <c r="Q240" s="358"/>
      <c r="R240" s="358"/>
      <c r="S240" s="358"/>
      <c r="T240" s="358"/>
      <c r="U240" s="358"/>
      <c r="V240" s="358"/>
      <c r="W240" s="358"/>
      <c r="X240" s="358"/>
      <c r="Y240" s="358"/>
      <c r="Z240" s="358"/>
      <c r="AA240" s="358"/>
      <c r="AB240" s="358"/>
      <c r="AC240" s="358"/>
      <c r="AD240" s="358"/>
      <c r="AE240" s="358"/>
      <c r="AO240" s="550"/>
    </row>
    <row r="241" spans="1:69" ht="15.75" hidden="1" x14ac:dyDescent="0.25">
      <c r="B241" s="378" t="s">
        <v>0</v>
      </c>
      <c r="C241" s="378" t="s">
        <v>253</v>
      </c>
      <c r="D241" s="379" t="str">
        <f t="shared" ref="D241:H241" si="4">D17</f>
        <v>Milking Cows</v>
      </c>
      <c r="E241" s="379" t="str">
        <f t="shared" si="4"/>
        <v xml:space="preserve">Heifers &gt;1 </v>
      </c>
      <c r="F241" s="379" t="str">
        <f t="shared" si="4"/>
        <v xml:space="preserve">Heifers &lt;1 </v>
      </c>
      <c r="G241" s="379" t="str">
        <f t="shared" si="4"/>
        <v>Mature bulls</v>
      </c>
      <c r="H241" s="379" t="str">
        <f t="shared" si="4"/>
        <v>Immature bulls</v>
      </c>
      <c r="I241" s="379" t="s">
        <v>1400</v>
      </c>
      <c r="J241" s="379" t="s">
        <v>1401</v>
      </c>
      <c r="K241" s="379">
        <f>I17</f>
        <v>0</v>
      </c>
      <c r="L241" s="380" t="s">
        <v>267</v>
      </c>
      <c r="M241" s="5"/>
      <c r="N241" s="358" t="s">
        <v>1027</v>
      </c>
      <c r="O241" s="358"/>
      <c r="P241" s="630" t="e">
        <f>P240/P232</f>
        <v>#DIV/0!</v>
      </c>
      <c r="Q241" s="358"/>
      <c r="R241" s="358"/>
      <c r="S241" s="358"/>
      <c r="T241" s="358"/>
      <c r="U241" s="358"/>
      <c r="V241" s="358"/>
      <c r="W241" s="358"/>
      <c r="X241" s="358"/>
      <c r="Y241" s="358"/>
      <c r="Z241" s="358"/>
      <c r="AA241" s="358"/>
      <c r="AB241" s="358"/>
      <c r="AC241" s="358"/>
      <c r="AD241" s="358"/>
      <c r="AE241" s="358"/>
      <c r="AF241" s="358"/>
      <c r="AG241" s="1333" t="s">
        <v>264</v>
      </c>
      <c r="AH241" s="1333" t="s">
        <v>262</v>
      </c>
      <c r="AI241" s="1334" t="s">
        <v>1410</v>
      </c>
      <c r="AJ241" s="1334" t="s">
        <v>1409</v>
      </c>
      <c r="AK241" s="1334"/>
      <c r="AL241" s="1334" t="s">
        <v>263</v>
      </c>
      <c r="AM241" s="620"/>
      <c r="AN241" s="1338" t="s">
        <v>994</v>
      </c>
      <c r="AO241" s="358"/>
    </row>
    <row r="242" spans="1:69" ht="15.75" hidden="1" x14ac:dyDescent="0.25">
      <c r="B242" s="381"/>
      <c r="C242" s="381"/>
      <c r="D242" s="381"/>
      <c r="E242" s="381"/>
      <c r="F242" s="381"/>
      <c r="G242" s="381"/>
      <c r="H242" s="381"/>
      <c r="I242" s="1347"/>
      <c r="J242" s="1347"/>
      <c r="K242" s="381"/>
      <c r="L242" s="382"/>
      <c r="M242" s="5"/>
      <c r="N242" s="358" t="s">
        <v>1028</v>
      </c>
      <c r="O242" s="358"/>
      <c r="P242" s="556" t="e">
        <f>P240/P230</f>
        <v>#DIV/0!</v>
      </c>
      <c r="AE242" s="358">
        <v>1</v>
      </c>
      <c r="AF242" s="552" t="s">
        <v>1008</v>
      </c>
      <c r="AG242" s="1485">
        <v>84.29</v>
      </c>
      <c r="AH242" s="1485">
        <v>11.6</v>
      </c>
      <c r="AI242" s="1485">
        <v>1.1000000000000001</v>
      </c>
      <c r="AJ242" s="1485">
        <v>0.55000000000000004</v>
      </c>
      <c r="AK242" s="1485"/>
      <c r="AL242" s="1485">
        <v>2.46</v>
      </c>
      <c r="AM242" s="1485"/>
      <c r="AN242" s="1367">
        <v>9.5751000000000008</v>
      </c>
    </row>
    <row r="243" spans="1:69" s="5" customFormat="1" ht="15.75" hidden="1" x14ac:dyDescent="0.25">
      <c r="A243" s="559"/>
      <c r="B243" s="383" t="s">
        <v>268</v>
      </c>
      <c r="C243" s="381"/>
      <c r="D243" s="383" t="s">
        <v>909</v>
      </c>
      <c r="E243" s="383"/>
      <c r="F243" s="383"/>
      <c r="G243" s="383"/>
      <c r="H243" s="381"/>
      <c r="I243" s="1347"/>
      <c r="J243" s="1347"/>
      <c r="K243" s="381"/>
      <c r="L243" s="1351" t="s">
        <v>1403</v>
      </c>
      <c r="N243" s="559"/>
      <c r="O243" s="559"/>
      <c r="P243" s="559"/>
      <c r="Q243" s="559"/>
      <c r="R243" s="559"/>
      <c r="S243" s="559"/>
      <c r="T243" s="559"/>
      <c r="U243" s="559"/>
      <c r="V243" s="559"/>
      <c r="W243" s="559"/>
      <c r="X243" s="559"/>
      <c r="Y243" s="559"/>
      <c r="Z243" s="559"/>
      <c r="AA243" s="559"/>
      <c r="AB243" s="559"/>
      <c r="AC243" s="559"/>
      <c r="AD243" s="559"/>
      <c r="AE243" s="358">
        <v>2</v>
      </c>
      <c r="AF243" s="552" t="s">
        <v>1015</v>
      </c>
      <c r="AG243" s="1367">
        <v>79.25</v>
      </c>
      <c r="AH243" s="1367">
        <v>12.04</v>
      </c>
      <c r="AI243" s="1367">
        <v>2.42</v>
      </c>
      <c r="AJ243" s="1367">
        <v>1.21</v>
      </c>
      <c r="AK243" s="1483"/>
      <c r="AL243" s="1367">
        <v>5.08</v>
      </c>
      <c r="AM243" s="1367"/>
      <c r="AN243" s="1367">
        <v>10.154</v>
      </c>
      <c r="AO243" s="1299"/>
      <c r="AP243" s="559"/>
      <c r="AQ243" s="559"/>
      <c r="AR243" s="559"/>
      <c r="AS243" s="559"/>
      <c r="AT243" s="559"/>
      <c r="AU243" s="559"/>
      <c r="AV243" s="559"/>
      <c r="AW243" s="559"/>
      <c r="AX243" s="559"/>
      <c r="AY243" s="559"/>
      <c r="AZ243" s="559"/>
      <c r="BA243" s="559"/>
      <c r="BB243" s="559"/>
      <c r="BC243" s="559"/>
      <c r="BD243" s="559"/>
      <c r="BE243" s="559"/>
      <c r="BF243" s="559"/>
      <c r="BG243" s="559"/>
      <c r="BH243" s="559"/>
      <c r="BI243" s="559"/>
      <c r="BJ243" s="559"/>
      <c r="BK243" s="559"/>
      <c r="BL243" s="559"/>
      <c r="BM243" s="559"/>
      <c r="BN243" s="559"/>
      <c r="BO243" s="559"/>
      <c r="BP243" s="559"/>
      <c r="BQ243" s="559"/>
    </row>
    <row r="244" spans="1:69" s="5" customFormat="1" ht="15.75" hidden="1" x14ac:dyDescent="0.25">
      <c r="A244" s="559"/>
      <c r="B244" s="381"/>
      <c r="C244" s="381" t="s">
        <v>472</v>
      </c>
      <c r="D244" s="385" t="e">
        <f>(1.185+(0.00454*D20)-(0.0000026*(D20)^2)+((0.315*D22)))^2*1.1+D248</f>
        <v>#DIV/0!</v>
      </c>
      <c r="E244" s="385">
        <f>(1.185+(0.00454*E20)-(0.0000026*(E20)^2)+((0.315*E22)))^2*1+E248</f>
        <v>1.4042250000000001</v>
      </c>
      <c r="F244" s="385">
        <f>(1.185+(0.00454*F20)-(0.0000026*(F20)^2)+((0.315*F22)))^2*1+F248</f>
        <v>1.4042250000000001</v>
      </c>
      <c r="G244" s="385">
        <f>(1.185+(0.00454*G20)-(0.0000026*(G20)^2)+((0.315*G22)))^2*1+G248</f>
        <v>1.4042250000000001</v>
      </c>
      <c r="H244" s="385">
        <f>(1.185+(0.00454*H20)-(0.0000026*(H20)^2)+((0.315*H22)))^2*1+H248</f>
        <v>1.4042250000000001</v>
      </c>
      <c r="I244" s="1347"/>
      <c r="J244" s="1347"/>
      <c r="K244" s="386" t="s">
        <v>269</v>
      </c>
      <c r="L244" s="1350"/>
      <c r="AE244" s="358">
        <v>3</v>
      </c>
      <c r="AF244" s="552" t="s">
        <v>960</v>
      </c>
      <c r="AG244" s="1485">
        <v>85.19</v>
      </c>
      <c r="AH244" s="1485">
        <v>7.98</v>
      </c>
      <c r="AI244" s="1485">
        <v>3.41</v>
      </c>
      <c r="AJ244" s="1485">
        <v>1.43</v>
      </c>
      <c r="AK244" s="1485"/>
      <c r="AL244" s="1485">
        <v>1.99</v>
      </c>
      <c r="AM244" s="1485"/>
      <c r="AN244" s="1367">
        <v>6.6955999999999998</v>
      </c>
      <c r="AO244" s="1299"/>
      <c r="AP244" s="559"/>
      <c r="BD244" s="559"/>
      <c r="BE244" s="559"/>
      <c r="BF244" s="559"/>
      <c r="BG244" s="559"/>
      <c r="BH244" s="559"/>
      <c r="BI244" s="559"/>
      <c r="BJ244" s="559"/>
      <c r="BK244" s="559"/>
      <c r="BL244" s="559"/>
      <c r="BM244" s="559"/>
      <c r="BN244" s="559"/>
      <c r="BO244" s="559"/>
      <c r="BP244" s="559"/>
      <c r="BQ244" s="559"/>
    </row>
    <row r="245" spans="1:69" s="5" customFormat="1" ht="15.75" hidden="1" x14ac:dyDescent="0.25">
      <c r="A245" s="559"/>
      <c r="B245" s="381"/>
      <c r="C245" s="381"/>
      <c r="D245" s="385"/>
      <c r="E245" s="385"/>
      <c r="F245" s="385"/>
      <c r="G245" s="385"/>
      <c r="H245" s="385"/>
      <c r="I245" s="1347"/>
      <c r="J245" s="1347"/>
      <c r="K245" s="386"/>
      <c r="L245" s="1350"/>
      <c r="AE245" s="358">
        <v>4</v>
      </c>
      <c r="AF245" s="552" t="s">
        <v>1010</v>
      </c>
      <c r="AG245" s="1485">
        <v>79.37</v>
      </c>
      <c r="AH245" s="1485">
        <v>9.68</v>
      </c>
      <c r="AI245" s="1485">
        <v>2.64</v>
      </c>
      <c r="AJ245" s="1485">
        <v>3.3</v>
      </c>
      <c r="AK245" s="1485"/>
      <c r="AL245" s="1485">
        <v>5.01</v>
      </c>
      <c r="AM245" s="1485"/>
      <c r="AN245" s="1367">
        <v>9.1526999999999994</v>
      </c>
      <c r="AO245" s="1299"/>
      <c r="AP245" s="559"/>
      <c r="BD245" s="559"/>
      <c r="BE245" s="559"/>
      <c r="BF245" s="559"/>
      <c r="BG245" s="559"/>
      <c r="BH245" s="559"/>
      <c r="BI245" s="559"/>
      <c r="BJ245" s="559"/>
      <c r="BK245" s="559"/>
      <c r="BL245" s="559"/>
      <c r="BM245" s="559"/>
      <c r="BN245" s="559"/>
      <c r="BO245" s="559"/>
      <c r="BP245" s="559"/>
      <c r="BQ245" s="559"/>
    </row>
    <row r="246" spans="1:69" s="5" customFormat="1" ht="15.75" hidden="1" x14ac:dyDescent="0.25">
      <c r="A246" s="559"/>
      <c r="B246" s="383" t="s">
        <v>270</v>
      </c>
      <c r="C246" s="386"/>
      <c r="D246" s="1348" t="s">
        <v>1493</v>
      </c>
      <c r="E246" s="383"/>
      <c r="F246" s="381"/>
      <c r="G246" s="381"/>
      <c r="H246" s="381"/>
      <c r="I246" s="1347"/>
      <c r="J246" s="1347"/>
      <c r="K246" s="381"/>
      <c r="L246" s="1350"/>
      <c r="AE246" s="551">
        <v>5</v>
      </c>
      <c r="AF246" s="552" t="s">
        <v>1016</v>
      </c>
      <c r="AG246" s="1485">
        <v>80.67</v>
      </c>
      <c r="AH246" s="1485">
        <v>10.81</v>
      </c>
      <c r="AI246" s="1485">
        <v>3.52</v>
      </c>
      <c r="AJ246" s="1485">
        <v>0.66</v>
      </c>
      <c r="AK246" s="1485"/>
      <c r="AL246" s="1485">
        <v>4.34</v>
      </c>
      <c r="AM246" s="1485"/>
      <c r="AN246" s="1367">
        <v>9.0227000000000004</v>
      </c>
      <c r="AO246" s="1299"/>
      <c r="AP246" s="559"/>
      <c r="BD246" s="559"/>
      <c r="BE246" s="559"/>
      <c r="BF246" s="559"/>
      <c r="BG246" s="559"/>
      <c r="BH246" s="559"/>
      <c r="BI246" s="559"/>
      <c r="BJ246" s="559"/>
      <c r="BK246" s="559"/>
      <c r="BL246" s="559"/>
      <c r="BM246" s="559"/>
      <c r="BN246" s="559"/>
      <c r="BO246" s="559"/>
      <c r="BP246" s="559"/>
      <c r="BQ246" s="559"/>
    </row>
    <row r="247" spans="1:69" s="5" customFormat="1" ht="15.75" hidden="1" x14ac:dyDescent="0.25">
      <c r="A247" s="559"/>
      <c r="B247" s="381"/>
      <c r="C247" s="381"/>
      <c r="D247" s="383" t="s">
        <v>1516</v>
      </c>
      <c r="E247" s="381"/>
      <c r="F247" s="381"/>
      <c r="G247" s="381"/>
      <c r="H247" s="381"/>
      <c r="I247" s="1347"/>
      <c r="J247" s="1347"/>
      <c r="K247" s="381"/>
      <c r="L247" s="1351" t="s">
        <v>1404</v>
      </c>
      <c r="AE247" s="358">
        <v>6</v>
      </c>
      <c r="AF247" s="553" t="s">
        <v>1017</v>
      </c>
      <c r="AG247" s="1485">
        <v>81.86</v>
      </c>
      <c r="AH247" s="1485">
        <v>10.35</v>
      </c>
      <c r="AI247" s="1485">
        <v>2.5299999999999998</v>
      </c>
      <c r="AJ247" s="1485">
        <v>1.54</v>
      </c>
      <c r="AK247" s="1485"/>
      <c r="AL247" s="1485">
        <v>3.72</v>
      </c>
      <c r="AM247" s="1485"/>
      <c r="AN247" s="1367">
        <v>8.9453999999999994</v>
      </c>
      <c r="AO247" s="1299"/>
      <c r="AP247" s="559"/>
      <c r="BD247" s="559"/>
      <c r="BE247" s="559"/>
      <c r="BF247" s="559"/>
      <c r="BG247" s="559"/>
      <c r="BH247" s="559"/>
      <c r="BI247" s="559"/>
      <c r="BJ247" s="559"/>
      <c r="BK247" s="559"/>
      <c r="BL247" s="559"/>
      <c r="BM247" s="559"/>
      <c r="BN247" s="559"/>
      <c r="BO247" s="559"/>
      <c r="BP247" s="559"/>
      <c r="BQ247" s="559"/>
    </row>
    <row r="248" spans="1:69" s="5" customFormat="1" ht="15.75" hidden="1" x14ac:dyDescent="0.25">
      <c r="A248" s="559"/>
      <c r="B248" s="381"/>
      <c r="C248" s="381" t="s">
        <v>472</v>
      </c>
      <c r="D248" s="616" t="e">
        <f>(H29*1.03 *D29/365)*3.054/0.6/((0.00795*F37)-0.0014)/18.4</f>
        <v>#DIV/0!</v>
      </c>
      <c r="E248" s="385">
        <f>0*3.054/0.6/(0.00795*D39-0.0014)/18.4</f>
        <v>0</v>
      </c>
      <c r="F248" s="385">
        <f>0*3.054/0.6/(0.00795*D40-0.0014)/18.4</f>
        <v>0</v>
      </c>
      <c r="G248" s="385">
        <f>0*3.054/0.6/(0.00795*D39-0.0014)/18.4</f>
        <v>0</v>
      </c>
      <c r="H248" s="385">
        <f>0*3.054/0.6/(0.00795*D39-0.0014)/18.4</f>
        <v>0</v>
      </c>
      <c r="I248" s="1347"/>
      <c r="J248" s="1347"/>
      <c r="K248" s="386" t="s">
        <v>269</v>
      </c>
      <c r="L248" s="382"/>
      <c r="AE248" s="358">
        <v>7</v>
      </c>
      <c r="AF248" s="552" t="s">
        <v>1018</v>
      </c>
      <c r="AG248" s="1485">
        <v>79.37</v>
      </c>
      <c r="AH248" s="1485">
        <v>9.68</v>
      </c>
      <c r="AI248" s="1485">
        <v>2.64</v>
      </c>
      <c r="AJ248" s="1485">
        <v>3.3</v>
      </c>
      <c r="AK248" s="1485"/>
      <c r="AL248" s="1485">
        <v>5.01</v>
      </c>
      <c r="AM248" s="1485"/>
      <c r="AN248" s="1367">
        <v>11.108000000000001</v>
      </c>
      <c r="AO248" s="1299"/>
      <c r="AP248" s="559"/>
      <c r="BD248" s="559"/>
      <c r="BE248" s="559"/>
      <c r="BF248" s="559"/>
      <c r="BG248" s="559"/>
      <c r="BH248" s="559"/>
      <c r="BI248" s="559"/>
      <c r="BJ248" s="559"/>
      <c r="BK248" s="559"/>
      <c r="BL248" s="559"/>
      <c r="BM248" s="559"/>
      <c r="BN248" s="559"/>
      <c r="BO248" s="559"/>
      <c r="BP248" s="559"/>
      <c r="BQ248" s="559"/>
    </row>
    <row r="249" spans="1:69" s="1298" customFormat="1" ht="15.75" hidden="1" x14ac:dyDescent="0.25">
      <c r="A249" s="1299"/>
      <c r="B249" s="1109"/>
      <c r="C249" s="1109"/>
      <c r="D249" s="616"/>
      <c r="E249" s="1111"/>
      <c r="F249" s="1111"/>
      <c r="G249" s="1111"/>
      <c r="H249" s="1111"/>
      <c r="I249" s="1347"/>
      <c r="J249" s="1347"/>
      <c r="K249" s="386"/>
      <c r="L249" s="382"/>
      <c r="AE249" s="1317"/>
      <c r="AF249" s="552"/>
      <c r="AG249" s="1335"/>
      <c r="AH249" s="1335"/>
      <c r="AI249" s="1335"/>
      <c r="AJ249" s="1335"/>
      <c r="AK249" s="1335"/>
      <c r="AL249" s="1335"/>
      <c r="AM249" s="1335"/>
      <c r="AN249" s="1335"/>
      <c r="AO249" s="1299"/>
      <c r="AP249" s="1299"/>
      <c r="BD249" s="1299"/>
      <c r="BE249" s="1299"/>
      <c r="BF249" s="1299"/>
      <c r="BG249" s="1299"/>
      <c r="BH249" s="1299"/>
      <c r="BI249" s="1299"/>
      <c r="BJ249" s="1299"/>
      <c r="BK249" s="1299"/>
      <c r="BL249" s="1299"/>
      <c r="BM249" s="1299"/>
      <c r="BN249" s="1299"/>
      <c r="BO249" s="1299"/>
      <c r="BP249" s="1299"/>
      <c r="BQ249" s="1299"/>
    </row>
    <row r="250" spans="1:69" s="5" customFormat="1" ht="15.75" hidden="1" x14ac:dyDescent="0.25">
      <c r="A250" s="559"/>
      <c r="B250" s="383" t="s">
        <v>6</v>
      </c>
      <c r="C250" s="386"/>
      <c r="D250" s="383" t="s">
        <v>272</v>
      </c>
      <c r="E250" s="386"/>
      <c r="F250" s="386"/>
      <c r="G250" s="386"/>
      <c r="H250" s="381"/>
      <c r="I250" s="1347"/>
      <c r="J250" s="1347"/>
      <c r="K250" s="381"/>
      <c r="L250" s="384" t="s">
        <v>1517</v>
      </c>
      <c r="AE250" s="1368" t="s">
        <v>997</v>
      </c>
      <c r="AF250" s="559">
        <f>C233</f>
        <v>0</v>
      </c>
      <c r="AG250" s="631" t="e">
        <f>VLOOKUP($AF$250,$AF$242:$AN$248,2,FALSE)</f>
        <v>#N/A</v>
      </c>
      <c r="AH250" s="1365" t="e">
        <f>VLOOKUP($AF$250,$AF$242:$AN$248,3,FALSE)</f>
        <v>#N/A</v>
      </c>
      <c r="AI250" s="1365" t="e">
        <f>VLOOKUP($AF$250,$AF$242:$AN$248,4,FALSE)</f>
        <v>#N/A</v>
      </c>
      <c r="AJ250" s="1365" t="e">
        <f>VLOOKUP($AF$250,$AF$242:$AN$248,5,FALSE)</f>
        <v>#N/A</v>
      </c>
      <c r="AK250" s="631"/>
      <c r="AL250" s="1365" t="e">
        <f>VLOOKUP($AF$250,$AF$242:$AN$248,7,FALSE)</f>
        <v>#N/A</v>
      </c>
      <c r="AM250" s="631"/>
      <c r="AN250" s="1365" t="e">
        <f>VLOOKUP($AF$250,$AF$242:$AN$248,9,FALSE)</f>
        <v>#N/A</v>
      </c>
      <c r="AO250" s="559"/>
      <c r="AP250" s="559"/>
      <c r="BD250" s="559"/>
      <c r="BE250" s="559"/>
      <c r="BF250" s="559"/>
      <c r="BG250" s="559"/>
      <c r="BH250" s="559"/>
      <c r="BI250" s="559"/>
      <c r="BJ250" s="559"/>
      <c r="BK250" s="559"/>
      <c r="BL250" s="559"/>
      <c r="BM250" s="559"/>
      <c r="BN250" s="559"/>
      <c r="BO250" s="559"/>
      <c r="BP250" s="559"/>
      <c r="BQ250" s="559"/>
    </row>
    <row r="251" spans="1:69" s="5" customFormat="1" ht="15.75" hidden="1" x14ac:dyDescent="0.25">
      <c r="A251" s="559"/>
      <c r="B251" s="381"/>
      <c r="C251" s="381" t="s">
        <v>472</v>
      </c>
      <c r="D251" s="1096" t="e">
        <f>D244/(1.185+(0.00454*D20)-(0.0000026*(D20)^2)+((0.315*0)))^2</f>
        <v>#DIV/0!</v>
      </c>
      <c r="E251" s="1096">
        <f>E244/(1.185+(0.00454*E20)-(0.0000026*(E20)^2)+((0.315*0)))^2</f>
        <v>1</v>
      </c>
      <c r="F251" s="1096">
        <f>F244/(1.185+(0.00454*F20)-(0.0000026*(F20)^2)+((0.315*0)))^2</f>
        <v>1</v>
      </c>
      <c r="G251" s="1096">
        <f>G244/(1.185+(0.00454*G20)-(0.0000026*(G20)^2)+((0.315*0)))^2</f>
        <v>1</v>
      </c>
      <c r="H251" s="1096">
        <f>H244/(1.185+(0.00454*H20)-(0.0000026*(H20)^2)+((0.315*0)))^2</f>
        <v>1</v>
      </c>
      <c r="I251" s="1347"/>
      <c r="J251" s="1347"/>
      <c r="K251" s="386" t="s">
        <v>269</v>
      </c>
      <c r="L251" s="382"/>
      <c r="AE251" s="1368" t="s">
        <v>999</v>
      </c>
      <c r="AF251" s="559"/>
      <c r="AG251" s="359">
        <f>AR224*100</f>
        <v>100</v>
      </c>
      <c r="AH251" s="359">
        <f>AR238*100</f>
        <v>0</v>
      </c>
      <c r="AI251" s="359">
        <f>AR239*100</f>
        <v>0</v>
      </c>
      <c r="AJ251" s="359">
        <f>AR237*100</f>
        <v>0</v>
      </c>
      <c r="AK251" s="359"/>
      <c r="AL251" s="359">
        <f>AR236*100</f>
        <v>0</v>
      </c>
      <c r="AM251" s="631"/>
      <c r="AN251" s="612" t="e">
        <f>BC236</f>
        <v>#N/A</v>
      </c>
      <c r="AO251" s="559"/>
      <c r="AP251" s="559"/>
      <c r="BD251" s="559"/>
      <c r="BE251" s="559"/>
      <c r="BF251" s="559"/>
      <c r="BG251" s="559"/>
      <c r="BH251" s="559"/>
      <c r="BI251" s="559"/>
      <c r="BJ251" s="559"/>
      <c r="BK251" s="559"/>
      <c r="BL251" s="559"/>
      <c r="BM251" s="559"/>
      <c r="BN251" s="559"/>
      <c r="BO251" s="559"/>
      <c r="BP251" s="559"/>
      <c r="BQ251" s="559"/>
    </row>
    <row r="252" spans="1:69" s="5" customFormat="1" ht="15.75" hidden="1" x14ac:dyDescent="0.25">
      <c r="B252" s="381"/>
      <c r="C252" s="381"/>
      <c r="D252" s="385"/>
      <c r="E252" s="385"/>
      <c r="F252" s="385"/>
      <c r="G252" s="385"/>
      <c r="H252" s="385"/>
      <c r="I252" s="1347"/>
      <c r="J252" s="1347"/>
      <c r="K252" s="386"/>
      <c r="L252" s="382"/>
      <c r="AE252" s="1366" t="s">
        <v>998</v>
      </c>
      <c r="AF252" s="559"/>
      <c r="AG252" s="359" t="e">
        <f>IF($AD$226=1,AG250,AG251)</f>
        <v>#N/A</v>
      </c>
      <c r="AH252" s="1364" t="e">
        <f>IF($AD$226=1,AH250,AH251)</f>
        <v>#N/A</v>
      </c>
      <c r="AI252" s="1364" t="e">
        <f>IF($AD$226=1,AI250,AI251)</f>
        <v>#N/A</v>
      </c>
      <c r="AJ252" s="1364" t="e">
        <f>IF($AD$226=1,AJ250,AJ251)</f>
        <v>#N/A</v>
      </c>
      <c r="AK252" s="1364"/>
      <c r="AL252" s="1364" t="e">
        <f>IF($AD$226=1,AL250,AL251)</f>
        <v>#N/A</v>
      </c>
      <c r="AM252" s="1364"/>
      <c r="AN252" s="1367" t="e">
        <f>IF($AD$226=1,AN250,AN251)</f>
        <v>#N/A</v>
      </c>
      <c r="AO252" s="559"/>
      <c r="AP252" s="559"/>
      <c r="BD252" s="559"/>
    </row>
    <row r="253" spans="1:69" s="5" customFormat="1" ht="15.75" hidden="1" x14ac:dyDescent="0.25">
      <c r="B253" s="383" t="s">
        <v>273</v>
      </c>
      <c r="C253" s="381"/>
      <c r="D253" s="1346" t="s">
        <v>1680</v>
      </c>
      <c r="E253" s="386"/>
      <c r="F253" s="381"/>
      <c r="G253" s="381"/>
      <c r="H253" s="381"/>
      <c r="I253" s="1347"/>
      <c r="J253" s="1347"/>
      <c r="K253" s="381"/>
      <c r="L253" s="1355" t="s">
        <v>1405</v>
      </c>
      <c r="AE253" s="1368" t="s">
        <v>1427</v>
      </c>
      <c r="AG253" s="1369">
        <v>100</v>
      </c>
      <c r="AH253" s="1369">
        <v>0</v>
      </c>
      <c r="AI253" s="1369">
        <v>0</v>
      </c>
      <c r="AJ253" s="1369">
        <v>0</v>
      </c>
      <c r="AK253" s="1369"/>
      <c r="AL253" s="1369">
        <v>0</v>
      </c>
      <c r="AM253" s="1369"/>
      <c r="AN253" s="1369">
        <v>1</v>
      </c>
    </row>
    <row r="254" spans="1:69" s="5" customFormat="1" ht="15.75" hidden="1" x14ac:dyDescent="0.25">
      <c r="B254" s="381"/>
      <c r="C254" s="381" t="s">
        <v>472</v>
      </c>
      <c r="D254" s="388" t="e">
        <f>20.7*D244/1000</f>
        <v>#DIV/0!</v>
      </c>
      <c r="E254" s="1685">
        <f>20.7*E244/1000</f>
        <v>2.9067457500000001E-2</v>
      </c>
      <c r="F254" s="1685">
        <f>20.7*F244/1000</f>
        <v>2.9067457500000001E-2</v>
      </c>
      <c r="G254" s="1685">
        <f>20.7*G244/1000</f>
        <v>2.9067457500000001E-2</v>
      </c>
      <c r="H254" s="1685">
        <f>20.7*H244/1000</f>
        <v>2.9067457500000001E-2</v>
      </c>
      <c r="I254" s="1347">
        <v>1.8249999999999999E-2</v>
      </c>
      <c r="J254" s="1347">
        <v>2.0809999999999999E-2</v>
      </c>
      <c r="K254" s="386" t="s">
        <v>274</v>
      </c>
      <c r="L254" s="1354"/>
      <c r="AE254" s="1366" t="s">
        <v>1002</v>
      </c>
      <c r="AG254" s="1369">
        <f>AU224*100</f>
        <v>100</v>
      </c>
      <c r="AH254" s="1369">
        <f>AU233*100</f>
        <v>0</v>
      </c>
      <c r="AI254" s="1369">
        <f>AU234*100</f>
        <v>0</v>
      </c>
      <c r="AJ254" s="1369">
        <f>AU232*100</f>
        <v>0</v>
      </c>
      <c r="AK254" s="1369"/>
      <c r="AL254" s="1369">
        <f>AU231*100</f>
        <v>0</v>
      </c>
      <c r="AM254" s="1369"/>
      <c r="AN254" s="1369" t="e">
        <f>BC239</f>
        <v>#N/A</v>
      </c>
    </row>
    <row r="255" spans="1:69" s="5" customFormat="1" ht="15.75" hidden="1" x14ac:dyDescent="0.25">
      <c r="B255" s="381"/>
      <c r="C255" s="381"/>
      <c r="D255" s="381"/>
      <c r="E255" s="381"/>
      <c r="F255" s="381"/>
      <c r="G255" s="381"/>
      <c r="H255" s="381"/>
      <c r="I255" s="1347"/>
      <c r="J255" s="1347"/>
      <c r="K255" s="381"/>
      <c r="L255" s="1354"/>
      <c r="AE255" s="1368" t="s">
        <v>1003</v>
      </c>
      <c r="AG255" s="1364">
        <f>IF($AD$226=1,AG253,AG254)</f>
        <v>100</v>
      </c>
      <c r="AH255" s="1364">
        <f>IF($AD$226=1,AH253,AH254)</f>
        <v>0</v>
      </c>
      <c r="AI255" s="1364">
        <f>IF($AD$226=1,AI253,AI254)</f>
        <v>0</v>
      </c>
      <c r="AJ255" s="1364">
        <f>IF($AD$226=1,AJ253,AJ254)</f>
        <v>0</v>
      </c>
      <c r="AK255" s="1364"/>
      <c r="AL255" s="1364">
        <f>IF($AD$226=1,AL253,AL254)</f>
        <v>0</v>
      </c>
      <c r="AM255" s="1364"/>
      <c r="AN255" s="1367">
        <f>IF($AD$226=1,AN253,AN254)</f>
        <v>1</v>
      </c>
    </row>
    <row r="256" spans="1:69" s="5" customFormat="1" ht="15.75" hidden="1" x14ac:dyDescent="0.25">
      <c r="B256" s="389" t="s">
        <v>275</v>
      </c>
      <c r="C256" s="381"/>
      <c r="D256" s="381"/>
      <c r="E256" s="381"/>
      <c r="F256" s="381"/>
      <c r="G256" s="381"/>
      <c r="H256" s="381"/>
      <c r="I256" s="1347"/>
      <c r="J256" s="1347"/>
      <c r="K256" s="381"/>
      <c r="L256" s="1354"/>
    </row>
    <row r="257" spans="2:12" s="5" customFormat="1" ht="15.75" hidden="1" x14ac:dyDescent="0.25">
      <c r="B257" s="381"/>
      <c r="C257" s="381"/>
      <c r="D257" s="1349" t="s">
        <v>1429</v>
      </c>
      <c r="E257" s="381"/>
      <c r="F257" s="381"/>
      <c r="G257" s="381"/>
      <c r="H257" s="381"/>
      <c r="I257" s="1347"/>
      <c r="J257" s="1347"/>
      <c r="K257" s="381"/>
      <c r="L257" s="1354"/>
    </row>
    <row r="258" spans="2:12" s="5" customFormat="1" ht="15.75" hidden="1" x14ac:dyDescent="0.25">
      <c r="B258" s="381"/>
      <c r="C258" s="381"/>
      <c r="D258" s="381"/>
      <c r="E258" s="381"/>
      <c r="F258" s="381"/>
      <c r="G258" s="381"/>
      <c r="H258" s="381"/>
      <c r="I258" s="1347"/>
      <c r="J258" s="1347"/>
      <c r="K258" s="381"/>
      <c r="L258" s="1355" t="s">
        <v>1406</v>
      </c>
    </row>
    <row r="259" spans="2:12" s="5" customFormat="1" ht="15.75" hidden="1" x14ac:dyDescent="0.25">
      <c r="B259" s="381"/>
      <c r="C259" s="381" t="s">
        <v>472</v>
      </c>
      <c r="D259" s="1342" t="e">
        <f>(365*D18*D254)*10^-6</f>
        <v>#DIV/0!</v>
      </c>
      <c r="E259" s="1342">
        <f>(365*E18*E254)*10^-6</f>
        <v>0</v>
      </c>
      <c r="F259" s="1342">
        <f>(281*F18*F254)*10^-6</f>
        <v>0</v>
      </c>
      <c r="G259" s="1342">
        <f>(365*G18*G254)*10^-6</f>
        <v>0</v>
      </c>
      <c r="H259" s="1342">
        <f>(281*H18*H254)*10^-6</f>
        <v>0</v>
      </c>
      <c r="I259" s="1342">
        <f>(84*F18*I254)*10^-6</f>
        <v>0</v>
      </c>
      <c r="J259" s="1342">
        <f>(84*H18*J254)*10^-6</f>
        <v>0</v>
      </c>
      <c r="K259" s="381" t="s">
        <v>473</v>
      </c>
      <c r="L259" s="382"/>
    </row>
    <row r="260" spans="2:12" s="5" customFormat="1" ht="15.75" hidden="1" x14ac:dyDescent="0.25">
      <c r="B260" s="381"/>
      <c r="C260" s="381"/>
      <c r="D260" s="381"/>
      <c r="E260" s="381"/>
      <c r="F260" s="381"/>
      <c r="G260" s="381"/>
      <c r="H260" s="381"/>
      <c r="I260" s="1347"/>
      <c r="J260" s="1347"/>
      <c r="K260" s="381"/>
      <c r="L260" s="382"/>
    </row>
    <row r="261" spans="2:12" s="5" customFormat="1" ht="15.75" hidden="1" x14ac:dyDescent="0.25">
      <c r="B261" s="389" t="s">
        <v>277</v>
      </c>
      <c r="C261" s="391" t="e">
        <f>SUM(D259:J259)</f>
        <v>#DIV/0!</v>
      </c>
      <c r="D261" s="392"/>
      <c r="E261" s="392"/>
      <c r="F261" s="392"/>
      <c r="G261" s="392"/>
      <c r="H261" s="392"/>
      <c r="I261" s="1347"/>
      <c r="J261" s="1347"/>
      <c r="K261" s="393" t="s">
        <v>278</v>
      </c>
      <c r="L261" s="382"/>
    </row>
    <row r="262" spans="2:12" s="5" customFormat="1" ht="15.75" hidden="1" x14ac:dyDescent="0.25">
      <c r="B262" s="389" t="s">
        <v>279</v>
      </c>
      <c r="C262" s="391" t="e">
        <f>C261*25</f>
        <v>#DIV/0!</v>
      </c>
      <c r="D262" s="392"/>
      <c r="E262" s="392"/>
      <c r="F262" s="392"/>
      <c r="G262" s="392"/>
      <c r="H262" s="392"/>
      <c r="I262" s="1347"/>
      <c r="J262" s="1347"/>
      <c r="K262" s="393" t="s">
        <v>280</v>
      </c>
      <c r="L262" s="382"/>
    </row>
    <row r="263" spans="2:12" s="5" customFormat="1" ht="15.75" hidden="1" x14ac:dyDescent="0.25">
      <c r="B263" s="394" t="s">
        <v>279</v>
      </c>
      <c r="C263" s="395" t="e">
        <f>C262*10^3</f>
        <v>#DIV/0!</v>
      </c>
      <c r="D263" s="396"/>
      <c r="E263" s="396"/>
      <c r="F263" s="396"/>
      <c r="G263" s="396"/>
      <c r="H263" s="396"/>
      <c r="I263" s="396"/>
      <c r="J263" s="396"/>
      <c r="K263" s="397" t="s">
        <v>281</v>
      </c>
      <c r="L263" s="398"/>
    </row>
    <row r="264" spans="2:12" s="5" customFormat="1" hidden="1" x14ac:dyDescent="0.25"/>
    <row r="265" spans="2:12" s="5" customFormat="1" ht="15.75" hidden="1" x14ac:dyDescent="0.25">
      <c r="B265" s="399" t="s">
        <v>459</v>
      </c>
      <c r="C265" s="399"/>
      <c r="D265" s="400" t="str">
        <f t="shared" ref="D265:H265" si="5">D17</f>
        <v>Milking Cows</v>
      </c>
      <c r="E265" s="400" t="str">
        <f t="shared" si="5"/>
        <v xml:space="preserve">Heifers &gt;1 </v>
      </c>
      <c r="F265" s="400" t="str">
        <f t="shared" si="5"/>
        <v xml:space="preserve">Heifers &lt;1 </v>
      </c>
      <c r="G265" s="400" t="str">
        <f t="shared" si="5"/>
        <v>Mature bulls</v>
      </c>
      <c r="H265" s="400" t="str">
        <f t="shared" si="5"/>
        <v>Immature bulls</v>
      </c>
      <c r="I265" s="1356" t="s">
        <v>1518</v>
      </c>
      <c r="J265" s="1356" t="s">
        <v>1401</v>
      </c>
      <c r="K265" s="400">
        <f>I17</f>
        <v>0</v>
      </c>
      <c r="L265" s="401" t="s">
        <v>267</v>
      </c>
    </row>
    <row r="266" spans="2:12" s="5" customFormat="1" ht="15.75" hidden="1" x14ac:dyDescent="0.25">
      <c r="B266" s="402" t="s">
        <v>283</v>
      </c>
      <c r="C266" s="403">
        <v>0.08</v>
      </c>
      <c r="D266" s="404"/>
      <c r="E266" s="403"/>
      <c r="F266" s="403"/>
      <c r="G266" s="403"/>
      <c r="H266" s="403"/>
      <c r="I266" s="1357"/>
      <c r="J266" s="1357"/>
      <c r="K266" s="403" t="s">
        <v>284</v>
      </c>
      <c r="L266" s="405"/>
    </row>
    <row r="267" spans="2:12" s="5" customFormat="1" ht="15.75" hidden="1" x14ac:dyDescent="0.25">
      <c r="B267" s="402" t="s">
        <v>285</v>
      </c>
      <c r="C267" s="403">
        <v>0.24</v>
      </c>
      <c r="D267" s="404"/>
      <c r="E267" s="403"/>
      <c r="F267" s="403"/>
      <c r="G267" s="403"/>
      <c r="H267" s="403"/>
      <c r="I267" s="1357"/>
      <c r="J267" s="1357"/>
      <c r="K267" s="403" t="s">
        <v>286</v>
      </c>
      <c r="L267" s="405"/>
    </row>
    <row r="268" spans="2:12" s="5" customFormat="1" ht="15.75" hidden="1" x14ac:dyDescent="0.25">
      <c r="B268" s="406" t="s">
        <v>287</v>
      </c>
      <c r="C268" s="407">
        <v>0.6784</v>
      </c>
      <c r="D268" s="408"/>
      <c r="E268" s="407"/>
      <c r="F268" s="407"/>
      <c r="G268" s="407"/>
      <c r="H268" s="407"/>
      <c r="I268" s="1352"/>
      <c r="J268" s="1352"/>
      <c r="K268" s="407" t="s">
        <v>288</v>
      </c>
      <c r="L268" s="409"/>
    </row>
    <row r="269" spans="2:12" s="5" customFormat="1" ht="15.75" hidden="1" x14ac:dyDescent="0.25">
      <c r="B269" s="404"/>
      <c r="C269" s="410"/>
      <c r="D269" s="404"/>
      <c r="E269" s="404"/>
      <c r="F269" s="404"/>
      <c r="G269" s="404"/>
      <c r="H269" s="404"/>
      <c r="I269" s="1358"/>
      <c r="J269" s="1358"/>
      <c r="K269" s="404"/>
      <c r="L269" s="405"/>
    </row>
    <row r="270" spans="2:12" s="5" customFormat="1" ht="15.75" hidden="1" x14ac:dyDescent="0.25">
      <c r="B270" s="402" t="s">
        <v>289</v>
      </c>
      <c r="C270" s="1372" t="s">
        <v>1519</v>
      </c>
      <c r="D270" s="403"/>
      <c r="E270" s="404"/>
      <c r="F270" s="404"/>
      <c r="G270" s="404"/>
      <c r="H270" s="404"/>
      <c r="I270" s="1358"/>
      <c r="J270" s="1358"/>
      <c r="K270" s="404"/>
      <c r="L270" s="411" t="s">
        <v>291</v>
      </c>
    </row>
    <row r="271" spans="2:12" s="5" customFormat="1" ht="15.75" hidden="1" x14ac:dyDescent="0.25">
      <c r="B271" s="404"/>
      <c r="C271" s="404" t="s">
        <v>472</v>
      </c>
      <c r="D271" s="412" t="e">
        <f>(D244*(1-(F37/100))+(0.04*D244))*(1-$C$266)</f>
        <v>#DIV/0!</v>
      </c>
      <c r="E271" s="412">
        <f>(E244*(1-($D$39/100))+(0.04*E244))*(1-$C$266)</f>
        <v>1.3435624800000001</v>
      </c>
      <c r="F271" s="1373">
        <f>(F244*(1-($D$39/100))+(0.04*F244))*(1-$C$266)</f>
        <v>1.3435624800000001</v>
      </c>
      <c r="G271" s="1373">
        <f>(G244*(1-($D$39/100))+(0.04*G244))*(1-$C$266)</f>
        <v>1.3435624800000001</v>
      </c>
      <c r="H271" s="1373">
        <f>(H244*(1-($D$39/100))+(0.04*H244))*(1-$C$266)</f>
        <v>1.3435624800000001</v>
      </c>
      <c r="I271" s="1363">
        <v>0.26850000000000002</v>
      </c>
      <c r="J271" s="1363">
        <v>0.30030000000000001</v>
      </c>
      <c r="K271" s="403" t="s">
        <v>292</v>
      </c>
      <c r="L271" s="405"/>
    </row>
    <row r="272" spans="2:12" s="5" customFormat="1" ht="15.75" hidden="1" x14ac:dyDescent="0.25">
      <c r="B272" s="404"/>
      <c r="C272" s="404"/>
      <c r="D272" s="404"/>
      <c r="E272" s="404"/>
      <c r="F272" s="404"/>
      <c r="G272" s="404"/>
      <c r="H272" s="404"/>
      <c r="I272" s="1358"/>
      <c r="J272" s="1358"/>
      <c r="K272" s="404"/>
      <c r="L272" s="405"/>
    </row>
    <row r="273" spans="2:12" s="5" customFormat="1" ht="15.75" hidden="1" x14ac:dyDescent="0.25">
      <c r="B273" s="402" t="s">
        <v>293</v>
      </c>
      <c r="C273" s="402" t="s">
        <v>294</v>
      </c>
      <c r="D273" s="403"/>
      <c r="E273" s="403"/>
      <c r="F273" s="413"/>
      <c r="G273" s="413"/>
      <c r="H273" s="404"/>
      <c r="I273" s="1358"/>
      <c r="J273" s="1358"/>
      <c r="K273" s="413"/>
      <c r="L273" s="411" t="s">
        <v>295</v>
      </c>
    </row>
    <row r="274" spans="2:12" s="5" customFormat="1" ht="15.75" hidden="1" x14ac:dyDescent="0.25">
      <c r="B274" s="404"/>
      <c r="C274" s="403" t="s">
        <v>296</v>
      </c>
      <c r="D274" s="404"/>
      <c r="E274" s="404"/>
      <c r="F274" s="404"/>
      <c r="G274" s="404"/>
      <c r="H274" s="404"/>
      <c r="I274" s="1358"/>
      <c r="J274" s="1358"/>
      <c r="K274" s="404"/>
      <c r="L274" s="405"/>
    </row>
    <row r="275" spans="2:12" s="5" customFormat="1" ht="15.75" hidden="1" x14ac:dyDescent="0.25">
      <c r="B275" s="404"/>
      <c r="C275" s="403"/>
      <c r="D275" s="403"/>
      <c r="E275" s="413"/>
      <c r="F275" s="413"/>
      <c r="G275" s="413"/>
      <c r="H275" s="413"/>
      <c r="I275" s="1359"/>
      <c r="J275" s="1359"/>
      <c r="K275" s="404"/>
      <c r="L275" s="405"/>
    </row>
    <row r="276" spans="2:12" s="5" customFormat="1" ht="15.75" hidden="1" x14ac:dyDescent="0.25">
      <c r="B276" s="404"/>
      <c r="C276" s="404"/>
      <c r="D276" s="404"/>
      <c r="E276" s="404"/>
      <c r="F276" s="404"/>
      <c r="G276" s="404"/>
      <c r="H276" s="404"/>
      <c r="I276" s="1358"/>
      <c r="J276" s="1358"/>
      <c r="K276" s="404"/>
      <c r="L276" s="415"/>
    </row>
    <row r="277" spans="2:12" s="5" customFormat="1" ht="15.75" hidden="1" x14ac:dyDescent="0.25">
      <c r="B277" s="404"/>
      <c r="C277" s="402" t="s">
        <v>896</v>
      </c>
      <c r="D277" s="404"/>
      <c r="E277" s="404"/>
      <c r="F277" s="404"/>
      <c r="G277" s="404"/>
      <c r="H277" s="404"/>
      <c r="I277" s="1358"/>
      <c r="J277" s="1358"/>
      <c r="K277" s="404"/>
      <c r="L277" s="414"/>
    </row>
    <row r="278" spans="2:12" s="5" customFormat="1" ht="15.75" hidden="1" x14ac:dyDescent="0.25">
      <c r="B278" s="404"/>
      <c r="C278" s="404"/>
      <c r="D278" s="404"/>
      <c r="E278" s="404"/>
      <c r="F278" s="404"/>
      <c r="G278" s="404"/>
      <c r="H278" s="404"/>
      <c r="I278" s="1358"/>
      <c r="J278" s="1358"/>
      <c r="K278" s="404"/>
      <c r="L278" s="416"/>
    </row>
    <row r="279" spans="2:12" s="5" customFormat="1" ht="15.75" hidden="1" x14ac:dyDescent="0.25">
      <c r="B279" s="404"/>
      <c r="C279" s="404" t="s">
        <v>472</v>
      </c>
      <c r="D279" s="417" t="e">
        <f>D271*$C$267*I91%*$C$268</f>
        <v>#DIV/0!</v>
      </c>
      <c r="E279" s="417">
        <f t="shared" ref="E279:J279" si="6">E271*$C$267*$I$96%*$C$268</f>
        <v>2.1875346874368003E-3</v>
      </c>
      <c r="F279" s="1376">
        <f t="shared" si="6"/>
        <v>2.1875346874368003E-3</v>
      </c>
      <c r="G279" s="1376">
        <f t="shared" si="6"/>
        <v>2.1875346874368003E-3</v>
      </c>
      <c r="H279" s="1376">
        <f t="shared" si="6"/>
        <v>2.1875346874368003E-3</v>
      </c>
      <c r="I279" s="1376">
        <f t="shared" si="6"/>
        <v>4.3716095999999998E-4</v>
      </c>
      <c r="J279" s="1376">
        <f t="shared" si="6"/>
        <v>4.8893644799999998E-4</v>
      </c>
      <c r="K279" s="403" t="s">
        <v>274</v>
      </c>
      <c r="L279" s="405"/>
    </row>
    <row r="280" spans="2:12" s="5" customFormat="1" ht="15.75" hidden="1" x14ac:dyDescent="0.25">
      <c r="B280" s="418"/>
      <c r="C280" s="418"/>
      <c r="D280" s="418"/>
      <c r="E280" s="418"/>
      <c r="F280" s="418"/>
      <c r="G280" s="418"/>
      <c r="H280" s="418"/>
      <c r="I280" s="1361"/>
      <c r="J280" s="1361"/>
      <c r="K280" s="418"/>
      <c r="L280" s="416"/>
    </row>
    <row r="281" spans="2:12" s="5" customFormat="1" ht="15.75" hidden="1" x14ac:dyDescent="0.25">
      <c r="B281" s="402" t="s">
        <v>298</v>
      </c>
      <c r="C281" s="402"/>
      <c r="D281" s="402"/>
      <c r="E281" s="403"/>
      <c r="F281" s="403"/>
      <c r="G281" s="403"/>
      <c r="H281" s="403"/>
      <c r="I281" s="1357"/>
      <c r="J281" s="1357"/>
      <c r="K281" s="403"/>
      <c r="L281" s="405"/>
    </row>
    <row r="282" spans="2:12" s="5" customFormat="1" ht="15.75" hidden="1" x14ac:dyDescent="0.25">
      <c r="B282" s="403"/>
      <c r="C282" s="1370" t="s">
        <v>1430</v>
      </c>
      <c r="D282" s="403"/>
      <c r="E282" s="403"/>
      <c r="F282" s="403"/>
      <c r="G282" s="403"/>
      <c r="H282" s="403"/>
      <c r="I282" s="1357"/>
      <c r="J282" s="1357"/>
      <c r="K282" s="403"/>
      <c r="L282" s="411" t="s">
        <v>299</v>
      </c>
    </row>
    <row r="283" spans="2:12" s="5" customFormat="1" ht="15.75" hidden="1" x14ac:dyDescent="0.25">
      <c r="B283" s="403"/>
      <c r="C283" s="402"/>
      <c r="D283" s="403"/>
      <c r="E283" s="403"/>
      <c r="F283" s="403"/>
      <c r="G283" s="403"/>
      <c r="H283" s="403"/>
      <c r="I283" s="1357"/>
      <c r="J283" s="1357"/>
      <c r="K283" s="403"/>
      <c r="L283" s="405"/>
    </row>
    <row r="284" spans="2:12" s="5" customFormat="1" ht="15.75" hidden="1" x14ac:dyDescent="0.25">
      <c r="B284" s="403"/>
      <c r="C284" s="404" t="s">
        <v>472</v>
      </c>
      <c r="D284" s="1371" t="e">
        <f>(365*D18*D279)*10^-6</f>
        <v>#DIV/0!</v>
      </c>
      <c r="E284" s="1371">
        <f>(365*E18*E279)*10^-6</f>
        <v>0</v>
      </c>
      <c r="F284" s="1371">
        <f>(281*F18*F279)*10^-6</f>
        <v>0</v>
      </c>
      <c r="G284" s="1371">
        <f>(365*G18*G279)*10^-6</f>
        <v>0</v>
      </c>
      <c r="H284" s="1371">
        <f>(281*H18*H279)*10^-6</f>
        <v>0</v>
      </c>
      <c r="I284" s="1371">
        <f>(84*F18*I279)*10^-6</f>
        <v>0</v>
      </c>
      <c r="J284" s="1371">
        <f>(84*H18*J279)*10^-6</f>
        <v>0</v>
      </c>
      <c r="K284" s="403" t="s">
        <v>473</v>
      </c>
      <c r="L284" s="405"/>
    </row>
    <row r="285" spans="2:12" s="5" customFormat="1" ht="15.75" hidden="1" x14ac:dyDescent="0.25">
      <c r="B285" s="403"/>
      <c r="C285" s="403"/>
      <c r="D285" s="403"/>
      <c r="E285" s="403"/>
      <c r="F285" s="403"/>
      <c r="G285" s="403"/>
      <c r="H285" s="403"/>
      <c r="I285" s="1357"/>
      <c r="J285" s="1357"/>
      <c r="K285" s="404"/>
      <c r="L285" s="405"/>
    </row>
    <row r="286" spans="2:12" s="5" customFormat="1" ht="15.75" hidden="1" x14ac:dyDescent="0.25">
      <c r="B286" s="402" t="s">
        <v>300</v>
      </c>
      <c r="C286" s="419" t="e">
        <f>SUM(D284:J284)</f>
        <v>#DIV/0!</v>
      </c>
      <c r="D286" s="417"/>
      <c r="E286" s="417"/>
      <c r="F286" s="417"/>
      <c r="G286" s="417"/>
      <c r="H286" s="417"/>
      <c r="I286" s="1360"/>
      <c r="J286" s="1360"/>
      <c r="K286" s="403" t="s">
        <v>301</v>
      </c>
      <c r="L286" s="416"/>
    </row>
    <row r="287" spans="2:12" s="5" customFormat="1" ht="15.75" hidden="1" x14ac:dyDescent="0.25">
      <c r="B287" s="402" t="s">
        <v>300</v>
      </c>
      <c r="C287" s="420" t="e">
        <f>C286*25</f>
        <v>#DIV/0!</v>
      </c>
      <c r="D287" s="417"/>
      <c r="E287" s="417"/>
      <c r="F287" s="417"/>
      <c r="G287" s="417"/>
      <c r="H287" s="417"/>
      <c r="I287" s="1360"/>
      <c r="J287" s="1360"/>
      <c r="K287" s="403" t="s">
        <v>302</v>
      </c>
      <c r="L287" s="416"/>
    </row>
    <row r="288" spans="2:12" s="5" customFormat="1" ht="15.75" hidden="1" x14ac:dyDescent="0.25">
      <c r="B288" s="406" t="s">
        <v>300</v>
      </c>
      <c r="C288" s="421" t="e">
        <f>C287*10^3</f>
        <v>#DIV/0!</v>
      </c>
      <c r="D288" s="421"/>
      <c r="E288" s="1362"/>
      <c r="F288" s="421"/>
      <c r="G288" s="421"/>
      <c r="H288" s="421"/>
      <c r="I288" s="1353"/>
      <c r="J288" s="1353"/>
      <c r="K288" s="408" t="s">
        <v>303</v>
      </c>
      <c r="L288" s="409"/>
    </row>
    <row r="289" spans="2:12" s="5" customFormat="1" hidden="1" x14ac:dyDescent="0.25"/>
    <row r="290" spans="2:12" s="5" customFormat="1" ht="15.75" hidden="1" x14ac:dyDescent="0.25">
      <c r="B290" s="63" t="s">
        <v>304</v>
      </c>
      <c r="C290" s="63" t="s">
        <v>253</v>
      </c>
      <c r="D290" s="64" t="str">
        <f t="shared" ref="D290:H290" si="7">D17</f>
        <v>Milking Cows</v>
      </c>
      <c r="E290" s="64" t="str">
        <f t="shared" si="7"/>
        <v xml:space="preserve">Heifers &gt;1 </v>
      </c>
      <c r="F290" s="64" t="str">
        <f t="shared" si="7"/>
        <v xml:space="preserve">Heifers &lt;1 </v>
      </c>
      <c r="G290" s="64" t="str">
        <f t="shared" si="7"/>
        <v>Mature bulls</v>
      </c>
      <c r="H290" s="64" t="str">
        <f t="shared" si="7"/>
        <v>Immature bulls</v>
      </c>
      <c r="I290" s="1378" t="s">
        <v>1400</v>
      </c>
      <c r="J290" s="1378" t="s">
        <v>1401</v>
      </c>
      <c r="K290" s="64" t="s">
        <v>252</v>
      </c>
      <c r="L290" s="65" t="s">
        <v>267</v>
      </c>
    </row>
    <row r="291" spans="2:12" s="5" customFormat="1" ht="15.75" hidden="1" x14ac:dyDescent="0.25">
      <c r="B291" s="66"/>
      <c r="C291" s="66"/>
      <c r="D291" s="66"/>
      <c r="E291" s="66"/>
      <c r="F291" s="66"/>
      <c r="G291" s="66"/>
      <c r="H291" s="66"/>
      <c r="I291" s="1379"/>
      <c r="J291" s="1379"/>
      <c r="K291" s="66"/>
      <c r="L291" s="67"/>
    </row>
    <row r="292" spans="2:12" s="5" customFormat="1" ht="15.75" hidden="1" x14ac:dyDescent="0.25">
      <c r="B292" s="68" t="s">
        <v>305</v>
      </c>
      <c r="C292" s="66"/>
      <c r="D292" s="68" t="s">
        <v>306</v>
      </c>
      <c r="E292" s="69"/>
      <c r="F292" s="69"/>
      <c r="G292" s="70"/>
      <c r="H292" s="66"/>
      <c r="I292" s="1379"/>
      <c r="J292" s="1379"/>
      <c r="K292" s="66"/>
      <c r="L292" s="1444" t="s">
        <v>1440</v>
      </c>
    </row>
    <row r="293" spans="2:12" s="5" customFormat="1" ht="15.75" hidden="1" x14ac:dyDescent="0.25">
      <c r="B293" s="66"/>
      <c r="C293" s="71" t="s">
        <v>472</v>
      </c>
      <c r="D293" s="72" t="e">
        <f>D244*H37%</f>
        <v>#DIV/0!</v>
      </c>
      <c r="E293" s="72">
        <f>E244*D40%</f>
        <v>0</v>
      </c>
      <c r="F293" s="72">
        <f>F244*D40%</f>
        <v>0</v>
      </c>
      <c r="G293" s="72">
        <f>G244*D40%</f>
        <v>0</v>
      </c>
      <c r="H293" s="72">
        <f>H244*D40%</f>
        <v>0</v>
      </c>
      <c r="I293" s="1380"/>
      <c r="J293" s="1380"/>
      <c r="K293" s="66" t="s">
        <v>292</v>
      </c>
      <c r="L293" s="1444"/>
    </row>
    <row r="294" spans="2:12" s="5" customFormat="1" ht="15.75" hidden="1" x14ac:dyDescent="0.25">
      <c r="B294" s="73"/>
      <c r="C294" s="73"/>
      <c r="D294" s="73"/>
      <c r="E294" s="73"/>
      <c r="F294" s="73"/>
      <c r="G294" s="74"/>
      <c r="H294" s="66"/>
      <c r="I294" s="1379"/>
      <c r="J294" s="1379"/>
      <c r="K294" s="66"/>
      <c r="L294" s="1444"/>
    </row>
    <row r="295" spans="2:12" s="5" customFormat="1" ht="15.75" hidden="1" x14ac:dyDescent="0.25">
      <c r="B295" s="68" t="s">
        <v>308</v>
      </c>
      <c r="C295" s="69"/>
      <c r="D295" s="68" t="s">
        <v>309</v>
      </c>
      <c r="E295" s="69"/>
      <c r="F295" s="69"/>
      <c r="G295" s="70"/>
      <c r="H295" s="66"/>
      <c r="I295" s="1379"/>
      <c r="J295" s="1379"/>
      <c r="K295" s="66"/>
      <c r="L295" s="1444" t="s">
        <v>1442</v>
      </c>
    </row>
    <row r="296" spans="2:12" s="5" customFormat="1" ht="15.75" hidden="1" x14ac:dyDescent="0.25">
      <c r="B296" s="69"/>
      <c r="C296" s="66"/>
      <c r="D296" s="66" t="s">
        <v>311</v>
      </c>
      <c r="E296" s="69"/>
      <c r="F296" s="69"/>
      <c r="G296" s="70"/>
      <c r="H296" s="66"/>
      <c r="I296" s="1379"/>
      <c r="J296" s="1379"/>
      <c r="K296" s="66"/>
      <c r="L296" s="1444"/>
    </row>
    <row r="297" spans="2:12" s="5" customFormat="1" ht="15.75" hidden="1" x14ac:dyDescent="0.25">
      <c r="B297" s="66"/>
      <c r="C297" s="66"/>
      <c r="D297" s="66" t="s">
        <v>312</v>
      </c>
      <c r="E297" s="75"/>
      <c r="F297" s="75"/>
      <c r="G297" s="70"/>
      <c r="H297" s="66"/>
      <c r="I297" s="1379"/>
      <c r="J297" s="1379"/>
      <c r="K297" s="66"/>
      <c r="L297" s="1444"/>
    </row>
    <row r="298" spans="2:12" s="5" customFormat="1" ht="15.75" hidden="1" x14ac:dyDescent="0.25">
      <c r="B298" s="66"/>
      <c r="C298" s="71" t="s">
        <v>472</v>
      </c>
      <c r="D298" s="1399" t="e">
        <f>(0.3*((D293*(1-((F37+10)/100))))+(0.105*((0.1604*F37-1.037)*D244*0.008))+(0.0152*D244))/6.25</f>
        <v>#DIV/0!</v>
      </c>
      <c r="E298" s="1399">
        <f>(0.3*((E293*(1-((D39+10)/100))))+(0.105*((0.1604*D39-1.037)*E244*0.008))+(0.0152*E244))/6.25</f>
        <v>3.2193644299200004E-3</v>
      </c>
      <c r="F298" s="1399">
        <f>(0.3*((F293*(1-((D39+10)/100))))+(0.105*((0.1604*D39-1.037)*F244*0.008))+(0.0152*F244))/6.25</f>
        <v>3.2193644299200004E-3</v>
      </c>
      <c r="G298" s="1399">
        <f>(0.3*((G293*(1-((D39+10)/100))))+(0.105*((0.1604*D39-1.037)*G244*0.008))+(0.0152*G244))/6.25</f>
        <v>3.2193644299200004E-3</v>
      </c>
      <c r="H298" s="1399">
        <f>(0.3*((H293*(1-((D39+10)/100))))+(0.105*((0.1604*D39-1.037)*H244*0.008))+(0.0152*H244))/6.25</f>
        <v>3.2193644299200004E-3</v>
      </c>
      <c r="I298" s="1399">
        <v>8.2000000000000007E-3</v>
      </c>
      <c r="J298" s="1399">
        <v>4.1999999999999997E-3</v>
      </c>
      <c r="K298" s="66" t="s">
        <v>292</v>
      </c>
      <c r="L298" s="1444"/>
    </row>
    <row r="299" spans="2:12" s="5" customFormat="1" ht="15.75" hidden="1" x14ac:dyDescent="0.25">
      <c r="B299" s="66"/>
      <c r="C299" s="66"/>
      <c r="D299" s="66"/>
      <c r="E299" s="66"/>
      <c r="F299" s="66"/>
      <c r="G299" s="66"/>
      <c r="H299" s="66"/>
      <c r="I299" s="1379"/>
      <c r="J299" s="1379"/>
      <c r="K299" s="66"/>
      <c r="L299" s="1444"/>
    </row>
    <row r="300" spans="2:12" s="5" customFormat="1" ht="17.25" hidden="1" x14ac:dyDescent="0.3">
      <c r="B300" s="68" t="s">
        <v>313</v>
      </c>
      <c r="C300" s="66"/>
      <c r="D300" s="76" t="s">
        <v>1521</v>
      </c>
      <c r="E300" s="77"/>
      <c r="F300" s="77"/>
      <c r="G300" s="77"/>
      <c r="H300" s="77"/>
      <c r="I300" s="1381"/>
      <c r="J300" s="1381"/>
      <c r="K300" s="66"/>
      <c r="L300" s="1444" t="s">
        <v>1441</v>
      </c>
    </row>
    <row r="301" spans="2:12" s="5" customFormat="1" ht="16.5" hidden="1" thickBot="1" x14ac:dyDescent="0.3">
      <c r="B301" s="66"/>
      <c r="C301" s="66"/>
      <c r="D301" s="66"/>
      <c r="E301" s="66"/>
      <c r="F301" s="66"/>
      <c r="G301" s="66"/>
      <c r="H301" s="66"/>
      <c r="I301" s="1379"/>
      <c r="J301" s="1379"/>
      <c r="K301" s="66"/>
      <c r="L301" s="1444"/>
    </row>
    <row r="302" spans="2:12" s="5" customFormat="1" ht="16.5" hidden="1" thickBot="1" x14ac:dyDescent="0.3">
      <c r="B302" s="78"/>
      <c r="C302" s="79" t="s">
        <v>897</v>
      </c>
      <c r="D302" s="80"/>
      <c r="E302" s="80"/>
      <c r="F302" s="80"/>
      <c r="G302" s="80"/>
      <c r="H302" s="81"/>
      <c r="I302" s="1383"/>
      <c r="J302" s="1383"/>
      <c r="K302" s="66"/>
      <c r="L302" s="1444" t="s">
        <v>1443</v>
      </c>
    </row>
    <row r="303" spans="2:12" s="5" customFormat="1" ht="15.75" hidden="1" x14ac:dyDescent="0.25">
      <c r="B303" s="66"/>
      <c r="C303" s="79"/>
      <c r="D303" s="80" t="s">
        <v>249</v>
      </c>
      <c r="E303" s="80" t="s">
        <v>316</v>
      </c>
      <c r="F303" s="80" t="s">
        <v>317</v>
      </c>
      <c r="G303" s="80" t="s">
        <v>318</v>
      </c>
      <c r="H303" s="81" t="s">
        <v>319</v>
      </c>
      <c r="I303" s="1383"/>
      <c r="J303" s="1383"/>
      <c r="K303" s="66"/>
      <c r="L303" s="67"/>
    </row>
    <row r="304" spans="2:12" s="5" customFormat="1" ht="15.75" hidden="1" x14ac:dyDescent="0.25">
      <c r="B304" s="78">
        <v>1</v>
      </c>
      <c r="C304" s="621" t="s">
        <v>1008</v>
      </c>
      <c r="D304" s="1383">
        <v>590</v>
      </c>
      <c r="E304" s="1383">
        <v>590</v>
      </c>
      <c r="F304" s="1383">
        <v>590</v>
      </c>
      <c r="G304" s="1383">
        <v>770</v>
      </c>
      <c r="H304" s="1384">
        <v>770</v>
      </c>
      <c r="I304" s="1383"/>
      <c r="J304" s="1383"/>
      <c r="K304" s="66"/>
      <c r="L304" s="67"/>
    </row>
    <row r="305" spans="2:12" s="5" customFormat="1" ht="15.75" hidden="1" x14ac:dyDescent="0.25">
      <c r="B305" s="78">
        <v>2</v>
      </c>
      <c r="C305" s="621" t="s">
        <v>1015</v>
      </c>
      <c r="D305" s="1383">
        <v>590</v>
      </c>
      <c r="E305" s="1383">
        <v>590</v>
      </c>
      <c r="F305" s="1383">
        <v>590</v>
      </c>
      <c r="G305" s="1383">
        <v>770</v>
      </c>
      <c r="H305" s="1384">
        <v>770</v>
      </c>
      <c r="I305" s="1383"/>
      <c r="J305" s="1383"/>
      <c r="K305" s="66"/>
      <c r="L305" s="67"/>
    </row>
    <row r="306" spans="2:12" s="5" customFormat="1" ht="15.75" hidden="1" x14ac:dyDescent="0.25">
      <c r="B306" s="78">
        <v>3</v>
      </c>
      <c r="C306" s="621" t="s">
        <v>960</v>
      </c>
      <c r="D306" s="1383">
        <v>590</v>
      </c>
      <c r="E306" s="1383">
        <v>590</v>
      </c>
      <c r="F306" s="1383">
        <v>590</v>
      </c>
      <c r="G306" s="1383">
        <v>770</v>
      </c>
      <c r="H306" s="1384">
        <v>770</v>
      </c>
      <c r="I306" s="1383"/>
      <c r="J306" s="1383"/>
      <c r="K306" s="78"/>
      <c r="L306" s="67"/>
    </row>
    <row r="307" spans="2:12" s="5" customFormat="1" ht="15.75" hidden="1" x14ac:dyDescent="0.25">
      <c r="B307" s="78">
        <v>4</v>
      </c>
      <c r="C307" s="621" t="s">
        <v>1010</v>
      </c>
      <c r="D307" s="1383">
        <v>590</v>
      </c>
      <c r="E307" s="1383">
        <v>590</v>
      </c>
      <c r="F307" s="1383">
        <v>590</v>
      </c>
      <c r="G307" s="1383">
        <v>770</v>
      </c>
      <c r="H307" s="1384">
        <v>770</v>
      </c>
      <c r="I307" s="1383"/>
      <c r="J307" s="1383"/>
      <c r="K307" s="66"/>
      <c r="L307" s="67"/>
    </row>
    <row r="308" spans="2:12" s="5" customFormat="1" ht="15.75" hidden="1" x14ac:dyDescent="0.25">
      <c r="B308" s="78">
        <v>5</v>
      </c>
      <c r="C308" s="621" t="s">
        <v>1016</v>
      </c>
      <c r="D308" s="1383">
        <v>590</v>
      </c>
      <c r="E308" s="1383">
        <v>590</v>
      </c>
      <c r="F308" s="1383">
        <v>590</v>
      </c>
      <c r="G308" s="1383">
        <v>770</v>
      </c>
      <c r="H308" s="1384">
        <v>770</v>
      </c>
      <c r="I308" s="1383"/>
      <c r="J308" s="1383"/>
      <c r="K308" s="66"/>
      <c r="L308" s="67"/>
    </row>
    <row r="309" spans="2:12" s="5" customFormat="1" ht="15.75" hidden="1" x14ac:dyDescent="0.25">
      <c r="B309" s="78">
        <v>6</v>
      </c>
      <c r="C309" s="622" t="s">
        <v>1017</v>
      </c>
      <c r="D309" s="1383">
        <v>590</v>
      </c>
      <c r="E309" s="1383">
        <v>590</v>
      </c>
      <c r="F309" s="1383">
        <v>590</v>
      </c>
      <c r="G309" s="1383">
        <v>770</v>
      </c>
      <c r="H309" s="1384">
        <v>770</v>
      </c>
      <c r="I309" s="1383"/>
      <c r="J309" s="1383"/>
      <c r="K309" s="66"/>
      <c r="L309" s="67"/>
    </row>
    <row r="310" spans="2:12" s="5" customFormat="1" ht="16.5" hidden="1" thickBot="1" x14ac:dyDescent="0.3">
      <c r="B310" s="78">
        <v>7</v>
      </c>
      <c r="C310" s="623" t="s">
        <v>1018</v>
      </c>
      <c r="D310" s="1383">
        <v>590</v>
      </c>
      <c r="E310" s="1383">
        <v>590</v>
      </c>
      <c r="F310" s="1383">
        <v>590</v>
      </c>
      <c r="G310" s="1383">
        <v>770</v>
      </c>
      <c r="H310" s="1384">
        <v>770</v>
      </c>
      <c r="I310" s="1383"/>
      <c r="J310" s="1383"/>
      <c r="K310" s="66"/>
      <c r="L310" s="67"/>
    </row>
    <row r="311" spans="2:12" s="5" customFormat="1" ht="16.5" hidden="1" thickBot="1" x14ac:dyDescent="0.3">
      <c r="B311" s="71" t="s">
        <v>265</v>
      </c>
      <c r="C311" s="84" t="e">
        <f>VLOOKUP($D$15,$C$304:$H$310,1,FALSE)</f>
        <v>#N/A</v>
      </c>
      <c r="D311" s="85" t="e">
        <f>VLOOKUP($C$233,$C$304:$H$310,2,FALSE)</f>
        <v>#N/A</v>
      </c>
      <c r="E311" s="85" t="e">
        <f>VLOOKUP($C$233,$C$304:$H$310,3,FALSE)</f>
        <v>#N/A</v>
      </c>
      <c r="F311" s="85" t="e">
        <f>VLOOKUP($C$233,$C$304:$H$310,4,FALSE)</f>
        <v>#N/A</v>
      </c>
      <c r="G311" s="85" t="e">
        <f>VLOOKUP($C$233,$C$304:$H$310,5,FALSE)</f>
        <v>#N/A</v>
      </c>
      <c r="H311" s="85" t="e">
        <f>VLOOKUP($C$233,$C$304:$H$310,6,FALSE)</f>
        <v>#N/A</v>
      </c>
      <c r="I311" s="1386"/>
      <c r="J311" s="1386"/>
      <c r="K311" s="66"/>
      <c r="L311" s="67"/>
    </row>
    <row r="312" spans="2:12" s="5" customFormat="1" ht="16.5" hidden="1" thickBot="1" x14ac:dyDescent="0.3">
      <c r="B312" s="66"/>
      <c r="C312" s="84" t="s">
        <v>337</v>
      </c>
      <c r="D312" s="86" t="e">
        <f>IF(D311&gt;0,D20/D311,0)</f>
        <v>#N/A</v>
      </c>
      <c r="E312" s="86" t="e">
        <f>IF(E311&gt;0,E20/E311,0)</f>
        <v>#N/A</v>
      </c>
      <c r="F312" s="86" t="e">
        <f>IF(F311&gt;0,F20/F311,0)</f>
        <v>#N/A</v>
      </c>
      <c r="G312" s="86" t="e">
        <f>IF(G311&gt;0,G20/G311,0)</f>
        <v>#N/A</v>
      </c>
      <c r="H312" s="87" t="e">
        <f>IF(H311&gt;0,H20/H311,0)</f>
        <v>#N/A</v>
      </c>
      <c r="I312" s="1385"/>
      <c r="J312" s="1385"/>
      <c r="K312" s="78"/>
      <c r="L312" s="67"/>
    </row>
    <row r="313" spans="2:12" s="5" customFormat="1" ht="15.75" hidden="1" x14ac:dyDescent="0.25">
      <c r="B313" s="66"/>
      <c r="C313" s="66"/>
      <c r="D313" s="66"/>
      <c r="E313" s="66"/>
      <c r="F313" s="66"/>
      <c r="G313" s="66"/>
      <c r="H313" s="66"/>
      <c r="I313" s="1379"/>
      <c r="J313" s="1379"/>
      <c r="K313" s="66"/>
      <c r="L313" s="67"/>
    </row>
    <row r="314" spans="2:12" s="5" customFormat="1" ht="15.75" hidden="1" x14ac:dyDescent="0.25">
      <c r="B314" s="66"/>
      <c r="C314" s="71" t="s">
        <v>472</v>
      </c>
      <c r="D314" s="1424" t="e">
        <f>((0.032*(H29*1.03*D29/365)/6.38)+((0.212-0.008*(D251-2)-((0.14-0.008*(D251-2))/(1+EXP(-6*(D$312-0.4)))))*(0*0.92))/6.25)</f>
        <v>#DIV/0!</v>
      </c>
      <c r="E314" s="1424" t="e">
        <f>((0.032*0/6.38)+((0.212-0.008*(E251-2)-((0.14-0.008*(E251-2))/(1+EXP(-6*(E$312-0.4)))))*(E22*0.92))/6.25)</f>
        <v>#N/A</v>
      </c>
      <c r="F314" s="1424" t="e">
        <f>((0.032*0/6.38)+((0.212-0.008*(F251-2)-((0.14-0.008*(F251-2))/(1+EXP(-6*(F$312-0.4)))))*(F22*0.92))/6.25)</f>
        <v>#N/A</v>
      </c>
      <c r="G314" s="1424" t="e">
        <f>((0.032*0/6.38)+((0.212-0.008*(G251-2)-((0.14-0.008*(G251-2))/(1+EXP(-6*(G$312-0.4)))))*(G22*0.92))/6.25)</f>
        <v>#N/A</v>
      </c>
      <c r="H314" s="1424" t="e">
        <f>((0.032*0/6.38)+((0.212-0.008*(H251-2)-((0.14-0.008*(H251-2))/(1+EXP(-6*(H$312-0.4)))))*(H22*0.92))/6.25)</f>
        <v>#N/A</v>
      </c>
      <c r="I314" s="1401"/>
      <c r="J314" s="1401"/>
      <c r="K314" s="78" t="s">
        <v>320</v>
      </c>
      <c r="L314" s="67"/>
    </row>
    <row r="315" spans="2:12" s="5" customFormat="1" ht="15.75" hidden="1" x14ac:dyDescent="0.25">
      <c r="B315" s="66"/>
      <c r="C315" s="89"/>
      <c r="D315" s="88"/>
      <c r="E315" s="88"/>
      <c r="F315" s="88"/>
      <c r="G315" s="88"/>
      <c r="H315" s="88"/>
      <c r="I315" s="1399"/>
      <c r="J315" s="1399"/>
      <c r="K315" s="78"/>
      <c r="L315" s="67"/>
    </row>
    <row r="316" spans="2:12" s="5" customFormat="1" ht="18.75" hidden="1" x14ac:dyDescent="0.25">
      <c r="B316" s="68" t="s">
        <v>321</v>
      </c>
      <c r="C316" s="66"/>
      <c r="D316" s="90" t="s">
        <v>322</v>
      </c>
      <c r="E316" s="88"/>
      <c r="F316" s="88"/>
      <c r="G316" s="88"/>
      <c r="H316" s="66"/>
      <c r="I316" s="1379"/>
      <c r="J316" s="1379"/>
      <c r="K316" s="78"/>
      <c r="L316" s="1445" t="s">
        <v>1444</v>
      </c>
    </row>
    <row r="317" spans="2:12" s="5" customFormat="1" ht="15.75" hidden="1" x14ac:dyDescent="0.25">
      <c r="B317" s="66"/>
      <c r="C317" s="71" t="s">
        <v>472</v>
      </c>
      <c r="D317" s="1402" t="e">
        <f>(D293/6.25)-D314-D298-((1.1*10^-4*D20^0.75)/6.25)</f>
        <v>#DIV/0!</v>
      </c>
      <c r="E317" s="1402" t="e">
        <f>(E293/6.25)-E314-E298-((1.1*10^-4*E20^0.75)/6.25)</f>
        <v>#N/A</v>
      </c>
      <c r="F317" s="1402" t="e">
        <f>(F293/6.25)-F314-F298-((1.1*10^-4*F20^0.75)/6.25)</f>
        <v>#N/A</v>
      </c>
      <c r="G317" s="1402" t="e">
        <f>(G293/6.25)-G314-G298-((1.1*10^-4*G20^0.75)/6.25)</f>
        <v>#N/A</v>
      </c>
      <c r="H317" s="1402" t="e">
        <f>(H293/6.25)-H314-H298-((1.1*10^-4*H20^0.75)/6.25)</f>
        <v>#N/A</v>
      </c>
      <c r="I317" s="1399">
        <v>5.4999999999999997E-3</v>
      </c>
      <c r="J317" s="1399">
        <v>5.0000000000000001E-3</v>
      </c>
      <c r="K317" s="78" t="s">
        <v>320</v>
      </c>
      <c r="L317" s="1445"/>
    </row>
    <row r="318" spans="2:12" s="5" customFormat="1" ht="15.75" hidden="1" x14ac:dyDescent="0.25">
      <c r="B318" s="66"/>
      <c r="C318" s="66"/>
      <c r="D318" s="66"/>
      <c r="E318" s="66"/>
      <c r="F318" s="66"/>
      <c r="G318" s="66"/>
      <c r="H318" s="66"/>
      <c r="I318" s="1379"/>
      <c r="J318" s="1379"/>
      <c r="K318" s="78"/>
      <c r="L318" s="1445"/>
    </row>
    <row r="319" spans="2:12" s="5" customFormat="1" ht="15.75" hidden="1" x14ac:dyDescent="0.25">
      <c r="B319" s="68" t="s">
        <v>482</v>
      </c>
      <c r="C319" s="66"/>
      <c r="D319" s="1400" t="s">
        <v>1434</v>
      </c>
      <c r="E319" s="66"/>
      <c r="F319" s="66"/>
      <c r="G319" s="66"/>
      <c r="H319" s="66"/>
      <c r="I319" s="1379"/>
      <c r="J319" s="1379"/>
      <c r="K319" s="78"/>
      <c r="L319" s="1445" t="s">
        <v>1445</v>
      </c>
    </row>
    <row r="320" spans="2:12" s="5" customFormat="1" ht="15.75" hidden="1" x14ac:dyDescent="0.25">
      <c r="B320" s="66"/>
      <c r="C320" s="66"/>
      <c r="D320" s="66"/>
      <c r="E320" s="66"/>
      <c r="F320" s="66"/>
      <c r="G320" s="66"/>
      <c r="H320" s="66"/>
      <c r="I320" s="1379"/>
      <c r="J320" s="1379"/>
      <c r="K320" s="66"/>
      <c r="L320" s="1445"/>
    </row>
    <row r="321" spans="2:12" s="5" customFormat="1" ht="15.75" hidden="1" x14ac:dyDescent="0.25">
      <c r="B321" s="66"/>
      <c r="C321" s="71" t="s">
        <v>472</v>
      </c>
      <c r="D321" s="1415" t="e">
        <f>(365*D18*D298)*10^-6</f>
        <v>#DIV/0!</v>
      </c>
      <c r="E321" s="1415">
        <f>(365*E18*E298)*10^-6</f>
        <v>0</v>
      </c>
      <c r="F321" s="1415">
        <f>(281*F18*F298)*10^-6</f>
        <v>0</v>
      </c>
      <c r="G321" s="1415">
        <f>(365*G18*G298)*10^-6</f>
        <v>0</v>
      </c>
      <c r="H321" s="1415">
        <f>(281*H18*H298)*10^-6</f>
        <v>0</v>
      </c>
      <c r="I321" s="1415">
        <f>(84*F18*I298)*10^-6</f>
        <v>0</v>
      </c>
      <c r="J321" s="1415">
        <f>(84*H18*J298)*10^-6</f>
        <v>0</v>
      </c>
      <c r="K321" s="66" t="s">
        <v>476</v>
      </c>
      <c r="L321" s="1445"/>
    </row>
    <row r="322" spans="2:12" s="5" customFormat="1" ht="15.75" hidden="1" x14ac:dyDescent="0.25">
      <c r="B322" s="66"/>
      <c r="C322" s="66"/>
      <c r="D322" s="1415"/>
      <c r="E322" s="1415"/>
      <c r="F322" s="1415"/>
      <c r="G322" s="1415"/>
      <c r="H322" s="1415"/>
      <c r="I322" s="1415"/>
      <c r="J322" s="1415"/>
      <c r="K322" s="66"/>
      <c r="L322" s="1445"/>
    </row>
    <row r="323" spans="2:12" s="5" customFormat="1" ht="15.75" hidden="1" x14ac:dyDescent="0.25">
      <c r="B323" s="68" t="s">
        <v>483</v>
      </c>
      <c r="C323" s="66"/>
      <c r="D323" s="1491" t="s">
        <v>1435</v>
      </c>
      <c r="E323" s="1415"/>
      <c r="F323" s="1415"/>
      <c r="G323" s="1415"/>
      <c r="H323" s="1415"/>
      <c r="I323" s="1415"/>
      <c r="J323" s="1415"/>
      <c r="K323" s="66"/>
      <c r="L323" s="1445" t="s">
        <v>1446</v>
      </c>
    </row>
    <row r="324" spans="2:12" s="5" customFormat="1" ht="15.75" hidden="1" x14ac:dyDescent="0.25">
      <c r="B324" s="66"/>
      <c r="C324" s="66"/>
      <c r="D324" s="1415"/>
      <c r="E324" s="1415"/>
      <c r="F324" s="1415"/>
      <c r="G324" s="1415"/>
      <c r="H324" s="1415"/>
      <c r="I324" s="1415"/>
      <c r="J324" s="1415"/>
      <c r="K324" s="66"/>
      <c r="L324" s="67"/>
    </row>
    <row r="325" spans="2:12" s="5" customFormat="1" ht="15.75" hidden="1" x14ac:dyDescent="0.25">
      <c r="B325" s="66"/>
      <c r="C325" s="71" t="s">
        <v>472</v>
      </c>
      <c r="D325" s="1486" t="e">
        <f>(365*D18*D317)*10^-6</f>
        <v>#DIV/0!</v>
      </c>
      <c r="E325" s="1486" t="e">
        <f>(365*E18*E317)*10^-6</f>
        <v>#N/A</v>
      </c>
      <c r="F325" s="1486" t="e">
        <f>(281*F18*F317)*10^-6</f>
        <v>#N/A</v>
      </c>
      <c r="G325" s="1486" t="e">
        <f>(365*G18*G317)*10^-6</f>
        <v>#N/A</v>
      </c>
      <c r="H325" s="1486" t="e">
        <f>(281*H18*H317)*10^-6</f>
        <v>#N/A</v>
      </c>
      <c r="I325" s="1486">
        <f>(84*F18*I317)*10^-6</f>
        <v>0</v>
      </c>
      <c r="J325" s="1486">
        <f>(84*H18*J317)*10^-6</f>
        <v>0</v>
      </c>
      <c r="K325" s="66" t="s">
        <v>476</v>
      </c>
      <c r="L325" s="67"/>
    </row>
    <row r="326" spans="2:12" s="5" customFormat="1" ht="15.75" hidden="1" x14ac:dyDescent="0.25">
      <c r="B326" s="66"/>
      <c r="C326" s="66"/>
      <c r="D326" s="66"/>
      <c r="E326" s="66"/>
      <c r="F326" s="66"/>
      <c r="G326" s="66"/>
      <c r="H326" s="66"/>
      <c r="I326" s="1379"/>
      <c r="J326" s="1379"/>
      <c r="K326" s="66"/>
      <c r="L326" s="67"/>
    </row>
    <row r="327" spans="2:12" s="5" customFormat="1" ht="17.25" hidden="1" x14ac:dyDescent="0.3">
      <c r="B327" s="1403" t="s">
        <v>1448</v>
      </c>
      <c r="C327" s="66"/>
      <c r="D327" s="1443" t="s">
        <v>1531</v>
      </c>
      <c r="E327" s="66"/>
      <c r="F327" s="66"/>
      <c r="G327" s="66"/>
      <c r="H327" s="66"/>
      <c r="I327" s="1379"/>
      <c r="J327" s="1379"/>
      <c r="K327" s="66"/>
      <c r="L327" s="67"/>
    </row>
    <row r="328" spans="2:12" s="5" customFormat="1" ht="15.75" hidden="1" x14ac:dyDescent="0.25">
      <c r="B328" s="66"/>
      <c r="C328" s="66"/>
      <c r="D328" s="91"/>
      <c r="E328" s="91"/>
      <c r="F328" s="91"/>
      <c r="G328" s="91"/>
      <c r="H328" s="91"/>
      <c r="I328" s="1387"/>
      <c r="J328" s="1387"/>
      <c r="K328" s="78"/>
      <c r="L328" s="67"/>
    </row>
    <row r="329" spans="2:12" s="5" customFormat="1" ht="15.75" hidden="1" x14ac:dyDescent="0.25">
      <c r="B329" s="66"/>
      <c r="C329" s="71" t="s">
        <v>472</v>
      </c>
      <c r="D329" s="1425" t="e">
        <f>D321+D325</f>
        <v>#DIV/0!</v>
      </c>
      <c r="E329" s="1425" t="e">
        <f t="shared" ref="E329:J329" si="8">E321+E325</f>
        <v>#N/A</v>
      </c>
      <c r="F329" s="1425" t="e">
        <f t="shared" si="8"/>
        <v>#N/A</v>
      </c>
      <c r="G329" s="1425" t="e">
        <f t="shared" si="8"/>
        <v>#N/A</v>
      </c>
      <c r="H329" s="1425" t="e">
        <f t="shared" si="8"/>
        <v>#N/A</v>
      </c>
      <c r="I329" s="1425">
        <f t="shared" si="8"/>
        <v>0</v>
      </c>
      <c r="J329" s="1425">
        <f t="shared" si="8"/>
        <v>0</v>
      </c>
      <c r="K329" s="66" t="s">
        <v>476</v>
      </c>
      <c r="L329" s="67"/>
    </row>
    <row r="330" spans="2:12" s="5" customFormat="1" ht="15.75" hidden="1" x14ac:dyDescent="0.25">
      <c r="B330" s="66"/>
      <c r="C330" s="71"/>
      <c r="D330" s="66"/>
      <c r="E330" s="66"/>
      <c r="F330" s="66"/>
      <c r="G330" s="66"/>
      <c r="H330" s="66"/>
      <c r="I330" s="1379"/>
      <c r="J330" s="1379"/>
      <c r="K330" s="66"/>
      <c r="L330" s="67"/>
    </row>
    <row r="331" spans="2:12" s="5" customFormat="1" ht="15.75" hidden="1" x14ac:dyDescent="0.25">
      <c r="B331" s="68" t="s">
        <v>328</v>
      </c>
      <c r="C331" s="89"/>
      <c r="D331" s="68" t="s">
        <v>329</v>
      </c>
      <c r="E331" s="89"/>
      <c r="F331" s="89"/>
      <c r="G331" s="89"/>
      <c r="H331" s="78"/>
      <c r="I331" s="1382"/>
      <c r="J331" s="1382"/>
      <c r="K331" s="66"/>
      <c r="L331" s="67"/>
    </row>
    <row r="332" spans="2:12" s="5" customFormat="1" ht="15.75" hidden="1" x14ac:dyDescent="0.25">
      <c r="B332" s="66"/>
      <c r="C332" s="66"/>
      <c r="D332" s="66" t="s">
        <v>330</v>
      </c>
      <c r="E332" s="92"/>
      <c r="F332" s="92"/>
      <c r="G332" s="92"/>
      <c r="H332" s="92"/>
      <c r="I332" s="1388"/>
      <c r="J332" s="1388"/>
      <c r="K332" s="66"/>
      <c r="L332" s="67"/>
    </row>
    <row r="333" spans="2:12" s="5" customFormat="1" ht="15.75" hidden="1" x14ac:dyDescent="0.25">
      <c r="B333" s="66"/>
      <c r="C333" s="66"/>
      <c r="D333" s="66" t="s">
        <v>331</v>
      </c>
      <c r="E333" s="66"/>
      <c r="F333" s="66"/>
      <c r="G333" s="66"/>
      <c r="H333" s="66"/>
      <c r="I333" s="1379"/>
      <c r="J333" s="1379"/>
      <c r="K333" s="66"/>
      <c r="L333" s="67"/>
    </row>
    <row r="334" spans="2:12" s="5" customFormat="1" ht="15.75" hidden="1" x14ac:dyDescent="0.25">
      <c r="B334" s="66"/>
      <c r="C334" s="66"/>
      <c r="D334" s="66"/>
      <c r="E334" s="66"/>
      <c r="F334" s="66"/>
      <c r="G334" s="66"/>
      <c r="H334" s="66"/>
      <c r="I334" s="1379"/>
      <c r="J334" s="1379"/>
      <c r="K334" s="66"/>
      <c r="L334" s="93"/>
    </row>
    <row r="335" spans="2:12" s="5" customFormat="1" ht="17.25" hidden="1" x14ac:dyDescent="0.3">
      <c r="B335" s="94" t="s">
        <v>332</v>
      </c>
      <c r="C335" s="66"/>
      <c r="D335" s="1443" t="s">
        <v>1531</v>
      </c>
      <c r="E335" s="66"/>
      <c r="F335" s="66"/>
      <c r="G335" s="66"/>
      <c r="H335" s="66"/>
      <c r="I335" s="1379"/>
      <c r="J335" s="1379"/>
      <c r="K335" s="94" t="s">
        <v>333</v>
      </c>
      <c r="L335" s="67"/>
    </row>
    <row r="336" spans="2:12" s="5" customFormat="1" ht="15.75" hidden="1" x14ac:dyDescent="0.25">
      <c r="B336" s="1405" t="s">
        <v>1462</v>
      </c>
      <c r="C336" s="71" t="s">
        <v>472</v>
      </c>
      <c r="D336" s="95" t="e">
        <f>$D$329*C74%</f>
        <v>#DIV/0!</v>
      </c>
      <c r="E336" s="95" t="e">
        <f>$E$329*C75%</f>
        <v>#N/A</v>
      </c>
      <c r="F336" s="1406" t="e">
        <f>$F$329*C75%</f>
        <v>#N/A</v>
      </c>
      <c r="G336" s="1406" t="e">
        <f>$G$329*C75%</f>
        <v>#N/A</v>
      </c>
      <c r="H336" s="1406" t="e">
        <f>$H$329*C75%</f>
        <v>#N/A</v>
      </c>
      <c r="I336" s="1406">
        <f>$I$329*C75%</f>
        <v>0</v>
      </c>
      <c r="J336" s="1406">
        <f>$J$329*C75%</f>
        <v>0</v>
      </c>
      <c r="K336" s="1414">
        <v>0</v>
      </c>
      <c r="L336" s="67"/>
    </row>
    <row r="337" spans="2:12" s="5" customFormat="1" ht="15.75" hidden="1" x14ac:dyDescent="0.25">
      <c r="B337" s="1404"/>
      <c r="C337" s="66"/>
      <c r="D337" s="66"/>
      <c r="E337" s="66"/>
      <c r="F337" s="1404"/>
      <c r="G337" s="1404"/>
      <c r="H337" s="1404"/>
      <c r="I337" s="1404"/>
      <c r="J337" s="1404"/>
      <c r="K337" s="1411"/>
      <c r="L337" s="67"/>
    </row>
    <row r="338" spans="2:12" s="5" customFormat="1" ht="15.75" hidden="1" x14ac:dyDescent="0.25">
      <c r="B338" s="1405" t="s">
        <v>1461</v>
      </c>
      <c r="C338" s="71" t="s">
        <v>472</v>
      </c>
      <c r="D338" s="1406" t="e">
        <f>$D$329*D74%</f>
        <v>#DIV/0!</v>
      </c>
      <c r="E338" s="1406" t="e">
        <f>$E$329*D75%</f>
        <v>#N/A</v>
      </c>
      <c r="F338" s="1406" t="e">
        <f>$F$329*D75%</f>
        <v>#N/A</v>
      </c>
      <c r="G338" s="1406" t="e">
        <f>$G$329*D75%</f>
        <v>#N/A</v>
      </c>
      <c r="H338" s="1406" t="e">
        <f>$H$329*D75%</f>
        <v>#N/A</v>
      </c>
      <c r="I338" s="1406">
        <f>$I$329*D75%</f>
        <v>0</v>
      </c>
      <c r="J338" s="1406">
        <f>$J$329*D75%</f>
        <v>0</v>
      </c>
      <c r="K338" s="1414">
        <v>0</v>
      </c>
      <c r="L338" s="67"/>
    </row>
    <row r="339" spans="2:12" s="5" customFormat="1" ht="15.75" hidden="1" x14ac:dyDescent="0.25">
      <c r="B339" s="1404"/>
      <c r="C339" s="66"/>
      <c r="D339" s="66"/>
      <c r="E339" s="66"/>
      <c r="F339" s="1404"/>
      <c r="G339" s="1404"/>
      <c r="H339" s="1404"/>
      <c r="I339" s="1404"/>
      <c r="J339" s="1404"/>
      <c r="K339" s="1411"/>
      <c r="L339" s="67"/>
    </row>
    <row r="340" spans="2:12" s="5" customFormat="1" ht="15.75" hidden="1" x14ac:dyDescent="0.25">
      <c r="B340" s="1405" t="s">
        <v>1463</v>
      </c>
      <c r="C340" s="71" t="s">
        <v>472</v>
      </c>
      <c r="D340" s="1406" t="e">
        <f>$D$329*E74%</f>
        <v>#DIV/0!</v>
      </c>
      <c r="E340" s="1406" t="e">
        <f>$E$329*E75%</f>
        <v>#N/A</v>
      </c>
      <c r="F340" s="1406" t="e">
        <f>$F$329*E75%</f>
        <v>#N/A</v>
      </c>
      <c r="G340" s="1423" t="e">
        <f>$G$329*E75%</f>
        <v>#N/A</v>
      </c>
      <c r="H340" s="1406" t="e">
        <f>$H$329*E75%</f>
        <v>#N/A</v>
      </c>
      <c r="I340" s="1406">
        <f>$I$329*E75%</f>
        <v>0</v>
      </c>
      <c r="J340" s="1406">
        <f>$J$329*E75%</f>
        <v>0</v>
      </c>
      <c r="K340" s="1414">
        <v>0</v>
      </c>
      <c r="L340" s="67"/>
    </row>
    <row r="341" spans="2:12" s="5" customFormat="1" ht="15.75" hidden="1" x14ac:dyDescent="0.25">
      <c r="B341" s="1404"/>
      <c r="C341" s="71"/>
      <c r="D341" s="95"/>
      <c r="E341" s="1406"/>
      <c r="F341" s="1406"/>
      <c r="G341" s="1406"/>
      <c r="H341" s="1406"/>
      <c r="I341" s="1406"/>
      <c r="J341" s="1406"/>
      <c r="K341" s="1411"/>
      <c r="L341" s="67"/>
    </row>
    <row r="342" spans="2:12" s="5" customFormat="1" ht="15.75" hidden="1" x14ac:dyDescent="0.25">
      <c r="B342" s="1405" t="s">
        <v>1464</v>
      </c>
      <c r="C342" s="71" t="s">
        <v>472</v>
      </c>
      <c r="D342" s="1406" t="e">
        <f>$D$329*F74%</f>
        <v>#DIV/0!</v>
      </c>
      <c r="E342" s="1406" t="e">
        <f>$E$329*F75%</f>
        <v>#N/A</v>
      </c>
      <c r="F342" s="1406" t="e">
        <f>$F$329*F75%</f>
        <v>#N/A</v>
      </c>
      <c r="G342" s="1406" t="e">
        <f>$G$329*F75%</f>
        <v>#N/A</v>
      </c>
      <c r="H342" s="1406" t="e">
        <f>$H$329*F75%</f>
        <v>#N/A</v>
      </c>
      <c r="I342" s="1406">
        <f>$I$329*F75%</f>
        <v>0</v>
      </c>
      <c r="J342" s="1406">
        <f>$J$329*F75%</f>
        <v>0</v>
      </c>
      <c r="K342" s="1413">
        <v>5.0000000000000001E-3</v>
      </c>
      <c r="L342" s="67"/>
    </row>
    <row r="343" spans="2:12" s="5" customFormat="1" ht="15.75" hidden="1" x14ac:dyDescent="0.25">
      <c r="B343" s="1404"/>
      <c r="C343" s="71"/>
      <c r="D343" s="95"/>
      <c r="E343" s="95"/>
      <c r="F343" s="1406"/>
      <c r="G343" s="1406"/>
      <c r="H343" s="1406"/>
      <c r="I343" s="1406"/>
      <c r="J343" s="1406"/>
      <c r="K343" s="1411"/>
      <c r="L343" s="67"/>
    </row>
    <row r="344" spans="2:12" s="5" customFormat="1" ht="15.75" hidden="1" x14ac:dyDescent="0.25">
      <c r="B344" s="1405" t="s">
        <v>1465</v>
      </c>
      <c r="C344" s="71" t="s">
        <v>472</v>
      </c>
      <c r="D344" s="1406" t="e">
        <f>$D$329*G74%</f>
        <v>#DIV/0!</v>
      </c>
      <c r="E344" s="1406" t="e">
        <f>$E$329*G75%</f>
        <v>#N/A</v>
      </c>
      <c r="F344" s="1406" t="e">
        <f>$F$329*G75%</f>
        <v>#N/A</v>
      </c>
      <c r="G344" s="1406" t="e">
        <f>$G$329*G75%</f>
        <v>#N/A</v>
      </c>
      <c r="H344" s="1406" t="e">
        <f>$H$329*G75%</f>
        <v>#N/A</v>
      </c>
      <c r="I344" s="1406">
        <f>$I$329*G75%</f>
        <v>0</v>
      </c>
      <c r="J344" s="1406">
        <f>$J$329*G75%</f>
        <v>0</v>
      </c>
      <c r="K344" s="1414">
        <v>0</v>
      </c>
      <c r="L344" s="67"/>
    </row>
    <row r="345" spans="2:12" s="5" customFormat="1" ht="15.75" hidden="1" x14ac:dyDescent="0.25">
      <c r="B345" s="66"/>
      <c r="C345" s="66"/>
      <c r="D345" s="95"/>
      <c r="E345" s="95"/>
      <c r="F345" s="95"/>
      <c r="G345" s="95"/>
      <c r="H345" s="95"/>
      <c r="I345" s="1389"/>
      <c r="J345" s="1389"/>
      <c r="K345" s="66"/>
      <c r="L345" s="67"/>
    </row>
    <row r="346" spans="2:12" s="5" customFormat="1" ht="17.25" hidden="1" x14ac:dyDescent="0.3">
      <c r="B346" s="1408" t="s">
        <v>1450</v>
      </c>
      <c r="C346" s="71" t="s">
        <v>472</v>
      </c>
      <c r="D346" s="95" t="e">
        <f t="shared" ref="D346:J346" si="9">SUM(D336:D344)</f>
        <v>#DIV/0!</v>
      </c>
      <c r="E346" s="1409" t="e">
        <f t="shared" si="9"/>
        <v>#N/A</v>
      </c>
      <c r="F346" s="1409" t="e">
        <f t="shared" si="9"/>
        <v>#N/A</v>
      </c>
      <c r="G346" s="1409" t="e">
        <f t="shared" si="9"/>
        <v>#N/A</v>
      </c>
      <c r="H346" s="1409" t="e">
        <f t="shared" si="9"/>
        <v>#N/A</v>
      </c>
      <c r="I346" s="1409">
        <f t="shared" si="9"/>
        <v>0</v>
      </c>
      <c r="J346" s="1409">
        <f t="shared" si="9"/>
        <v>0</v>
      </c>
      <c r="K346" s="1407" t="s">
        <v>476</v>
      </c>
      <c r="L346" s="1446" t="s">
        <v>1451</v>
      </c>
    </row>
    <row r="347" spans="2:12" s="5" customFormat="1" ht="15.75" hidden="1" x14ac:dyDescent="0.25">
      <c r="B347" s="1407"/>
      <c r="C347" s="66"/>
      <c r="D347" s="66"/>
      <c r="E347" s="66"/>
      <c r="F347" s="66"/>
      <c r="G347" s="66"/>
      <c r="H347" s="66"/>
      <c r="I347" s="1379"/>
      <c r="J347" s="1379"/>
      <c r="K347" s="66"/>
      <c r="L347" s="1446"/>
    </row>
    <row r="348" spans="2:12" s="5" customFormat="1" ht="17.25" hidden="1" x14ac:dyDescent="0.3">
      <c r="B348" s="1408" t="s">
        <v>1480</v>
      </c>
      <c r="C348" s="71" t="s">
        <v>472</v>
      </c>
      <c r="D348" s="1415" t="e">
        <f t="shared" ref="D348:J348" si="10">((D336*$K$336)+(D338*$K$338)+(D340*$K$340)+(D342*$K$342))*44/28</f>
        <v>#DIV/0!</v>
      </c>
      <c r="E348" s="1415" t="e">
        <f t="shared" si="10"/>
        <v>#N/A</v>
      </c>
      <c r="F348" s="1415" t="e">
        <f t="shared" si="10"/>
        <v>#N/A</v>
      </c>
      <c r="G348" s="1415" t="e">
        <f t="shared" si="10"/>
        <v>#N/A</v>
      </c>
      <c r="H348" s="1415" t="e">
        <f t="shared" si="10"/>
        <v>#N/A</v>
      </c>
      <c r="I348" s="1415">
        <f t="shared" si="10"/>
        <v>0</v>
      </c>
      <c r="J348" s="1415">
        <f t="shared" si="10"/>
        <v>0</v>
      </c>
      <c r="K348" s="1447" t="s">
        <v>1452</v>
      </c>
      <c r="L348" s="1446" t="s">
        <v>1447</v>
      </c>
    </row>
    <row r="349" spans="2:12" s="5" customFormat="1" ht="15.75" hidden="1" x14ac:dyDescent="0.25">
      <c r="B349" s="66"/>
      <c r="C349" s="71"/>
      <c r="D349" s="66"/>
      <c r="E349" s="66"/>
      <c r="F349" s="66"/>
      <c r="G349" s="66"/>
      <c r="H349" s="66"/>
      <c r="I349" s="1379"/>
      <c r="J349" s="1379"/>
      <c r="K349" s="66"/>
      <c r="L349" s="1446"/>
    </row>
    <row r="350" spans="2:12" s="1410" customFormat="1" ht="15.75" hidden="1" x14ac:dyDescent="0.25">
      <c r="B350" s="1416" t="s">
        <v>1437</v>
      </c>
      <c r="C350" s="1417"/>
      <c r="D350" s="1416" t="s">
        <v>1438</v>
      </c>
      <c r="E350" s="1411"/>
      <c r="F350" s="1411"/>
      <c r="G350" s="1411"/>
      <c r="H350" s="1411"/>
      <c r="I350" s="1411"/>
      <c r="J350" s="1411"/>
      <c r="K350" s="1411"/>
      <c r="L350" s="1446"/>
    </row>
    <row r="351" spans="2:12" s="1410" customFormat="1" ht="15.75" hidden="1" x14ac:dyDescent="0.25">
      <c r="B351" s="1411"/>
      <c r="C351" s="1413"/>
      <c r="D351" s="1411"/>
      <c r="E351" s="1411"/>
      <c r="F351" s="1411"/>
      <c r="G351" s="1411"/>
      <c r="H351" s="1411"/>
      <c r="I351" s="1411"/>
      <c r="J351" s="1411"/>
      <c r="K351" s="1422" t="s">
        <v>1453</v>
      </c>
      <c r="L351" s="1446" t="s">
        <v>1454</v>
      </c>
    </row>
    <row r="352" spans="2:12" s="1410" customFormat="1" ht="15.75" hidden="1" x14ac:dyDescent="0.25">
      <c r="B352" s="1420" t="s">
        <v>1462</v>
      </c>
      <c r="C352" s="1413"/>
      <c r="D352" s="1411" t="e">
        <f t="shared" ref="D352:J352" si="11">D336*$K352</f>
        <v>#DIV/0!</v>
      </c>
      <c r="E352" s="1421" t="e">
        <f t="shared" si="11"/>
        <v>#N/A</v>
      </c>
      <c r="F352" s="1421" t="e">
        <f t="shared" si="11"/>
        <v>#N/A</v>
      </c>
      <c r="G352" s="1421" t="e">
        <f t="shared" si="11"/>
        <v>#N/A</v>
      </c>
      <c r="H352" s="1421" t="e">
        <f t="shared" si="11"/>
        <v>#N/A</v>
      </c>
      <c r="I352" s="1421">
        <f t="shared" si="11"/>
        <v>0</v>
      </c>
      <c r="J352" s="1421">
        <f t="shared" si="11"/>
        <v>0</v>
      </c>
      <c r="K352" s="1421">
        <v>0.35</v>
      </c>
      <c r="L352" s="1412"/>
    </row>
    <row r="353" spans="2:12" s="1410" customFormat="1" ht="15.75" hidden="1" x14ac:dyDescent="0.25">
      <c r="B353" s="1418"/>
      <c r="C353" s="1413"/>
      <c r="D353" s="1421"/>
      <c r="E353" s="1421"/>
      <c r="F353" s="1421"/>
      <c r="G353" s="1421"/>
      <c r="H353" s="1421"/>
      <c r="I353" s="1421"/>
      <c r="J353" s="1421"/>
      <c r="K353" s="1421"/>
      <c r="L353" s="1412"/>
    </row>
    <row r="354" spans="2:12" s="1410" customFormat="1" ht="15.75" hidden="1" x14ac:dyDescent="0.25">
      <c r="B354" s="1420" t="s">
        <v>1461</v>
      </c>
      <c r="C354" s="1413"/>
      <c r="D354" s="1421" t="e">
        <f t="shared" ref="D354:J354" si="12">D338*$K354</f>
        <v>#DIV/0!</v>
      </c>
      <c r="E354" s="1421" t="e">
        <f t="shared" si="12"/>
        <v>#N/A</v>
      </c>
      <c r="F354" s="1421" t="e">
        <f t="shared" si="12"/>
        <v>#N/A</v>
      </c>
      <c r="G354" s="1421" t="e">
        <f t="shared" si="12"/>
        <v>#N/A</v>
      </c>
      <c r="H354" s="1421" t="e">
        <f t="shared" si="12"/>
        <v>#N/A</v>
      </c>
      <c r="I354" s="1421">
        <f t="shared" si="12"/>
        <v>0</v>
      </c>
      <c r="J354" s="1421">
        <f t="shared" si="12"/>
        <v>0</v>
      </c>
      <c r="K354" s="1421">
        <v>7.0000000000000007E-2</v>
      </c>
      <c r="L354" s="1412"/>
    </row>
    <row r="355" spans="2:12" s="1410" customFormat="1" ht="15.75" hidden="1" x14ac:dyDescent="0.25">
      <c r="B355" s="1418"/>
      <c r="C355" s="1413"/>
      <c r="D355" s="1411"/>
      <c r="E355" s="1421"/>
      <c r="F355" s="1421"/>
      <c r="G355" s="1421"/>
      <c r="H355" s="1421"/>
      <c r="I355" s="1421"/>
      <c r="J355" s="1421"/>
      <c r="K355" s="1421"/>
      <c r="L355" s="1412"/>
    </row>
    <row r="356" spans="2:12" s="1410" customFormat="1" ht="15.75" hidden="1" x14ac:dyDescent="0.25">
      <c r="B356" s="1420" t="s">
        <v>1463</v>
      </c>
      <c r="C356" s="1413"/>
      <c r="D356" s="1421" t="e">
        <f t="shared" ref="D356:J356" si="13">D340*$K356</f>
        <v>#DIV/0!</v>
      </c>
      <c r="E356" s="1421" t="e">
        <f t="shared" si="13"/>
        <v>#N/A</v>
      </c>
      <c r="F356" s="1421" t="e">
        <f t="shared" si="13"/>
        <v>#N/A</v>
      </c>
      <c r="G356" s="1421" t="e">
        <f t="shared" si="13"/>
        <v>#N/A</v>
      </c>
      <c r="H356" s="1421" t="e">
        <f t="shared" si="13"/>
        <v>#N/A</v>
      </c>
      <c r="I356" s="1421">
        <f t="shared" si="13"/>
        <v>0</v>
      </c>
      <c r="J356" s="1421">
        <f t="shared" si="13"/>
        <v>0</v>
      </c>
      <c r="K356" s="1421">
        <v>0.2</v>
      </c>
      <c r="L356" s="1412"/>
    </row>
    <row r="357" spans="2:12" s="1410" customFormat="1" ht="15.75" hidden="1" x14ac:dyDescent="0.25">
      <c r="B357" s="1418"/>
      <c r="C357" s="1413"/>
      <c r="D357" s="1411"/>
      <c r="E357" s="1421"/>
      <c r="F357" s="1421"/>
      <c r="G357" s="1421"/>
      <c r="H357" s="1421"/>
      <c r="I357" s="1421"/>
      <c r="J357" s="1421"/>
      <c r="K357" s="1421"/>
      <c r="L357" s="1412"/>
    </row>
    <row r="358" spans="2:12" s="1410" customFormat="1" ht="15.75" hidden="1" x14ac:dyDescent="0.25">
      <c r="B358" s="1420" t="s">
        <v>1464</v>
      </c>
      <c r="C358" s="1413"/>
      <c r="D358" s="1421" t="e">
        <f t="shared" ref="D358:J358" si="14">D342*$K358</f>
        <v>#DIV/0!</v>
      </c>
      <c r="E358" s="1421" t="e">
        <f t="shared" si="14"/>
        <v>#N/A</v>
      </c>
      <c r="F358" s="1421" t="e">
        <f t="shared" si="14"/>
        <v>#N/A</v>
      </c>
      <c r="G358" s="1421" t="e">
        <f t="shared" si="14"/>
        <v>#N/A</v>
      </c>
      <c r="H358" s="1421" t="e">
        <f t="shared" si="14"/>
        <v>#N/A</v>
      </c>
      <c r="I358" s="1421">
        <f t="shared" si="14"/>
        <v>0</v>
      </c>
      <c r="J358" s="1421">
        <f t="shared" si="14"/>
        <v>0</v>
      </c>
      <c r="K358" s="1421">
        <v>0.3</v>
      </c>
      <c r="L358" s="1412"/>
    </row>
    <row r="359" spans="2:12" s="1410" customFormat="1" ht="15.75" hidden="1" x14ac:dyDescent="0.25">
      <c r="B359" s="1418"/>
      <c r="C359" s="1413"/>
      <c r="D359" s="1411"/>
      <c r="E359" s="1421"/>
      <c r="F359" s="1421"/>
      <c r="G359" s="1421"/>
      <c r="H359" s="1421"/>
      <c r="I359" s="1421"/>
      <c r="J359" s="1421"/>
      <c r="K359" s="1421"/>
      <c r="L359" s="1412"/>
    </row>
    <row r="360" spans="2:12" s="1410" customFormat="1" ht="15.75" hidden="1" x14ac:dyDescent="0.25">
      <c r="B360" s="1420" t="s">
        <v>1465</v>
      </c>
      <c r="C360" s="1413"/>
      <c r="D360" s="1421" t="e">
        <f t="shared" ref="D360:J360" si="15">D344*$K360</f>
        <v>#DIV/0!</v>
      </c>
      <c r="E360" s="1421" t="e">
        <f t="shared" si="15"/>
        <v>#N/A</v>
      </c>
      <c r="F360" s="1421" t="e">
        <f t="shared" si="15"/>
        <v>#N/A</v>
      </c>
      <c r="G360" s="1421" t="e">
        <f t="shared" si="15"/>
        <v>#N/A</v>
      </c>
      <c r="H360" s="1421" t="e">
        <f t="shared" si="15"/>
        <v>#N/A</v>
      </c>
      <c r="I360" s="1421">
        <f t="shared" si="15"/>
        <v>0</v>
      </c>
      <c r="J360" s="1421">
        <f t="shared" si="15"/>
        <v>0</v>
      </c>
      <c r="K360" s="1421">
        <v>0</v>
      </c>
      <c r="L360" s="1448" t="s">
        <v>1439</v>
      </c>
    </row>
    <row r="361" spans="2:12" s="1410" customFormat="1" ht="15.75" hidden="1" x14ac:dyDescent="0.25">
      <c r="B361" s="1418"/>
      <c r="C361" s="1413"/>
      <c r="D361" s="1411"/>
      <c r="E361" s="1411"/>
      <c r="F361" s="1411"/>
      <c r="G361" s="1411"/>
      <c r="H361" s="1411"/>
      <c r="I361" s="1411"/>
      <c r="J361" s="1411"/>
      <c r="K361" s="1411"/>
      <c r="L361" s="1448"/>
    </row>
    <row r="362" spans="2:12" s="1410" customFormat="1" ht="15.75" hidden="1" x14ac:dyDescent="0.25">
      <c r="B362" s="1419" t="s">
        <v>1455</v>
      </c>
      <c r="C362" s="1413"/>
      <c r="D362" s="1426" t="s">
        <v>1456</v>
      </c>
      <c r="E362" s="1411"/>
      <c r="F362" s="1411"/>
      <c r="G362" s="1411"/>
      <c r="H362" s="1411"/>
      <c r="I362" s="1411"/>
      <c r="J362" s="1411"/>
      <c r="K362" s="1428" t="s">
        <v>1457</v>
      </c>
      <c r="L362" s="1448"/>
    </row>
    <row r="363" spans="2:12" s="1410" customFormat="1" ht="15.75" hidden="1" x14ac:dyDescent="0.25">
      <c r="B363" s="1418"/>
      <c r="C363" s="1413"/>
      <c r="D363" s="1411" t="e">
        <f t="shared" ref="D363:J363" si="16">SUM(D352:D358)*$K$363*44/28</f>
        <v>#DIV/0!</v>
      </c>
      <c r="E363" s="1427" t="e">
        <f t="shared" si="16"/>
        <v>#N/A</v>
      </c>
      <c r="F363" s="1427" t="e">
        <f t="shared" si="16"/>
        <v>#N/A</v>
      </c>
      <c r="G363" s="1427" t="e">
        <f t="shared" si="16"/>
        <v>#N/A</v>
      </c>
      <c r="H363" s="1427" t="e">
        <f t="shared" si="16"/>
        <v>#N/A</v>
      </c>
      <c r="I363" s="1427">
        <f t="shared" si="16"/>
        <v>0</v>
      </c>
      <c r="J363" s="1427">
        <f t="shared" si="16"/>
        <v>0</v>
      </c>
      <c r="K363" s="1427">
        <v>4.0000000000000001E-3</v>
      </c>
      <c r="L363" s="1448" t="s">
        <v>1458</v>
      </c>
    </row>
    <row r="364" spans="2:12" s="1410" customFormat="1" ht="15.75" hidden="1" x14ac:dyDescent="0.25">
      <c r="B364" s="1418"/>
      <c r="C364" s="1413"/>
      <c r="D364" s="1411"/>
      <c r="E364" s="1411"/>
      <c r="F364" s="1411"/>
      <c r="G364" s="1411"/>
      <c r="H364" s="1411"/>
      <c r="I364" s="1411"/>
      <c r="J364" s="1411"/>
      <c r="K364" s="1411"/>
      <c r="L364" s="1448"/>
    </row>
    <row r="365" spans="2:12" s="1410" customFormat="1" ht="15.75" hidden="1" x14ac:dyDescent="0.25">
      <c r="B365" s="1430" t="s">
        <v>1460</v>
      </c>
      <c r="C365" s="1431"/>
      <c r="D365" s="1430" t="e">
        <f>SUM(D363:J363)*298*10^3</f>
        <v>#DIV/0!</v>
      </c>
      <c r="E365" s="1429"/>
      <c r="F365" s="1429"/>
      <c r="G365" s="1429"/>
      <c r="H365" s="1429"/>
      <c r="I365" s="1429"/>
      <c r="J365" s="1429"/>
      <c r="K365" s="1429" t="s">
        <v>1468</v>
      </c>
      <c r="L365" s="1448"/>
    </row>
    <row r="366" spans="2:12" s="1410" customFormat="1" ht="15.75" hidden="1" x14ac:dyDescent="0.25">
      <c r="B366" s="1418"/>
      <c r="C366" s="1413"/>
      <c r="D366" s="1411"/>
      <c r="E366" s="1411"/>
      <c r="F366" s="1411"/>
      <c r="G366" s="1411"/>
      <c r="H366" s="1411"/>
      <c r="I366" s="1411"/>
      <c r="J366" s="1411"/>
      <c r="K366" s="1411"/>
      <c r="L366" s="1448"/>
    </row>
    <row r="367" spans="2:12" s="1410" customFormat="1" ht="17.25" hidden="1" x14ac:dyDescent="0.3">
      <c r="B367" s="1419" t="s">
        <v>1459</v>
      </c>
      <c r="C367" s="1413"/>
      <c r="D367" s="1432" t="s">
        <v>1510</v>
      </c>
      <c r="E367" s="1411"/>
      <c r="F367" s="1411"/>
      <c r="G367" s="1411"/>
      <c r="H367" s="1411"/>
      <c r="I367" s="1411"/>
      <c r="J367" s="1411"/>
      <c r="K367" s="1434" t="s">
        <v>1466</v>
      </c>
      <c r="L367" s="1448" t="s">
        <v>1511</v>
      </c>
    </row>
    <row r="368" spans="2:12" s="1410" customFormat="1" ht="15.75" hidden="1" x14ac:dyDescent="0.25">
      <c r="B368" s="1418"/>
      <c r="C368" s="1413"/>
      <c r="D368" s="1411"/>
      <c r="E368" s="1411"/>
      <c r="F368" s="1411"/>
      <c r="G368" s="1411"/>
      <c r="H368" s="1411"/>
      <c r="I368" s="1411"/>
      <c r="J368" s="1411"/>
      <c r="K368" s="1433">
        <v>1</v>
      </c>
      <c r="L368" s="1448"/>
    </row>
    <row r="369" spans="2:15" s="1410" customFormat="1" ht="15.75" hidden="1" x14ac:dyDescent="0.25">
      <c r="B369" s="1418" t="s">
        <v>1522</v>
      </c>
      <c r="C369" s="1413"/>
      <c r="D369" s="1411" t="e">
        <f t="shared" ref="D369:J369" si="17">D342*$K$368*$K$370</f>
        <v>#DIV/0!</v>
      </c>
      <c r="E369" s="1433" t="e">
        <f t="shared" si="17"/>
        <v>#N/A</v>
      </c>
      <c r="F369" s="1433" t="e">
        <f t="shared" si="17"/>
        <v>#N/A</v>
      </c>
      <c r="G369" s="1433" t="e">
        <f t="shared" si="17"/>
        <v>#N/A</v>
      </c>
      <c r="H369" s="1433" t="e">
        <f t="shared" si="17"/>
        <v>#N/A</v>
      </c>
      <c r="I369" s="1433">
        <f t="shared" si="17"/>
        <v>0</v>
      </c>
      <c r="J369" s="1433">
        <f t="shared" si="17"/>
        <v>0</v>
      </c>
      <c r="K369" s="1434" t="s">
        <v>1467</v>
      </c>
      <c r="L369" s="1448"/>
    </row>
    <row r="370" spans="2:15" s="1410" customFormat="1" ht="15.75" hidden="1" x14ac:dyDescent="0.25">
      <c r="B370" s="1419"/>
      <c r="C370" s="1413"/>
      <c r="D370" s="1411"/>
      <c r="E370" s="1411"/>
      <c r="F370" s="1411"/>
      <c r="G370" s="1411"/>
      <c r="H370" s="1411"/>
      <c r="I370" s="1411"/>
      <c r="J370" s="1411"/>
      <c r="K370" s="1435">
        <v>0.3</v>
      </c>
      <c r="L370" s="1448"/>
    </row>
    <row r="371" spans="2:15" s="1410" customFormat="1" ht="15.75" hidden="1" x14ac:dyDescent="0.25">
      <c r="B371" s="1419"/>
      <c r="C371" s="1413"/>
      <c r="D371" s="1443" t="s">
        <v>1513</v>
      </c>
      <c r="E371" s="1411"/>
      <c r="F371" s="1411"/>
      <c r="G371" s="1411"/>
      <c r="H371" s="1411"/>
      <c r="I371" s="1411"/>
      <c r="J371" s="1411"/>
      <c r="K371" s="1441" t="s">
        <v>1475</v>
      </c>
      <c r="L371" s="1448"/>
    </row>
    <row r="372" spans="2:15" s="1410" customFormat="1" ht="15.75" hidden="1" x14ac:dyDescent="0.25">
      <c r="B372" s="1419"/>
      <c r="C372" s="1413"/>
      <c r="D372" s="1411" t="e">
        <f>D369*$K$372*44/28</f>
        <v>#DIV/0!</v>
      </c>
      <c r="E372" s="1442" t="e">
        <f>E369*$K$372*44/28</f>
        <v>#N/A</v>
      </c>
      <c r="F372" s="1442" t="e">
        <f t="shared" ref="F372:J372" si="18">F369*$K$372*44/28</f>
        <v>#N/A</v>
      </c>
      <c r="G372" s="1442" t="e">
        <f t="shared" si="18"/>
        <v>#N/A</v>
      </c>
      <c r="H372" s="1442" t="e">
        <f t="shared" si="18"/>
        <v>#N/A</v>
      </c>
      <c r="I372" s="1442">
        <f t="shared" si="18"/>
        <v>0</v>
      </c>
      <c r="J372" s="1442">
        <f t="shared" si="18"/>
        <v>0</v>
      </c>
      <c r="K372" s="1440">
        <v>7.4999999999999997E-3</v>
      </c>
      <c r="L372" s="1448" t="s">
        <v>1512</v>
      </c>
    </row>
    <row r="373" spans="2:15" s="1410" customFormat="1" ht="15.75" hidden="1" x14ac:dyDescent="0.25">
      <c r="B373" s="1419"/>
      <c r="C373" s="1413"/>
      <c r="D373" s="1411"/>
      <c r="E373" s="1411"/>
      <c r="F373" s="1411"/>
      <c r="G373" s="1411"/>
      <c r="H373" s="1411"/>
      <c r="I373" s="1411"/>
      <c r="J373" s="1411"/>
      <c r="K373" s="1433"/>
      <c r="L373" s="1412"/>
    </row>
    <row r="374" spans="2:15" s="1410" customFormat="1" ht="15.75" hidden="1" x14ac:dyDescent="0.25">
      <c r="B374" s="1436" t="s">
        <v>1469</v>
      </c>
      <c r="C374" s="1344"/>
      <c r="D374" s="1437" t="e">
        <f>SUM(D372:J372)*298*10^3</f>
        <v>#DIV/0!</v>
      </c>
      <c r="E374" s="1437"/>
      <c r="F374" s="1437"/>
      <c r="G374" s="1437"/>
      <c r="H374" s="1437"/>
      <c r="I374" s="1437"/>
      <c r="J374" s="1437"/>
      <c r="K374" s="1437" t="s">
        <v>1468</v>
      </c>
      <c r="L374" s="1438"/>
    </row>
    <row r="375" spans="2:15" s="5" customFormat="1" ht="15.75" hidden="1" x14ac:dyDescent="0.25">
      <c r="I375" s="1377"/>
      <c r="J375" s="1377"/>
      <c r="N375" s="62"/>
      <c r="O375" s="62"/>
    </row>
    <row r="376" spans="2:15" s="5" customFormat="1" ht="15.75" hidden="1" x14ac:dyDescent="0.25">
      <c r="B376" s="100" t="s">
        <v>282</v>
      </c>
      <c r="C376" s="101"/>
      <c r="D376" s="102"/>
      <c r="E376" s="102"/>
      <c r="F376" s="102"/>
      <c r="G376" s="102"/>
      <c r="H376" s="102"/>
      <c r="I376" s="1390"/>
      <c r="J376" s="1390"/>
      <c r="K376" s="103" t="s">
        <v>252</v>
      </c>
      <c r="L376" s="104" t="s">
        <v>267</v>
      </c>
      <c r="M376" s="105"/>
      <c r="N376" s="62"/>
      <c r="O376" s="62"/>
    </row>
    <row r="377" spans="2:15" s="5" customFormat="1" ht="15.75" hidden="1" x14ac:dyDescent="0.25">
      <c r="B377" s="106" t="s">
        <v>340</v>
      </c>
      <c r="C377" s="107"/>
      <c r="D377" s="107"/>
      <c r="E377" s="107"/>
      <c r="F377" s="107"/>
      <c r="G377" s="107"/>
      <c r="H377" s="107"/>
      <c r="I377" s="1391"/>
      <c r="J377" s="1391"/>
      <c r="K377" s="107"/>
      <c r="L377" s="108"/>
      <c r="M377" s="105"/>
      <c r="N377" s="62"/>
      <c r="O377" s="62"/>
    </row>
    <row r="378" spans="2:15" s="5" customFormat="1" ht="15.75" hidden="1" x14ac:dyDescent="0.25">
      <c r="B378" s="106" t="s">
        <v>898</v>
      </c>
      <c r="C378" s="106" t="s">
        <v>341</v>
      </c>
      <c r="D378" s="107"/>
      <c r="E378" s="107"/>
      <c r="F378" s="107"/>
      <c r="G378" s="107"/>
      <c r="H378" s="107"/>
      <c r="I378" s="1391"/>
      <c r="J378" s="1391"/>
      <c r="K378" s="107"/>
      <c r="L378" s="108" t="s">
        <v>342</v>
      </c>
      <c r="M378" s="105"/>
      <c r="N378" s="62"/>
      <c r="O378" s="62"/>
    </row>
    <row r="379" spans="2:15" s="5" customFormat="1" ht="15.75" hidden="1" x14ac:dyDescent="0.25">
      <c r="B379" s="107"/>
      <c r="C379" s="107" t="s">
        <v>343</v>
      </c>
      <c r="D379" s="107"/>
      <c r="E379" s="107"/>
      <c r="F379" s="107"/>
      <c r="G379" s="107"/>
      <c r="H379" s="107"/>
      <c r="I379" s="1391"/>
      <c r="J379" s="1391"/>
      <c r="K379" s="107" t="s">
        <v>344</v>
      </c>
      <c r="L379" s="108"/>
      <c r="M379" s="105"/>
      <c r="N379" s="62"/>
      <c r="O379" s="62"/>
    </row>
    <row r="380" spans="2:15" s="5" customFormat="1" ht="15.75" hidden="1" x14ac:dyDescent="0.25">
      <c r="B380" s="107"/>
      <c r="C380" s="107" t="s">
        <v>345</v>
      </c>
      <c r="D380" s="107"/>
      <c r="E380" s="107"/>
      <c r="F380" s="107"/>
      <c r="G380" s="107"/>
      <c r="H380" s="107"/>
      <c r="I380" s="1391"/>
      <c r="J380" s="1391"/>
      <c r="K380" s="107"/>
      <c r="L380" s="108" t="s">
        <v>346</v>
      </c>
      <c r="M380" s="105"/>
      <c r="N380" s="62"/>
      <c r="O380" s="62"/>
    </row>
    <row r="381" spans="2:15" s="5" customFormat="1" ht="15.75" hidden="1" x14ac:dyDescent="0.25">
      <c r="B381" s="107"/>
      <c r="C381" s="107"/>
      <c r="D381" s="107"/>
      <c r="E381" s="107"/>
      <c r="F381" s="107"/>
      <c r="G381" s="107"/>
      <c r="H381" s="107"/>
      <c r="I381" s="1391"/>
      <c r="J381" s="1391"/>
      <c r="K381" s="107"/>
      <c r="L381" s="108"/>
      <c r="M381" s="105"/>
      <c r="N381" s="62"/>
      <c r="O381" s="62"/>
    </row>
    <row r="382" spans="2:15" s="5" customFormat="1" ht="15.75" hidden="1" x14ac:dyDescent="0.25">
      <c r="B382" s="109" t="s">
        <v>339</v>
      </c>
      <c r="C382" s="110"/>
      <c r="D382" s="122">
        <f>IF($T$226="1",($C$46*G46*10^-6),(G46*10^-3))</f>
        <v>0</v>
      </c>
      <c r="E382" s="107"/>
      <c r="F382" s="107"/>
      <c r="G382" s="107"/>
      <c r="H382" s="107"/>
      <c r="I382" s="1391"/>
      <c r="J382" s="1391"/>
      <c r="K382" s="107" t="s">
        <v>952</v>
      </c>
      <c r="L382" s="108"/>
      <c r="M382" s="105"/>
      <c r="N382" s="62"/>
      <c r="O382" s="62"/>
    </row>
    <row r="383" spans="2:15" s="5" customFormat="1" ht="15.75" hidden="1" x14ac:dyDescent="0.25">
      <c r="B383" s="109" t="s">
        <v>951</v>
      </c>
      <c r="C383" s="110"/>
      <c r="D383" s="122">
        <f>IF($T$226="1",($C$47*G47)*10^-6,(G47*10^-3))</f>
        <v>0</v>
      </c>
      <c r="E383" s="107"/>
      <c r="F383" s="107"/>
      <c r="G383" s="107"/>
      <c r="H383" s="107"/>
      <c r="I383" s="1391"/>
      <c r="J383" s="1391"/>
      <c r="K383" s="107" t="s">
        <v>952</v>
      </c>
      <c r="L383" s="108"/>
      <c r="M383" s="62"/>
      <c r="N383" s="62"/>
      <c r="O383" s="62"/>
    </row>
    <row r="384" spans="2:15" s="5" customFormat="1" ht="15.75" hidden="1" x14ac:dyDescent="0.25">
      <c r="B384" s="107"/>
      <c r="C384" s="107"/>
      <c r="D384" s="122"/>
      <c r="E384" s="107"/>
      <c r="F384" s="107"/>
      <c r="G384" s="107"/>
      <c r="H384" s="107"/>
      <c r="I384" s="1391"/>
      <c r="J384" s="1391"/>
      <c r="K384" s="107"/>
      <c r="L384" s="108"/>
      <c r="M384" s="62"/>
      <c r="N384" s="62"/>
      <c r="O384" s="62"/>
    </row>
    <row r="385" spans="2:15" s="5" customFormat="1" ht="15.75" hidden="1" x14ac:dyDescent="0.25">
      <c r="B385" s="106" t="s">
        <v>347</v>
      </c>
      <c r="C385" s="106" t="s">
        <v>348</v>
      </c>
      <c r="D385" s="107"/>
      <c r="E385" s="107"/>
      <c r="F385" s="107"/>
      <c r="G385" s="107"/>
      <c r="H385" s="107"/>
      <c r="I385" s="1391"/>
      <c r="J385" s="1391"/>
      <c r="K385" s="107" t="s">
        <v>953</v>
      </c>
      <c r="L385" s="108" t="s">
        <v>350</v>
      </c>
      <c r="M385" s="62"/>
      <c r="N385" s="62"/>
      <c r="O385" s="62"/>
    </row>
    <row r="386" spans="2:15" s="5" customFormat="1" ht="15.75" hidden="1" x14ac:dyDescent="0.25">
      <c r="B386" s="107"/>
      <c r="C386" s="107" t="s">
        <v>351</v>
      </c>
      <c r="D386" s="107"/>
      <c r="E386" s="107"/>
      <c r="F386" s="107"/>
      <c r="G386" s="107"/>
      <c r="H386" s="107"/>
      <c r="I386" s="1391"/>
      <c r="J386" s="1391"/>
      <c r="K386" s="107" t="s">
        <v>352</v>
      </c>
      <c r="L386" s="108" t="s">
        <v>353</v>
      </c>
      <c r="M386" s="62"/>
      <c r="N386" s="62"/>
      <c r="O386" s="62"/>
    </row>
    <row r="387" spans="2:15" s="5" customFormat="1" ht="15.75" hidden="1" x14ac:dyDescent="0.25">
      <c r="B387" s="107"/>
      <c r="C387" s="107"/>
      <c r="D387" s="107"/>
      <c r="E387" s="107"/>
      <c r="F387" s="107"/>
      <c r="G387" s="107"/>
      <c r="H387" s="107"/>
      <c r="I387" s="1391"/>
      <c r="J387" s="1391"/>
      <c r="K387" s="107"/>
      <c r="L387" s="108"/>
      <c r="M387" s="62"/>
      <c r="N387" s="62"/>
      <c r="O387" s="62"/>
    </row>
    <row r="388" spans="2:15" s="5" customFormat="1" ht="15.75" hidden="1" x14ac:dyDescent="0.25">
      <c r="B388" s="422" t="s">
        <v>354</v>
      </c>
      <c r="C388" s="423" t="s">
        <v>355</v>
      </c>
      <c r="D388" s="107"/>
      <c r="E388" s="112" t="s">
        <v>339</v>
      </c>
      <c r="F388" s="107"/>
      <c r="G388" s="122">
        <f>D382*$C$389*44/28</f>
        <v>0</v>
      </c>
      <c r="H388" s="424"/>
      <c r="I388" s="1396"/>
      <c r="J388" s="1396"/>
      <c r="K388" s="107" t="s">
        <v>953</v>
      </c>
      <c r="L388" s="108"/>
      <c r="M388" s="62"/>
      <c r="N388" s="62"/>
      <c r="O388" s="62"/>
    </row>
    <row r="389" spans="2:15" s="5" customFormat="1" ht="15.75" hidden="1" x14ac:dyDescent="0.25">
      <c r="B389" s="425" t="s">
        <v>356</v>
      </c>
      <c r="C389" s="1439">
        <v>4.0000000000000001E-3</v>
      </c>
      <c r="D389" s="107"/>
      <c r="E389" s="112" t="s">
        <v>338</v>
      </c>
      <c r="F389" s="107"/>
      <c r="G389" s="122">
        <f>D383*$C$389*44/28</f>
        <v>0</v>
      </c>
      <c r="H389" s="424"/>
      <c r="I389" s="1396"/>
      <c r="J389" s="1396"/>
      <c r="K389" s="107" t="s">
        <v>953</v>
      </c>
      <c r="L389" s="108"/>
      <c r="M389" s="62"/>
      <c r="N389" s="62"/>
      <c r="O389" s="62"/>
    </row>
    <row r="390" spans="2:15" s="5" customFormat="1" ht="15.75" hidden="1" x14ac:dyDescent="0.25">
      <c r="B390" s="425" t="s">
        <v>357</v>
      </c>
      <c r="C390" s="1439">
        <v>8.5000000000000006E-3</v>
      </c>
      <c r="D390" s="107"/>
      <c r="E390" s="109"/>
      <c r="F390" s="107"/>
      <c r="G390" s="111"/>
      <c r="H390" s="424"/>
      <c r="I390" s="1396"/>
      <c r="J390" s="1396"/>
      <c r="K390" s="107"/>
      <c r="L390" s="108"/>
      <c r="M390" s="62"/>
      <c r="N390" s="62"/>
      <c r="O390" s="62"/>
    </row>
    <row r="391" spans="2:15" s="5" customFormat="1" ht="15.75" hidden="1" x14ac:dyDescent="0.25">
      <c r="B391" s="426" t="s">
        <v>358</v>
      </c>
      <c r="C391" s="1439">
        <v>2E-3</v>
      </c>
      <c r="D391" s="107"/>
      <c r="E391" s="109"/>
      <c r="F391" s="107"/>
      <c r="G391" s="111"/>
      <c r="H391" s="424"/>
      <c r="I391" s="1396"/>
      <c r="J391" s="1396"/>
      <c r="K391" s="107"/>
      <c r="L391" s="108"/>
      <c r="M391" s="62"/>
      <c r="N391" s="62"/>
      <c r="O391" s="62"/>
    </row>
    <row r="392" spans="2:15" s="5" customFormat="1" ht="15.75" hidden="1" x14ac:dyDescent="0.25">
      <c r="B392" s="426" t="s">
        <v>359</v>
      </c>
      <c r="C392" s="1439">
        <v>2E-3</v>
      </c>
      <c r="D392" s="107"/>
      <c r="E392" s="107"/>
      <c r="F392" s="107"/>
      <c r="G392" s="111"/>
      <c r="H392" s="424"/>
      <c r="I392" s="1396"/>
      <c r="J392" s="1396"/>
      <c r="K392" s="107"/>
      <c r="L392" s="108"/>
      <c r="M392" s="62"/>
      <c r="N392" s="62"/>
      <c r="O392" s="62"/>
    </row>
    <row r="393" spans="2:15" s="5" customFormat="1" ht="15.75" hidden="1" x14ac:dyDescent="0.25">
      <c r="B393" s="425" t="s">
        <v>360</v>
      </c>
      <c r="C393" s="1439">
        <v>1.9900000000000001E-2</v>
      </c>
      <c r="D393" s="107"/>
      <c r="E393" s="107"/>
      <c r="F393" s="107"/>
      <c r="G393" s="111"/>
      <c r="H393" s="107"/>
      <c r="I393" s="1391"/>
      <c r="J393" s="1391"/>
      <c r="K393" s="107"/>
      <c r="L393" s="108"/>
      <c r="M393" s="62"/>
      <c r="N393" s="62"/>
      <c r="O393" s="62"/>
    </row>
    <row r="394" spans="2:15" s="5" customFormat="1" ht="15.75" hidden="1" x14ac:dyDescent="0.25">
      <c r="B394" s="425" t="s">
        <v>361</v>
      </c>
      <c r="C394" s="1439">
        <v>5.4999999999999997E-3</v>
      </c>
      <c r="D394" s="107"/>
      <c r="E394" s="112"/>
      <c r="F394" s="107"/>
      <c r="G394" s="113"/>
      <c r="H394" s="427"/>
      <c r="I394" s="1397"/>
      <c r="J394" s="1397"/>
      <c r="K394" s="107"/>
      <c r="L394" s="108"/>
      <c r="M394" s="62"/>
      <c r="N394" s="62"/>
      <c r="O394" s="62"/>
    </row>
    <row r="395" spans="2:15" s="5" customFormat="1" ht="15.75" hidden="1" x14ac:dyDescent="0.25">
      <c r="B395" s="428" t="s">
        <v>362</v>
      </c>
      <c r="C395" s="429">
        <v>8.5000000000000006E-3</v>
      </c>
      <c r="D395" s="107"/>
      <c r="E395" s="109"/>
      <c r="F395" s="107"/>
      <c r="G395" s="113"/>
      <c r="H395" s="427"/>
      <c r="I395" s="1397"/>
      <c r="J395" s="1397"/>
      <c r="K395" s="107"/>
      <c r="L395" s="108"/>
      <c r="M395" s="62"/>
      <c r="N395" s="62"/>
      <c r="O395" s="62"/>
    </row>
    <row r="396" spans="2:15" s="5" customFormat="1" ht="15.75" hidden="1" x14ac:dyDescent="0.25">
      <c r="B396" s="107"/>
      <c r="C396" s="107"/>
      <c r="D396" s="107"/>
      <c r="E396" s="109"/>
      <c r="F396" s="107"/>
      <c r="G396" s="113"/>
      <c r="H396" s="427"/>
      <c r="I396" s="1397"/>
      <c r="J396" s="1397"/>
      <c r="K396" s="107"/>
      <c r="L396" s="108"/>
      <c r="M396" s="62"/>
      <c r="N396" s="62"/>
      <c r="O396" s="62"/>
    </row>
    <row r="397" spans="2:15" s="5" customFormat="1" ht="15.75" hidden="1" x14ac:dyDescent="0.25">
      <c r="B397" s="107"/>
      <c r="C397" s="107"/>
      <c r="D397" s="107"/>
      <c r="E397" s="109"/>
      <c r="F397" s="107"/>
      <c r="G397" s="113"/>
      <c r="H397" s="427"/>
      <c r="I397" s="1397"/>
      <c r="J397" s="1397"/>
      <c r="K397" s="107"/>
      <c r="L397" s="108"/>
      <c r="M397" s="62"/>
      <c r="N397" s="62"/>
      <c r="O397" s="62"/>
    </row>
    <row r="398" spans="2:15" s="5" customFormat="1" ht="15.75" hidden="1" x14ac:dyDescent="0.25">
      <c r="B398" s="107"/>
      <c r="C398" s="107"/>
      <c r="D398" s="107"/>
      <c r="E398" s="107"/>
      <c r="F398" s="107"/>
      <c r="G398" s="111"/>
      <c r="H398" s="430"/>
      <c r="I398" s="1398"/>
      <c r="J398" s="1398"/>
      <c r="K398" s="107"/>
      <c r="L398" s="108"/>
      <c r="M398" s="62"/>
      <c r="N398" s="62"/>
      <c r="O398" s="62"/>
    </row>
    <row r="399" spans="2:15" s="5" customFormat="1" ht="15.75" hidden="1" x14ac:dyDescent="0.25">
      <c r="B399" s="107"/>
      <c r="C399" s="107"/>
      <c r="D399" s="107"/>
      <c r="E399" s="107"/>
      <c r="F399" s="107"/>
      <c r="G399" s="107"/>
      <c r="H399" s="107"/>
      <c r="I399" s="1391"/>
      <c r="J399" s="1391"/>
      <c r="K399" s="107"/>
      <c r="L399" s="108"/>
      <c r="M399" s="62"/>
      <c r="N399" s="62"/>
      <c r="O399" s="62"/>
    </row>
    <row r="400" spans="2:15" s="5" customFormat="1" ht="15.75" hidden="1" x14ac:dyDescent="0.25">
      <c r="B400" s="106" t="s">
        <v>363</v>
      </c>
      <c r="C400" s="126">
        <f>SUM(G388:G389)</f>
        <v>0</v>
      </c>
      <c r="D400" s="107"/>
      <c r="E400" s="107"/>
      <c r="F400" s="107"/>
      <c r="G400" s="107"/>
      <c r="H400" s="107"/>
      <c r="I400" s="1391"/>
      <c r="J400" s="1391"/>
      <c r="K400" s="107" t="s">
        <v>336</v>
      </c>
      <c r="L400" s="108"/>
      <c r="M400" s="62"/>
      <c r="N400" s="62"/>
      <c r="O400" s="62"/>
    </row>
    <row r="401" spans="2:22" s="5" customFormat="1" ht="15.75" hidden="1" x14ac:dyDescent="0.25">
      <c r="B401" s="106" t="s">
        <v>363</v>
      </c>
      <c r="C401" s="144">
        <f>C400*298</f>
        <v>0</v>
      </c>
      <c r="D401" s="107"/>
      <c r="E401" s="107"/>
      <c r="F401" s="107"/>
      <c r="G401" s="107"/>
      <c r="H401" s="107"/>
      <c r="I401" s="1391"/>
      <c r="J401" s="1391"/>
      <c r="K401" s="107" t="s">
        <v>302</v>
      </c>
      <c r="L401" s="108"/>
      <c r="M401" s="62"/>
      <c r="N401" s="62"/>
      <c r="O401" s="62"/>
    </row>
    <row r="402" spans="2:22" s="5" customFormat="1" ht="15.75" hidden="1" x14ac:dyDescent="0.25">
      <c r="B402" s="106" t="s">
        <v>363</v>
      </c>
      <c r="C402" s="114">
        <f>C401*10^3</f>
        <v>0</v>
      </c>
      <c r="D402" s="107"/>
      <c r="E402" s="109"/>
      <c r="F402" s="109"/>
      <c r="G402" s="109"/>
      <c r="H402" s="109"/>
      <c r="I402" s="1392"/>
      <c r="J402" s="1392"/>
      <c r="K402" s="107" t="s">
        <v>303</v>
      </c>
      <c r="L402" s="108"/>
      <c r="M402" s="62"/>
      <c r="N402" s="62"/>
      <c r="O402" s="62"/>
    </row>
    <row r="403" spans="2:22" s="5" customFormat="1" ht="15.75" hidden="1" x14ac:dyDescent="0.25">
      <c r="B403" s="107"/>
      <c r="C403" s="107"/>
      <c r="D403" s="107"/>
      <c r="E403" s="109"/>
      <c r="F403" s="109"/>
      <c r="G403" s="109"/>
      <c r="H403" s="109"/>
      <c r="I403" s="1392"/>
      <c r="J403" s="1392"/>
      <c r="K403" s="109"/>
      <c r="L403" s="108"/>
      <c r="M403" s="62"/>
      <c r="N403" s="62"/>
      <c r="O403" s="62"/>
    </row>
    <row r="404" spans="2:22" s="5" customFormat="1" ht="15.75" hidden="1" x14ac:dyDescent="0.25">
      <c r="B404" s="106" t="s">
        <v>364</v>
      </c>
      <c r="C404" s="107"/>
      <c r="D404" s="107"/>
      <c r="E404" s="109"/>
      <c r="F404" s="109"/>
      <c r="G404" s="115"/>
      <c r="H404" s="115"/>
      <c r="I404" s="1395"/>
      <c r="J404" s="1395"/>
      <c r="K404" s="109"/>
      <c r="L404" s="108"/>
      <c r="M404" s="62"/>
      <c r="N404" s="62"/>
      <c r="O404" s="62"/>
    </row>
    <row r="405" spans="2:22" s="5" customFormat="1" ht="17.25" hidden="1" x14ac:dyDescent="0.3">
      <c r="B405" s="1452" t="s">
        <v>365</v>
      </c>
      <c r="C405" s="1452" t="s">
        <v>1477</v>
      </c>
      <c r="D405" s="107"/>
      <c r="E405" s="109"/>
      <c r="F405" s="109"/>
      <c r="G405" s="109"/>
      <c r="H405" s="109"/>
      <c r="I405" s="1392"/>
      <c r="J405" s="1392"/>
      <c r="K405" s="109"/>
      <c r="L405" s="108" t="s">
        <v>366</v>
      </c>
      <c r="M405" s="62"/>
      <c r="N405" s="62"/>
      <c r="O405" s="62"/>
    </row>
    <row r="406" spans="2:22" s="5" customFormat="1" ht="15.75" hidden="1" x14ac:dyDescent="0.25">
      <c r="B406" s="1455"/>
      <c r="C406" s="1455" t="s">
        <v>367</v>
      </c>
      <c r="D406" s="109"/>
      <c r="E406" s="109"/>
      <c r="F406" s="109"/>
      <c r="G406" s="109"/>
      <c r="H406" s="109"/>
      <c r="I406" s="1392"/>
      <c r="J406" s="1392"/>
      <c r="K406" s="109"/>
      <c r="L406" s="108"/>
      <c r="M406" s="62"/>
      <c r="N406" s="62"/>
      <c r="O406" s="62"/>
    </row>
    <row r="407" spans="2:22" s="5" customFormat="1" ht="15.75" hidden="1" x14ac:dyDescent="0.25">
      <c r="B407" s="1455"/>
      <c r="C407" s="1453" t="s">
        <v>1504</v>
      </c>
      <c r="D407" s="109"/>
      <c r="E407" s="109"/>
      <c r="F407" s="109"/>
      <c r="G407" s="109"/>
      <c r="H407" s="109"/>
      <c r="I407" s="1392"/>
      <c r="J407" s="1392"/>
      <c r="K407" s="109"/>
      <c r="L407" s="108"/>
      <c r="M407" s="62"/>
      <c r="N407" s="62"/>
      <c r="O407" s="62"/>
    </row>
    <row r="408" spans="2:22" s="5" customFormat="1" ht="15.75" hidden="1" x14ac:dyDescent="0.25">
      <c r="B408" s="1453"/>
      <c r="C408" s="1453" t="s">
        <v>1478</v>
      </c>
      <c r="D408" s="109"/>
      <c r="E408" s="116"/>
      <c r="F408" s="107"/>
      <c r="G408" s="107"/>
      <c r="H408" s="107"/>
      <c r="I408" s="1391"/>
      <c r="J408" s="1391"/>
      <c r="K408" s="107"/>
      <c r="L408" s="108"/>
      <c r="M408" s="62"/>
      <c r="N408" s="62"/>
      <c r="O408" s="62"/>
    </row>
    <row r="409" spans="2:22" s="5" customFormat="1" ht="15.75" hidden="1" x14ac:dyDescent="0.25">
      <c r="B409" s="1453"/>
      <c r="C409" s="1453" t="s">
        <v>1479</v>
      </c>
      <c r="D409" s="109"/>
      <c r="E409" s="116"/>
      <c r="F409" s="107"/>
      <c r="G409" s="107"/>
      <c r="H409" s="107"/>
      <c r="I409" s="1391"/>
      <c r="J409" s="1391"/>
      <c r="K409" s="107"/>
      <c r="L409" s="108"/>
      <c r="M409" s="62"/>
      <c r="N409" s="62"/>
      <c r="O409" s="62"/>
    </row>
    <row r="410" spans="2:22" s="1450" customFormat="1" ht="15.75" hidden="1" x14ac:dyDescent="0.25">
      <c r="B410" s="1453"/>
      <c r="C410" s="1453"/>
      <c r="D410" s="1455"/>
      <c r="E410" s="1456"/>
      <c r="F410" s="1453"/>
      <c r="G410" s="1453"/>
      <c r="H410" s="1453"/>
      <c r="I410" s="1453"/>
      <c r="J410" s="1453"/>
      <c r="K410" s="1453"/>
      <c r="L410" s="1454"/>
      <c r="M410" s="1451"/>
      <c r="N410" s="1451"/>
      <c r="O410" s="1451"/>
    </row>
    <row r="411" spans="2:22" s="5" customFormat="1" ht="15.75" hidden="1" x14ac:dyDescent="0.25">
      <c r="B411" s="106"/>
      <c r="C411" s="107"/>
      <c r="D411" s="117" t="str">
        <f>D17</f>
        <v>Milking Cows</v>
      </c>
      <c r="E411" s="117" t="str">
        <f>E17</f>
        <v xml:space="preserve">Heifers &gt;1 </v>
      </c>
      <c r="F411" s="117" t="str">
        <f>F17</f>
        <v xml:space="preserve">Heifers &lt;1 </v>
      </c>
      <c r="G411" s="117" t="str">
        <f>G17</f>
        <v>Mature bulls</v>
      </c>
      <c r="H411" s="117" t="str">
        <f>H17</f>
        <v>Immature bulls</v>
      </c>
      <c r="I411" s="117" t="s">
        <v>1400</v>
      </c>
      <c r="J411" s="117" t="s">
        <v>1401</v>
      </c>
      <c r="K411" s="107"/>
      <c r="L411" s="108"/>
      <c r="M411" s="62"/>
      <c r="N411" s="119"/>
      <c r="O411" s="120"/>
      <c r="U411" s="62"/>
      <c r="V411" s="62"/>
    </row>
    <row r="412" spans="2:22" s="5" customFormat="1" ht="15.75" hidden="1" x14ac:dyDescent="0.25">
      <c r="B412" s="1473" t="s">
        <v>1525</v>
      </c>
      <c r="C412" s="110" t="s">
        <v>478</v>
      </c>
      <c r="D412" s="1467" t="e">
        <f>((D$329*C74%)*(1-$K336-$K352))-0</f>
        <v>#DIV/0!</v>
      </c>
      <c r="E412" s="1467" t="e">
        <f>((E$329*C$75%)*(1-$K336-$K352))-0</f>
        <v>#N/A</v>
      </c>
      <c r="F412" s="1467" t="e">
        <f>((F$329*C$75%)*(1-$K336-$K352))-0</f>
        <v>#N/A</v>
      </c>
      <c r="G412" s="1467" t="e">
        <f>((G$329*C$75%)*(1-$K336-$K352))-0</f>
        <v>#N/A</v>
      </c>
      <c r="H412" s="1467" t="e">
        <f>((H$329*C$75%)*(1-$K336-$K352))-0</f>
        <v>#N/A</v>
      </c>
      <c r="I412" s="1467">
        <f>((I$329*C$75%)*(1-$K336-$K352))-0</f>
        <v>0</v>
      </c>
      <c r="J412" s="1467">
        <f>((J$329*C$75%)*(1-$K336-$K352))-0</f>
        <v>0</v>
      </c>
      <c r="K412" s="107"/>
      <c r="L412" s="108"/>
      <c r="M412" s="61"/>
      <c r="N412" s="119"/>
      <c r="O412" s="121"/>
      <c r="U412" s="62"/>
      <c r="V412" s="62"/>
    </row>
    <row r="413" spans="2:22" s="5" customFormat="1" ht="15.75" hidden="1" x14ac:dyDescent="0.25">
      <c r="B413" s="1474"/>
      <c r="C413" s="107"/>
      <c r="D413" s="1467"/>
      <c r="E413" s="1467"/>
      <c r="F413" s="1467"/>
      <c r="G413" s="1467"/>
      <c r="H413" s="1467"/>
      <c r="I413" s="1467"/>
      <c r="J413" s="1467"/>
      <c r="K413" s="118"/>
      <c r="L413" s="108"/>
      <c r="M413" s="61"/>
      <c r="N413" s="61"/>
      <c r="O413" s="121"/>
      <c r="U413" s="62"/>
      <c r="V413" s="62"/>
    </row>
    <row r="414" spans="2:22" s="5" customFormat="1" ht="15.75" hidden="1" x14ac:dyDescent="0.25">
      <c r="B414" s="1473" t="s">
        <v>1526</v>
      </c>
      <c r="C414" s="110" t="s">
        <v>478</v>
      </c>
      <c r="D414" s="1467" t="e">
        <f>((D$329*D74%)*(1-$K338-$K354))-0</f>
        <v>#DIV/0!</v>
      </c>
      <c r="E414" s="1467" t="e">
        <f>((E$329*D$75%)*(1-$K338-$K354))-0</f>
        <v>#N/A</v>
      </c>
      <c r="F414" s="1467" t="e">
        <f>((F$329*D$75%)*(1-$K338-$K354))-0</f>
        <v>#N/A</v>
      </c>
      <c r="G414" s="1467" t="e">
        <f>((G$329*D$75%)*(1-$K338-$K354))-0</f>
        <v>#N/A</v>
      </c>
      <c r="H414" s="1467" t="e">
        <f>((H$329*D$75%)*(1-$K338-$K354))-0</f>
        <v>#N/A</v>
      </c>
      <c r="I414" s="1467">
        <f>((I$329*D$75%)*(1-$K338-$K354))-0</f>
        <v>0</v>
      </c>
      <c r="J414" s="1467">
        <f>((J$329*D$75%)*(1-$K338-$K354))-0</f>
        <v>0</v>
      </c>
      <c r="K414" s="107"/>
      <c r="L414" s="108"/>
      <c r="M414" s="62"/>
      <c r="N414" s="124"/>
      <c r="O414" s="121"/>
      <c r="P414" s="62"/>
      <c r="Q414" s="62"/>
      <c r="R414" s="62"/>
      <c r="S414" s="62"/>
      <c r="T414" s="62"/>
      <c r="U414" s="62"/>
      <c r="V414" s="62"/>
    </row>
    <row r="415" spans="2:22" s="5" customFormat="1" ht="15.75" hidden="1" x14ac:dyDescent="0.25">
      <c r="B415" s="1474"/>
      <c r="C415" s="107"/>
      <c r="D415" s="1467"/>
      <c r="E415" s="1467"/>
      <c r="F415" s="1467"/>
      <c r="G415" s="1467"/>
      <c r="H415" s="1467"/>
      <c r="I415" s="1467"/>
      <c r="J415" s="1467"/>
      <c r="K415" s="107"/>
      <c r="L415" s="123"/>
      <c r="M415" s="62"/>
      <c r="N415" s="124"/>
      <c r="O415" s="121"/>
      <c r="P415" s="62"/>
      <c r="Q415" s="62"/>
      <c r="R415" s="62"/>
      <c r="S415" s="62"/>
      <c r="T415" s="62"/>
      <c r="U415" s="62"/>
      <c r="V415" s="62"/>
    </row>
    <row r="416" spans="2:22" s="5" customFormat="1" ht="15.75" hidden="1" x14ac:dyDescent="0.25">
      <c r="B416" s="1473" t="s">
        <v>1527</v>
      </c>
      <c r="C416" s="110" t="s">
        <v>478</v>
      </c>
      <c r="D416" s="1467" t="e">
        <f>((D$329*E74%)*(1-$K340-$K356))-0</f>
        <v>#DIV/0!</v>
      </c>
      <c r="E416" s="1467" t="e">
        <f>((E$329*E$75%)*(1-$K340-$K356))-0</f>
        <v>#N/A</v>
      </c>
      <c r="F416" s="1467" t="e">
        <f>((F$329*E$75%)*(1-$K340-$K356))-0</f>
        <v>#N/A</v>
      </c>
      <c r="G416" s="1467" t="e">
        <f>((G$329*E$75%)*(1-$K340-$K356))-0</f>
        <v>#N/A</v>
      </c>
      <c r="H416" s="1467" t="e">
        <f>((H$329*E$75%)*(1-$K340-$K356))-0</f>
        <v>#N/A</v>
      </c>
      <c r="I416" s="1467">
        <f>((I$329*E$75%)*(1-$K340-$K356))-0</f>
        <v>0</v>
      </c>
      <c r="J416" s="1467">
        <f>((J$329*E$75%)*(1-$K340-$K356))-0</f>
        <v>0</v>
      </c>
      <c r="K416" s="107"/>
      <c r="L416" s="123"/>
      <c r="M416" s="62"/>
      <c r="N416" s="124"/>
      <c r="O416" s="124"/>
      <c r="P416" s="62"/>
      <c r="Q416" s="62"/>
      <c r="R416" s="62"/>
      <c r="S416" s="62"/>
      <c r="T416" s="62"/>
      <c r="U416" s="62"/>
      <c r="V416" s="62"/>
    </row>
    <row r="417" spans="2:22" s="5" customFormat="1" ht="15.75" hidden="1" x14ac:dyDescent="0.25">
      <c r="B417" s="1474"/>
      <c r="C417" s="110"/>
      <c r="D417" s="1467"/>
      <c r="E417" s="1467"/>
      <c r="F417" s="1467"/>
      <c r="G417" s="1467"/>
      <c r="H417" s="1464"/>
      <c r="I417" s="1464"/>
      <c r="J417" s="1464"/>
      <c r="K417" s="107"/>
      <c r="L417" s="123"/>
      <c r="M417" s="62"/>
      <c r="N417" s="124"/>
      <c r="O417" s="124"/>
      <c r="P417" s="62"/>
      <c r="Q417" s="62"/>
      <c r="R417" s="62"/>
      <c r="S417" s="62"/>
      <c r="T417" s="62"/>
      <c r="U417" s="62"/>
      <c r="V417" s="62"/>
    </row>
    <row r="418" spans="2:22" s="1457" customFormat="1" ht="15.75" hidden="1" x14ac:dyDescent="0.25">
      <c r="B418" s="1473" t="s">
        <v>1528</v>
      </c>
      <c r="C418" s="1466" t="s">
        <v>478</v>
      </c>
      <c r="D418" s="1467" t="e">
        <f>(($D$329*F74%)*(1-$K342-$K358))-D369</f>
        <v>#DIV/0!</v>
      </c>
      <c r="E418" s="1467" t="e">
        <f>((E$329*F$75%)*(1-$K342-$K358))-E369</f>
        <v>#N/A</v>
      </c>
      <c r="F418" s="1467" t="e">
        <f>((F$329*F$75%)*(1-$K342-$K358))-F369</f>
        <v>#N/A</v>
      </c>
      <c r="G418" s="1467" t="e">
        <f>((G$329*F$75%)*(1-$K342-$K358))-G369</f>
        <v>#N/A</v>
      </c>
      <c r="H418" s="1467" t="e">
        <f>((H$329*F$75%)*(1-$K342-$K358))-H369</f>
        <v>#N/A</v>
      </c>
      <c r="I418" s="1467">
        <f>((I$329*F$75%)*(1-$K342-$K358))-I369</f>
        <v>0</v>
      </c>
      <c r="J418" s="1467">
        <f>((J$329*F$75%)*(1-$K342-$K358))-J369</f>
        <v>0</v>
      </c>
      <c r="K418" s="1459"/>
      <c r="L418" s="1462"/>
      <c r="M418" s="1458"/>
      <c r="N418" s="1463"/>
      <c r="O418" s="1463"/>
      <c r="P418" s="1458"/>
      <c r="Q418" s="1458"/>
      <c r="R418" s="1458"/>
      <c r="S418" s="1458"/>
      <c r="T418" s="1458"/>
      <c r="U418" s="1458"/>
      <c r="V418" s="1458"/>
    </row>
    <row r="419" spans="2:22" s="1457" customFormat="1" ht="15.75" hidden="1" x14ac:dyDescent="0.25">
      <c r="B419" s="1474"/>
      <c r="C419" s="1460"/>
      <c r="D419" s="1461"/>
      <c r="E419" s="1464"/>
      <c r="F419" s="1464"/>
      <c r="G419" s="1464"/>
      <c r="H419" s="1464"/>
      <c r="I419" s="1464"/>
      <c r="J419" s="1464"/>
      <c r="K419" s="1459"/>
      <c r="L419" s="1462"/>
      <c r="M419" s="1458"/>
      <c r="N419" s="1463"/>
      <c r="O419" s="1463"/>
      <c r="P419" s="1458"/>
      <c r="Q419" s="1458"/>
      <c r="R419" s="1458"/>
      <c r="S419" s="1458"/>
      <c r="T419" s="1458"/>
      <c r="U419" s="1458"/>
      <c r="V419" s="1458"/>
    </row>
    <row r="420" spans="2:22" s="5" customFormat="1" ht="15.75" hidden="1" x14ac:dyDescent="0.25">
      <c r="B420" s="1473" t="s">
        <v>1529</v>
      </c>
      <c r="C420" s="110" t="s">
        <v>478</v>
      </c>
      <c r="D420" s="122" t="e">
        <f t="shared" ref="D420:J420" si="19">SUM(D412:D418)</f>
        <v>#DIV/0!</v>
      </c>
      <c r="E420" s="1467" t="e">
        <f t="shared" si="19"/>
        <v>#N/A</v>
      </c>
      <c r="F420" s="1467" t="e">
        <f t="shared" si="19"/>
        <v>#N/A</v>
      </c>
      <c r="G420" s="1467" t="e">
        <f t="shared" si="19"/>
        <v>#N/A</v>
      </c>
      <c r="H420" s="1467" t="e">
        <f t="shared" si="19"/>
        <v>#N/A</v>
      </c>
      <c r="I420" s="1467">
        <f t="shared" si="19"/>
        <v>0</v>
      </c>
      <c r="J420" s="1467">
        <f t="shared" si="19"/>
        <v>0</v>
      </c>
      <c r="K420" s="107"/>
      <c r="L420" s="123"/>
      <c r="M420" s="62"/>
      <c r="N420" s="625"/>
      <c r="O420" s="62"/>
      <c r="P420" s="62"/>
      <c r="Q420" s="62"/>
      <c r="R420" s="62"/>
      <c r="S420" s="62"/>
      <c r="T420" s="62"/>
      <c r="U420" s="62"/>
      <c r="V420" s="62"/>
    </row>
    <row r="421" spans="2:22" s="5" customFormat="1" ht="15.75" hidden="1" x14ac:dyDescent="0.25">
      <c r="B421" s="107"/>
      <c r="C421" s="107"/>
      <c r="D421" s="107"/>
      <c r="E421" s="107"/>
      <c r="F421" s="107"/>
      <c r="G421" s="107"/>
      <c r="H421" s="107"/>
      <c r="I421" s="1391"/>
      <c r="J421" s="1391"/>
      <c r="K421" s="107"/>
      <c r="L421" s="123"/>
      <c r="M421" s="61"/>
      <c r="N421" s="121"/>
      <c r="O421" s="62"/>
      <c r="P421" s="62"/>
      <c r="Q421" s="62"/>
      <c r="R421" s="62"/>
      <c r="S421" s="62"/>
      <c r="T421" s="62"/>
      <c r="U421" s="62"/>
      <c r="V421" s="62"/>
    </row>
    <row r="422" spans="2:22" s="5" customFormat="1" ht="15.75" hidden="1" x14ac:dyDescent="0.25">
      <c r="B422" s="106" t="s">
        <v>368</v>
      </c>
      <c r="C422" s="106" t="s">
        <v>369</v>
      </c>
      <c r="D422" s="107"/>
      <c r="E422" s="107"/>
      <c r="F422" s="107"/>
      <c r="G422" s="107"/>
      <c r="H422" s="107"/>
      <c r="I422" s="1391"/>
      <c r="J422" s="1391"/>
      <c r="K422" s="110"/>
      <c r="L422" s="108" t="s">
        <v>370</v>
      </c>
      <c r="M422" s="61"/>
      <c r="N422" s="127"/>
      <c r="O422" s="62"/>
      <c r="P422" s="62"/>
      <c r="Q422" s="62"/>
      <c r="R422" s="62"/>
      <c r="S422" s="62"/>
      <c r="T422" s="62"/>
      <c r="U422" s="62"/>
      <c r="V422" s="62"/>
    </row>
    <row r="423" spans="2:22" s="5" customFormat="1" ht="15.75" hidden="1" x14ac:dyDescent="0.25">
      <c r="B423" s="107"/>
      <c r="C423" s="107" t="s">
        <v>371</v>
      </c>
      <c r="D423" s="126">
        <v>0.01</v>
      </c>
      <c r="E423" s="107"/>
      <c r="F423" s="107"/>
      <c r="G423" s="107"/>
      <c r="H423" s="107"/>
      <c r="I423" s="1391"/>
      <c r="J423" s="1391"/>
      <c r="K423" s="107"/>
      <c r="L423" s="123"/>
      <c r="M423" s="61"/>
      <c r="N423" s="625"/>
      <c r="O423" s="62"/>
      <c r="P423" s="62"/>
      <c r="Q423" s="62"/>
      <c r="R423" s="62"/>
      <c r="S423" s="62"/>
      <c r="T423" s="62"/>
      <c r="U423" s="62"/>
      <c r="V423" s="62"/>
    </row>
    <row r="424" spans="2:22" s="5" customFormat="1" ht="15.75" hidden="1" x14ac:dyDescent="0.25">
      <c r="B424" s="107"/>
      <c r="C424" s="110" t="s">
        <v>478</v>
      </c>
      <c r="D424" s="584" t="e">
        <f t="shared" ref="D424:J424" si="20">D420*$D$423*44/28</f>
        <v>#DIV/0!</v>
      </c>
      <c r="E424" s="584" t="e">
        <f t="shared" si="20"/>
        <v>#N/A</v>
      </c>
      <c r="F424" s="584" t="e">
        <f t="shared" si="20"/>
        <v>#N/A</v>
      </c>
      <c r="G424" s="584" t="e">
        <f t="shared" si="20"/>
        <v>#N/A</v>
      </c>
      <c r="H424" s="584" t="e">
        <f t="shared" si="20"/>
        <v>#N/A</v>
      </c>
      <c r="I424" s="584">
        <f t="shared" si="20"/>
        <v>0</v>
      </c>
      <c r="J424" s="584">
        <f t="shared" si="20"/>
        <v>0</v>
      </c>
      <c r="K424" s="110" t="s">
        <v>335</v>
      </c>
      <c r="L424" s="123"/>
      <c r="M424" s="61"/>
      <c r="N424" s="61"/>
      <c r="O424" s="61"/>
      <c r="P424" s="62"/>
      <c r="Q424" s="62"/>
      <c r="R424" s="62"/>
      <c r="S424" s="62"/>
      <c r="T424" s="62"/>
      <c r="U424" s="62"/>
      <c r="V424" s="62"/>
    </row>
    <row r="425" spans="2:22" s="5" customFormat="1" ht="15.75" hidden="1" x14ac:dyDescent="0.25">
      <c r="B425" s="107"/>
      <c r="C425" s="107"/>
      <c r="D425" s="107"/>
      <c r="E425" s="107"/>
      <c r="F425" s="107"/>
      <c r="G425" s="107"/>
      <c r="H425" s="107"/>
      <c r="I425" s="1391"/>
      <c r="J425" s="1391"/>
      <c r="K425" s="107"/>
      <c r="L425" s="123"/>
      <c r="M425" s="128"/>
      <c r="N425" s="61"/>
      <c r="O425" s="61"/>
      <c r="P425" s="62"/>
      <c r="Q425" s="62"/>
      <c r="R425" s="62"/>
      <c r="S425" s="62"/>
      <c r="T425" s="62"/>
      <c r="U425" s="62"/>
      <c r="V425" s="62"/>
    </row>
    <row r="426" spans="2:22" s="5" customFormat="1" ht="15.75" hidden="1" x14ac:dyDescent="0.25">
      <c r="B426" s="106" t="s">
        <v>372</v>
      </c>
      <c r="C426" s="106" t="s">
        <v>373</v>
      </c>
      <c r="D426" s="107"/>
      <c r="E426" s="107"/>
      <c r="F426" s="107"/>
      <c r="G426" s="107"/>
      <c r="H426" s="107"/>
      <c r="I426" s="1391"/>
      <c r="J426" s="1391"/>
      <c r="K426" s="107"/>
      <c r="L426" s="108" t="s">
        <v>374</v>
      </c>
      <c r="M426" s="128"/>
      <c r="N426" s="62"/>
      <c r="O426" s="62"/>
      <c r="P426" s="62"/>
      <c r="Q426" s="62"/>
      <c r="R426" s="62"/>
      <c r="S426" s="62"/>
      <c r="T426" s="62"/>
      <c r="U426" s="62"/>
      <c r="V426" s="62"/>
    </row>
    <row r="427" spans="2:22" s="5" customFormat="1" ht="15.75" hidden="1" x14ac:dyDescent="0.25">
      <c r="B427" s="107"/>
      <c r="C427" s="107" t="s">
        <v>375</v>
      </c>
      <c r="D427" s="107"/>
      <c r="E427" s="107"/>
      <c r="F427" s="107"/>
      <c r="G427" s="107"/>
      <c r="H427" s="107"/>
      <c r="I427" s="1391"/>
      <c r="J427" s="1391"/>
      <c r="K427" s="110" t="s">
        <v>344</v>
      </c>
      <c r="L427" s="431" t="s">
        <v>376</v>
      </c>
      <c r="M427" s="105"/>
      <c r="N427" s="62"/>
      <c r="O427" s="62"/>
      <c r="P427" s="62"/>
      <c r="Q427" s="62"/>
      <c r="R427" s="62"/>
      <c r="S427" s="62"/>
      <c r="T427" s="62"/>
      <c r="U427" s="62"/>
      <c r="V427" s="62"/>
    </row>
    <row r="428" spans="2:22" s="5" customFormat="1" ht="15.75" hidden="1" x14ac:dyDescent="0.25">
      <c r="B428" s="107"/>
      <c r="C428" s="107" t="s">
        <v>377</v>
      </c>
      <c r="D428" s="107"/>
      <c r="E428" s="107"/>
      <c r="F428" s="107"/>
      <c r="G428" s="107"/>
      <c r="H428" s="107"/>
      <c r="I428" s="1391"/>
      <c r="J428" s="1391"/>
      <c r="K428" s="110" t="s">
        <v>378</v>
      </c>
      <c r="L428" s="108"/>
      <c r="M428" s="105"/>
      <c r="N428" s="62"/>
      <c r="O428" s="62"/>
      <c r="P428" s="62"/>
      <c r="Q428" s="62"/>
      <c r="R428" s="62"/>
      <c r="S428" s="62"/>
      <c r="T428" s="62"/>
      <c r="U428" s="62"/>
      <c r="V428" s="62"/>
    </row>
    <row r="429" spans="2:22" s="5" customFormat="1" ht="15.75" hidden="1" x14ac:dyDescent="0.25">
      <c r="B429" s="107"/>
      <c r="C429" s="107" t="s">
        <v>379</v>
      </c>
      <c r="D429" s="107"/>
      <c r="E429" s="107"/>
      <c r="F429" s="107"/>
      <c r="G429" s="107"/>
      <c r="H429" s="107"/>
      <c r="I429" s="1391"/>
      <c r="J429" s="1391"/>
      <c r="K429" s="107" t="s">
        <v>380</v>
      </c>
      <c r="L429" s="108"/>
      <c r="M429" s="105"/>
      <c r="N429" s="62"/>
      <c r="O429" s="62"/>
      <c r="P429" s="62"/>
      <c r="Q429" s="62"/>
      <c r="R429" s="62"/>
      <c r="S429" s="62"/>
      <c r="T429" s="62"/>
      <c r="U429" s="62"/>
      <c r="V429" s="62"/>
    </row>
    <row r="430" spans="2:22" s="5" customFormat="1" ht="15.75" hidden="1" x14ac:dyDescent="0.25">
      <c r="B430" s="107"/>
      <c r="C430" s="107" t="s">
        <v>381</v>
      </c>
      <c r="D430" s="107"/>
      <c r="E430" s="107"/>
      <c r="F430" s="107"/>
      <c r="G430" s="107"/>
      <c r="H430" s="107"/>
      <c r="I430" s="1391"/>
      <c r="J430" s="1391"/>
      <c r="K430" s="107" t="s">
        <v>382</v>
      </c>
      <c r="L430" s="108"/>
      <c r="M430" s="105"/>
      <c r="N430" s="62"/>
      <c r="O430" s="62"/>
      <c r="P430" s="62"/>
      <c r="Q430" s="62"/>
      <c r="R430" s="62"/>
      <c r="S430" s="62"/>
      <c r="T430" s="62"/>
      <c r="U430" s="62"/>
      <c r="V430" s="62"/>
    </row>
    <row r="431" spans="2:22" s="5" customFormat="1" ht="15.75" hidden="1" x14ac:dyDescent="0.25">
      <c r="B431" s="107"/>
      <c r="C431" s="107" t="s">
        <v>383</v>
      </c>
      <c r="D431" s="107"/>
      <c r="E431" s="107"/>
      <c r="F431" s="107"/>
      <c r="G431" s="107"/>
      <c r="H431" s="107"/>
      <c r="I431" s="1391"/>
      <c r="J431" s="1391"/>
      <c r="K431" s="107"/>
      <c r="L431" s="108"/>
      <c r="M431" s="62"/>
      <c r="N431" s="62"/>
      <c r="O431" s="62"/>
      <c r="P431" s="62"/>
      <c r="Q431" s="62"/>
      <c r="R431" s="62"/>
      <c r="S431" s="62"/>
      <c r="T431" s="62"/>
      <c r="U431" s="62"/>
      <c r="V431" s="62"/>
    </row>
    <row r="432" spans="2:22" s="5" customFormat="1" ht="15.75" hidden="1" x14ac:dyDescent="0.25">
      <c r="B432" s="107"/>
      <c r="C432" s="107" t="s">
        <v>384</v>
      </c>
      <c r="D432" s="107"/>
      <c r="E432" s="107"/>
      <c r="F432" s="107"/>
      <c r="G432" s="107"/>
      <c r="H432" s="107"/>
      <c r="I432" s="1391"/>
      <c r="J432" s="1391"/>
      <c r="K432" s="107"/>
      <c r="L432" s="108"/>
      <c r="M432" s="62"/>
      <c r="N432" s="62"/>
      <c r="O432" s="62"/>
      <c r="P432" s="62"/>
      <c r="Q432" s="62"/>
      <c r="R432" s="62"/>
      <c r="S432" s="62"/>
      <c r="T432" s="62"/>
      <c r="U432" s="62"/>
      <c r="V432" s="62"/>
    </row>
    <row r="433" spans="2:22" s="5" customFormat="1" ht="15.75" hidden="1" x14ac:dyDescent="0.25">
      <c r="B433" s="107"/>
      <c r="C433" s="107"/>
      <c r="D433" s="107"/>
      <c r="E433" s="107"/>
      <c r="F433" s="107"/>
      <c r="G433" s="107"/>
      <c r="H433" s="107"/>
      <c r="I433" s="1391"/>
      <c r="J433" s="1391"/>
      <c r="K433" s="107"/>
      <c r="L433" s="108"/>
      <c r="M433" s="62"/>
      <c r="N433" s="62"/>
      <c r="O433" s="62"/>
      <c r="P433" s="62"/>
      <c r="Q433" s="62"/>
      <c r="R433" s="62"/>
      <c r="S433" s="62"/>
      <c r="T433" s="62"/>
      <c r="U433" s="62"/>
      <c r="V433" s="62"/>
    </row>
    <row r="434" spans="2:22" s="5" customFormat="1" ht="15.75" hidden="1" x14ac:dyDescent="0.25">
      <c r="B434" s="106" t="s">
        <v>385</v>
      </c>
      <c r="C434" s="106" t="s">
        <v>386</v>
      </c>
      <c r="D434" s="107"/>
      <c r="E434" s="107"/>
      <c r="F434" s="107"/>
      <c r="G434" s="107"/>
      <c r="H434" s="107"/>
      <c r="I434" s="1391"/>
      <c r="J434" s="1391"/>
      <c r="K434" s="107" t="s">
        <v>349</v>
      </c>
      <c r="L434" s="108" t="s">
        <v>387</v>
      </c>
      <c r="M434" s="62"/>
      <c r="N434" s="62"/>
      <c r="O434" s="62"/>
      <c r="P434" s="62"/>
      <c r="Q434" s="62"/>
      <c r="R434" s="62"/>
      <c r="S434" s="62"/>
      <c r="T434" s="62"/>
      <c r="U434" s="62"/>
      <c r="V434" s="62"/>
    </row>
    <row r="435" spans="2:22" s="5" customFormat="1" ht="15.75" hidden="1" x14ac:dyDescent="0.25">
      <c r="B435" s="107"/>
      <c r="C435" s="107" t="s">
        <v>388</v>
      </c>
      <c r="D435" s="107"/>
      <c r="E435" s="107"/>
      <c r="F435" s="107"/>
      <c r="G435" s="107"/>
      <c r="H435" s="107"/>
      <c r="I435" s="1391"/>
      <c r="J435" s="1391"/>
      <c r="K435" s="107" t="s">
        <v>352</v>
      </c>
      <c r="L435" s="431" t="s">
        <v>376</v>
      </c>
      <c r="M435" s="62"/>
      <c r="N435" s="124"/>
      <c r="O435" s="62"/>
      <c r="P435" s="62"/>
      <c r="Q435" s="62"/>
      <c r="R435" s="62"/>
      <c r="S435" s="62"/>
      <c r="T435" s="62"/>
      <c r="U435" s="62"/>
      <c r="V435" s="62"/>
    </row>
    <row r="436" spans="2:22" s="5" customFormat="1" ht="15.75" hidden="1" x14ac:dyDescent="0.25">
      <c r="B436" s="107"/>
      <c r="C436" s="107"/>
      <c r="D436" s="107"/>
      <c r="E436" s="107"/>
      <c r="F436" s="107"/>
      <c r="G436" s="107"/>
      <c r="H436" s="107"/>
      <c r="I436" s="1391"/>
      <c r="J436" s="1391"/>
      <c r="K436" s="107"/>
      <c r="L436" s="108"/>
      <c r="M436" s="62"/>
      <c r="N436" s="62"/>
      <c r="O436" s="62"/>
      <c r="P436" s="62"/>
      <c r="Q436" s="62"/>
      <c r="R436" s="62"/>
      <c r="S436" s="62"/>
      <c r="T436" s="62"/>
      <c r="U436" s="62"/>
      <c r="V436" s="62"/>
    </row>
    <row r="437" spans="2:22" s="5" customFormat="1" ht="15.75" hidden="1" x14ac:dyDescent="0.25">
      <c r="B437" s="107"/>
      <c r="C437" s="107"/>
      <c r="D437" s="107"/>
      <c r="E437" s="107"/>
      <c r="F437" s="107"/>
      <c r="G437" s="107"/>
      <c r="H437" s="107"/>
      <c r="I437" s="1391"/>
      <c r="J437" s="1391"/>
      <c r="K437" s="107"/>
      <c r="L437" s="108"/>
      <c r="M437" s="62"/>
      <c r="N437" s="62"/>
      <c r="O437" s="62"/>
      <c r="P437" s="62"/>
      <c r="Q437" s="62"/>
      <c r="R437" s="62"/>
      <c r="S437" s="62"/>
      <c r="T437" s="62"/>
      <c r="U437" s="62"/>
      <c r="V437" s="62"/>
    </row>
    <row r="438" spans="2:22" s="5" customFormat="1" ht="15.75" hidden="1" x14ac:dyDescent="0.25">
      <c r="B438" s="107" t="s">
        <v>389</v>
      </c>
      <c r="C438" s="107"/>
      <c r="D438" s="107"/>
      <c r="E438" s="107"/>
      <c r="F438" s="107"/>
      <c r="G438" s="107"/>
      <c r="H438" s="107"/>
      <c r="I438" s="1391"/>
      <c r="J438" s="1391"/>
      <c r="K438" s="107"/>
      <c r="L438" s="108"/>
      <c r="M438" s="62"/>
      <c r="N438" s="62"/>
      <c r="O438" s="62"/>
      <c r="P438" s="62"/>
      <c r="Q438" s="62"/>
      <c r="R438" s="62"/>
      <c r="S438" s="62"/>
      <c r="T438" s="62"/>
      <c r="U438" s="62"/>
      <c r="V438" s="62"/>
    </row>
    <row r="439" spans="2:22" s="5" customFormat="1" ht="15.75" hidden="1" x14ac:dyDescent="0.25">
      <c r="B439" s="106" t="s">
        <v>390</v>
      </c>
      <c r="C439" s="106" t="s">
        <v>391</v>
      </c>
      <c r="D439" s="107"/>
      <c r="E439" s="107"/>
      <c r="F439" s="107"/>
      <c r="G439" s="107"/>
      <c r="H439" s="107"/>
      <c r="I439" s="1391"/>
      <c r="J439" s="1391"/>
      <c r="K439" s="107"/>
      <c r="L439" s="108" t="s">
        <v>392</v>
      </c>
      <c r="M439" s="62"/>
      <c r="N439" s="62"/>
      <c r="O439" s="62"/>
      <c r="P439" s="62"/>
      <c r="Q439" s="62"/>
      <c r="R439" s="62"/>
      <c r="S439" s="62"/>
      <c r="T439" s="62"/>
      <c r="U439" s="62"/>
      <c r="V439" s="62"/>
    </row>
    <row r="440" spans="2:22" s="5" customFormat="1" ht="15.75" hidden="1" x14ac:dyDescent="0.25">
      <c r="B440" s="107"/>
      <c r="C440" s="107" t="s">
        <v>393</v>
      </c>
      <c r="D440" s="107"/>
      <c r="E440" s="107"/>
      <c r="F440" s="107"/>
      <c r="G440" s="107"/>
      <c r="H440" s="107"/>
      <c r="I440" s="1391"/>
      <c r="J440" s="1391"/>
      <c r="K440" s="107"/>
      <c r="L440" s="431" t="s">
        <v>376</v>
      </c>
      <c r="M440" s="62"/>
      <c r="N440" s="62"/>
      <c r="O440" s="129"/>
      <c r="P440" s="62"/>
      <c r="Q440" s="62"/>
      <c r="R440" s="62"/>
      <c r="S440" s="62"/>
      <c r="T440" s="62"/>
      <c r="U440" s="62"/>
      <c r="V440" s="62"/>
    </row>
    <row r="441" spans="2:22" s="5" customFormat="1" ht="15.75" hidden="1" x14ac:dyDescent="0.25">
      <c r="B441" s="107"/>
      <c r="C441" s="107" t="s">
        <v>394</v>
      </c>
      <c r="D441" s="107"/>
      <c r="E441" s="107"/>
      <c r="F441" s="107"/>
      <c r="G441" s="107"/>
      <c r="H441" s="107"/>
      <c r="I441" s="1391"/>
      <c r="J441" s="1391"/>
      <c r="K441" s="107"/>
      <c r="L441" s="108"/>
      <c r="M441" s="62"/>
      <c r="N441" s="62"/>
      <c r="O441" s="62"/>
      <c r="P441" s="62"/>
      <c r="Q441" s="62"/>
      <c r="R441" s="62"/>
      <c r="S441" s="62"/>
      <c r="T441" s="62"/>
      <c r="U441" s="62"/>
      <c r="V441" s="62"/>
    </row>
    <row r="442" spans="2:22" s="5" customFormat="1" ht="15.75" hidden="1" x14ac:dyDescent="0.25">
      <c r="B442" s="107"/>
      <c r="C442" s="107" t="s">
        <v>395</v>
      </c>
      <c r="D442" s="107"/>
      <c r="E442" s="107"/>
      <c r="F442" s="107"/>
      <c r="G442" s="107"/>
      <c r="H442" s="107"/>
      <c r="I442" s="1391"/>
      <c r="J442" s="1391"/>
      <c r="K442" s="107"/>
      <c r="L442" s="108"/>
      <c r="M442" s="62"/>
      <c r="N442" s="62"/>
      <c r="O442" s="62"/>
      <c r="P442" s="62"/>
      <c r="Q442" s="62"/>
      <c r="R442" s="62"/>
      <c r="S442" s="62"/>
      <c r="T442" s="62"/>
      <c r="U442" s="61"/>
      <c r="V442" s="61"/>
    </row>
    <row r="443" spans="2:22" s="5" customFormat="1" ht="15.75" hidden="1" x14ac:dyDescent="0.25">
      <c r="B443" s="107"/>
      <c r="C443" s="107"/>
      <c r="D443" s="107"/>
      <c r="E443" s="107"/>
      <c r="F443" s="107"/>
      <c r="G443" s="107"/>
      <c r="H443" s="107"/>
      <c r="I443" s="1391"/>
      <c r="J443" s="1391"/>
      <c r="K443" s="107"/>
      <c r="L443" s="108"/>
      <c r="M443" s="62"/>
      <c r="N443" s="62"/>
      <c r="O443" s="62"/>
      <c r="P443" s="62"/>
      <c r="Q443" s="62"/>
      <c r="R443" s="62"/>
      <c r="S443" s="62"/>
      <c r="T443" s="62"/>
      <c r="U443" s="432"/>
      <c r="V443" s="127"/>
    </row>
    <row r="444" spans="2:22" s="5" customFormat="1" ht="15.75" hidden="1" x14ac:dyDescent="0.25">
      <c r="B444" s="106" t="s">
        <v>396</v>
      </c>
      <c r="C444" s="106" t="s">
        <v>386</v>
      </c>
      <c r="D444" s="107"/>
      <c r="E444" s="107"/>
      <c r="F444" s="107"/>
      <c r="G444" s="107"/>
      <c r="H444" s="107"/>
      <c r="I444" s="1391"/>
      <c r="J444" s="1391"/>
      <c r="K444" s="107" t="s">
        <v>349</v>
      </c>
      <c r="L444" s="108" t="s">
        <v>397</v>
      </c>
      <c r="M444" s="62"/>
      <c r="N444" s="62"/>
      <c r="O444" s="62"/>
      <c r="P444" s="62"/>
      <c r="Q444" s="62"/>
      <c r="R444" s="62"/>
      <c r="S444" s="62"/>
      <c r="T444" s="62"/>
      <c r="U444" s="61"/>
      <c r="V444" s="127"/>
    </row>
    <row r="445" spans="2:22" s="5" customFormat="1" ht="15.75" hidden="1" x14ac:dyDescent="0.25">
      <c r="B445" s="107"/>
      <c r="C445" s="107" t="s">
        <v>388</v>
      </c>
      <c r="D445" s="107"/>
      <c r="E445" s="107"/>
      <c r="F445" s="107"/>
      <c r="G445" s="107"/>
      <c r="H445" s="107"/>
      <c r="I445" s="1391"/>
      <c r="J445" s="1391"/>
      <c r="K445" s="107" t="s">
        <v>352</v>
      </c>
      <c r="L445" s="431" t="s">
        <v>376</v>
      </c>
      <c r="M445" s="62"/>
      <c r="N445" s="62"/>
      <c r="O445" s="62"/>
      <c r="P445" s="61"/>
      <c r="Q445" s="61"/>
      <c r="R445" s="61"/>
      <c r="S445" s="61"/>
      <c r="T445" s="61"/>
      <c r="U445" s="61"/>
      <c r="V445" s="625"/>
    </row>
    <row r="446" spans="2:22" s="5" customFormat="1" ht="15.75" hidden="1" x14ac:dyDescent="0.25">
      <c r="B446" s="107"/>
      <c r="C446" s="107"/>
      <c r="D446" s="107"/>
      <c r="E446" s="107"/>
      <c r="F446" s="107"/>
      <c r="G446" s="107"/>
      <c r="H446" s="107"/>
      <c r="I446" s="1391"/>
      <c r="J446" s="1391"/>
      <c r="K446" s="107"/>
      <c r="L446" s="108"/>
      <c r="M446" s="62"/>
      <c r="N446" s="62"/>
      <c r="O446" s="62"/>
      <c r="P446" s="432"/>
      <c r="Q446" s="432"/>
      <c r="R446" s="432"/>
      <c r="S446" s="432"/>
      <c r="T446" s="432"/>
      <c r="U446" s="61"/>
      <c r="V446" s="61"/>
    </row>
    <row r="447" spans="2:22" s="5" customFormat="1" ht="15.75" hidden="1" x14ac:dyDescent="0.25">
      <c r="B447" s="107"/>
      <c r="C447" s="107"/>
      <c r="D447" s="107"/>
      <c r="E447" s="107"/>
      <c r="F447" s="107"/>
      <c r="G447" s="107"/>
      <c r="H447" s="107"/>
      <c r="I447" s="1391"/>
      <c r="J447" s="1391"/>
      <c r="K447" s="107"/>
      <c r="L447" s="108"/>
      <c r="M447" s="62"/>
      <c r="N447" s="124"/>
      <c r="O447" s="61"/>
      <c r="P447" s="61"/>
      <c r="Q447" s="61"/>
      <c r="R447" s="61"/>
      <c r="S447" s="61"/>
      <c r="T447" s="61"/>
      <c r="U447" s="61"/>
      <c r="V447" s="61"/>
    </row>
    <row r="448" spans="2:22" s="5" customFormat="1" ht="15.75" hidden="1" x14ac:dyDescent="0.25">
      <c r="B448" s="107"/>
      <c r="C448" s="107"/>
      <c r="D448" s="107"/>
      <c r="E448" s="107"/>
      <c r="F448" s="107"/>
      <c r="G448" s="107"/>
      <c r="H448" s="107"/>
      <c r="I448" s="1391"/>
      <c r="J448" s="1391"/>
      <c r="K448" s="107"/>
      <c r="L448" s="108"/>
      <c r="M448" s="62"/>
      <c r="N448" s="124"/>
      <c r="O448" s="61"/>
      <c r="P448" s="61"/>
      <c r="Q448" s="61"/>
      <c r="R448" s="61"/>
      <c r="S448" s="61"/>
      <c r="T448" s="61"/>
      <c r="U448" s="61"/>
      <c r="V448" s="61"/>
    </row>
    <row r="449" spans="2:22" s="5" customFormat="1" ht="15.75" hidden="1" x14ac:dyDescent="0.25">
      <c r="B449" s="106" t="s">
        <v>398</v>
      </c>
      <c r="C449" s="106" t="s">
        <v>399</v>
      </c>
      <c r="D449" s="107"/>
      <c r="E449" s="107"/>
      <c r="F449" s="107"/>
      <c r="G449" s="107"/>
      <c r="H449" s="107"/>
      <c r="I449" s="1391"/>
      <c r="J449" s="1391"/>
      <c r="K449" s="107" t="s">
        <v>349</v>
      </c>
      <c r="L449" s="108" t="s">
        <v>400</v>
      </c>
      <c r="M449" s="62"/>
      <c r="N449" s="124"/>
      <c r="O449" s="61"/>
      <c r="P449" s="61"/>
      <c r="Q449" s="61"/>
      <c r="R449" s="61"/>
      <c r="S449" s="61"/>
      <c r="T449" s="61"/>
      <c r="U449" s="62"/>
      <c r="V449" s="62"/>
    </row>
    <row r="450" spans="2:22" s="5" customFormat="1" ht="15.75" hidden="1" x14ac:dyDescent="0.25">
      <c r="B450" s="107"/>
      <c r="C450" s="107" t="s">
        <v>401</v>
      </c>
      <c r="D450" s="107"/>
      <c r="E450" s="107"/>
      <c r="F450" s="107"/>
      <c r="G450" s="107"/>
      <c r="H450" s="107"/>
      <c r="I450" s="1391"/>
      <c r="J450" s="1391"/>
      <c r="K450" s="107" t="s">
        <v>261</v>
      </c>
      <c r="L450" s="431" t="s">
        <v>376</v>
      </c>
      <c r="M450" s="62"/>
      <c r="N450" s="124"/>
      <c r="O450" s="62"/>
      <c r="P450" s="61"/>
      <c r="Q450" s="61"/>
      <c r="R450" s="61"/>
      <c r="S450" s="61"/>
      <c r="T450" s="61"/>
      <c r="U450" s="62"/>
      <c r="V450" s="62"/>
    </row>
    <row r="451" spans="2:22" s="5" customFormat="1" ht="15.75" hidden="1" x14ac:dyDescent="0.25">
      <c r="B451" s="107"/>
      <c r="C451" s="107" t="s">
        <v>402</v>
      </c>
      <c r="D451" s="107"/>
      <c r="E451" s="107"/>
      <c r="F451" s="107"/>
      <c r="G451" s="107"/>
      <c r="H451" s="107"/>
      <c r="I451" s="1391"/>
      <c r="J451" s="1391"/>
      <c r="K451" s="107" t="s">
        <v>403</v>
      </c>
      <c r="L451" s="108"/>
      <c r="M451" s="62"/>
      <c r="N451" s="62"/>
      <c r="O451" s="129"/>
      <c r="P451" s="61"/>
      <c r="Q451" s="61"/>
      <c r="R451" s="61"/>
      <c r="S451" s="61"/>
      <c r="T451" s="61"/>
      <c r="U451" s="62"/>
      <c r="V451" s="62"/>
    </row>
    <row r="452" spans="2:22" s="5" customFormat="1" ht="15.75" hidden="1" x14ac:dyDescent="0.25">
      <c r="B452" s="107"/>
      <c r="C452" s="106"/>
      <c r="D452" s="107"/>
      <c r="E452" s="107"/>
      <c r="F452" s="107"/>
      <c r="G452" s="107"/>
      <c r="H452" s="107"/>
      <c r="I452" s="1391"/>
      <c r="J452" s="1391"/>
      <c r="K452" s="107"/>
      <c r="L452" s="108"/>
      <c r="M452" s="62"/>
      <c r="N452" s="62"/>
      <c r="O452" s="129"/>
      <c r="P452" s="433"/>
      <c r="Q452" s="62"/>
      <c r="R452" s="62"/>
      <c r="S452" s="62"/>
      <c r="T452" s="62"/>
      <c r="U452" s="62"/>
      <c r="V452" s="62"/>
    </row>
    <row r="453" spans="2:22" s="5" customFormat="1" ht="15.75" hidden="1" x14ac:dyDescent="0.25">
      <c r="B453" s="107"/>
      <c r="C453" s="109"/>
      <c r="D453" s="109"/>
      <c r="E453" s="116"/>
      <c r="F453" s="110"/>
      <c r="G453" s="107"/>
      <c r="H453" s="107"/>
      <c r="I453" s="1391"/>
      <c r="J453" s="1391"/>
      <c r="K453" s="107"/>
      <c r="L453" s="108"/>
      <c r="M453" s="62"/>
      <c r="N453" s="62"/>
      <c r="O453" s="129"/>
      <c r="P453" s="62"/>
      <c r="Q453" s="62"/>
      <c r="R453" s="62"/>
      <c r="S453" s="62"/>
      <c r="T453" s="62"/>
      <c r="U453" s="62"/>
      <c r="V453" s="62"/>
    </row>
    <row r="454" spans="2:22" s="5" customFormat="1" ht="15.75" hidden="1" x14ac:dyDescent="0.25">
      <c r="B454" s="107"/>
      <c r="C454" s="107"/>
      <c r="D454" s="107"/>
      <c r="E454" s="107"/>
      <c r="F454" s="107"/>
      <c r="G454" s="107"/>
      <c r="H454" s="107"/>
      <c r="I454" s="1391"/>
      <c r="J454" s="1391"/>
      <c r="K454" s="107"/>
      <c r="L454" s="108"/>
      <c r="M454" s="62"/>
      <c r="N454" s="62"/>
      <c r="O454" s="129"/>
      <c r="P454" s="62"/>
      <c r="Q454" s="62"/>
      <c r="R454" s="62"/>
      <c r="S454" s="62"/>
      <c r="T454" s="62"/>
      <c r="U454" s="62"/>
      <c r="V454" s="62"/>
    </row>
    <row r="455" spans="2:22" s="5" customFormat="1" ht="15.75" hidden="1" x14ac:dyDescent="0.25">
      <c r="B455" s="107" t="s">
        <v>404</v>
      </c>
      <c r="C455" s="107"/>
      <c r="D455" s="107"/>
      <c r="E455" s="107"/>
      <c r="F455" s="107"/>
      <c r="G455" s="107"/>
      <c r="H455" s="107"/>
      <c r="I455" s="1391"/>
      <c r="J455" s="1391"/>
      <c r="K455" s="107"/>
      <c r="L455" s="108"/>
      <c r="M455" s="62"/>
      <c r="N455" s="62"/>
      <c r="O455" s="129"/>
      <c r="P455" s="62"/>
      <c r="Q455" s="62"/>
      <c r="R455" s="62"/>
      <c r="S455" s="62"/>
      <c r="T455" s="62"/>
      <c r="U455" s="62"/>
      <c r="V455" s="62"/>
    </row>
    <row r="456" spans="2:22" s="5" customFormat="1" ht="15.75" hidden="1" x14ac:dyDescent="0.25">
      <c r="B456" s="106" t="s">
        <v>405</v>
      </c>
      <c r="C456" s="107"/>
      <c r="D456" s="107"/>
      <c r="E456" s="107"/>
      <c r="F456" s="107"/>
      <c r="G456" s="107"/>
      <c r="H456" s="107"/>
      <c r="I456" s="1391"/>
      <c r="J456" s="1391"/>
      <c r="K456" s="107"/>
      <c r="L456" s="108" t="s">
        <v>406</v>
      </c>
      <c r="M456" s="62"/>
      <c r="N456" s="62"/>
      <c r="O456" s="129"/>
      <c r="P456" s="62"/>
      <c r="Q456" s="62"/>
      <c r="R456" s="62"/>
      <c r="S456" s="62"/>
      <c r="T456" s="62"/>
      <c r="U456" s="62"/>
      <c r="V456" s="62"/>
    </row>
    <row r="457" spans="2:22" s="5" customFormat="1" ht="15.75" hidden="1" x14ac:dyDescent="0.25">
      <c r="B457" s="107"/>
      <c r="C457" s="106" t="s">
        <v>407</v>
      </c>
      <c r="D457" s="107"/>
      <c r="E457" s="107"/>
      <c r="F457" s="107"/>
      <c r="G457" s="107"/>
      <c r="H457" s="107"/>
      <c r="I457" s="1391"/>
      <c r="J457" s="1391"/>
      <c r="K457" s="107"/>
      <c r="L457" s="108" t="s">
        <v>408</v>
      </c>
      <c r="M457" s="62"/>
      <c r="N457" s="62"/>
      <c r="O457" s="129"/>
      <c r="P457" s="62"/>
      <c r="Q457" s="62"/>
      <c r="R457" s="62"/>
      <c r="S457" s="62"/>
      <c r="T457" s="62"/>
      <c r="U457" s="61"/>
      <c r="V457" s="61"/>
    </row>
    <row r="458" spans="2:22" s="5" customFormat="1" ht="15.75" hidden="1" x14ac:dyDescent="0.25">
      <c r="B458" s="107"/>
      <c r="C458" s="107"/>
      <c r="D458" s="107"/>
      <c r="E458" s="107"/>
      <c r="F458" s="107"/>
      <c r="G458" s="107"/>
      <c r="H458" s="107"/>
      <c r="I458" s="1391"/>
      <c r="J458" s="1391"/>
      <c r="K458" s="107"/>
      <c r="L458" s="123"/>
      <c r="M458" s="62"/>
      <c r="N458" s="130"/>
      <c r="O458" s="131"/>
      <c r="P458" s="62"/>
      <c r="Q458" s="62"/>
      <c r="R458" s="62"/>
      <c r="S458" s="62"/>
      <c r="T458" s="62"/>
      <c r="U458" s="128"/>
      <c r="V458" s="61"/>
    </row>
    <row r="459" spans="2:22" s="5" customFormat="1" ht="15.75" hidden="1" x14ac:dyDescent="0.25">
      <c r="B459" s="111"/>
      <c r="C459" s="110" t="s">
        <v>478</v>
      </c>
      <c r="D459" s="122" t="e">
        <f>D321*G$74%</f>
        <v>#DIV/0!</v>
      </c>
      <c r="E459" s="424">
        <f t="shared" ref="E459:J459" si="21">E321*$G$75%</f>
        <v>0</v>
      </c>
      <c r="F459" s="1469">
        <f t="shared" si="21"/>
        <v>0</v>
      </c>
      <c r="G459" s="1469">
        <f t="shared" si="21"/>
        <v>0</v>
      </c>
      <c r="H459" s="1469">
        <f t="shared" si="21"/>
        <v>0</v>
      </c>
      <c r="I459" s="1469">
        <f t="shared" si="21"/>
        <v>0</v>
      </c>
      <c r="J459" s="1469">
        <f t="shared" si="21"/>
        <v>0</v>
      </c>
      <c r="K459" s="107" t="s">
        <v>325</v>
      </c>
      <c r="L459" s="108"/>
      <c r="M459" s="130"/>
      <c r="N459" s="130"/>
      <c r="O459" s="130"/>
      <c r="P459" s="62"/>
      <c r="Q459" s="62"/>
      <c r="R459" s="62"/>
      <c r="S459" s="62"/>
      <c r="T459" s="62"/>
      <c r="U459" s="128"/>
      <c r="V459" s="61"/>
    </row>
    <row r="460" spans="2:22" s="5" customFormat="1" ht="15.75" hidden="1" x14ac:dyDescent="0.25">
      <c r="B460" s="107"/>
      <c r="C460" s="107"/>
      <c r="D460" s="122"/>
      <c r="E460" s="424"/>
      <c r="F460" s="424"/>
      <c r="G460" s="424"/>
      <c r="H460" s="424"/>
      <c r="I460" s="1396"/>
      <c r="J460" s="1396"/>
      <c r="K460" s="107"/>
      <c r="L460" s="108"/>
      <c r="M460" s="130"/>
      <c r="N460" s="130"/>
      <c r="O460" s="131"/>
      <c r="P460" s="61"/>
      <c r="Q460" s="61"/>
      <c r="R460" s="61"/>
      <c r="S460" s="61"/>
      <c r="T460" s="61"/>
      <c r="U460" s="62"/>
      <c r="V460" s="62"/>
    </row>
    <row r="461" spans="2:22" s="5" customFormat="1" ht="15.75" hidden="1" x14ac:dyDescent="0.25">
      <c r="B461" s="107"/>
      <c r="C461" s="106" t="s">
        <v>409</v>
      </c>
      <c r="D461" s="122"/>
      <c r="E461" s="424"/>
      <c r="F461" s="424"/>
      <c r="G461" s="424"/>
      <c r="H461" s="424"/>
      <c r="I461" s="1396"/>
      <c r="J461" s="1396"/>
      <c r="K461" s="107"/>
      <c r="L461" s="108" t="s">
        <v>410</v>
      </c>
      <c r="M461" s="130"/>
      <c r="N461" s="130"/>
      <c r="O461" s="131"/>
      <c r="P461" s="61"/>
      <c r="Q461" s="61"/>
      <c r="R461" s="61"/>
      <c r="S461" s="61"/>
      <c r="T461" s="61"/>
      <c r="U461" s="62"/>
      <c r="V461" s="62"/>
    </row>
    <row r="462" spans="2:22" s="5" customFormat="1" ht="15.75" hidden="1" x14ac:dyDescent="0.25">
      <c r="B462" s="107"/>
      <c r="C462" s="107"/>
      <c r="D462" s="122"/>
      <c r="E462" s="424"/>
      <c r="F462" s="424"/>
      <c r="G462" s="424"/>
      <c r="H462" s="424"/>
      <c r="I462" s="1396"/>
      <c r="J462" s="1396"/>
      <c r="K462" s="107"/>
      <c r="L462" s="123"/>
      <c r="M462" s="130"/>
      <c r="N462" s="130"/>
      <c r="O462" s="131"/>
      <c r="P462" s="61"/>
      <c r="Q462" s="132"/>
      <c r="R462" s="132"/>
      <c r="S462" s="61"/>
      <c r="T462" s="61"/>
      <c r="U462" s="62"/>
      <c r="V462" s="62"/>
    </row>
    <row r="463" spans="2:22" s="5" customFormat="1" ht="15.75" hidden="1" x14ac:dyDescent="0.25">
      <c r="B463" s="107"/>
      <c r="C463" s="110" t="s">
        <v>478</v>
      </c>
      <c r="D463" s="122" t="e">
        <f>D325*$G$74%</f>
        <v>#DIV/0!</v>
      </c>
      <c r="E463" s="424" t="e">
        <f t="shared" ref="E463:J463" si="22">E325*$G$75%</f>
        <v>#N/A</v>
      </c>
      <c r="F463" s="1469" t="e">
        <f t="shared" si="22"/>
        <v>#N/A</v>
      </c>
      <c r="G463" s="1469" t="e">
        <f t="shared" si="22"/>
        <v>#N/A</v>
      </c>
      <c r="H463" s="1469" t="e">
        <f t="shared" si="22"/>
        <v>#N/A</v>
      </c>
      <c r="I463" s="1469">
        <f t="shared" si="22"/>
        <v>0</v>
      </c>
      <c r="J463" s="1469">
        <f t="shared" si="22"/>
        <v>0</v>
      </c>
      <c r="K463" s="107" t="s">
        <v>325</v>
      </c>
      <c r="L463" s="123"/>
      <c r="M463" s="130"/>
      <c r="N463" s="62"/>
      <c r="O463" s="62"/>
      <c r="P463" s="62"/>
      <c r="Q463" s="62"/>
      <c r="R463" s="62"/>
      <c r="S463" s="62"/>
      <c r="T463" s="62"/>
      <c r="U463" s="62"/>
      <c r="V463" s="62"/>
    </row>
    <row r="464" spans="2:22" s="5" customFormat="1" ht="15.75" hidden="1" x14ac:dyDescent="0.25">
      <c r="B464" s="107"/>
      <c r="C464" s="107"/>
      <c r="D464" s="133"/>
      <c r="E464" s="107"/>
      <c r="F464" s="107"/>
      <c r="G464" s="107"/>
      <c r="H464" s="107"/>
      <c r="I464" s="1391"/>
      <c r="J464" s="1391"/>
      <c r="K464" s="107"/>
      <c r="L464" s="123"/>
      <c r="M464" s="62"/>
      <c r="N464" s="62"/>
      <c r="O464" s="62"/>
      <c r="P464" s="62"/>
      <c r="Q464" s="62"/>
      <c r="R464" s="62"/>
      <c r="S464" s="62"/>
      <c r="T464" s="62"/>
      <c r="U464" s="61"/>
      <c r="V464" s="61"/>
    </row>
    <row r="465" spans="2:22" s="5" customFormat="1" ht="15.75" hidden="1" x14ac:dyDescent="0.25">
      <c r="B465" s="106" t="s">
        <v>411</v>
      </c>
      <c r="C465" s="106" t="s">
        <v>412</v>
      </c>
      <c r="D465" s="107"/>
      <c r="E465" s="107"/>
      <c r="F465" s="107"/>
      <c r="G465" s="107"/>
      <c r="H465" s="107"/>
      <c r="I465" s="1391"/>
      <c r="J465" s="1391"/>
      <c r="K465" s="107"/>
      <c r="L465" s="108" t="s">
        <v>413</v>
      </c>
      <c r="M465" s="62"/>
      <c r="N465" s="62"/>
      <c r="O465" s="62"/>
      <c r="P465" s="62"/>
      <c r="Q465" s="62"/>
      <c r="R465" s="62"/>
      <c r="S465" s="62"/>
      <c r="T465" s="62"/>
      <c r="U465" s="61"/>
      <c r="V465" s="61"/>
    </row>
    <row r="466" spans="2:22" s="5" customFormat="1" ht="15.75" hidden="1" x14ac:dyDescent="0.25">
      <c r="B466" s="107"/>
      <c r="C466" s="107" t="s">
        <v>414</v>
      </c>
      <c r="D466" s="115">
        <v>4.0000000000000001E-3</v>
      </c>
      <c r="E466" s="107"/>
      <c r="F466" s="107"/>
      <c r="G466" s="107"/>
      <c r="H466" s="107"/>
      <c r="I466" s="1391"/>
      <c r="J466" s="1391"/>
      <c r="K466" s="107"/>
      <c r="L466" s="123"/>
      <c r="M466" s="62"/>
      <c r="N466" s="62"/>
      <c r="O466" s="62"/>
      <c r="P466" s="62"/>
      <c r="Q466" s="62"/>
      <c r="R466" s="62"/>
      <c r="S466" s="62"/>
      <c r="T466" s="62"/>
      <c r="U466" s="62"/>
      <c r="V466" s="62"/>
    </row>
    <row r="467" spans="2:22" s="5" customFormat="1" ht="15.75" hidden="1" x14ac:dyDescent="0.25">
      <c r="B467" s="107"/>
      <c r="C467" s="107" t="s">
        <v>415</v>
      </c>
      <c r="D467" s="109">
        <v>4.0000000000000001E-3</v>
      </c>
      <c r="E467" s="107"/>
      <c r="F467" s="107"/>
      <c r="G467" s="107"/>
      <c r="H467" s="107"/>
      <c r="I467" s="1391"/>
      <c r="J467" s="1391"/>
      <c r="K467" s="107"/>
      <c r="L467" s="123"/>
      <c r="M467" s="62"/>
      <c r="N467" s="62"/>
      <c r="O467" s="62"/>
      <c r="P467" s="61"/>
      <c r="Q467" s="61"/>
      <c r="R467" s="61"/>
      <c r="S467" s="61"/>
      <c r="T467" s="61"/>
      <c r="U467" s="62"/>
      <c r="V467" s="62"/>
    </row>
    <row r="468" spans="2:22" s="5" customFormat="1" ht="15.75" hidden="1" x14ac:dyDescent="0.25">
      <c r="B468" s="107"/>
      <c r="C468" s="107"/>
      <c r="D468" s="107"/>
      <c r="E468" s="107"/>
      <c r="F468" s="107"/>
      <c r="G468" s="107"/>
      <c r="H468" s="107"/>
      <c r="I468" s="1391"/>
      <c r="J468" s="1391"/>
      <c r="K468" s="107"/>
      <c r="L468" s="123"/>
      <c r="M468" s="62"/>
      <c r="N468" s="134"/>
      <c r="O468" s="62"/>
      <c r="P468" s="61"/>
      <c r="Q468" s="61"/>
      <c r="R468" s="61"/>
      <c r="S468" s="61"/>
      <c r="T468" s="61"/>
      <c r="U468" s="62"/>
      <c r="V468" s="62"/>
    </row>
    <row r="469" spans="2:22" s="5" customFormat="1" ht="15.75" hidden="1" x14ac:dyDescent="0.25">
      <c r="B469" s="107"/>
      <c r="C469" s="110" t="s">
        <v>478</v>
      </c>
      <c r="D469" s="133" t="e">
        <f t="shared" ref="D469:J469" si="23">(D459*$D$466*44/28)+(D463*$D$467*44/28)</f>
        <v>#DIV/0!</v>
      </c>
      <c r="E469" s="133" t="e">
        <f t="shared" si="23"/>
        <v>#N/A</v>
      </c>
      <c r="F469" s="133" t="e">
        <f t="shared" si="23"/>
        <v>#N/A</v>
      </c>
      <c r="G469" s="133" t="e">
        <f t="shared" si="23"/>
        <v>#N/A</v>
      </c>
      <c r="H469" s="133" t="e">
        <f t="shared" si="23"/>
        <v>#N/A</v>
      </c>
      <c r="I469" s="1468">
        <f t="shared" si="23"/>
        <v>0</v>
      </c>
      <c r="J469" s="1468">
        <f t="shared" si="23"/>
        <v>0</v>
      </c>
      <c r="K469" s="110" t="s">
        <v>335</v>
      </c>
      <c r="L469" s="123"/>
      <c r="M469" s="62"/>
      <c r="N469" s="62"/>
      <c r="O469" s="62"/>
      <c r="P469" s="62"/>
      <c r="Q469" s="62"/>
      <c r="R469" s="62"/>
      <c r="S469" s="62"/>
      <c r="T469" s="62"/>
      <c r="U469" s="62"/>
      <c r="V469" s="62"/>
    </row>
    <row r="470" spans="2:22" s="5" customFormat="1" ht="15.75" hidden="1" x14ac:dyDescent="0.25">
      <c r="B470" s="107"/>
      <c r="C470" s="107"/>
      <c r="D470" s="107"/>
      <c r="E470" s="107"/>
      <c r="F470" s="107"/>
      <c r="G470" s="107"/>
      <c r="H470" s="107"/>
      <c r="I470" s="1465"/>
      <c r="J470" s="1465"/>
      <c r="K470" s="107"/>
      <c r="L470" s="123"/>
      <c r="M470" s="62"/>
      <c r="N470" s="62"/>
      <c r="O470" s="62"/>
      <c r="P470" s="62"/>
      <c r="Q470" s="62"/>
      <c r="R470" s="62"/>
      <c r="S470" s="62"/>
      <c r="T470" s="62"/>
      <c r="U470" s="62"/>
      <c r="V470" s="62"/>
    </row>
    <row r="471" spans="2:22" s="5" customFormat="1" ht="15.75" hidden="1" x14ac:dyDescent="0.25">
      <c r="B471" s="106" t="s">
        <v>416</v>
      </c>
      <c r="C471" s="107"/>
      <c r="D471" s="135"/>
      <c r="E471" s="107"/>
      <c r="F471" s="107"/>
      <c r="G471" s="107"/>
      <c r="H471" s="107"/>
      <c r="I471" s="1465"/>
      <c r="J471" s="1465"/>
      <c r="K471" s="107"/>
      <c r="L471" s="123"/>
      <c r="M471" s="62"/>
      <c r="P471" s="62"/>
      <c r="Q471" s="62"/>
      <c r="R471" s="62"/>
      <c r="S471" s="62"/>
      <c r="T471" s="62"/>
      <c r="U471" s="62"/>
      <c r="V471" s="62"/>
    </row>
    <row r="472" spans="2:22" s="5" customFormat="1" ht="15.75" hidden="1" x14ac:dyDescent="0.25">
      <c r="B472" s="107"/>
      <c r="C472" s="110" t="s">
        <v>478</v>
      </c>
      <c r="D472" s="1469" t="e">
        <f t="shared" ref="D472:J472" si="24">D424+D469</f>
        <v>#DIV/0!</v>
      </c>
      <c r="E472" s="1469" t="e">
        <f t="shared" si="24"/>
        <v>#N/A</v>
      </c>
      <c r="F472" s="1469" t="e">
        <f t="shared" si="24"/>
        <v>#N/A</v>
      </c>
      <c r="G472" s="1469" t="e">
        <f t="shared" si="24"/>
        <v>#N/A</v>
      </c>
      <c r="H472" s="1469" t="e">
        <f t="shared" si="24"/>
        <v>#N/A</v>
      </c>
      <c r="I472" s="1469">
        <f t="shared" si="24"/>
        <v>0</v>
      </c>
      <c r="J472" s="1469">
        <f t="shared" si="24"/>
        <v>0</v>
      </c>
      <c r="K472" s="110" t="s">
        <v>335</v>
      </c>
      <c r="L472" s="123"/>
      <c r="P472" s="62"/>
      <c r="Q472" s="62"/>
      <c r="R472" s="62"/>
      <c r="S472" s="62"/>
      <c r="T472" s="62"/>
      <c r="U472" s="62"/>
      <c r="V472" s="62"/>
    </row>
    <row r="473" spans="2:22" s="5" customFormat="1" ht="15.75" hidden="1" x14ac:dyDescent="0.25">
      <c r="B473" s="107"/>
      <c r="C473" s="110"/>
      <c r="D473" s="111"/>
      <c r="E473" s="111"/>
      <c r="F473" s="111"/>
      <c r="G473" s="111"/>
      <c r="H473" s="111"/>
      <c r="I473" s="1394"/>
      <c r="J473" s="1394"/>
      <c r="K473" s="110"/>
      <c r="L473" s="136"/>
      <c r="N473" s="138"/>
      <c r="O473" s="138"/>
      <c r="P473" s="62"/>
      <c r="Q473" s="62"/>
      <c r="R473" s="62"/>
      <c r="S473" s="62"/>
      <c r="T473" s="62"/>
      <c r="U473" s="140"/>
      <c r="V473" s="62"/>
    </row>
    <row r="474" spans="2:22" s="5" customFormat="1" ht="15.75" hidden="1" x14ac:dyDescent="0.25">
      <c r="B474" s="106" t="s">
        <v>300</v>
      </c>
      <c r="C474" s="137" t="e">
        <f>SUM(D472:J472)</f>
        <v>#DIV/0!</v>
      </c>
      <c r="D474" s="111"/>
      <c r="E474" s="111"/>
      <c r="F474" s="111"/>
      <c r="G474" s="111"/>
      <c r="H474" s="111"/>
      <c r="I474" s="1394"/>
      <c r="J474" s="1394"/>
      <c r="K474" s="110" t="s">
        <v>336</v>
      </c>
      <c r="L474" s="136"/>
      <c r="M474" s="138"/>
      <c r="N474" s="138"/>
      <c r="O474" s="138"/>
      <c r="P474" s="62"/>
      <c r="Q474" s="62"/>
      <c r="R474" s="62"/>
      <c r="S474" s="62"/>
      <c r="T474" s="62"/>
      <c r="U474" s="62"/>
      <c r="V474" s="62"/>
    </row>
    <row r="475" spans="2:22" s="5" customFormat="1" ht="15.75" hidden="1" x14ac:dyDescent="0.25">
      <c r="B475" s="106" t="s">
        <v>300</v>
      </c>
      <c r="C475" s="114" t="e">
        <f>C474*298</f>
        <v>#DIV/0!</v>
      </c>
      <c r="D475" s="107"/>
      <c r="E475" s="107"/>
      <c r="F475" s="107"/>
      <c r="G475" s="107"/>
      <c r="H475" s="107"/>
      <c r="I475" s="1391"/>
      <c r="J475" s="1391"/>
      <c r="K475" s="110" t="s">
        <v>302</v>
      </c>
      <c r="L475" s="136"/>
      <c r="M475" s="138"/>
      <c r="N475" s="138"/>
      <c r="O475" s="138"/>
      <c r="P475" s="62"/>
      <c r="Q475" s="62"/>
      <c r="R475" s="62"/>
      <c r="S475" s="62"/>
      <c r="T475" s="62"/>
      <c r="U475" s="62"/>
      <c r="V475" s="62"/>
    </row>
    <row r="476" spans="2:22" s="5" customFormat="1" ht="15.75" hidden="1" x14ac:dyDescent="0.25">
      <c r="B476" s="106" t="s">
        <v>300</v>
      </c>
      <c r="C476" s="114" t="e">
        <f>C475*10^3</f>
        <v>#DIV/0!</v>
      </c>
      <c r="D476" s="107"/>
      <c r="E476" s="139"/>
      <c r="F476" s="107"/>
      <c r="G476" s="107"/>
      <c r="H476" s="107"/>
      <c r="I476" s="1391"/>
      <c r="J476" s="1391"/>
      <c r="K476" s="110" t="s">
        <v>303</v>
      </c>
      <c r="L476" s="136"/>
      <c r="M476" s="138"/>
      <c r="N476" s="138"/>
      <c r="O476" s="138"/>
      <c r="P476" s="140"/>
      <c r="Q476" s="140"/>
      <c r="R476" s="140"/>
      <c r="S476" s="140"/>
      <c r="T476" s="140"/>
      <c r="U476" s="62"/>
      <c r="V476" s="62"/>
    </row>
    <row r="477" spans="2:22" s="5" customFormat="1" ht="15.75" hidden="1" x14ac:dyDescent="0.25">
      <c r="B477" s="107"/>
      <c r="C477" s="107"/>
      <c r="D477" s="107"/>
      <c r="E477" s="107"/>
      <c r="F477" s="107"/>
      <c r="G477" s="107"/>
      <c r="H477" s="107"/>
      <c r="I477" s="1391"/>
      <c r="J477" s="1391"/>
      <c r="K477" s="107"/>
      <c r="L477" s="136"/>
      <c r="M477" s="138"/>
      <c r="N477" s="138"/>
      <c r="O477" s="138"/>
      <c r="P477" s="62"/>
      <c r="Q477" s="62"/>
      <c r="R477" s="62"/>
      <c r="S477" s="62"/>
      <c r="T477" s="62"/>
      <c r="U477" s="62"/>
      <c r="V477" s="62"/>
    </row>
    <row r="478" spans="2:22" s="5" customFormat="1" ht="15.75" hidden="1" x14ac:dyDescent="0.25">
      <c r="B478" s="106" t="s">
        <v>417</v>
      </c>
      <c r="C478" s="106" t="s">
        <v>418</v>
      </c>
      <c r="D478" s="107"/>
      <c r="E478" s="107"/>
      <c r="F478" s="107"/>
      <c r="G478" s="107"/>
      <c r="H478" s="107"/>
      <c r="I478" s="1391"/>
      <c r="J478" s="1391"/>
      <c r="K478" s="107"/>
      <c r="L478" s="108" t="s">
        <v>419</v>
      </c>
      <c r="M478" s="105"/>
      <c r="N478" s="138"/>
      <c r="O478" s="138"/>
      <c r="P478" s="62"/>
      <c r="Q478" s="62"/>
      <c r="R478" s="62"/>
      <c r="S478" s="62"/>
      <c r="T478" s="62"/>
      <c r="U478" s="62"/>
      <c r="V478" s="62"/>
    </row>
    <row r="479" spans="2:22" s="5" customFormat="1" ht="15.75" hidden="1" x14ac:dyDescent="0.25">
      <c r="B479" s="107"/>
      <c r="C479" s="107" t="s">
        <v>420</v>
      </c>
      <c r="D479" s="107"/>
      <c r="E479" s="107"/>
      <c r="F479" s="107"/>
      <c r="G479" s="107"/>
      <c r="H479" s="107"/>
      <c r="I479" s="1391"/>
      <c r="J479" s="1391"/>
      <c r="K479" s="107" t="s">
        <v>344</v>
      </c>
      <c r="L479" s="108"/>
      <c r="M479" s="62"/>
      <c r="N479" s="138"/>
      <c r="O479" s="138"/>
      <c r="P479" s="62"/>
      <c r="Q479" s="62"/>
      <c r="R479" s="62"/>
      <c r="S479" s="62"/>
      <c r="T479" s="62"/>
      <c r="U479" s="62"/>
      <c r="V479" s="62"/>
    </row>
    <row r="480" spans="2:22" s="5" customFormat="1" ht="15.75" hidden="1" x14ac:dyDescent="0.25">
      <c r="B480" s="107"/>
      <c r="C480" s="107" t="s">
        <v>343</v>
      </c>
      <c r="D480" s="107"/>
      <c r="E480" s="107"/>
      <c r="F480" s="107"/>
      <c r="G480" s="107"/>
      <c r="H480" s="107"/>
      <c r="I480" s="1391"/>
      <c r="J480" s="1391"/>
      <c r="K480" s="141" t="s">
        <v>344</v>
      </c>
      <c r="L480" s="108"/>
      <c r="M480" s="62"/>
      <c r="N480" s="138"/>
      <c r="O480" s="138"/>
      <c r="P480" s="62"/>
      <c r="Q480" s="62"/>
      <c r="R480" s="62"/>
      <c r="S480" s="62"/>
      <c r="T480" s="62"/>
      <c r="U480" s="62"/>
      <c r="V480" s="62"/>
    </row>
    <row r="481" spans="2:22" s="5" customFormat="1" ht="15.75" hidden="1" x14ac:dyDescent="0.25">
      <c r="B481" s="107"/>
      <c r="C481" s="107" t="s">
        <v>1473</v>
      </c>
      <c r="D481" s="107">
        <v>0.1</v>
      </c>
      <c r="E481" s="107"/>
      <c r="F481" s="107"/>
      <c r="G481" s="107"/>
      <c r="H481" s="107"/>
      <c r="I481" s="1391"/>
      <c r="J481" s="1391"/>
      <c r="K481" s="141" t="s">
        <v>421</v>
      </c>
      <c r="L481" s="108"/>
      <c r="M481" s="62"/>
      <c r="N481" s="1472"/>
      <c r="O481" s="1472"/>
      <c r="P481" s="1472"/>
      <c r="Q481" s="1472"/>
      <c r="R481" s="1472"/>
      <c r="S481" s="1472"/>
      <c r="T481" s="1472"/>
      <c r="U481" s="1472"/>
      <c r="V481" s="1472"/>
    </row>
    <row r="482" spans="2:22" s="5" customFormat="1" ht="15.75" hidden="1" x14ac:dyDescent="0.25">
      <c r="B482" s="107"/>
      <c r="C482" s="107"/>
      <c r="D482" s="107"/>
      <c r="E482" s="107"/>
      <c r="F482" s="107"/>
      <c r="G482" s="107"/>
      <c r="H482" s="107"/>
      <c r="I482" s="1391"/>
      <c r="J482" s="1391"/>
      <c r="K482" s="141"/>
      <c r="L482" s="108"/>
      <c r="M482" s="62"/>
      <c r="N482" s="1472"/>
      <c r="O482" s="1472"/>
      <c r="P482" s="1472"/>
      <c r="Q482" s="1472"/>
      <c r="R482" s="1472"/>
      <c r="S482" s="1472"/>
      <c r="T482" s="1472"/>
      <c r="U482" s="1472"/>
      <c r="V482" s="1472"/>
    </row>
    <row r="483" spans="2:22" s="5" customFormat="1" ht="15.75" hidden="1" x14ac:dyDescent="0.25">
      <c r="B483" s="107" t="s">
        <v>422</v>
      </c>
      <c r="C483" s="115" t="s">
        <v>900</v>
      </c>
      <c r="D483" s="583">
        <f>D382*$D$481</f>
        <v>0</v>
      </c>
      <c r="E483" s="427"/>
      <c r="F483" s="122"/>
      <c r="G483" s="107"/>
      <c r="H483" s="107"/>
      <c r="I483" s="1391"/>
      <c r="J483" s="1391"/>
      <c r="K483" s="141" t="s">
        <v>476</v>
      </c>
      <c r="L483" s="434"/>
      <c r="M483" s="61"/>
      <c r="N483" s="1472"/>
      <c r="O483" s="1472"/>
      <c r="P483" s="1472"/>
      <c r="Q483" s="1472"/>
      <c r="R483" s="1472"/>
      <c r="S483" s="1472"/>
      <c r="T483" s="1472"/>
      <c r="U483" s="1472"/>
      <c r="V483" s="1472"/>
    </row>
    <row r="484" spans="2:22" s="5" customFormat="1" ht="15.75" hidden="1" x14ac:dyDescent="0.25">
      <c r="B484" s="107"/>
      <c r="C484" s="115" t="s">
        <v>910</v>
      </c>
      <c r="D484" s="1470">
        <f>D383*$D$481</f>
        <v>0</v>
      </c>
      <c r="E484" s="116"/>
      <c r="F484" s="107"/>
      <c r="G484" s="107"/>
      <c r="H484" s="107"/>
      <c r="I484" s="1391"/>
      <c r="J484" s="1391"/>
      <c r="K484" s="141" t="s">
        <v>476</v>
      </c>
      <c r="L484" s="434"/>
      <c r="M484" s="119"/>
      <c r="N484" s="1472"/>
      <c r="O484" s="1472"/>
      <c r="P484" s="1472"/>
      <c r="Q484" s="1472"/>
      <c r="R484" s="1472"/>
      <c r="S484" s="1472"/>
      <c r="T484" s="1472"/>
      <c r="U484" s="1472"/>
      <c r="V484" s="1472"/>
    </row>
    <row r="485" spans="2:22" s="5" customFormat="1" ht="15.75" hidden="1" x14ac:dyDescent="0.25">
      <c r="B485" s="107"/>
      <c r="C485" s="115"/>
      <c r="D485" s="583"/>
      <c r="E485" s="116"/>
      <c r="F485" s="107"/>
      <c r="G485" s="107"/>
      <c r="H485" s="107"/>
      <c r="I485" s="1391"/>
      <c r="J485" s="1391"/>
      <c r="K485" s="141"/>
      <c r="L485" s="123"/>
      <c r="M485" s="105"/>
      <c r="N485" s="1472"/>
      <c r="O485" s="1472"/>
      <c r="P485" s="1472"/>
      <c r="Q485" s="1472"/>
      <c r="R485" s="1472"/>
      <c r="S485" s="1472"/>
      <c r="T485" s="1472"/>
      <c r="U485" s="1472"/>
      <c r="V485" s="1472"/>
    </row>
    <row r="486" spans="2:22" s="5" customFormat="1" ht="15.75" hidden="1" x14ac:dyDescent="0.25">
      <c r="B486" s="107"/>
      <c r="C486" s="115"/>
      <c r="D486" s="583"/>
      <c r="E486" s="116"/>
      <c r="F486" s="107"/>
      <c r="G486" s="107"/>
      <c r="H486" s="107"/>
      <c r="I486" s="1391"/>
      <c r="J486" s="1391"/>
      <c r="K486" s="141"/>
      <c r="L486" s="108"/>
      <c r="M486" s="62"/>
      <c r="N486" s="1472"/>
      <c r="O486" s="1472"/>
      <c r="P486" s="1472"/>
      <c r="Q486" s="1472"/>
      <c r="R486" s="1472"/>
      <c r="S486" s="1472"/>
      <c r="T486" s="1472"/>
      <c r="U486" s="1472"/>
      <c r="V486" s="1472"/>
    </row>
    <row r="487" spans="2:22" s="5" customFormat="1" ht="15.75" hidden="1" x14ac:dyDescent="0.25">
      <c r="B487" s="107"/>
      <c r="C487" s="110"/>
      <c r="D487" s="113"/>
      <c r="E487" s="116"/>
      <c r="F487" s="107"/>
      <c r="G487" s="107"/>
      <c r="H487" s="107"/>
      <c r="I487" s="1391"/>
      <c r="J487" s="1391"/>
      <c r="K487" s="141"/>
      <c r="L487" s="108"/>
      <c r="M487" s="62"/>
      <c r="N487" s="1472"/>
      <c r="O487" s="1472"/>
      <c r="P487" s="1472"/>
      <c r="Q487" s="1472"/>
      <c r="R487" s="1472"/>
      <c r="S487" s="1472"/>
      <c r="T487" s="1472"/>
      <c r="U487" s="1472"/>
      <c r="V487" s="1472"/>
    </row>
    <row r="488" spans="2:22" s="5" customFormat="1" ht="15.75" hidden="1" x14ac:dyDescent="0.25">
      <c r="B488" s="106" t="s">
        <v>423</v>
      </c>
      <c r="C488" s="1473" t="s">
        <v>1484</v>
      </c>
      <c r="D488" s="107"/>
      <c r="E488" s="107"/>
      <c r="F488" s="107"/>
      <c r="G488" s="107"/>
      <c r="H488" s="107"/>
      <c r="I488" s="1391"/>
      <c r="J488" s="1391"/>
      <c r="K488" s="107"/>
      <c r="L488" s="108" t="s">
        <v>424</v>
      </c>
      <c r="M488" s="62"/>
      <c r="N488" s="1472"/>
      <c r="O488" s="1472"/>
      <c r="P488" s="1472"/>
      <c r="Q488" s="1472"/>
      <c r="R488" s="1472"/>
      <c r="S488" s="1472"/>
      <c r="T488" s="1472"/>
      <c r="U488" s="1472"/>
      <c r="V488" s="1472"/>
    </row>
    <row r="489" spans="2:22" s="5" customFormat="1" ht="15.75" hidden="1" x14ac:dyDescent="0.25">
      <c r="B489" s="107"/>
      <c r="C489" s="1471" t="s">
        <v>1485</v>
      </c>
      <c r="D489" s="107">
        <v>0.2</v>
      </c>
      <c r="E489" s="107"/>
      <c r="F489" s="107"/>
      <c r="G489" s="107"/>
      <c r="H489" s="107"/>
      <c r="I489" s="1391"/>
      <c r="J489" s="1391"/>
      <c r="K489" s="107"/>
      <c r="L489" s="108" t="s">
        <v>426</v>
      </c>
      <c r="M489" s="62"/>
      <c r="N489" s="1472"/>
      <c r="O489" s="1472"/>
      <c r="P489" s="1472"/>
      <c r="Q489" s="1472"/>
      <c r="R489" s="1472"/>
      <c r="S489" s="1472"/>
      <c r="T489" s="1472"/>
      <c r="U489" s="1472"/>
      <c r="V489" s="1472"/>
    </row>
    <row r="490" spans="2:22" s="5" customFormat="1" ht="15.75" hidden="1" x14ac:dyDescent="0.25">
      <c r="B490" s="107"/>
      <c r="C490" s="107"/>
      <c r="D490" s="107"/>
      <c r="E490" s="107"/>
      <c r="F490" s="107"/>
      <c r="G490" s="107"/>
      <c r="H490" s="107"/>
      <c r="I490" s="1391"/>
      <c r="J490" s="1391"/>
      <c r="K490" s="107"/>
      <c r="L490" s="123"/>
      <c r="M490" s="62"/>
      <c r="N490" s="1472"/>
      <c r="O490" s="1472"/>
      <c r="P490" s="1472"/>
      <c r="Q490" s="1472"/>
      <c r="R490" s="1472"/>
      <c r="S490" s="1472"/>
      <c r="T490" s="1472"/>
      <c r="U490" s="1472"/>
      <c r="V490" s="1472"/>
    </row>
    <row r="491" spans="2:22" s="5" customFormat="1" ht="15.75" hidden="1" x14ac:dyDescent="0.25">
      <c r="B491" s="107" t="s">
        <v>427</v>
      </c>
      <c r="C491" s="110" t="s">
        <v>478</v>
      </c>
      <c r="D491" s="113" t="e">
        <f t="shared" ref="D491:J491" si="25">(D420+D463+D459)*$D$489</f>
        <v>#DIV/0!</v>
      </c>
      <c r="E491" s="1477" t="e">
        <f t="shared" si="25"/>
        <v>#N/A</v>
      </c>
      <c r="F491" s="1477" t="e">
        <f t="shared" si="25"/>
        <v>#N/A</v>
      </c>
      <c r="G491" s="1477" t="e">
        <f t="shared" si="25"/>
        <v>#N/A</v>
      </c>
      <c r="H491" s="1477" t="e">
        <f t="shared" si="25"/>
        <v>#N/A</v>
      </c>
      <c r="I491" s="1477">
        <f t="shared" si="25"/>
        <v>0</v>
      </c>
      <c r="J491" s="1477">
        <f t="shared" si="25"/>
        <v>0</v>
      </c>
      <c r="K491" s="141" t="s">
        <v>325</v>
      </c>
      <c r="L491" s="108"/>
      <c r="M491" s="62"/>
      <c r="N491" s="1472"/>
      <c r="O491" s="1472"/>
      <c r="P491" s="1472"/>
      <c r="Q491" s="1472"/>
      <c r="R491" s="1472"/>
      <c r="S491" s="1472"/>
      <c r="T491" s="1472"/>
      <c r="U491" s="1472"/>
      <c r="V491" s="1472"/>
    </row>
    <row r="492" spans="2:22" s="5" customFormat="1" ht="15.75" hidden="1" x14ac:dyDescent="0.25">
      <c r="B492" s="107"/>
      <c r="C492" s="107"/>
      <c r="D492" s="107"/>
      <c r="E492" s="142"/>
      <c r="F492" s="142"/>
      <c r="G492" s="107"/>
      <c r="H492" s="107"/>
      <c r="I492" s="1391"/>
      <c r="J492" s="1391"/>
      <c r="K492" s="107"/>
      <c r="L492" s="123"/>
      <c r="M492" s="62"/>
      <c r="N492" s="1472"/>
      <c r="O492" s="1472"/>
      <c r="P492" s="1472"/>
      <c r="Q492" s="1472"/>
      <c r="R492" s="1472"/>
      <c r="S492" s="1472"/>
      <c r="T492" s="1472"/>
      <c r="U492" s="1472"/>
      <c r="V492" s="1472"/>
    </row>
    <row r="493" spans="2:22" s="5" customFormat="1" ht="15.75" hidden="1" x14ac:dyDescent="0.25">
      <c r="B493" s="106" t="s">
        <v>428</v>
      </c>
      <c r="C493" s="112" t="s">
        <v>429</v>
      </c>
      <c r="D493" s="109"/>
      <c r="E493" s="435"/>
      <c r="F493" s="142"/>
      <c r="G493" s="109"/>
      <c r="H493" s="109"/>
      <c r="I493" s="1392"/>
      <c r="J493" s="1392"/>
      <c r="K493" s="109" t="s">
        <v>344</v>
      </c>
      <c r="L493" s="108" t="s">
        <v>430</v>
      </c>
      <c r="M493" s="62"/>
      <c r="N493" s="1472"/>
      <c r="O493" s="1472"/>
      <c r="P493" s="1472"/>
      <c r="Q493" s="1472"/>
      <c r="R493" s="1472"/>
      <c r="S493" s="1472"/>
      <c r="T493" s="1472"/>
      <c r="U493" s="1472"/>
      <c r="V493" s="1472"/>
    </row>
    <row r="494" spans="2:22" s="5" customFormat="1" ht="15.75" hidden="1" x14ac:dyDescent="0.25">
      <c r="B494" s="107"/>
      <c r="C494" s="109" t="s">
        <v>431</v>
      </c>
      <c r="D494" s="109"/>
      <c r="E494" s="435"/>
      <c r="F494" s="142"/>
      <c r="G494" s="109"/>
      <c r="H494" s="109"/>
      <c r="I494" s="1392"/>
      <c r="J494" s="1392"/>
      <c r="K494" s="109" t="s">
        <v>432</v>
      </c>
      <c r="L494" s="108" t="s">
        <v>376</v>
      </c>
      <c r="M494" s="62"/>
      <c r="N494" s="1472"/>
      <c r="O494" s="1472"/>
      <c r="P494" s="1472"/>
      <c r="Q494" s="1472"/>
      <c r="R494" s="1472"/>
      <c r="S494" s="1472"/>
      <c r="T494" s="1472"/>
      <c r="U494" s="1472"/>
      <c r="V494" s="1472"/>
    </row>
    <row r="495" spans="2:22" s="5" customFormat="1" ht="15.75" hidden="1" x14ac:dyDescent="0.25">
      <c r="B495" s="107"/>
      <c r="C495" s="109" t="s">
        <v>433</v>
      </c>
      <c r="D495" s="109"/>
      <c r="E495" s="435"/>
      <c r="F495" s="435"/>
      <c r="G495" s="109"/>
      <c r="H495" s="109"/>
      <c r="I495" s="1392"/>
      <c r="J495" s="1392"/>
      <c r="K495" s="109"/>
      <c r="L495" s="108"/>
      <c r="M495" s="62"/>
      <c r="N495" s="1472"/>
      <c r="O495" s="1472"/>
      <c r="P495" s="1472"/>
      <c r="Q495" s="1472"/>
      <c r="R495" s="1472"/>
      <c r="S495" s="1472"/>
      <c r="T495" s="1472"/>
      <c r="U495" s="1472"/>
      <c r="V495" s="1472"/>
    </row>
    <row r="496" spans="2:22" s="5" customFormat="1" ht="15.75" hidden="1" x14ac:dyDescent="0.25">
      <c r="B496" s="107"/>
      <c r="C496" s="107"/>
      <c r="D496" s="107"/>
      <c r="E496" s="142"/>
      <c r="F496" s="142"/>
      <c r="G496" s="107"/>
      <c r="H496" s="107"/>
      <c r="I496" s="1391"/>
      <c r="J496" s="1391"/>
      <c r="K496" s="107"/>
      <c r="L496" s="123"/>
      <c r="M496" s="62"/>
      <c r="N496" s="1472"/>
      <c r="O496" s="1472"/>
      <c r="P496" s="1472"/>
      <c r="Q496" s="1472"/>
      <c r="R496" s="1472"/>
      <c r="S496" s="1472"/>
      <c r="T496" s="1472"/>
      <c r="U496" s="1472"/>
      <c r="V496" s="1472"/>
    </row>
    <row r="497" spans="2:25" s="5" customFormat="1" ht="15.75" hidden="1" x14ac:dyDescent="0.25">
      <c r="B497" s="106" t="s">
        <v>434</v>
      </c>
      <c r="C497" s="106" t="s">
        <v>386</v>
      </c>
      <c r="D497" s="107"/>
      <c r="E497" s="107"/>
      <c r="F497" s="107"/>
      <c r="G497" s="107"/>
      <c r="H497" s="107"/>
      <c r="I497" s="1391"/>
      <c r="J497" s="1391"/>
      <c r="K497" s="107"/>
      <c r="L497" s="108" t="s">
        <v>435</v>
      </c>
      <c r="M497" s="62"/>
      <c r="N497" s="1472"/>
      <c r="O497" s="1472"/>
      <c r="P497" s="1472"/>
      <c r="Q497" s="1472"/>
      <c r="R497" s="1472"/>
      <c r="S497" s="1472"/>
      <c r="T497" s="1472"/>
      <c r="U497" s="1472"/>
      <c r="V497" s="1472"/>
    </row>
    <row r="498" spans="2:25" s="5" customFormat="1" ht="15.75" hidden="1" x14ac:dyDescent="0.25">
      <c r="B498" s="107"/>
      <c r="C498" s="107" t="s">
        <v>436</v>
      </c>
      <c r="D498" s="107"/>
      <c r="E498" s="107"/>
      <c r="F498" s="107"/>
      <c r="G498" s="107"/>
      <c r="H498" s="107"/>
      <c r="I498" s="1391"/>
      <c r="J498" s="1391"/>
      <c r="K498" s="107" t="s">
        <v>344</v>
      </c>
      <c r="L498" s="108"/>
      <c r="M498" s="62"/>
      <c r="N498" s="1472"/>
      <c r="O498" s="1472"/>
      <c r="P498" s="1472"/>
      <c r="Q498" s="1472"/>
      <c r="R498" s="1472"/>
      <c r="S498" s="1472"/>
      <c r="T498" s="1472"/>
      <c r="U498" s="1472"/>
      <c r="V498" s="1472"/>
    </row>
    <row r="499" spans="2:25" s="5" customFormat="1" ht="15.75" hidden="1" x14ac:dyDescent="0.25">
      <c r="B499" s="107"/>
      <c r="C499" s="107" t="s">
        <v>1475</v>
      </c>
      <c r="D499" s="107">
        <v>4.0000000000000001E-3</v>
      </c>
      <c r="E499" s="107"/>
      <c r="F499" s="107"/>
      <c r="G499" s="107"/>
      <c r="H499" s="107"/>
      <c r="I499" s="1391"/>
      <c r="J499" s="1391"/>
      <c r="K499" s="107" t="s">
        <v>352</v>
      </c>
      <c r="L499" s="108"/>
      <c r="M499" s="62"/>
      <c r="N499" s="1472"/>
      <c r="O499" s="1472"/>
      <c r="P499" s="1472"/>
      <c r="Q499" s="1472"/>
      <c r="R499" s="1472"/>
      <c r="S499" s="1472"/>
      <c r="T499" s="1472"/>
      <c r="U499" s="1472"/>
      <c r="V499" s="1472"/>
    </row>
    <row r="500" spans="2:25" s="5" customFormat="1" ht="15.75" hidden="1" x14ac:dyDescent="0.25">
      <c r="B500" s="107"/>
      <c r="C500" s="107"/>
      <c r="D500" s="107"/>
      <c r="E500" s="107"/>
      <c r="F500" s="107"/>
      <c r="G500" s="107"/>
      <c r="H500" s="107"/>
      <c r="I500" s="1391"/>
      <c r="J500" s="1391"/>
      <c r="K500" s="107"/>
      <c r="L500" s="108"/>
      <c r="M500" s="62"/>
      <c r="N500" s="1472"/>
      <c r="O500" s="1472"/>
      <c r="P500" s="1472"/>
      <c r="Q500" s="1472"/>
      <c r="R500" s="1472"/>
      <c r="S500" s="1472"/>
      <c r="T500" s="1472"/>
      <c r="U500" s="1472"/>
      <c r="V500" s="1472"/>
    </row>
    <row r="501" spans="2:25" s="5" customFormat="1" ht="15.75" hidden="1" x14ac:dyDescent="0.25">
      <c r="B501" s="107" t="s">
        <v>422</v>
      </c>
      <c r="C501" s="115" t="s">
        <v>900</v>
      </c>
      <c r="D501" s="113">
        <f>D483*$D$499*44/28</f>
        <v>0</v>
      </c>
      <c r="E501" s="427"/>
      <c r="F501" s="107"/>
      <c r="G501" s="107"/>
      <c r="H501" s="107"/>
      <c r="I501" s="1391"/>
      <c r="J501" s="1391"/>
      <c r="K501" s="141" t="s">
        <v>477</v>
      </c>
      <c r="L501" s="108"/>
      <c r="M501" s="62"/>
      <c r="N501" s="1472"/>
      <c r="O501" s="1472"/>
      <c r="P501" s="1472"/>
      <c r="Q501" s="1472"/>
      <c r="R501" s="1472"/>
      <c r="S501" s="1472"/>
      <c r="T501" s="1472"/>
      <c r="U501" s="1472"/>
      <c r="V501" s="1472"/>
    </row>
    <row r="502" spans="2:25" s="5" customFormat="1" ht="15.75" hidden="1" x14ac:dyDescent="0.25">
      <c r="B502" s="107"/>
      <c r="C502" s="115" t="s">
        <v>910</v>
      </c>
      <c r="D502" s="1477">
        <f>D484*$D$499*44/28</f>
        <v>0</v>
      </c>
      <c r="E502" s="584"/>
      <c r="F502" s="107"/>
      <c r="G502" s="107"/>
      <c r="H502" s="107"/>
      <c r="I502" s="1391"/>
      <c r="J502" s="1391"/>
      <c r="K502" s="141" t="s">
        <v>477</v>
      </c>
      <c r="L502" s="108"/>
      <c r="M502" s="62"/>
      <c r="N502" s="1472"/>
      <c r="O502" s="1472"/>
      <c r="P502" s="1472"/>
      <c r="Q502" s="1472"/>
      <c r="R502" s="1472"/>
      <c r="S502" s="1472"/>
      <c r="T502" s="1472"/>
      <c r="U502" s="1472"/>
      <c r="V502" s="1472"/>
    </row>
    <row r="503" spans="2:25" s="5" customFormat="1" ht="15.75" hidden="1" x14ac:dyDescent="0.25">
      <c r="B503" s="107"/>
      <c r="C503" s="115"/>
      <c r="D503" s="113"/>
      <c r="E503" s="109"/>
      <c r="F503" s="107"/>
      <c r="G503" s="107"/>
      <c r="H503" s="107"/>
      <c r="I503" s="1391"/>
      <c r="J503" s="1391"/>
      <c r="K503" s="141"/>
      <c r="L503" s="108"/>
      <c r="M503" s="62"/>
      <c r="N503" s="62"/>
      <c r="O503" s="62"/>
    </row>
    <row r="504" spans="2:25" s="5" customFormat="1" ht="15.75" hidden="1" x14ac:dyDescent="0.25">
      <c r="B504" s="107"/>
      <c r="C504" s="115"/>
      <c r="D504" s="113"/>
      <c r="E504" s="109"/>
      <c r="F504" s="107"/>
      <c r="G504" s="107"/>
      <c r="H504" s="107"/>
      <c r="I504" s="1391"/>
      <c r="J504" s="1391"/>
      <c r="K504" s="141"/>
      <c r="L504" s="108"/>
      <c r="M504" s="62"/>
      <c r="N504" s="62"/>
      <c r="O504" s="62"/>
    </row>
    <row r="505" spans="2:25" s="5" customFormat="1" ht="15.75" hidden="1" x14ac:dyDescent="0.25">
      <c r="B505" s="107"/>
      <c r="C505" s="115"/>
      <c r="D505" s="109"/>
      <c r="E505" s="109"/>
      <c r="F505" s="107"/>
      <c r="G505" s="107"/>
      <c r="H505" s="107"/>
      <c r="I505" s="1391"/>
      <c r="J505" s="1391"/>
      <c r="K505" s="107"/>
      <c r="L505" s="108"/>
      <c r="M505" s="62"/>
      <c r="N505" s="62"/>
      <c r="O505" s="62"/>
    </row>
    <row r="506" spans="2:25" s="5" customFormat="1" ht="15.75" hidden="1" x14ac:dyDescent="0.25">
      <c r="B506" s="107" t="s">
        <v>427</v>
      </c>
      <c r="C506" s="110" t="s">
        <v>478</v>
      </c>
      <c r="D506" s="1478" t="e">
        <f>D491*$D$499*44/28</f>
        <v>#DIV/0!</v>
      </c>
      <c r="E506" s="1478" t="e">
        <f t="shared" ref="E506:J506" si="26">E491*$D$499*44/28</f>
        <v>#N/A</v>
      </c>
      <c r="F506" s="1478" t="e">
        <f t="shared" si="26"/>
        <v>#N/A</v>
      </c>
      <c r="G506" s="1478" t="e">
        <f t="shared" si="26"/>
        <v>#N/A</v>
      </c>
      <c r="H506" s="1478" t="e">
        <f t="shared" si="26"/>
        <v>#N/A</v>
      </c>
      <c r="I506" s="1478">
        <f t="shared" si="26"/>
        <v>0</v>
      </c>
      <c r="J506" s="1478">
        <f t="shared" si="26"/>
        <v>0</v>
      </c>
      <c r="K506" s="141" t="s">
        <v>477</v>
      </c>
      <c r="L506" s="108"/>
      <c r="M506" s="62"/>
      <c r="N506" s="62"/>
      <c r="O506" s="62"/>
    </row>
    <row r="507" spans="2:25" s="5" customFormat="1" ht="15.75" hidden="1" x14ac:dyDescent="0.25">
      <c r="B507" s="107"/>
      <c r="C507" s="112"/>
      <c r="D507" s="111"/>
      <c r="E507" s="107"/>
      <c r="F507" s="107"/>
      <c r="G507" s="107"/>
      <c r="H507" s="107"/>
      <c r="I507" s="1391"/>
      <c r="J507" s="1391"/>
      <c r="K507" s="107"/>
      <c r="L507" s="108"/>
      <c r="M507" s="62"/>
      <c r="N507" s="62"/>
      <c r="O507" s="62"/>
    </row>
    <row r="508" spans="2:25" s="5" customFormat="1" ht="15.75" hidden="1" x14ac:dyDescent="0.25">
      <c r="B508" s="112" t="s">
        <v>260</v>
      </c>
      <c r="C508" s="110" t="s">
        <v>478</v>
      </c>
      <c r="D508" s="111" t="e">
        <f>SUM(D501:D502)+SUM(D506:J506)</f>
        <v>#DIV/0!</v>
      </c>
      <c r="E508" s="111"/>
      <c r="F508" s="111"/>
      <c r="G508" s="111"/>
      <c r="H508" s="111"/>
      <c r="I508" s="1394"/>
      <c r="J508" s="1394"/>
      <c r="K508" s="141" t="s">
        <v>477</v>
      </c>
      <c r="L508" s="123"/>
      <c r="M508" s="62"/>
      <c r="N508" s="62"/>
      <c r="O508" s="62"/>
    </row>
    <row r="509" spans="2:25" s="5" customFormat="1" ht="15.75" hidden="1" x14ac:dyDescent="0.25">
      <c r="B509" s="112"/>
      <c r="C509" s="112"/>
      <c r="D509" s="111"/>
      <c r="E509" s="107"/>
      <c r="F509" s="107"/>
      <c r="G509" s="107"/>
      <c r="H509" s="107"/>
      <c r="I509" s="1391"/>
      <c r="J509" s="1391"/>
      <c r="K509" s="141"/>
      <c r="L509" s="108"/>
      <c r="M509" s="62"/>
      <c r="N509" s="62"/>
      <c r="O509" s="62"/>
      <c r="W509" s="143"/>
      <c r="X509" s="143"/>
      <c r="Y509" s="143"/>
    </row>
    <row r="510" spans="2:25" s="5" customFormat="1" ht="15.75" hidden="1" x14ac:dyDescent="0.25">
      <c r="B510" s="106" t="s">
        <v>300</v>
      </c>
      <c r="C510" s="111" t="e">
        <f>SUM(D508:D508)</f>
        <v>#DIV/0!</v>
      </c>
      <c r="D510" s="111"/>
      <c r="E510" s="107"/>
      <c r="F510" s="107"/>
      <c r="G510" s="110"/>
      <c r="H510" s="110"/>
      <c r="I510" s="1393"/>
      <c r="J510" s="1393"/>
      <c r="K510" s="141" t="s">
        <v>336</v>
      </c>
      <c r="L510" s="108"/>
      <c r="M510" s="62"/>
      <c r="N510" s="62"/>
      <c r="O510" s="62"/>
      <c r="W510" s="143"/>
    </row>
    <row r="511" spans="2:25" s="5" customFormat="1" ht="15.75" hidden="1" x14ac:dyDescent="0.25">
      <c r="B511" s="106" t="s">
        <v>437</v>
      </c>
      <c r="C511" s="118" t="e">
        <f>C510*298</f>
        <v>#DIV/0!</v>
      </c>
      <c r="D511" s="107"/>
      <c r="E511" s="107"/>
      <c r="F511" s="107"/>
      <c r="G511" s="107"/>
      <c r="H511" s="107"/>
      <c r="I511" s="1391"/>
      <c r="J511" s="1391"/>
      <c r="K511" s="141" t="s">
        <v>302</v>
      </c>
      <c r="L511" s="108"/>
      <c r="M511" s="62"/>
      <c r="N511" s="62"/>
      <c r="O511" s="62"/>
      <c r="W511" s="143"/>
    </row>
    <row r="512" spans="2:25" s="5" customFormat="1" ht="15.75" hidden="1" x14ac:dyDescent="0.25">
      <c r="B512" s="107"/>
      <c r="C512" s="107"/>
      <c r="D512" s="107"/>
      <c r="E512" s="107"/>
      <c r="F512" s="107"/>
      <c r="G512" s="107"/>
      <c r="H512" s="107"/>
      <c r="I512" s="1391"/>
      <c r="J512" s="1391"/>
      <c r="K512" s="107"/>
      <c r="L512" s="108"/>
      <c r="M512" s="62"/>
      <c r="N512" s="62"/>
      <c r="O512" s="62"/>
      <c r="W512" s="143"/>
    </row>
    <row r="513" spans="2:15" s="5" customFormat="1" ht="15.75" hidden="1" x14ac:dyDescent="0.25">
      <c r="B513" s="106" t="s">
        <v>438</v>
      </c>
      <c r="C513" s="107"/>
      <c r="D513" s="107"/>
      <c r="E513" s="107"/>
      <c r="F513" s="107"/>
      <c r="G513" s="107"/>
      <c r="H513" s="107"/>
      <c r="I513" s="1391"/>
      <c r="J513" s="1391"/>
      <c r="K513" s="107"/>
      <c r="L513" s="108"/>
      <c r="M513" s="62"/>
      <c r="N513" s="62"/>
      <c r="O513" s="62"/>
    </row>
    <row r="514" spans="2:15" s="5" customFormat="1" ht="15.75" hidden="1" x14ac:dyDescent="0.25">
      <c r="B514" s="106" t="s">
        <v>439</v>
      </c>
      <c r="C514" s="106" t="s">
        <v>440</v>
      </c>
      <c r="D514" s="107"/>
      <c r="E514" s="107"/>
      <c r="F514" s="107"/>
      <c r="G514" s="107"/>
      <c r="H514" s="107"/>
      <c r="I514" s="1391"/>
      <c r="J514" s="1391"/>
      <c r="K514" s="107"/>
      <c r="L514" s="108" t="s">
        <v>441</v>
      </c>
      <c r="M514" s="62"/>
      <c r="N514" s="62"/>
      <c r="O514" s="62"/>
    </row>
    <row r="515" spans="2:15" s="5" customFormat="1" ht="15.75" hidden="1" x14ac:dyDescent="0.25">
      <c r="B515" s="107"/>
      <c r="C515" s="107" t="s">
        <v>442</v>
      </c>
      <c r="D515" s="107"/>
      <c r="E515" s="107"/>
      <c r="F515" s="107"/>
      <c r="G515" s="107"/>
      <c r="H515" s="107"/>
      <c r="I515" s="1391"/>
      <c r="J515" s="1391"/>
      <c r="K515" s="107" t="s">
        <v>344</v>
      </c>
      <c r="L515" s="108"/>
      <c r="M515" s="62"/>
      <c r="N515" s="62"/>
      <c r="O515" s="62"/>
    </row>
    <row r="516" spans="2:15" s="5" customFormat="1" ht="15.75" hidden="1" x14ac:dyDescent="0.25">
      <c r="B516" s="107"/>
      <c r="C516" s="107" t="s">
        <v>443</v>
      </c>
      <c r="D516" s="1475">
        <v>1</v>
      </c>
      <c r="E516" s="107"/>
      <c r="F516" s="107"/>
      <c r="G516" s="107"/>
      <c r="H516" s="107"/>
      <c r="I516" s="1391"/>
      <c r="J516" s="1391"/>
      <c r="K516" s="107"/>
      <c r="L516" s="108" t="s">
        <v>444</v>
      </c>
      <c r="M516" s="62"/>
      <c r="N516" s="62"/>
      <c r="O516" s="62"/>
    </row>
    <row r="517" spans="2:15" s="5" customFormat="1" ht="15.75" hidden="1" x14ac:dyDescent="0.25">
      <c r="B517" s="107"/>
      <c r="C517" s="107" t="s">
        <v>445</v>
      </c>
      <c r="D517" s="1475">
        <v>0.3</v>
      </c>
      <c r="E517" s="107"/>
      <c r="F517" s="107"/>
      <c r="G517" s="107"/>
      <c r="H517" s="107"/>
      <c r="I517" s="1391"/>
      <c r="J517" s="1391"/>
      <c r="K517" s="107" t="s">
        <v>421</v>
      </c>
      <c r="L517" s="108"/>
      <c r="M517" s="105"/>
      <c r="N517" s="62"/>
      <c r="O517" s="62"/>
    </row>
    <row r="518" spans="2:15" s="5" customFormat="1" ht="15.75" hidden="1" x14ac:dyDescent="0.25">
      <c r="B518" s="107"/>
      <c r="C518" s="107"/>
      <c r="D518" s="107"/>
      <c r="E518" s="107"/>
      <c r="F518" s="107"/>
      <c r="G518" s="107"/>
      <c r="H518" s="107"/>
      <c r="I518" s="1391"/>
      <c r="J518" s="1391"/>
      <c r="K518" s="107"/>
      <c r="L518" s="108"/>
      <c r="M518" s="62"/>
      <c r="N518" s="62"/>
      <c r="O518" s="62"/>
    </row>
    <row r="519" spans="2:15" s="5" customFormat="1" ht="15.75" hidden="1" x14ac:dyDescent="0.25">
      <c r="B519" s="107" t="s">
        <v>422</v>
      </c>
      <c r="C519" s="115" t="s">
        <v>900</v>
      </c>
      <c r="D519" s="113">
        <f>D382*$D$516*$D$517</f>
        <v>0</v>
      </c>
      <c r="E519" s="113"/>
      <c r="F519" s="107"/>
      <c r="G519" s="107"/>
      <c r="H519" s="107"/>
      <c r="I519" s="1391"/>
      <c r="J519" s="1391"/>
      <c r="K519" s="107" t="s">
        <v>476</v>
      </c>
      <c r="L519" s="108"/>
      <c r="M519" s="62"/>
      <c r="N519" s="62"/>
      <c r="O519" s="62"/>
    </row>
    <row r="520" spans="2:15" s="5" customFormat="1" ht="15.75" hidden="1" x14ac:dyDescent="0.25">
      <c r="B520" s="107"/>
      <c r="C520" s="115" t="s">
        <v>910</v>
      </c>
      <c r="D520" s="1477">
        <f>D383*$D$516*$D$517</f>
        <v>0</v>
      </c>
      <c r="E520" s="109"/>
      <c r="F520" s="107"/>
      <c r="G520" s="107"/>
      <c r="H520" s="107"/>
      <c r="I520" s="1391"/>
      <c r="J520" s="1391"/>
      <c r="K520" s="107" t="s">
        <v>476</v>
      </c>
      <c r="L520" s="108"/>
      <c r="M520" s="62"/>
      <c r="N520" s="62"/>
      <c r="O520" s="62"/>
    </row>
    <row r="521" spans="2:15" s="5" customFormat="1" ht="15.75" hidden="1" x14ac:dyDescent="0.25">
      <c r="B521" s="107"/>
      <c r="C521" s="115"/>
      <c r="D521" s="113"/>
      <c r="E521" s="109"/>
      <c r="F521" s="107"/>
      <c r="G521" s="107"/>
      <c r="H521" s="107"/>
      <c r="I521" s="1391"/>
      <c r="J521" s="1391"/>
      <c r="K521" s="107"/>
      <c r="L521" s="108"/>
      <c r="M521" s="62"/>
      <c r="N521" s="62"/>
      <c r="O521" s="62"/>
    </row>
    <row r="522" spans="2:15" s="5" customFormat="1" ht="15.75" hidden="1" x14ac:dyDescent="0.25">
      <c r="B522" s="107"/>
      <c r="C522" s="115"/>
      <c r="D522" s="113"/>
      <c r="E522" s="109"/>
      <c r="F522" s="107"/>
      <c r="G522" s="107"/>
      <c r="H522" s="107"/>
      <c r="I522" s="1391"/>
      <c r="J522" s="1391"/>
      <c r="K522" s="107"/>
      <c r="L522" s="108"/>
      <c r="M522" s="62"/>
      <c r="N522" s="134"/>
      <c r="O522" s="134"/>
    </row>
    <row r="523" spans="2:15" s="5" customFormat="1" ht="15.75" hidden="1" x14ac:dyDescent="0.25">
      <c r="B523" s="107"/>
      <c r="C523" s="107"/>
      <c r="D523" s="107"/>
      <c r="E523" s="107"/>
      <c r="F523" s="107"/>
      <c r="G523" s="107"/>
      <c r="H523" s="107"/>
      <c r="I523" s="1391"/>
      <c r="J523" s="1391"/>
      <c r="K523" s="107"/>
      <c r="L523" s="108"/>
      <c r="M523" s="62"/>
      <c r="N523" s="134"/>
      <c r="O523" s="134"/>
    </row>
    <row r="524" spans="2:15" s="5" customFormat="1" ht="15.75" hidden="1" x14ac:dyDescent="0.25">
      <c r="B524" s="106" t="s">
        <v>446</v>
      </c>
      <c r="C524" s="106" t="s">
        <v>447</v>
      </c>
      <c r="D524" s="107"/>
      <c r="E524" s="107"/>
      <c r="F524" s="107"/>
      <c r="G524" s="107"/>
      <c r="H524" s="107"/>
      <c r="I524" s="1391"/>
      <c r="J524" s="1391"/>
      <c r="K524" s="107" t="s">
        <v>325</v>
      </c>
      <c r="L524" s="108" t="s">
        <v>448</v>
      </c>
      <c r="M524" s="62"/>
      <c r="N524" s="62"/>
      <c r="O524" s="62"/>
    </row>
    <row r="525" spans="2:15" s="5" customFormat="1" ht="15.75" hidden="1" x14ac:dyDescent="0.25">
      <c r="B525" s="107"/>
      <c r="C525" s="107" t="s">
        <v>449</v>
      </c>
      <c r="D525" s="107"/>
      <c r="E525" s="107"/>
      <c r="F525" s="107"/>
      <c r="G525" s="107"/>
      <c r="H525" s="107"/>
      <c r="I525" s="1391"/>
      <c r="J525" s="1391"/>
      <c r="K525" s="107" t="s">
        <v>325</v>
      </c>
      <c r="L525" s="108"/>
      <c r="M525" s="62"/>
      <c r="N525" s="62"/>
      <c r="O525" s="62"/>
    </row>
    <row r="526" spans="2:15" s="5" customFormat="1" ht="15.75" hidden="1" x14ac:dyDescent="0.25">
      <c r="B526" s="107"/>
      <c r="C526" s="107" t="s">
        <v>450</v>
      </c>
      <c r="D526" s="107"/>
      <c r="E526" s="107"/>
      <c r="F526" s="107"/>
      <c r="G526" s="107"/>
      <c r="H526" s="107"/>
      <c r="I526" s="1391"/>
      <c r="J526" s="1391"/>
      <c r="K526" s="107" t="s">
        <v>325</v>
      </c>
      <c r="L526" s="108"/>
      <c r="M526" s="62"/>
      <c r="N526" s="62"/>
      <c r="O526" s="62"/>
    </row>
    <row r="527" spans="2:15" s="5" customFormat="1" ht="15.75" hidden="1" x14ac:dyDescent="0.25">
      <c r="B527" s="107"/>
      <c r="C527" s="107" t="s">
        <v>451</v>
      </c>
      <c r="D527" s="107"/>
      <c r="E527" s="107"/>
      <c r="F527" s="107"/>
      <c r="G527" s="107"/>
      <c r="H527" s="107"/>
      <c r="I527" s="1391"/>
      <c r="J527" s="1391"/>
      <c r="K527" s="107" t="s">
        <v>325</v>
      </c>
      <c r="L527" s="108"/>
      <c r="M527" s="62"/>
      <c r="N527" s="62"/>
      <c r="O527" s="62"/>
    </row>
    <row r="528" spans="2:15" s="5" customFormat="1" ht="15.75" hidden="1" x14ac:dyDescent="0.25">
      <c r="B528" s="107"/>
      <c r="C528" s="107"/>
      <c r="D528" s="107"/>
      <c r="E528" s="107"/>
      <c r="F528" s="107"/>
      <c r="G528" s="107"/>
      <c r="H528" s="107"/>
      <c r="I528" s="1391"/>
      <c r="J528" s="1391"/>
      <c r="K528" s="107"/>
      <c r="L528" s="108"/>
      <c r="M528" s="62"/>
      <c r="N528" s="62"/>
      <c r="O528" s="62"/>
    </row>
    <row r="529" spans="2:13" s="5" customFormat="1" ht="15.75" hidden="1" x14ac:dyDescent="0.25">
      <c r="B529" s="107"/>
      <c r="C529" s="110" t="s">
        <v>478</v>
      </c>
      <c r="D529" s="144" t="e">
        <f t="shared" ref="D529:J529" si="27">SUM(D420,D463,D459)*$D$516*$D$517</f>
        <v>#DIV/0!</v>
      </c>
      <c r="E529" s="1479" t="e">
        <f t="shared" si="27"/>
        <v>#N/A</v>
      </c>
      <c r="F529" s="1479" t="e">
        <f t="shared" si="27"/>
        <v>#N/A</v>
      </c>
      <c r="G529" s="1479" t="e">
        <f t="shared" si="27"/>
        <v>#N/A</v>
      </c>
      <c r="H529" s="1479" t="e">
        <f t="shared" si="27"/>
        <v>#N/A</v>
      </c>
      <c r="I529" s="1479">
        <f t="shared" si="27"/>
        <v>0</v>
      </c>
      <c r="J529" s="1479">
        <f t="shared" si="27"/>
        <v>0</v>
      </c>
      <c r="K529" s="107" t="s">
        <v>325</v>
      </c>
      <c r="L529" s="108"/>
      <c r="M529" s="62"/>
    </row>
    <row r="530" spans="2:13" s="5" customFormat="1" ht="15.75" hidden="1" x14ac:dyDescent="0.25">
      <c r="B530" s="107"/>
      <c r="C530" s="107"/>
      <c r="D530" s="107"/>
      <c r="E530" s="107"/>
      <c r="F530" s="107"/>
      <c r="G530" s="107"/>
      <c r="H530" s="107"/>
      <c r="I530" s="1391"/>
      <c r="J530" s="1391"/>
      <c r="K530" s="107"/>
      <c r="L530" s="108"/>
      <c r="M530" s="62"/>
    </row>
    <row r="531" spans="2:13" s="5" customFormat="1" ht="15.75" hidden="1" x14ac:dyDescent="0.25">
      <c r="B531" s="106" t="s">
        <v>452</v>
      </c>
      <c r="C531" s="106" t="s">
        <v>386</v>
      </c>
      <c r="D531" s="107"/>
      <c r="E531" s="107"/>
      <c r="F531" s="107"/>
      <c r="G531" s="107"/>
      <c r="H531" s="107"/>
      <c r="I531" s="1391"/>
      <c r="J531" s="1391"/>
      <c r="K531" s="107"/>
      <c r="L531" s="108" t="s">
        <v>453</v>
      </c>
      <c r="M531" s="62"/>
    </row>
    <row r="532" spans="2:13" s="5" customFormat="1" ht="15.75" hidden="1" x14ac:dyDescent="0.25">
      <c r="B532" s="107"/>
      <c r="C532" s="107" t="s">
        <v>454</v>
      </c>
      <c r="D532" s="107"/>
      <c r="E532" s="107"/>
      <c r="F532" s="107"/>
      <c r="G532" s="107"/>
      <c r="H532" s="107"/>
      <c r="I532" s="1391"/>
      <c r="J532" s="1391"/>
      <c r="K532" s="107" t="s">
        <v>344</v>
      </c>
      <c r="L532" s="108"/>
      <c r="M532" s="62"/>
    </row>
    <row r="533" spans="2:13" s="5" customFormat="1" ht="15.75" hidden="1" x14ac:dyDescent="0.25">
      <c r="B533" s="107"/>
      <c r="C533" s="107" t="s">
        <v>1475</v>
      </c>
      <c r="D533" s="107">
        <v>7.4999999999999997E-3</v>
      </c>
      <c r="E533" s="107"/>
      <c r="F533" s="107"/>
      <c r="G533" s="107"/>
      <c r="H533" s="107"/>
      <c r="I533" s="1391"/>
      <c r="J533" s="1391"/>
      <c r="K533" s="107" t="s">
        <v>352</v>
      </c>
      <c r="L533" s="108"/>
      <c r="M533" s="62"/>
    </row>
    <row r="534" spans="2:13" s="5" customFormat="1" ht="15.75" hidden="1" x14ac:dyDescent="0.25">
      <c r="B534" s="107"/>
      <c r="C534" s="107"/>
      <c r="D534" s="107"/>
      <c r="E534" s="107"/>
      <c r="F534" s="107"/>
      <c r="G534" s="107"/>
      <c r="H534" s="107"/>
      <c r="I534" s="1391"/>
      <c r="J534" s="1391"/>
      <c r="K534" s="107"/>
      <c r="L534" s="108"/>
      <c r="M534" s="62"/>
    </row>
    <row r="535" spans="2:13" s="5" customFormat="1" ht="15.75" hidden="1" x14ac:dyDescent="0.25">
      <c r="B535" s="107" t="s">
        <v>422</v>
      </c>
      <c r="C535" s="115" t="s">
        <v>900</v>
      </c>
      <c r="D535" s="113">
        <f>D519*$D$533*44/28</f>
        <v>0</v>
      </c>
      <c r="E535" s="583"/>
      <c r="F535" s="107"/>
      <c r="G535" s="139"/>
      <c r="H535" s="107"/>
      <c r="I535" s="1391"/>
      <c r="J535" s="1391"/>
      <c r="K535" s="107" t="s">
        <v>477</v>
      </c>
      <c r="L535" s="108"/>
      <c r="M535" s="62"/>
    </row>
    <row r="536" spans="2:13" s="5" customFormat="1" ht="15.75" hidden="1" x14ac:dyDescent="0.25">
      <c r="B536" s="107"/>
      <c r="C536" s="115" t="s">
        <v>910</v>
      </c>
      <c r="D536" s="1477">
        <f>D520*$D$533*44/28</f>
        <v>0</v>
      </c>
      <c r="E536" s="109"/>
      <c r="F536" s="107"/>
      <c r="G536" s="139"/>
      <c r="H536" s="107"/>
      <c r="I536" s="1391"/>
      <c r="J536" s="1391"/>
      <c r="K536" s="107" t="s">
        <v>477</v>
      </c>
      <c r="L536" s="108"/>
      <c r="M536" s="62"/>
    </row>
    <row r="537" spans="2:13" s="5" customFormat="1" ht="15.75" hidden="1" x14ac:dyDescent="0.25">
      <c r="B537" s="107"/>
      <c r="C537" s="115"/>
      <c r="D537" s="113"/>
      <c r="E537" s="109"/>
      <c r="F537" s="107"/>
      <c r="G537" s="139"/>
      <c r="H537" s="107"/>
      <c r="I537" s="1391"/>
      <c r="J537" s="1391"/>
      <c r="K537" s="107"/>
      <c r="L537" s="108"/>
      <c r="M537" s="62"/>
    </row>
    <row r="538" spans="2:13" s="5" customFormat="1" ht="15.75" hidden="1" x14ac:dyDescent="0.25">
      <c r="B538" s="107"/>
      <c r="C538" s="115"/>
      <c r="D538" s="113"/>
      <c r="E538" s="109"/>
      <c r="F538" s="107"/>
      <c r="G538" s="139"/>
      <c r="H538" s="107"/>
      <c r="I538" s="1391"/>
      <c r="J538" s="1391"/>
      <c r="K538" s="107"/>
      <c r="L538" s="108"/>
      <c r="M538" s="62"/>
    </row>
    <row r="539" spans="2:13" s="5" customFormat="1" ht="15.75" hidden="1" x14ac:dyDescent="0.25">
      <c r="B539" s="107"/>
      <c r="C539" s="107"/>
      <c r="D539" s="107"/>
      <c r="E539" s="107"/>
      <c r="F539" s="107"/>
      <c r="G539" s="107"/>
      <c r="H539" s="107"/>
      <c r="I539" s="1391"/>
      <c r="J539" s="1391"/>
      <c r="K539" s="107"/>
      <c r="L539" s="108"/>
      <c r="M539" s="62"/>
    </row>
    <row r="540" spans="2:13" s="5" customFormat="1" ht="15.75" hidden="1" x14ac:dyDescent="0.25">
      <c r="B540" s="107" t="s">
        <v>427</v>
      </c>
      <c r="C540" s="110" t="s">
        <v>478</v>
      </c>
      <c r="D540" s="1478" t="e">
        <f t="shared" ref="D540:J540" si="28">D529*$D$533*44/28</f>
        <v>#DIV/0!</v>
      </c>
      <c r="E540" s="1478" t="e">
        <f t="shared" si="28"/>
        <v>#N/A</v>
      </c>
      <c r="F540" s="1478" t="e">
        <f t="shared" si="28"/>
        <v>#N/A</v>
      </c>
      <c r="G540" s="1478" t="e">
        <f t="shared" si="28"/>
        <v>#N/A</v>
      </c>
      <c r="H540" s="1478" t="e">
        <f t="shared" si="28"/>
        <v>#N/A</v>
      </c>
      <c r="I540" s="1478">
        <f t="shared" si="28"/>
        <v>0</v>
      </c>
      <c r="J540" s="1478">
        <f t="shared" si="28"/>
        <v>0</v>
      </c>
      <c r="K540" s="107" t="s">
        <v>335</v>
      </c>
      <c r="L540" s="108"/>
      <c r="M540" s="62"/>
    </row>
    <row r="541" spans="2:13" s="5" customFormat="1" ht="15.75" hidden="1" x14ac:dyDescent="0.25">
      <c r="B541" s="107"/>
      <c r="C541" s="110"/>
      <c r="D541" s="111"/>
      <c r="E541" s="111"/>
      <c r="F541" s="111"/>
      <c r="G541" s="111"/>
      <c r="H541" s="111"/>
      <c r="I541" s="1394"/>
      <c r="J541" s="1394"/>
      <c r="K541" s="107"/>
      <c r="L541" s="108"/>
      <c r="M541" s="62"/>
    </row>
    <row r="542" spans="2:13" s="5" customFormat="1" ht="15.75" hidden="1" x14ac:dyDescent="0.25">
      <c r="B542" s="106" t="s">
        <v>260</v>
      </c>
      <c r="C542" s="110" t="s">
        <v>478</v>
      </c>
      <c r="D542" s="113" t="e">
        <f>SUM(D535:D536)+SUM(D540:J540)</f>
        <v>#DIV/0!</v>
      </c>
      <c r="E542" s="113"/>
      <c r="F542" s="111"/>
      <c r="G542" s="111"/>
      <c r="H542" s="111"/>
      <c r="I542" s="1394"/>
      <c r="J542" s="1394"/>
      <c r="K542" s="107" t="s">
        <v>477</v>
      </c>
      <c r="L542" s="108"/>
      <c r="M542" s="62"/>
    </row>
    <row r="543" spans="2:13" s="5" customFormat="1" ht="15.75" hidden="1" x14ac:dyDescent="0.25">
      <c r="B543" s="106" t="s">
        <v>300</v>
      </c>
      <c r="C543" s="145" t="e">
        <f>D542</f>
        <v>#DIV/0!</v>
      </c>
      <c r="D543" s="111"/>
      <c r="E543" s="111"/>
      <c r="F543" s="111"/>
      <c r="G543" s="111"/>
      <c r="H543" s="111"/>
      <c r="I543" s="1394"/>
      <c r="J543" s="1394"/>
      <c r="K543" s="107" t="s">
        <v>336</v>
      </c>
      <c r="L543" s="108"/>
      <c r="M543" s="62"/>
    </row>
    <row r="544" spans="2:13" s="5" customFormat="1" ht="15.75" hidden="1" x14ac:dyDescent="0.25">
      <c r="B544" s="1480" t="s">
        <v>455</v>
      </c>
      <c r="C544" s="1345" t="e">
        <f>C543*298</f>
        <v>#DIV/0!</v>
      </c>
      <c r="D544" s="1343"/>
      <c r="E544" s="1481"/>
      <c r="F544" s="1481"/>
      <c r="G544" s="1481"/>
      <c r="H544" s="1481"/>
      <c r="I544" s="1481"/>
      <c r="J544" s="1481"/>
      <c r="K544" s="1481" t="s">
        <v>302</v>
      </c>
      <c r="L544" s="1482"/>
      <c r="M544" s="62"/>
    </row>
    <row r="545" spans="1:50" s="5" customFormat="1" ht="15.75" hidden="1" x14ac:dyDescent="0.25">
      <c r="K545" s="62"/>
    </row>
    <row r="546" spans="1:50" s="5" customFormat="1" ht="18.75" hidden="1" x14ac:dyDescent="0.3">
      <c r="B546" s="437"/>
      <c r="C546" s="61"/>
      <c r="D546" s="61"/>
      <c r="E546" s="61"/>
      <c r="F546" s="61"/>
      <c r="G546" s="61"/>
      <c r="H546" s="61"/>
      <c r="I546" s="61"/>
      <c r="J546" s="61"/>
      <c r="K546" s="61"/>
    </row>
    <row r="547" spans="1:50" s="5" customFormat="1" ht="18.75" hidden="1" x14ac:dyDescent="0.3">
      <c r="A547" s="436" t="s">
        <v>595</v>
      </c>
      <c r="B547" s="437"/>
      <c r="C547" s="61"/>
      <c r="D547" s="61"/>
      <c r="E547" s="61"/>
      <c r="F547" s="61"/>
      <c r="G547" s="61"/>
      <c r="H547" s="61"/>
      <c r="I547" s="61"/>
      <c r="J547" s="61"/>
      <c r="K547" s="61"/>
      <c r="L547" s="61"/>
      <c r="M547" s="61"/>
      <c r="N547" s="61"/>
      <c r="O547" s="61"/>
      <c r="P547" s="61"/>
      <c r="Q547" s="61"/>
      <c r="R547" s="61"/>
      <c r="S547" s="61"/>
      <c r="T547" s="61"/>
      <c r="AH547" s="61"/>
      <c r="AI547" s="61"/>
      <c r="AJ547" s="61"/>
      <c r="AK547" s="61"/>
      <c r="AL547" s="61"/>
      <c r="AM547" s="61"/>
      <c r="AN547" s="61"/>
      <c r="AO547" s="61"/>
      <c r="AP547" s="61"/>
      <c r="AQ547" s="61"/>
      <c r="AR547" s="61"/>
      <c r="AS547" s="61"/>
      <c r="AT547" s="61"/>
      <c r="AU547" s="61"/>
      <c r="AV547" s="61"/>
      <c r="AW547" s="61"/>
      <c r="AX547" s="61"/>
    </row>
    <row r="548" spans="1:50" s="5" customFormat="1" ht="18.75" hidden="1" x14ac:dyDescent="0.3">
      <c r="A548" s="436"/>
      <c r="B548" s="438" t="s">
        <v>596</v>
      </c>
      <c r="C548" s="438">
        <v>0</v>
      </c>
      <c r="D548" s="438">
        <f>C548+1</f>
        <v>1</v>
      </c>
      <c r="E548" s="438">
        <f t="shared" ref="E548:AG548" si="29">D548+1</f>
        <v>2</v>
      </c>
      <c r="F548" s="438">
        <f t="shared" si="29"/>
        <v>3</v>
      </c>
      <c r="G548" s="438">
        <f t="shared" si="29"/>
        <v>4</v>
      </c>
      <c r="H548" s="438">
        <f t="shared" si="29"/>
        <v>5</v>
      </c>
      <c r="I548" s="438">
        <f t="shared" si="29"/>
        <v>6</v>
      </c>
      <c r="J548" s="438">
        <f>I548+1</f>
        <v>7</v>
      </c>
      <c r="K548" s="438">
        <f>J548+1</f>
        <v>8</v>
      </c>
      <c r="L548" s="438">
        <f>K548+1</f>
        <v>9</v>
      </c>
      <c r="M548" s="438">
        <f>L548+1</f>
        <v>10</v>
      </c>
      <c r="N548" s="438">
        <f t="shared" si="29"/>
        <v>11</v>
      </c>
      <c r="O548" s="438">
        <f t="shared" si="29"/>
        <v>12</v>
      </c>
      <c r="P548" s="438">
        <f t="shared" si="29"/>
        <v>13</v>
      </c>
      <c r="Q548" s="438">
        <f t="shared" si="29"/>
        <v>14</v>
      </c>
      <c r="R548" s="438">
        <f t="shared" si="29"/>
        <v>15</v>
      </c>
      <c r="S548" s="438">
        <f>R548+1</f>
        <v>16</v>
      </c>
      <c r="T548" s="438">
        <f t="shared" si="29"/>
        <v>17</v>
      </c>
      <c r="U548" s="438">
        <f>T548+1</f>
        <v>18</v>
      </c>
      <c r="V548" s="438">
        <f t="shared" si="29"/>
        <v>19</v>
      </c>
      <c r="W548" s="438">
        <f t="shared" si="29"/>
        <v>20</v>
      </c>
      <c r="X548" s="438">
        <f t="shared" si="29"/>
        <v>21</v>
      </c>
      <c r="Y548" s="438">
        <f t="shared" si="29"/>
        <v>22</v>
      </c>
      <c r="Z548" s="438">
        <f t="shared" si="29"/>
        <v>23</v>
      </c>
      <c r="AA548" s="438">
        <f t="shared" si="29"/>
        <v>24</v>
      </c>
      <c r="AB548" s="438">
        <f t="shared" si="29"/>
        <v>25</v>
      </c>
      <c r="AC548" s="438">
        <f t="shared" si="29"/>
        <v>26</v>
      </c>
      <c r="AD548" s="438">
        <f t="shared" si="29"/>
        <v>27</v>
      </c>
      <c r="AE548" s="438">
        <f t="shared" si="29"/>
        <v>28</v>
      </c>
      <c r="AF548" s="438">
        <f t="shared" si="29"/>
        <v>29</v>
      </c>
      <c r="AG548" s="438">
        <f t="shared" si="29"/>
        <v>30</v>
      </c>
      <c r="AH548" s="61"/>
      <c r="AI548" s="61"/>
      <c r="AJ548" s="61"/>
      <c r="AK548" s="61"/>
      <c r="AL548" s="61"/>
      <c r="AM548" s="61"/>
      <c r="AN548" s="61"/>
      <c r="AO548" s="61"/>
      <c r="AP548" s="61"/>
      <c r="AQ548" s="61"/>
      <c r="AR548" s="61"/>
      <c r="AS548" s="61"/>
      <c r="AT548" s="61"/>
      <c r="AU548" s="61"/>
      <c r="AV548" s="61"/>
      <c r="AW548" s="61"/>
      <c r="AX548" s="61"/>
    </row>
    <row r="549" spans="1:50" s="5" customFormat="1" ht="15.75" hidden="1" x14ac:dyDescent="0.25">
      <c r="A549" s="61"/>
      <c r="B549" s="439"/>
      <c r="C549" s="439"/>
      <c r="D549" s="439"/>
      <c r="E549" s="439"/>
      <c r="F549" s="439"/>
      <c r="G549" s="439"/>
      <c r="H549" s="439"/>
      <c r="I549" s="439"/>
      <c r="J549" s="439"/>
      <c r="K549" s="439"/>
      <c r="L549" s="439"/>
      <c r="M549" s="439"/>
      <c r="N549" s="439"/>
      <c r="O549" s="439"/>
      <c r="P549" s="439"/>
      <c r="Q549" s="439"/>
      <c r="R549" s="439"/>
      <c r="S549" s="439"/>
      <c r="T549" s="439"/>
      <c r="U549" s="439"/>
      <c r="V549" s="439"/>
      <c r="W549" s="439"/>
      <c r="X549" s="439"/>
      <c r="Y549" s="439"/>
      <c r="Z549" s="439"/>
      <c r="AA549" s="439"/>
      <c r="AB549" s="439"/>
      <c r="AC549" s="439"/>
      <c r="AD549" s="439"/>
      <c r="AE549" s="439"/>
      <c r="AF549" s="439"/>
      <c r="AG549" s="439"/>
      <c r="AH549" s="61"/>
      <c r="AI549" s="61"/>
      <c r="AJ549" s="61"/>
      <c r="AK549" s="61"/>
      <c r="AL549" s="61"/>
      <c r="AM549" s="61"/>
      <c r="AN549" s="61"/>
      <c r="AO549" s="61"/>
      <c r="AP549" s="61"/>
      <c r="AQ549" s="61"/>
      <c r="AR549" s="61"/>
      <c r="AS549" s="61"/>
      <c r="AT549" s="61"/>
      <c r="AU549" s="61"/>
      <c r="AV549" s="61"/>
      <c r="AW549" s="61"/>
      <c r="AX549" s="61"/>
    </row>
    <row r="550" spans="1:50" s="5" customFormat="1" ht="15.75" hidden="1" x14ac:dyDescent="0.25">
      <c r="A550" s="61"/>
      <c r="B550" s="439" t="s">
        <v>597</v>
      </c>
      <c r="C550" s="439">
        <v>0</v>
      </c>
      <c r="D550" s="439">
        <v>2</v>
      </c>
      <c r="E550" s="439">
        <v>5</v>
      </c>
      <c r="F550" s="439">
        <v>19</v>
      </c>
      <c r="G550" s="439">
        <v>41</v>
      </c>
      <c r="H550" s="439">
        <v>68</v>
      </c>
      <c r="I550" s="439">
        <v>98</v>
      </c>
      <c r="J550" s="439">
        <v>128</v>
      </c>
      <c r="K550" s="439">
        <v>159</v>
      </c>
      <c r="L550" s="439">
        <v>188</v>
      </c>
      <c r="M550" s="439">
        <v>217</v>
      </c>
      <c r="N550" s="439">
        <v>244</v>
      </c>
      <c r="O550" s="439">
        <v>269</v>
      </c>
      <c r="P550" s="439">
        <v>293</v>
      </c>
      <c r="Q550" s="439">
        <v>316</v>
      </c>
      <c r="R550" s="439">
        <v>333</v>
      </c>
      <c r="S550" s="439">
        <v>356</v>
      </c>
      <c r="T550" s="439">
        <v>374</v>
      </c>
      <c r="U550" s="439">
        <v>391</v>
      </c>
      <c r="V550" s="439">
        <v>407</v>
      </c>
      <c r="W550" s="439">
        <v>422</v>
      </c>
      <c r="X550" s="439">
        <v>436</v>
      </c>
      <c r="Y550" s="439">
        <v>449</v>
      </c>
      <c r="Z550" s="439">
        <v>461</v>
      </c>
      <c r="AA550" s="439">
        <v>472</v>
      </c>
      <c r="AB550" s="439">
        <v>482</v>
      </c>
      <c r="AC550" s="439">
        <v>492</v>
      </c>
      <c r="AD550" s="439">
        <v>502</v>
      </c>
      <c r="AE550" s="439">
        <v>510</v>
      </c>
      <c r="AF550" s="439">
        <v>518</v>
      </c>
      <c r="AG550" s="439">
        <v>526</v>
      </c>
      <c r="AH550" s="61"/>
      <c r="AI550" s="61"/>
      <c r="AJ550" s="61"/>
      <c r="AK550" s="61"/>
      <c r="AL550" s="61"/>
      <c r="AM550" s="61"/>
      <c r="AN550" s="61"/>
      <c r="AO550" s="61"/>
      <c r="AP550" s="61"/>
      <c r="AQ550" s="61"/>
      <c r="AR550" s="61"/>
      <c r="AS550" s="61"/>
      <c r="AT550" s="61"/>
      <c r="AU550" s="61"/>
      <c r="AV550" s="61"/>
      <c r="AW550" s="61"/>
      <c r="AX550" s="61"/>
    </row>
    <row r="551" spans="1:50" s="5" customFormat="1" ht="15.75" hidden="1" x14ac:dyDescent="0.25">
      <c r="A551" s="61"/>
      <c r="B551" s="439" t="s">
        <v>598</v>
      </c>
      <c r="C551" s="439">
        <v>0</v>
      </c>
      <c r="D551" s="439">
        <v>0</v>
      </c>
      <c r="E551" s="439">
        <v>1</v>
      </c>
      <c r="F551" s="439">
        <v>5</v>
      </c>
      <c r="G551" s="439">
        <v>16</v>
      </c>
      <c r="H551" s="439">
        <v>32</v>
      </c>
      <c r="I551" s="439">
        <v>52</v>
      </c>
      <c r="J551" s="439">
        <v>75</v>
      </c>
      <c r="K551" s="439">
        <v>98</v>
      </c>
      <c r="L551" s="439">
        <v>122</v>
      </c>
      <c r="M551" s="439">
        <v>146</v>
      </c>
      <c r="N551" s="439">
        <v>169</v>
      </c>
      <c r="O551" s="439">
        <v>191</v>
      </c>
      <c r="P551" s="439">
        <v>213</v>
      </c>
      <c r="Q551" s="439">
        <v>234</v>
      </c>
      <c r="R551" s="439">
        <v>254</v>
      </c>
      <c r="S551" s="439">
        <v>272</v>
      </c>
      <c r="T551" s="439">
        <v>290</v>
      </c>
      <c r="U551" s="439">
        <v>306</v>
      </c>
      <c r="V551" s="439">
        <v>322</v>
      </c>
      <c r="W551" s="439">
        <v>337</v>
      </c>
      <c r="X551" s="439">
        <v>351</v>
      </c>
      <c r="Y551" s="439">
        <v>364</v>
      </c>
      <c r="Z551" s="439">
        <v>377</v>
      </c>
      <c r="AA551" s="439">
        <v>388</v>
      </c>
      <c r="AB551" s="439">
        <v>399</v>
      </c>
      <c r="AC551" s="439">
        <v>410</v>
      </c>
      <c r="AD551" s="439">
        <v>420</v>
      </c>
      <c r="AE551" s="439">
        <v>430</v>
      </c>
      <c r="AF551" s="439">
        <v>439</v>
      </c>
      <c r="AG551" s="439">
        <v>447</v>
      </c>
      <c r="AH551" s="61"/>
      <c r="AI551" s="61"/>
      <c r="AJ551" s="61"/>
      <c r="AK551" s="61"/>
      <c r="AL551" s="61"/>
      <c r="AM551" s="61"/>
      <c r="AN551" s="61"/>
      <c r="AO551" s="61"/>
      <c r="AP551" s="61"/>
      <c r="AQ551" s="61"/>
      <c r="AR551" s="61"/>
      <c r="AS551" s="61"/>
      <c r="AT551" s="61"/>
      <c r="AU551" s="61"/>
      <c r="AV551" s="61"/>
      <c r="AW551" s="61"/>
      <c r="AX551" s="61"/>
    </row>
    <row r="552" spans="1:50" s="5" customFormat="1" ht="15.75" hidden="1" x14ac:dyDescent="0.25">
      <c r="A552" s="61"/>
      <c r="B552" s="439" t="s">
        <v>599</v>
      </c>
      <c r="C552" s="439">
        <v>0</v>
      </c>
      <c r="D552" s="439">
        <v>0</v>
      </c>
      <c r="E552" s="439">
        <v>1</v>
      </c>
      <c r="F552" s="439">
        <v>5</v>
      </c>
      <c r="G552" s="439">
        <v>10</v>
      </c>
      <c r="H552" s="439">
        <v>19</v>
      </c>
      <c r="I552" s="439">
        <v>29</v>
      </c>
      <c r="J552" s="439">
        <v>41</v>
      </c>
      <c r="K552" s="439">
        <v>54</v>
      </c>
      <c r="L552" s="439">
        <v>68</v>
      </c>
      <c r="M552" s="439">
        <v>83</v>
      </c>
      <c r="N552" s="439">
        <v>99</v>
      </c>
      <c r="O552" s="439">
        <v>115</v>
      </c>
      <c r="P552" s="439">
        <v>131</v>
      </c>
      <c r="Q552" s="439">
        <v>147</v>
      </c>
      <c r="R552" s="439">
        <v>163</v>
      </c>
      <c r="S552" s="439">
        <v>179</v>
      </c>
      <c r="T552" s="439">
        <v>196</v>
      </c>
      <c r="U552" s="439">
        <v>211</v>
      </c>
      <c r="V552" s="439">
        <v>227</v>
      </c>
      <c r="W552" s="439">
        <v>242</v>
      </c>
      <c r="X552" s="439">
        <v>258</v>
      </c>
      <c r="Y552" s="439">
        <v>273</v>
      </c>
      <c r="Z552" s="439">
        <v>287</v>
      </c>
      <c r="AA552" s="439">
        <v>301</v>
      </c>
      <c r="AB552" s="439">
        <v>316</v>
      </c>
      <c r="AC552" s="439">
        <v>329</v>
      </c>
      <c r="AD552" s="439">
        <v>343</v>
      </c>
      <c r="AE552" s="439">
        <v>356</v>
      </c>
      <c r="AF552" s="439">
        <v>369</v>
      </c>
      <c r="AG552" s="439">
        <v>382</v>
      </c>
      <c r="AH552" s="61"/>
      <c r="AI552" s="61"/>
      <c r="AJ552" s="61"/>
      <c r="AK552" s="61"/>
      <c r="AL552" s="61"/>
      <c r="AM552" s="61"/>
      <c r="AN552" s="61"/>
      <c r="AO552" s="61"/>
      <c r="AP552" s="61"/>
      <c r="AQ552" s="61"/>
      <c r="AR552" s="61"/>
      <c r="AS552" s="61"/>
      <c r="AT552" s="61"/>
      <c r="AU552" s="61"/>
      <c r="AV552" s="61"/>
      <c r="AW552" s="61"/>
      <c r="AX552" s="61"/>
    </row>
    <row r="553" spans="1:50" s="5" customFormat="1" ht="15.75" hidden="1" x14ac:dyDescent="0.25">
      <c r="A553" s="61"/>
      <c r="B553" s="439" t="s">
        <v>600</v>
      </c>
      <c r="C553" s="439">
        <v>0</v>
      </c>
      <c r="D553" s="439">
        <v>0</v>
      </c>
      <c r="E553" s="439">
        <v>0</v>
      </c>
      <c r="F553" s="439">
        <v>0</v>
      </c>
      <c r="G553" s="439">
        <v>1</v>
      </c>
      <c r="H553" s="439">
        <v>3</v>
      </c>
      <c r="I553" s="439">
        <v>6</v>
      </c>
      <c r="J553" s="439">
        <v>10</v>
      </c>
      <c r="K553" s="439">
        <v>16</v>
      </c>
      <c r="L553" s="439">
        <v>23</v>
      </c>
      <c r="M553" s="439">
        <v>32</v>
      </c>
      <c r="N553" s="439">
        <v>42</v>
      </c>
      <c r="O553" s="439">
        <v>53</v>
      </c>
      <c r="P553" s="439">
        <v>65</v>
      </c>
      <c r="Q553" s="439">
        <v>78</v>
      </c>
      <c r="R553" s="439">
        <v>91</v>
      </c>
      <c r="S553" s="439">
        <v>104</v>
      </c>
      <c r="T553" s="439">
        <v>118</v>
      </c>
      <c r="U553" s="439">
        <v>132</v>
      </c>
      <c r="V553" s="439">
        <v>146</v>
      </c>
      <c r="W553" s="439">
        <v>159</v>
      </c>
      <c r="X553" s="439">
        <v>173</v>
      </c>
      <c r="Y553" s="439">
        <v>187</v>
      </c>
      <c r="Z553" s="439">
        <v>201</v>
      </c>
      <c r="AA553" s="439">
        <v>214</v>
      </c>
      <c r="AB553" s="439">
        <v>228</v>
      </c>
      <c r="AC553" s="439">
        <v>241</v>
      </c>
      <c r="AD553" s="439">
        <v>254</v>
      </c>
      <c r="AE553" s="439">
        <v>267</v>
      </c>
      <c r="AF553" s="439">
        <v>279</v>
      </c>
      <c r="AG553" s="439">
        <v>291</v>
      </c>
      <c r="AH553" s="61"/>
      <c r="AI553" s="61"/>
      <c r="AJ553" s="61"/>
      <c r="AK553" s="61"/>
      <c r="AL553" s="61"/>
      <c r="AM553" s="61"/>
      <c r="AN553" s="61"/>
      <c r="AO553" s="61"/>
      <c r="AP553" s="61"/>
      <c r="AQ553" s="61"/>
      <c r="AR553" s="61"/>
      <c r="AS553" s="61"/>
      <c r="AT553" s="61"/>
      <c r="AU553" s="61"/>
      <c r="AV553" s="61"/>
      <c r="AW553" s="61"/>
      <c r="AX553" s="61"/>
    </row>
    <row r="554" spans="1:50" s="5" customFormat="1" ht="15.75" hidden="1" x14ac:dyDescent="0.25">
      <c r="A554" s="61"/>
      <c r="B554" s="440" t="s">
        <v>601</v>
      </c>
      <c r="C554" s="440">
        <v>0</v>
      </c>
      <c r="D554" s="440">
        <v>0</v>
      </c>
      <c r="E554" s="440">
        <v>0</v>
      </c>
      <c r="F554" s="440">
        <v>0</v>
      </c>
      <c r="G554" s="440">
        <v>1</v>
      </c>
      <c r="H554" s="440">
        <v>2</v>
      </c>
      <c r="I554" s="440">
        <v>4</v>
      </c>
      <c r="J554" s="440">
        <v>7</v>
      </c>
      <c r="K554" s="440">
        <v>11</v>
      </c>
      <c r="L554" s="440">
        <v>16</v>
      </c>
      <c r="M554" s="440">
        <v>21</v>
      </c>
      <c r="N554" s="440">
        <v>28</v>
      </c>
      <c r="O554" s="440">
        <v>35</v>
      </c>
      <c r="P554" s="440">
        <v>43</v>
      </c>
      <c r="Q554" s="440">
        <v>52</v>
      </c>
      <c r="R554" s="440">
        <v>60</v>
      </c>
      <c r="S554" s="440">
        <v>69</v>
      </c>
      <c r="T554" s="440">
        <v>78</v>
      </c>
      <c r="U554" s="440">
        <v>87</v>
      </c>
      <c r="V554" s="440">
        <v>97</v>
      </c>
      <c r="W554" s="440">
        <v>106</v>
      </c>
      <c r="X554" s="440">
        <v>115</v>
      </c>
      <c r="Y554" s="440">
        <v>124</v>
      </c>
      <c r="Z554" s="440">
        <v>133</v>
      </c>
      <c r="AA554" s="440">
        <v>142</v>
      </c>
      <c r="AB554" s="440">
        <v>151</v>
      </c>
      <c r="AC554" s="440">
        <v>160</v>
      </c>
      <c r="AD554" s="440">
        <v>168</v>
      </c>
      <c r="AE554" s="440">
        <v>177</v>
      </c>
      <c r="AF554" s="440">
        <v>185</v>
      </c>
      <c r="AG554" s="440">
        <v>193</v>
      </c>
      <c r="AH554" s="61"/>
      <c r="AI554" s="61"/>
      <c r="AJ554" s="61"/>
      <c r="AK554" s="61"/>
      <c r="AL554" s="61"/>
      <c r="AM554" s="61"/>
      <c r="AN554" s="61"/>
      <c r="AO554" s="61"/>
      <c r="AP554" s="61"/>
      <c r="AQ554" s="61"/>
      <c r="AR554" s="61"/>
      <c r="AS554" s="61"/>
      <c r="AT554" s="61"/>
      <c r="AU554" s="61"/>
      <c r="AV554" s="61"/>
      <c r="AW554" s="61"/>
      <c r="AX554" s="61"/>
    </row>
    <row r="555" spans="1:50" s="5" customFormat="1" ht="15.75" hidden="1" x14ac:dyDescent="0.2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row>
    <row r="556" spans="1:50" s="5" customFormat="1" ht="15.75" hidden="1" x14ac:dyDescent="0.25">
      <c r="A556" s="61"/>
      <c r="B556" s="441"/>
      <c r="C556" s="442" t="s">
        <v>602</v>
      </c>
      <c r="D556" s="442" t="s">
        <v>603</v>
      </c>
      <c r="E556" s="442" t="s">
        <v>604</v>
      </c>
      <c r="F556" s="442" t="s">
        <v>605</v>
      </c>
      <c r="G556" s="442" t="s">
        <v>606</v>
      </c>
      <c r="H556" s="442" t="s">
        <v>603</v>
      </c>
      <c r="I556" s="442" t="s">
        <v>604</v>
      </c>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row>
    <row r="557" spans="1:50" s="5" customFormat="1" ht="15.75" hidden="1" x14ac:dyDescent="0.25">
      <c r="A557" s="61"/>
      <c r="B557" s="443" t="s">
        <v>607</v>
      </c>
      <c r="C557" s="627" t="s">
        <v>608</v>
      </c>
      <c r="D557" s="2113" t="s">
        <v>609</v>
      </c>
      <c r="E557" s="2113"/>
      <c r="F557" s="2113" t="s">
        <v>610</v>
      </c>
      <c r="G557" s="2113"/>
      <c r="H557" s="2113" t="s">
        <v>611</v>
      </c>
      <c r="I557" s="2113"/>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row>
    <row r="558" spans="1:50" s="5" customFormat="1" ht="15.75" hidden="1" x14ac:dyDescent="0.25">
      <c r="A558" s="61">
        <v>1</v>
      </c>
      <c r="B558" s="445" t="s">
        <v>771</v>
      </c>
      <c r="C558" s="490">
        <v>0</v>
      </c>
      <c r="D558" s="490">
        <v>0</v>
      </c>
      <c r="E558" s="490">
        <v>0</v>
      </c>
      <c r="F558" s="490">
        <v>0</v>
      </c>
      <c r="G558" s="490">
        <v>0</v>
      </c>
      <c r="H558" s="490">
        <v>0</v>
      </c>
      <c r="I558" s="490">
        <v>0</v>
      </c>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row>
    <row r="559" spans="1:50" s="5" customFormat="1" ht="15.75" hidden="1" x14ac:dyDescent="0.25">
      <c r="A559" s="61">
        <v>2</v>
      </c>
      <c r="B559" s="445" t="s">
        <v>612</v>
      </c>
      <c r="C559" s="445">
        <v>600</v>
      </c>
      <c r="D559" s="445">
        <v>15</v>
      </c>
      <c r="E559" s="445">
        <v>30</v>
      </c>
      <c r="F559" s="445">
        <v>0.43</v>
      </c>
      <c r="G559" s="446">
        <v>0.5</v>
      </c>
      <c r="H559" s="447">
        <f>D559*F559*G559*3.7</f>
        <v>11.932500000000001</v>
      </c>
      <c r="I559" s="447">
        <f>E559*F559*G559*3.7</f>
        <v>23.865000000000002</v>
      </c>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row>
    <row r="560" spans="1:50" s="5" customFormat="1" ht="15.75" hidden="1" x14ac:dyDescent="0.25">
      <c r="A560" s="61">
        <v>3</v>
      </c>
      <c r="B560" s="439" t="s">
        <v>613</v>
      </c>
      <c r="C560" s="439">
        <v>600</v>
      </c>
      <c r="D560" s="439">
        <v>15</v>
      </c>
      <c r="E560" s="439">
        <v>30</v>
      </c>
      <c r="F560" s="439">
        <v>0.43</v>
      </c>
      <c r="G560" s="448">
        <v>0.5</v>
      </c>
      <c r="H560" s="449">
        <f>D560*F560*G560*3.7</f>
        <v>11.932500000000001</v>
      </c>
      <c r="I560" s="449">
        <f>E560*F560*G560*3.7</f>
        <v>23.865000000000002</v>
      </c>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row>
    <row r="561" spans="1:50" s="5" customFormat="1" ht="15.75" hidden="1" x14ac:dyDescent="0.25">
      <c r="A561" s="61">
        <v>4</v>
      </c>
      <c r="B561" s="445" t="s">
        <v>614</v>
      </c>
      <c r="C561" s="445">
        <f t="shared" ref="C561:I561" si="30">AVERAGE(C562:C565)</f>
        <v>775</v>
      </c>
      <c r="D561" s="445">
        <f t="shared" si="30"/>
        <v>15</v>
      </c>
      <c r="E561" s="445">
        <f t="shared" si="30"/>
        <v>32.5</v>
      </c>
      <c r="F561" s="445">
        <f t="shared" si="30"/>
        <v>0.63</v>
      </c>
      <c r="G561" s="445">
        <f t="shared" si="30"/>
        <v>0.5</v>
      </c>
      <c r="H561" s="445">
        <f t="shared" si="30"/>
        <v>17.482499999999998</v>
      </c>
      <c r="I561" s="445">
        <f t="shared" si="30"/>
        <v>37.878750000000004</v>
      </c>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row>
    <row r="562" spans="1:50" s="5" customFormat="1" ht="15.75" hidden="1" x14ac:dyDescent="0.25">
      <c r="A562" s="61">
        <v>5</v>
      </c>
      <c r="B562" s="439" t="s">
        <v>615</v>
      </c>
      <c r="C562" s="439">
        <v>700</v>
      </c>
      <c r="D562" s="439">
        <v>15</v>
      </c>
      <c r="E562" s="439">
        <v>35</v>
      </c>
      <c r="F562" s="439">
        <v>0.63</v>
      </c>
      <c r="G562" s="448">
        <v>0.5</v>
      </c>
      <c r="H562" s="449">
        <f>D562*F562*G562*3.7</f>
        <v>17.482499999999998</v>
      </c>
      <c r="I562" s="449">
        <f>E562*F562*G562*3.7</f>
        <v>40.792500000000004</v>
      </c>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row>
    <row r="563" spans="1:50" s="5" customFormat="1" ht="15.75" hidden="1" x14ac:dyDescent="0.25">
      <c r="A563" s="61">
        <v>6</v>
      </c>
      <c r="B563" s="439" t="s">
        <v>616</v>
      </c>
      <c r="C563" s="439">
        <v>800</v>
      </c>
      <c r="D563" s="439">
        <v>15</v>
      </c>
      <c r="E563" s="439">
        <v>35</v>
      </c>
      <c r="F563" s="439">
        <v>0.63</v>
      </c>
      <c r="G563" s="448">
        <v>0.5</v>
      </c>
      <c r="H563" s="449">
        <f>D563*F563*G563*3.7</f>
        <v>17.482499999999998</v>
      </c>
      <c r="I563" s="449">
        <f>E563*F563*G563*3.7</f>
        <v>40.792500000000004</v>
      </c>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row>
    <row r="564" spans="1:50" s="5" customFormat="1" ht="15.75" hidden="1" x14ac:dyDescent="0.25">
      <c r="A564" s="61">
        <v>7</v>
      </c>
      <c r="B564" s="439" t="s">
        <v>617</v>
      </c>
      <c r="C564" s="439">
        <v>800</v>
      </c>
      <c r="D564" s="439">
        <v>15</v>
      </c>
      <c r="E564" s="439">
        <v>30</v>
      </c>
      <c r="F564" s="439">
        <v>0.63</v>
      </c>
      <c r="G564" s="448">
        <v>0.5</v>
      </c>
      <c r="H564" s="449">
        <f>D564*F564*G564*3.7</f>
        <v>17.482499999999998</v>
      </c>
      <c r="I564" s="449">
        <f>E564*F564*G564*3.7</f>
        <v>34.964999999999996</v>
      </c>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row>
    <row r="565" spans="1:50" s="5" customFormat="1" ht="15.75" hidden="1" x14ac:dyDescent="0.25">
      <c r="A565" s="61">
        <v>8</v>
      </c>
      <c r="B565" s="439" t="s">
        <v>618</v>
      </c>
      <c r="C565" s="439">
        <v>800</v>
      </c>
      <c r="D565" s="439">
        <v>15</v>
      </c>
      <c r="E565" s="439">
        <v>30</v>
      </c>
      <c r="F565" s="439">
        <v>0.63</v>
      </c>
      <c r="G565" s="448">
        <v>0.5</v>
      </c>
      <c r="H565" s="449">
        <f>D565*F565*G565*3.7</f>
        <v>17.482499999999998</v>
      </c>
      <c r="I565" s="449">
        <f>E565*F565*G565*3.7</f>
        <v>34.964999999999996</v>
      </c>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row>
    <row r="566" spans="1:50" s="5" customFormat="1" ht="15.75" hidden="1" x14ac:dyDescent="0.25">
      <c r="A566" s="61">
        <v>9</v>
      </c>
      <c r="B566" s="439" t="s">
        <v>619</v>
      </c>
      <c r="C566" s="439">
        <v>600</v>
      </c>
      <c r="D566" s="439">
        <v>8</v>
      </c>
      <c r="E566" s="439">
        <v>20</v>
      </c>
      <c r="F566" s="439">
        <v>0.63</v>
      </c>
      <c r="G566" s="448">
        <v>0.5</v>
      </c>
      <c r="H566" s="449">
        <f>D566*F566*G566*3.7</f>
        <v>9.3239999999999998</v>
      </c>
      <c r="I566" s="449">
        <f>E566*F566*G566*3.7</f>
        <v>23.31</v>
      </c>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row>
    <row r="567" spans="1:50" s="5" customFormat="1" ht="15.75" hidden="1" x14ac:dyDescent="0.25">
      <c r="A567" s="61">
        <v>10</v>
      </c>
      <c r="B567" s="445" t="s">
        <v>620</v>
      </c>
      <c r="C567" s="445">
        <f t="shared" ref="C567:I567" si="31">AVERAGE(C568:C572)</f>
        <v>530</v>
      </c>
      <c r="D567" s="445">
        <f t="shared" si="31"/>
        <v>3</v>
      </c>
      <c r="E567" s="445">
        <f t="shared" si="31"/>
        <v>8.8000000000000007</v>
      </c>
      <c r="F567" s="445">
        <f t="shared" si="31"/>
        <v>0.63</v>
      </c>
      <c r="G567" s="445">
        <f t="shared" si="31"/>
        <v>0.5</v>
      </c>
      <c r="H567" s="445">
        <f t="shared" si="31"/>
        <v>3.4964999999999997</v>
      </c>
      <c r="I567" s="445">
        <f t="shared" si="31"/>
        <v>10.256399999999999</v>
      </c>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row>
    <row r="568" spans="1:50" s="5" customFormat="1" ht="15.75" hidden="1" x14ac:dyDescent="0.25">
      <c r="A568" s="61">
        <v>11</v>
      </c>
      <c r="B568" s="439" t="s">
        <v>621</v>
      </c>
      <c r="C568" s="439">
        <v>750</v>
      </c>
      <c r="D568" s="439">
        <v>4</v>
      </c>
      <c r="E568" s="439">
        <v>10</v>
      </c>
      <c r="F568" s="439">
        <v>0.63</v>
      </c>
      <c r="G568" s="448">
        <v>0.5</v>
      </c>
      <c r="H568" s="449">
        <f>D568*F568*G568*3.7</f>
        <v>4.6619999999999999</v>
      </c>
      <c r="I568" s="449">
        <f>E568*F568*G568*3.7</f>
        <v>11.654999999999999</v>
      </c>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row>
    <row r="569" spans="1:50" s="5" customFormat="1" ht="15.75" hidden="1" x14ac:dyDescent="0.25">
      <c r="A569" s="61">
        <v>12</v>
      </c>
      <c r="B569" s="439" t="s">
        <v>622</v>
      </c>
      <c r="C569" s="439">
        <v>500</v>
      </c>
      <c r="D569" s="439">
        <v>5</v>
      </c>
      <c r="E569" s="439">
        <v>10</v>
      </c>
      <c r="F569" s="439">
        <v>0.63</v>
      </c>
      <c r="G569" s="448">
        <v>0.5</v>
      </c>
      <c r="H569" s="449">
        <f>D569*F569*G569*3.7</f>
        <v>5.8274999999999997</v>
      </c>
      <c r="I569" s="449">
        <f>E569*F569*G569*3.7</f>
        <v>11.654999999999999</v>
      </c>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row>
    <row r="570" spans="1:50" s="5" customFormat="1" ht="15.75" hidden="1" x14ac:dyDescent="0.25">
      <c r="A570" s="61">
        <v>13</v>
      </c>
      <c r="B570" s="439" t="s">
        <v>623</v>
      </c>
      <c r="C570" s="439">
        <v>500</v>
      </c>
      <c r="D570" s="439">
        <v>2</v>
      </c>
      <c r="E570" s="439">
        <v>8</v>
      </c>
      <c r="F570" s="439">
        <v>0.63</v>
      </c>
      <c r="G570" s="448">
        <v>0.5</v>
      </c>
      <c r="H570" s="449">
        <f>D570*F570*G570*3.7</f>
        <v>2.331</v>
      </c>
      <c r="I570" s="449">
        <f>E570*F570*G570*3.7</f>
        <v>9.3239999999999998</v>
      </c>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row>
    <row r="571" spans="1:50" s="5" customFormat="1" ht="15.75" hidden="1" x14ac:dyDescent="0.25">
      <c r="A571" s="61">
        <v>14</v>
      </c>
      <c r="B571" s="439" t="s">
        <v>624</v>
      </c>
      <c r="C571" s="439">
        <v>400</v>
      </c>
      <c r="D571" s="439">
        <v>2</v>
      </c>
      <c r="E571" s="439">
        <v>8</v>
      </c>
      <c r="F571" s="439">
        <v>0.63</v>
      </c>
      <c r="G571" s="448">
        <v>0.5</v>
      </c>
      <c r="H571" s="449">
        <f>D571*F571*G571*3.7</f>
        <v>2.331</v>
      </c>
      <c r="I571" s="449">
        <f>E571*F571*G571*3.7</f>
        <v>9.3239999999999998</v>
      </c>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row>
    <row r="572" spans="1:50" s="5" customFormat="1" ht="15.75" hidden="1" x14ac:dyDescent="0.25">
      <c r="A572" s="5">
        <v>15</v>
      </c>
      <c r="B572" s="439" t="s">
        <v>625</v>
      </c>
      <c r="C572" s="439">
        <v>500</v>
      </c>
      <c r="D572" s="439">
        <v>2</v>
      </c>
      <c r="E572" s="439">
        <v>8</v>
      </c>
      <c r="F572" s="439">
        <v>0.63</v>
      </c>
      <c r="G572" s="448">
        <v>0.5</v>
      </c>
      <c r="H572" s="449">
        <f>D572*F572*G572*3.7</f>
        <v>2.331</v>
      </c>
      <c r="I572" s="449">
        <f>E572*F572*G572*3.7</f>
        <v>9.3239999999999998</v>
      </c>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row>
    <row r="573" spans="1:50" s="5" customFormat="1" ht="15.75" hidden="1" x14ac:dyDescent="0.25">
      <c r="A573" s="61" t="s">
        <v>265</v>
      </c>
      <c r="B573" s="439" t="e">
        <f>VLOOKUP($C$68,$B$558:$I$572,1,FALSE)</f>
        <v>#N/A</v>
      </c>
      <c r="C573" s="439" t="e">
        <f>VLOOKUP($C$68,$B$558:$I$572,2,FALSE)</f>
        <v>#N/A</v>
      </c>
      <c r="D573" s="439" t="e">
        <f>VLOOKUP($C$68,$B$558:$I$572,3,FALSE)</f>
        <v>#N/A</v>
      </c>
      <c r="E573" s="439" t="e">
        <f>VLOOKUP($C$68,$B$558:$I$572,4,FALSE)</f>
        <v>#N/A</v>
      </c>
      <c r="F573" s="439" t="e">
        <f>VLOOKUP($C$68,$B$558:$I$572,5,FALSE)</f>
        <v>#N/A</v>
      </c>
      <c r="G573" s="439" t="e">
        <f>VLOOKUP($C$68,$B$558:$I$572,6,FALSE)</f>
        <v>#N/A</v>
      </c>
      <c r="H573" s="439" t="e">
        <f>VLOOKUP($C$68,$B$558:$I$572,7,FALSE)</f>
        <v>#N/A</v>
      </c>
      <c r="I573" s="439" t="e">
        <f>VLOOKUP($C$68,$B$558:$I$572,8,FALSE)</f>
        <v>#N/A</v>
      </c>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row>
    <row r="574" spans="1:50" s="5" customFormat="1" ht="15.75" hidden="1" x14ac:dyDescent="0.25">
      <c r="A574" s="61"/>
      <c r="B574" s="439"/>
      <c r="C574" s="439"/>
      <c r="D574" s="439"/>
      <c r="E574" s="439"/>
      <c r="F574" s="439"/>
      <c r="G574" s="439"/>
      <c r="H574" s="439"/>
      <c r="I574" s="439"/>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row>
    <row r="575" spans="1:50" s="5" customFormat="1" ht="15.75" hidden="1" x14ac:dyDescent="0.25">
      <c r="B575" s="439" t="s">
        <v>626</v>
      </c>
      <c r="C575" s="439" t="s">
        <v>611</v>
      </c>
      <c r="D575" s="439"/>
      <c r="E575" s="2114" t="s">
        <v>456</v>
      </c>
      <c r="F575" s="2114"/>
      <c r="G575" s="439" t="s">
        <v>1159</v>
      </c>
      <c r="H575" s="548" t="str">
        <f>S233</f>
        <v>1</v>
      </c>
      <c r="I575" s="439"/>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row>
    <row r="576" spans="1:50" s="5" customFormat="1" ht="15.75" hidden="1" x14ac:dyDescent="0.25">
      <c r="A576" s="61">
        <v>1</v>
      </c>
      <c r="B576" s="439" t="s">
        <v>627</v>
      </c>
      <c r="C576" s="450" t="e">
        <f>IF(B579="High (&gt;700)",F576,FALSE)</f>
        <v>#N/A</v>
      </c>
      <c r="D576" s="439"/>
      <c r="E576" s="439" t="e">
        <f>H573</f>
        <v>#N/A</v>
      </c>
      <c r="F576" s="439" t="e">
        <f>I573</f>
        <v>#N/A</v>
      </c>
      <c r="G576" s="548"/>
      <c r="H576" s="439"/>
      <c r="I576" s="439"/>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row>
    <row r="577" spans="1:50" s="5" customFormat="1" ht="15.75" hidden="1" x14ac:dyDescent="0.25">
      <c r="A577" s="61">
        <v>2</v>
      </c>
      <c r="B577" s="439" t="s">
        <v>628</v>
      </c>
      <c r="C577" s="439" t="e">
        <f>IF(B579="Med (500 - 700)",AVERAGE(E576:F576),FALSE)</f>
        <v>#N/A</v>
      </c>
      <c r="D577" s="439"/>
      <c r="E577" s="439"/>
      <c r="F577" s="439"/>
      <c r="G577" s="548" t="s">
        <v>1005</v>
      </c>
      <c r="H577" s="439">
        <f>D66</f>
        <v>0</v>
      </c>
      <c r="I577" s="439"/>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row>
    <row r="578" spans="1:50" s="5" customFormat="1" ht="15.75" hidden="1" x14ac:dyDescent="0.25">
      <c r="A578" s="61">
        <v>3</v>
      </c>
      <c r="B578" s="439" t="s">
        <v>629</v>
      </c>
      <c r="C578" s="439" t="e">
        <f>IF(B579="Low (&lt;500)",E576,FALSE)</f>
        <v>#N/A</v>
      </c>
      <c r="D578" s="439"/>
      <c r="E578" s="439"/>
      <c r="F578" s="439"/>
      <c r="G578" s="439"/>
      <c r="H578" s="439"/>
      <c r="I578" s="439"/>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row>
    <row r="579" spans="1:50" s="5" customFormat="1" ht="15.75" hidden="1" x14ac:dyDescent="0.25">
      <c r="A579" s="61" t="s">
        <v>265</v>
      </c>
      <c r="B579" s="451" t="e">
        <f>VLOOKUP($H$68,B576:B578,1,FALSE)</f>
        <v>#N/A</v>
      </c>
      <c r="C579" s="451"/>
      <c r="D579" s="451"/>
      <c r="E579" s="549" t="s">
        <v>888</v>
      </c>
      <c r="F579" s="451"/>
      <c r="G579" s="443">
        <f>IF(H575="1",0,IF(H575=3,AVERAGE(C576:C578),H577))</f>
        <v>0</v>
      </c>
      <c r="H579" s="451"/>
      <c r="I579" s="45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row>
    <row r="580" spans="1:50" s="5" customFormat="1" ht="15.75" hidden="1" x14ac:dyDescent="0.25">
      <c r="A580" s="61"/>
      <c r="B580" s="452"/>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row>
    <row r="581" spans="1:50" s="5" customFormat="1" ht="15.75" hidden="1" x14ac:dyDescent="0.25">
      <c r="A581" s="62"/>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row>
    <row r="582" spans="1:50" s="5" customFormat="1" ht="18.75" hidden="1" x14ac:dyDescent="0.3">
      <c r="A582" s="124"/>
      <c r="B582" s="453" t="s">
        <v>630</v>
      </c>
      <c r="C582" s="62"/>
      <c r="D582" s="62"/>
      <c r="E582" s="62"/>
      <c r="F582" s="62"/>
      <c r="G582" s="62"/>
      <c r="H582" s="62"/>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row>
    <row r="583" spans="1:50" s="5" customFormat="1" ht="15.75" hidden="1" x14ac:dyDescent="0.25">
      <c r="A583" s="124"/>
      <c r="B583" s="62"/>
      <c r="C583" s="62"/>
      <c r="D583" s="62"/>
      <c r="E583" s="62"/>
      <c r="F583" s="62"/>
      <c r="G583" s="62"/>
      <c r="H583" s="62"/>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row>
    <row r="584" spans="1:50" s="5" customFormat="1" ht="15.75" hidden="1" x14ac:dyDescent="0.25">
      <c r="A584" s="124"/>
      <c r="B584" s="454" t="s">
        <v>282</v>
      </c>
      <c r="C584" s="455"/>
      <c r="D584" s="455"/>
      <c r="E584" s="455"/>
      <c r="F584" s="454" t="s">
        <v>252</v>
      </c>
      <c r="G584" s="455"/>
      <c r="H584" s="454"/>
      <c r="I584" s="61"/>
      <c r="AH584" s="61"/>
      <c r="AI584" s="61"/>
      <c r="AJ584" s="61"/>
      <c r="AK584" s="61"/>
      <c r="AL584" s="61"/>
      <c r="AM584" s="61"/>
      <c r="AN584" s="61"/>
      <c r="AO584" s="61"/>
      <c r="AP584" s="61"/>
      <c r="AQ584" s="61"/>
      <c r="AR584" s="61"/>
      <c r="AS584" s="61"/>
      <c r="AT584" s="61"/>
      <c r="AU584" s="61"/>
      <c r="AV584" s="61"/>
      <c r="AW584" s="61"/>
      <c r="AX584" s="61"/>
    </row>
    <row r="585" spans="1:50" s="5" customFormat="1" ht="15.75" hidden="1" x14ac:dyDescent="0.25">
      <c r="A585" s="124"/>
      <c r="B585" s="456" t="s">
        <v>631</v>
      </c>
      <c r="C585" s="456">
        <f>C55/1</f>
        <v>0</v>
      </c>
      <c r="D585" s="456"/>
      <c r="E585" s="456"/>
      <c r="F585" s="456" t="s">
        <v>632</v>
      </c>
      <c r="G585" s="456"/>
      <c r="H585" s="456"/>
    </row>
    <row r="586" spans="1:50" s="5" customFormat="1" ht="15.75" hidden="1" x14ac:dyDescent="0.25">
      <c r="A586" s="124"/>
      <c r="B586" s="456" t="s">
        <v>633</v>
      </c>
      <c r="C586" s="456">
        <v>38.6</v>
      </c>
      <c r="D586" s="456"/>
      <c r="E586" s="456"/>
      <c r="F586" s="456" t="s">
        <v>634</v>
      </c>
      <c r="G586" s="456"/>
      <c r="H586" s="456"/>
    </row>
    <row r="587" spans="1:50" s="5" customFormat="1" ht="15.75" hidden="1" x14ac:dyDescent="0.25">
      <c r="A587" s="124"/>
      <c r="B587" s="456" t="s">
        <v>635</v>
      </c>
      <c r="C587" s="456">
        <v>99</v>
      </c>
      <c r="D587" s="456"/>
      <c r="E587" s="456"/>
      <c r="F587" s="456" t="s">
        <v>259</v>
      </c>
      <c r="G587" s="456"/>
      <c r="H587" s="456"/>
    </row>
    <row r="588" spans="1:50" s="5" customFormat="1" ht="15.75" hidden="1" x14ac:dyDescent="0.25">
      <c r="A588" s="124"/>
      <c r="B588" s="456" t="s">
        <v>636</v>
      </c>
      <c r="C588" s="456">
        <v>69.900000000000006</v>
      </c>
      <c r="D588" s="456"/>
      <c r="E588" s="456"/>
      <c r="F588" s="456" t="s">
        <v>637</v>
      </c>
      <c r="G588" s="456"/>
      <c r="H588" s="456"/>
    </row>
    <row r="589" spans="1:50" s="5" customFormat="1" ht="15.75" hidden="1" x14ac:dyDescent="0.25">
      <c r="A589" s="124"/>
      <c r="B589" s="456" t="s">
        <v>638</v>
      </c>
      <c r="C589" s="456">
        <f>C54</f>
        <v>0</v>
      </c>
      <c r="D589" s="456"/>
      <c r="E589" s="456"/>
      <c r="F589" s="456" t="s">
        <v>639</v>
      </c>
      <c r="G589" s="456"/>
      <c r="H589" s="456"/>
    </row>
    <row r="590" spans="1:50" s="5" customFormat="1" ht="15.75" hidden="1" x14ac:dyDescent="0.25">
      <c r="A590" s="124"/>
      <c r="B590" s="456" t="s">
        <v>640</v>
      </c>
      <c r="C590" s="456" t="e">
        <f>E628</f>
        <v>#N/A</v>
      </c>
      <c r="D590" s="456"/>
      <c r="E590" s="456"/>
      <c r="F590" s="457" t="s">
        <v>641</v>
      </c>
      <c r="G590" s="456"/>
      <c r="H590" s="456"/>
    </row>
    <row r="591" spans="1:50" s="5" customFormat="1" ht="15.75" hidden="1" x14ac:dyDescent="0.25">
      <c r="A591" s="124"/>
      <c r="B591" s="458"/>
      <c r="C591" s="458"/>
      <c r="D591" s="458"/>
      <c r="E591" s="458"/>
      <c r="F591" s="458"/>
      <c r="G591" s="458"/>
      <c r="H591" s="456"/>
    </row>
    <row r="592" spans="1:50" s="5" customFormat="1" ht="15.75" hidden="1" x14ac:dyDescent="0.25">
      <c r="A592" s="124"/>
      <c r="B592" s="459"/>
      <c r="C592" s="459"/>
      <c r="D592" s="459"/>
      <c r="E592" s="459"/>
      <c r="F592" s="459"/>
      <c r="G592" s="459"/>
      <c r="H592" s="456"/>
    </row>
    <row r="593" spans="1:8" s="5" customFormat="1" ht="15.75" hidden="1" x14ac:dyDescent="0.25">
      <c r="A593" s="124"/>
      <c r="B593" s="460" t="s">
        <v>642</v>
      </c>
      <c r="C593" s="460" t="s">
        <v>643</v>
      </c>
      <c r="D593" s="456"/>
      <c r="E593" s="456"/>
      <c r="F593" s="456"/>
      <c r="G593" s="456"/>
      <c r="H593" s="456"/>
    </row>
    <row r="594" spans="1:8" s="5" customFormat="1" ht="15.75" hidden="1" x14ac:dyDescent="0.25">
      <c r="A594" s="124"/>
      <c r="B594" s="460"/>
      <c r="C594" s="456" t="s">
        <v>644</v>
      </c>
      <c r="D594" s="456"/>
      <c r="E594" s="456"/>
      <c r="F594" s="456"/>
      <c r="G594" s="456"/>
      <c r="H594" s="456"/>
    </row>
    <row r="595" spans="1:8" s="5" customFormat="1" ht="15.75" hidden="1" x14ac:dyDescent="0.25">
      <c r="A595" s="124"/>
      <c r="B595" s="460"/>
      <c r="C595" s="456" t="s">
        <v>645</v>
      </c>
      <c r="D595" s="456"/>
      <c r="E595" s="456"/>
      <c r="F595" s="456"/>
      <c r="G595" s="456"/>
      <c r="H595" s="456"/>
    </row>
    <row r="596" spans="1:8" s="5" customFormat="1" ht="15.75" hidden="1" x14ac:dyDescent="0.25">
      <c r="A596" s="124"/>
      <c r="B596" s="460"/>
      <c r="C596" s="456" t="s">
        <v>646</v>
      </c>
      <c r="D596" s="456"/>
      <c r="E596" s="456"/>
      <c r="F596" s="456"/>
      <c r="G596" s="456"/>
      <c r="H596" s="456"/>
    </row>
    <row r="597" spans="1:8" s="5" customFormat="1" ht="15.75" hidden="1" x14ac:dyDescent="0.25">
      <c r="A597" s="124"/>
      <c r="B597" s="460"/>
      <c r="C597" s="456" t="s">
        <v>351</v>
      </c>
      <c r="D597" s="456"/>
      <c r="E597" s="456"/>
      <c r="F597" s="456"/>
      <c r="G597" s="456"/>
      <c r="H597" s="456"/>
    </row>
    <row r="598" spans="1:8" s="5" customFormat="1" ht="15.75" hidden="1" x14ac:dyDescent="0.25">
      <c r="A598" s="124"/>
      <c r="B598" s="460"/>
      <c r="C598" s="456"/>
      <c r="D598" s="456"/>
      <c r="E598" s="456"/>
      <c r="F598" s="456"/>
      <c r="G598" s="456"/>
      <c r="H598" s="456"/>
    </row>
    <row r="599" spans="1:8" s="5" customFormat="1" ht="15.75" hidden="1" x14ac:dyDescent="0.25">
      <c r="A599" s="124"/>
      <c r="B599" s="456"/>
      <c r="C599" s="461">
        <f>$C$585*$C$586*$C$587%*$C$588*10^-6</f>
        <v>0</v>
      </c>
      <c r="D599" s="456"/>
      <c r="E599" s="456"/>
      <c r="F599" s="456" t="s">
        <v>647</v>
      </c>
      <c r="G599" s="456"/>
      <c r="H599" s="456"/>
    </row>
    <row r="600" spans="1:8" s="5" customFormat="1" ht="15.75" hidden="1" x14ac:dyDescent="0.25">
      <c r="A600" s="124"/>
      <c r="B600" s="456"/>
      <c r="C600" s="456"/>
      <c r="D600" s="456"/>
      <c r="E600" s="456"/>
      <c r="F600" s="456"/>
      <c r="G600" s="456"/>
      <c r="H600" s="456"/>
    </row>
    <row r="601" spans="1:8" s="5" customFormat="1" ht="15.75" hidden="1" x14ac:dyDescent="0.25">
      <c r="A601" s="124"/>
      <c r="B601" s="462" t="s">
        <v>648</v>
      </c>
      <c r="C601" s="455"/>
      <c r="D601" s="455"/>
      <c r="E601" s="455"/>
      <c r="F601" s="455" t="s">
        <v>649</v>
      </c>
      <c r="G601" s="455"/>
      <c r="H601" s="463"/>
    </row>
    <row r="602" spans="1:8" s="5" customFormat="1" ht="15.75" hidden="1" x14ac:dyDescent="0.25">
      <c r="A602" s="124"/>
      <c r="B602" s="464"/>
      <c r="C602" s="465" t="s">
        <v>650</v>
      </c>
      <c r="D602" s="465" t="s">
        <v>651</v>
      </c>
      <c r="E602" s="465" t="s">
        <v>652</v>
      </c>
      <c r="F602" s="465" t="s">
        <v>653</v>
      </c>
      <c r="G602" s="465" t="s">
        <v>654</v>
      </c>
      <c r="H602" s="466" t="s">
        <v>655</v>
      </c>
    </row>
    <row r="603" spans="1:8" s="5" customFormat="1" ht="15.75" hidden="1" x14ac:dyDescent="0.25">
      <c r="A603" s="124"/>
      <c r="B603" s="467"/>
      <c r="C603" s="468">
        <v>0.01</v>
      </c>
      <c r="D603" s="468">
        <v>2E-3</v>
      </c>
      <c r="E603" s="468">
        <v>1.36</v>
      </c>
      <c r="F603" s="468">
        <v>0.54100000000000004</v>
      </c>
      <c r="G603" s="468">
        <v>0.189</v>
      </c>
      <c r="H603" s="469">
        <v>0.11600000000000001</v>
      </c>
    </row>
    <row r="604" spans="1:8" s="5" customFormat="1" ht="15.75" hidden="1" x14ac:dyDescent="0.25">
      <c r="A604" s="124"/>
      <c r="B604" s="457"/>
      <c r="C604" s="465"/>
      <c r="D604" s="465"/>
      <c r="E604" s="465"/>
      <c r="F604" s="465"/>
      <c r="G604" s="465"/>
      <c r="H604" s="465"/>
    </row>
    <row r="605" spans="1:8" s="5" customFormat="1" ht="15.75" hidden="1" x14ac:dyDescent="0.25">
      <c r="A605" s="62"/>
      <c r="B605" s="460" t="s">
        <v>656</v>
      </c>
      <c r="C605" s="456"/>
      <c r="D605" s="456"/>
      <c r="E605" s="456"/>
      <c r="F605" s="456" t="s">
        <v>657</v>
      </c>
      <c r="G605" s="456"/>
      <c r="H605" s="456"/>
    </row>
    <row r="606" spans="1:8" s="5" customFormat="1" ht="15.75" hidden="1" x14ac:dyDescent="0.25">
      <c r="A606" s="62"/>
      <c r="B606" s="456"/>
      <c r="C606" s="470">
        <f t="shared" ref="C606:H606" si="32">$C$585*$C$586*$C$587%*C603*10^-6</f>
        <v>0</v>
      </c>
      <c r="D606" s="470">
        <f t="shared" si="32"/>
        <v>0</v>
      </c>
      <c r="E606" s="470">
        <f t="shared" si="32"/>
        <v>0</v>
      </c>
      <c r="F606" s="470">
        <f t="shared" si="32"/>
        <v>0</v>
      </c>
      <c r="G606" s="470">
        <f t="shared" si="32"/>
        <v>0</v>
      </c>
      <c r="H606" s="470">
        <f t="shared" si="32"/>
        <v>0</v>
      </c>
    </row>
    <row r="607" spans="1:8" s="5" customFormat="1" ht="15.75" hidden="1" x14ac:dyDescent="0.25">
      <c r="A607" s="62"/>
      <c r="B607" s="460" t="s">
        <v>658</v>
      </c>
      <c r="C607" s="461">
        <f>C599+C606+D606+E606+F606+G606+H606</f>
        <v>0</v>
      </c>
      <c r="D607" s="470"/>
      <c r="E607" s="470"/>
      <c r="F607" s="470" t="s">
        <v>657</v>
      </c>
      <c r="G607" s="470"/>
      <c r="H607" s="470"/>
    </row>
    <row r="608" spans="1:8" s="5" customFormat="1" ht="15.75" hidden="1" x14ac:dyDescent="0.25">
      <c r="A608" s="62"/>
      <c r="B608" s="460" t="s">
        <v>940</v>
      </c>
      <c r="C608" s="461">
        <f>C585/1000*0.611</f>
        <v>0</v>
      </c>
      <c r="D608" s="470"/>
      <c r="E608" s="470"/>
      <c r="F608" s="470"/>
      <c r="G608" s="470"/>
      <c r="H608" s="470"/>
    </row>
    <row r="609" spans="1:8" s="5" customFormat="1" ht="15.75" hidden="1" x14ac:dyDescent="0.25">
      <c r="A609" s="62"/>
      <c r="B609" s="456"/>
      <c r="C609" s="470"/>
      <c r="D609" s="470"/>
      <c r="E609" s="470"/>
      <c r="F609" s="470"/>
      <c r="G609" s="470"/>
      <c r="H609" s="470"/>
    </row>
    <row r="610" spans="1:8" s="5" customFormat="1" ht="15.75" hidden="1" x14ac:dyDescent="0.25">
      <c r="A610" s="62"/>
      <c r="B610" s="460" t="s">
        <v>659</v>
      </c>
      <c r="C610" s="471" t="s">
        <v>660</v>
      </c>
      <c r="D610" s="470"/>
      <c r="E610" s="470"/>
      <c r="F610" s="470"/>
      <c r="G610" s="472"/>
      <c r="H610" s="472"/>
    </row>
    <row r="611" spans="1:8" s="5" customFormat="1" ht="15.75" hidden="1" x14ac:dyDescent="0.25">
      <c r="A611" s="62"/>
      <c r="B611" s="456"/>
      <c r="C611" s="470" t="s">
        <v>661</v>
      </c>
      <c r="D611" s="470"/>
      <c r="E611" s="470"/>
      <c r="F611" s="470"/>
      <c r="G611" s="472"/>
      <c r="H611" s="472"/>
    </row>
    <row r="612" spans="1:8" s="5" customFormat="1" ht="15.75" hidden="1" x14ac:dyDescent="0.25">
      <c r="A612" s="62"/>
      <c r="B612" s="456"/>
      <c r="C612" s="470" t="s">
        <v>662</v>
      </c>
      <c r="D612" s="470"/>
      <c r="E612" s="470"/>
      <c r="F612" s="470"/>
      <c r="G612" s="472"/>
      <c r="H612" s="472"/>
    </row>
    <row r="613" spans="1:8" s="5" customFormat="1" ht="15.75" hidden="1" x14ac:dyDescent="0.25">
      <c r="A613" s="62"/>
      <c r="B613" s="456"/>
      <c r="C613" s="470"/>
      <c r="D613" s="470"/>
      <c r="E613" s="470"/>
      <c r="F613" s="470"/>
      <c r="G613" s="472"/>
      <c r="H613" s="472"/>
    </row>
    <row r="614" spans="1:8" s="5" customFormat="1" ht="15.75" hidden="1" x14ac:dyDescent="0.25">
      <c r="A614" s="62"/>
      <c r="B614" s="456"/>
      <c r="C614" s="461" t="e">
        <f>C589*C590</f>
        <v>#N/A</v>
      </c>
      <c r="D614" s="470"/>
      <c r="E614" s="626"/>
      <c r="F614" s="470" t="s">
        <v>657</v>
      </c>
      <c r="G614" s="626"/>
      <c r="H614" s="472"/>
    </row>
    <row r="615" spans="1:8" s="5" customFormat="1" ht="15.75" hidden="1" x14ac:dyDescent="0.25">
      <c r="A615" s="62"/>
      <c r="B615" s="456"/>
      <c r="C615" s="461"/>
      <c r="D615" s="470"/>
      <c r="E615" s="626"/>
      <c r="F615" s="470"/>
      <c r="G615" s="626"/>
      <c r="H615" s="472"/>
    </row>
    <row r="616" spans="1:8" s="5" customFormat="1" ht="15.75" hidden="1" x14ac:dyDescent="0.25">
      <c r="A616" s="62"/>
      <c r="B616" s="460" t="s">
        <v>663</v>
      </c>
      <c r="C616" s="461" t="e">
        <f>C607+C614</f>
        <v>#N/A</v>
      </c>
      <c r="D616" s="470"/>
      <c r="E616" s="626"/>
      <c r="F616" s="470" t="s">
        <v>657</v>
      </c>
      <c r="G616" s="626"/>
      <c r="H616" s="472"/>
    </row>
    <row r="617" spans="1:8" s="5" customFormat="1" ht="15.75" hidden="1" x14ac:dyDescent="0.25">
      <c r="A617" s="62"/>
      <c r="B617" s="456"/>
      <c r="C617" s="470"/>
      <c r="D617" s="470"/>
      <c r="E617" s="470"/>
      <c r="F617" s="470"/>
      <c r="G617" s="472"/>
      <c r="H617" s="472"/>
    </row>
    <row r="618" spans="1:8" s="5" customFormat="1" ht="15.75" hidden="1" x14ac:dyDescent="0.25">
      <c r="A618" s="62"/>
      <c r="B618" s="474" t="s">
        <v>664</v>
      </c>
      <c r="C618" s="455"/>
      <c r="D618" s="455"/>
      <c r="E618" s="463"/>
      <c r="F618" s="470"/>
      <c r="G618" s="472"/>
      <c r="H618" s="472"/>
    </row>
    <row r="619" spans="1:8" s="5" customFormat="1" ht="15.75" hidden="1" x14ac:dyDescent="0.25">
      <c r="B619" s="475" t="s">
        <v>665</v>
      </c>
      <c r="C619" s="476" t="s">
        <v>666</v>
      </c>
      <c r="D619" s="476" t="s">
        <v>667</v>
      </c>
      <c r="E619" s="477" t="s">
        <v>668</v>
      </c>
      <c r="F619" s="470"/>
      <c r="G619" s="472"/>
      <c r="H619" s="472"/>
    </row>
    <row r="620" spans="1:8" s="5" customFormat="1" ht="15.75" hidden="1" x14ac:dyDescent="0.25">
      <c r="A620" s="62">
        <v>1</v>
      </c>
      <c r="B620" s="478" t="s">
        <v>669</v>
      </c>
      <c r="C620" s="479">
        <v>30</v>
      </c>
      <c r="D620" s="479">
        <v>1000</v>
      </c>
      <c r="E620" s="480">
        <f>D620*10^-6</f>
        <v>1E-3</v>
      </c>
      <c r="F620" s="470"/>
      <c r="G620" s="2109"/>
      <c r="H620" s="2110"/>
    </row>
    <row r="621" spans="1:8" s="5" customFormat="1" ht="15.75" hidden="1" x14ac:dyDescent="0.25">
      <c r="A621" s="62">
        <v>2</v>
      </c>
      <c r="B621" s="478" t="s">
        <v>670</v>
      </c>
      <c r="C621" s="479">
        <v>25</v>
      </c>
      <c r="D621" s="479">
        <v>1400</v>
      </c>
      <c r="E621" s="480">
        <f>D621*10^-6</f>
        <v>1.4E-3</v>
      </c>
      <c r="F621" s="470"/>
      <c r="G621" s="472"/>
      <c r="H621" s="472"/>
    </row>
    <row r="622" spans="1:8" s="5" customFormat="1" ht="15.75" hidden="1" x14ac:dyDescent="0.25">
      <c r="A622" s="62">
        <v>3</v>
      </c>
      <c r="B622" s="478" t="s">
        <v>769</v>
      </c>
      <c r="C622" s="479">
        <v>30</v>
      </c>
      <c r="D622" s="479">
        <v>1080</v>
      </c>
      <c r="E622" s="480">
        <f t="shared" ref="E622:E627" si="33">D622*10^-6</f>
        <v>1.08E-3</v>
      </c>
      <c r="F622" s="470"/>
      <c r="G622" s="472"/>
      <c r="H622" s="472"/>
    </row>
    <row r="623" spans="1:8" s="5" customFormat="1" ht="15.75" hidden="1" x14ac:dyDescent="0.25">
      <c r="A623" s="62">
        <v>4</v>
      </c>
      <c r="B623" s="478" t="s">
        <v>671</v>
      </c>
      <c r="C623" s="481">
        <v>5.9</v>
      </c>
      <c r="D623" s="481">
        <v>510</v>
      </c>
      <c r="E623" s="482">
        <f t="shared" si="33"/>
        <v>5.0999999999999993E-4</v>
      </c>
      <c r="F623" s="470"/>
      <c r="G623" s="472"/>
      <c r="H623" s="472"/>
    </row>
    <row r="624" spans="1:8" s="5" customFormat="1" ht="15.75" hidden="1" x14ac:dyDescent="0.25">
      <c r="A624" s="62">
        <v>5</v>
      </c>
      <c r="B624" s="478" t="s">
        <v>672</v>
      </c>
      <c r="C624" s="481">
        <v>37.549999999999997</v>
      </c>
      <c r="D624" s="481">
        <v>494</v>
      </c>
      <c r="E624" s="482">
        <f t="shared" si="33"/>
        <v>4.9399999999999997E-4</v>
      </c>
      <c r="F624" s="470"/>
      <c r="G624" s="472"/>
      <c r="H624" s="472"/>
    </row>
    <row r="625" spans="1:33" s="5" customFormat="1" ht="15.75" hidden="1" x14ac:dyDescent="0.25">
      <c r="A625" s="62">
        <v>6</v>
      </c>
      <c r="B625" s="478" t="s">
        <v>673</v>
      </c>
      <c r="C625" s="481">
        <v>37</v>
      </c>
      <c r="D625" s="481">
        <v>681</v>
      </c>
      <c r="E625" s="482">
        <f t="shared" si="33"/>
        <v>6.8099999999999996E-4</v>
      </c>
      <c r="F625" s="470"/>
      <c r="G625" s="472"/>
      <c r="H625" s="472"/>
    </row>
    <row r="626" spans="1:33" s="5" customFormat="1" ht="15.75" hidden="1" x14ac:dyDescent="0.25">
      <c r="A626" s="62">
        <v>7</v>
      </c>
      <c r="B626" s="478" t="s">
        <v>674</v>
      </c>
      <c r="C626" s="481">
        <v>83.8</v>
      </c>
      <c r="D626" s="481">
        <v>314</v>
      </c>
      <c r="E626" s="482">
        <f t="shared" si="33"/>
        <v>3.1399999999999999E-4</v>
      </c>
      <c r="F626" s="470"/>
      <c r="G626" s="472"/>
      <c r="H626" s="472"/>
    </row>
    <row r="627" spans="1:33" s="5" customFormat="1" ht="15.75" hidden="1" x14ac:dyDescent="0.25">
      <c r="A627" s="62">
        <v>8</v>
      </c>
      <c r="B627" s="478" t="s">
        <v>675</v>
      </c>
      <c r="C627" s="457"/>
      <c r="D627" s="481">
        <v>0</v>
      </c>
      <c r="E627" s="482">
        <f t="shared" si="33"/>
        <v>0</v>
      </c>
      <c r="F627" s="472"/>
      <c r="G627" s="472"/>
      <c r="H627" s="472"/>
    </row>
    <row r="628" spans="1:33" s="5" customFormat="1" ht="15.75" hidden="1" x14ac:dyDescent="0.25">
      <c r="A628" s="5" t="s">
        <v>265</v>
      </c>
      <c r="B628" s="483" t="e">
        <f>VLOOKUP($G$54,$B$620:$E$627,1,FALSE)</f>
        <v>#N/A</v>
      </c>
      <c r="C628" s="484" t="e">
        <f>VLOOKUP($G$54,$B$620:$E$627,2,FALSE)</f>
        <v>#N/A</v>
      </c>
      <c r="D628" s="484" t="e">
        <f>VLOOKUP($G$54,$B$620:$E$627,3,FALSE)</f>
        <v>#N/A</v>
      </c>
      <c r="E628" s="485" t="e">
        <f>VLOOKUP($G$54,$B$620:$E$627,4,FALSE)</f>
        <v>#N/A</v>
      </c>
      <c r="F628" s="486"/>
      <c r="G628" s="486"/>
      <c r="H628" s="486"/>
      <c r="J628" s="559"/>
      <c r="K628" s="559"/>
      <c r="L628" s="559"/>
      <c r="M628" s="559"/>
      <c r="N628" s="559"/>
      <c r="O628" s="559"/>
      <c r="P628" s="559"/>
      <c r="Q628" s="559"/>
      <c r="R628" s="559"/>
      <c r="S628" s="559"/>
      <c r="T628" s="559"/>
      <c r="U628" s="559"/>
      <c r="V628" s="559"/>
      <c r="W628" s="559"/>
      <c r="X628" s="559"/>
      <c r="Y628" s="559"/>
      <c r="Z628" s="559"/>
      <c r="AA628" s="559"/>
      <c r="AB628" s="559"/>
      <c r="AC628" s="559"/>
      <c r="AD628" s="559"/>
      <c r="AE628" s="559"/>
      <c r="AF628" s="559"/>
      <c r="AG628" s="559"/>
    </row>
    <row r="629" spans="1:33" s="5" customFormat="1" hidden="1" x14ac:dyDescent="0.25">
      <c r="A629" s="559"/>
      <c r="B629" s="559"/>
      <c r="C629" s="559"/>
      <c r="D629" s="559"/>
      <c r="E629" s="559"/>
      <c r="F629" s="559"/>
      <c r="G629" s="559"/>
      <c r="H629" s="559"/>
      <c r="I629" s="559"/>
      <c r="J629" s="559"/>
      <c r="K629" s="559"/>
      <c r="L629" s="559"/>
      <c r="M629" s="559"/>
      <c r="N629" s="559"/>
      <c r="O629" s="559"/>
      <c r="P629" s="559"/>
      <c r="Q629" s="559"/>
      <c r="R629" s="559"/>
      <c r="S629" s="559"/>
      <c r="T629" s="559"/>
      <c r="U629" s="559"/>
      <c r="V629" s="559"/>
      <c r="W629" s="559"/>
      <c r="X629" s="559"/>
      <c r="Y629" s="559"/>
      <c r="Z629" s="559"/>
      <c r="AA629" s="559"/>
      <c r="AB629" s="559"/>
      <c r="AC629" s="559"/>
      <c r="AD629" s="559"/>
      <c r="AE629" s="559"/>
      <c r="AF629" s="559"/>
      <c r="AG629" s="559"/>
    </row>
    <row r="630" spans="1:33" hidden="1" x14ac:dyDescent="0.25"/>
    <row r="631" spans="1:33" ht="18.75" hidden="1" x14ac:dyDescent="0.3">
      <c r="B631" s="361" t="s">
        <v>930</v>
      </c>
    </row>
    <row r="632" spans="1:33" hidden="1" x14ac:dyDescent="0.25"/>
    <row r="633" spans="1:33" ht="15.75" hidden="1" x14ac:dyDescent="0.25">
      <c r="B633" s="577" t="s">
        <v>923</v>
      </c>
      <c r="C633" s="578" t="s">
        <v>932</v>
      </c>
      <c r="D633" s="577" t="s">
        <v>355</v>
      </c>
      <c r="E633" s="577" t="s">
        <v>925</v>
      </c>
    </row>
    <row r="634" spans="1:33" ht="15.75" hidden="1" x14ac:dyDescent="0.25">
      <c r="B634" s="577" t="s">
        <v>924</v>
      </c>
      <c r="C634" s="578">
        <f>C57</f>
        <v>0</v>
      </c>
      <c r="D634" s="577">
        <v>0.25</v>
      </c>
      <c r="E634" s="577">
        <f>C634*D634</f>
        <v>0</v>
      </c>
    </row>
    <row r="635" spans="1:33" ht="15.75" hidden="1" x14ac:dyDescent="0.25">
      <c r="B635" s="577" t="s">
        <v>926</v>
      </c>
      <c r="C635" s="578">
        <f>G57</f>
        <v>0</v>
      </c>
      <c r="D635" s="577">
        <v>0.2</v>
      </c>
      <c r="E635" s="577">
        <f t="shared" ref="E635:E639" si="34">C635*D635</f>
        <v>0</v>
      </c>
    </row>
    <row r="636" spans="1:33" ht="15.75" hidden="1" x14ac:dyDescent="0.25">
      <c r="B636" s="577" t="s">
        <v>927</v>
      </c>
      <c r="C636" s="578">
        <f>C59</f>
        <v>0</v>
      </c>
      <c r="D636" s="577">
        <v>0.25</v>
      </c>
      <c r="E636" s="577">
        <f t="shared" si="34"/>
        <v>0</v>
      </c>
    </row>
    <row r="637" spans="1:33" ht="15.75" hidden="1" x14ac:dyDescent="0.25">
      <c r="B637" s="577" t="s">
        <v>928</v>
      </c>
      <c r="C637" s="578">
        <f>G59</f>
        <v>0</v>
      </c>
      <c r="D637" s="577">
        <v>0.25</v>
      </c>
      <c r="E637" s="577">
        <f t="shared" si="34"/>
        <v>0</v>
      </c>
    </row>
    <row r="638" spans="1:33" ht="15.75" hidden="1" x14ac:dyDescent="0.25">
      <c r="B638" s="577" t="s">
        <v>929</v>
      </c>
      <c r="C638" s="578">
        <f>C61</f>
        <v>0</v>
      </c>
      <c r="D638" s="577">
        <v>0.3</v>
      </c>
      <c r="E638" s="577">
        <f t="shared" si="34"/>
        <v>0</v>
      </c>
    </row>
    <row r="639" spans="1:33" ht="15.75" hidden="1" x14ac:dyDescent="0.25">
      <c r="B639" s="577" t="s">
        <v>904</v>
      </c>
      <c r="C639" s="578">
        <f>G61</f>
        <v>0</v>
      </c>
      <c r="D639" s="577">
        <v>0</v>
      </c>
      <c r="E639" s="577">
        <f t="shared" si="34"/>
        <v>0</v>
      </c>
    </row>
    <row r="640" spans="1:33" ht="15.75" hidden="1" x14ac:dyDescent="0.25">
      <c r="B640" s="577" t="s">
        <v>260</v>
      </c>
      <c r="C640" s="578"/>
      <c r="D640" s="577"/>
      <c r="E640" s="577">
        <f>SUM(E634:E639)</f>
        <v>0</v>
      </c>
    </row>
    <row r="641" spans="2:5" ht="15.75" hidden="1" x14ac:dyDescent="0.25">
      <c r="B641" s="578"/>
      <c r="C641" s="578"/>
      <c r="D641" s="578"/>
      <c r="E641" s="578"/>
    </row>
    <row r="642" spans="2:5" ht="15.75" hidden="1" x14ac:dyDescent="0.25">
      <c r="B642" s="577" t="s">
        <v>933</v>
      </c>
      <c r="C642" s="578">
        <f>(SUM(D382:D383)*10^3)</f>
        <v>0</v>
      </c>
      <c r="D642" s="577">
        <v>0.89100000000000001</v>
      </c>
      <c r="E642" s="579">
        <f>C642/0.46*D642</f>
        <v>0</v>
      </c>
    </row>
    <row r="643" spans="2:5" ht="15.75" hidden="1" x14ac:dyDescent="0.25">
      <c r="B643" s="577" t="s">
        <v>934</v>
      </c>
      <c r="C643" s="578">
        <f>IF($T$226="1",((E50*$C$50)+(E51*$C$51))/1000,(E50+E51))</f>
        <v>0</v>
      </c>
      <c r="D643" s="577">
        <v>0.83399999999999996</v>
      </c>
      <c r="E643" s="579">
        <f>C643/0.18*D643</f>
        <v>0</v>
      </c>
    </row>
    <row r="644" spans="2:5" ht="15.75" hidden="1" x14ac:dyDescent="0.25">
      <c r="B644" s="577" t="s">
        <v>935</v>
      </c>
      <c r="C644" s="578">
        <f>IF($T$226="1",((F50*$C$50)+(F51*$C$51))/1000,(F50+F51))</f>
        <v>0</v>
      </c>
      <c r="D644" s="577">
        <v>0.13100000000000001</v>
      </c>
      <c r="E644" s="579">
        <f>C644/0.5*D644</f>
        <v>0</v>
      </c>
    </row>
    <row r="645" spans="2:5" ht="15.75" hidden="1" x14ac:dyDescent="0.25">
      <c r="B645" s="577" t="s">
        <v>936</v>
      </c>
      <c r="C645" s="578">
        <f>IF($T$226="1",((G50*$C$50)+(G51*$C$51))/1000,(G50+G51))</f>
        <v>0</v>
      </c>
      <c r="D645" s="577">
        <v>0.83399999999999996</v>
      </c>
      <c r="E645" s="579">
        <f>IF(C645&gt;C643,(C645/0.18*D645),(C645/0.02*D645))</f>
        <v>0</v>
      </c>
    </row>
    <row r="646" spans="2:5" ht="15.75" hidden="1" x14ac:dyDescent="0.25">
      <c r="B646" s="577" t="s">
        <v>931</v>
      </c>
      <c r="C646" s="578">
        <f>IF($T$226="1",((H50*$C$50)+(H51*$C$51))/1000,(H50+H51))</f>
        <v>0</v>
      </c>
      <c r="D646" s="577">
        <v>1.9E-2</v>
      </c>
      <c r="E646" s="579">
        <f t="shared" ref="E646" si="35">C646/0.46*D646</f>
        <v>0</v>
      </c>
    </row>
    <row r="647" spans="2:5" ht="15.75" hidden="1" x14ac:dyDescent="0.25">
      <c r="B647" s="577" t="s">
        <v>260</v>
      </c>
      <c r="C647" s="577"/>
      <c r="D647" s="577"/>
      <c r="E647" s="579">
        <f>IF(E643&gt;E645,E643,E645)+E642+E644+E646</f>
        <v>0</v>
      </c>
    </row>
    <row r="648" spans="2:5" hidden="1" x14ac:dyDescent="0.25"/>
    <row r="649" spans="2:5" hidden="1" x14ac:dyDescent="0.25"/>
  </sheetData>
  <sheetProtection algorithmName="SHA-512" hashValue="LmWThf1nywOtJqxU/w+qgKD/pmYTi3pDwlGFbHPfyOQshvsOpy5jxSn1B2BHr0aJMRUzObKAPOtan2ELiHeGdw==" saltValue="R6KfFU/F5oAwZ9sz5T7/6w==" spinCount="100000" sheet="1" objects="1" scenarios="1"/>
  <dataConsolidate/>
  <mergeCells count="89">
    <mergeCell ref="B5:I5"/>
    <mergeCell ref="B6:I6"/>
    <mergeCell ref="B7:I7"/>
    <mergeCell ref="B8:I8"/>
    <mergeCell ref="H43:I44"/>
    <mergeCell ref="D33:E33"/>
    <mergeCell ref="F33:G33"/>
    <mergeCell ref="D36:E36"/>
    <mergeCell ref="F36:G36"/>
    <mergeCell ref="B36:B37"/>
    <mergeCell ref="E43:F43"/>
    <mergeCell ref="H36:I36"/>
    <mergeCell ref="H40:H41"/>
    <mergeCell ref="F38:F39"/>
    <mergeCell ref="H37:I37"/>
    <mergeCell ref="G38:G39"/>
    <mergeCell ref="B2:I3"/>
    <mergeCell ref="B4:I4"/>
    <mergeCell ref="J99:J100"/>
    <mergeCell ref="K99:K100"/>
    <mergeCell ref="D99:D100"/>
    <mergeCell ref="E99:E100"/>
    <mergeCell ref="F99:F100"/>
    <mergeCell ref="G99:G100"/>
    <mergeCell ref="H99:H100"/>
    <mergeCell ref="I99:I100"/>
    <mergeCell ref="C71:E71"/>
    <mergeCell ref="D11:F11"/>
    <mergeCell ref="D13:F13"/>
    <mergeCell ref="F15:G15"/>
    <mergeCell ref="D30:E30"/>
    <mergeCell ref="F30:G30"/>
    <mergeCell ref="H38:H39"/>
    <mergeCell ref="F40:F41"/>
    <mergeCell ref="G40:G41"/>
    <mergeCell ref="D34:E34"/>
    <mergeCell ref="F34:G34"/>
    <mergeCell ref="H34:I34"/>
    <mergeCell ref="D35:E35"/>
    <mergeCell ref="F35:G35"/>
    <mergeCell ref="H35:I35"/>
    <mergeCell ref="F25:G25"/>
    <mergeCell ref="F27:G27"/>
    <mergeCell ref="F29:G29"/>
    <mergeCell ref="C42:D42"/>
    <mergeCell ref="G42:I42"/>
    <mergeCell ref="D25:E25"/>
    <mergeCell ref="H30:I30"/>
    <mergeCell ref="D31:E31"/>
    <mergeCell ref="F31:G31"/>
    <mergeCell ref="H31:I31"/>
    <mergeCell ref="D32:E32"/>
    <mergeCell ref="F32:G32"/>
    <mergeCell ref="H32:I32"/>
    <mergeCell ref="D37:E37"/>
    <mergeCell ref="F37:G37"/>
    <mergeCell ref="H33:I33"/>
    <mergeCell ref="E575:F575"/>
    <mergeCell ref="G620:H620"/>
    <mergeCell ref="B72:B73"/>
    <mergeCell ref="B77:I79"/>
    <mergeCell ref="B99:C99"/>
    <mergeCell ref="D557:E557"/>
    <mergeCell ref="F557:G557"/>
    <mergeCell ref="H557:I557"/>
    <mergeCell ref="F91:G91"/>
    <mergeCell ref="F96:G96"/>
    <mergeCell ref="C154:F154"/>
    <mergeCell ref="C157:F157"/>
    <mergeCell ref="C159:F160"/>
    <mergeCell ref="C161:F162"/>
    <mergeCell ref="C163:F164"/>
    <mergeCell ref="C165:F165"/>
    <mergeCell ref="C177:F177"/>
    <mergeCell ref="C167:F167"/>
    <mergeCell ref="C169:F169"/>
    <mergeCell ref="C171:F171"/>
    <mergeCell ref="C173:F173"/>
    <mergeCell ref="C175:F175"/>
    <mergeCell ref="E54:F54"/>
    <mergeCell ref="E57:F57"/>
    <mergeCell ref="C64:D64"/>
    <mergeCell ref="C68:D68"/>
    <mergeCell ref="F71:G71"/>
    <mergeCell ref="G57:H57"/>
    <mergeCell ref="E59:F59"/>
    <mergeCell ref="G59:H59"/>
    <mergeCell ref="G54:H54"/>
    <mergeCell ref="G61:H61"/>
  </mergeCells>
  <conditionalFormatting sqref="J117">
    <cfRule type="cellIs" dxfId="76" priority="11" operator="lessThan">
      <formula>0</formula>
    </cfRule>
    <cfRule type="cellIs" dxfId="75" priority="12" operator="greaterThan">
      <formula>0</formula>
    </cfRule>
  </conditionalFormatting>
  <conditionalFormatting sqref="J124">
    <cfRule type="cellIs" dxfId="74" priority="9" operator="lessThan">
      <formula>0</formula>
    </cfRule>
    <cfRule type="cellIs" dxfId="73" priority="10" operator="greaterThan">
      <formula>0</formula>
    </cfRule>
  </conditionalFormatting>
  <dataValidations count="16">
    <dataValidation type="list" allowBlank="1" showInputMessage="1" showErrorMessage="1" sqref="H15" xr:uid="{00000000-0002-0000-0900-000000000000}">
      <formula1>INDIRECT(C233)</formula1>
    </dataValidation>
    <dataValidation type="list" allowBlank="1" showInputMessage="1" showErrorMessage="1" sqref="D15" xr:uid="{00000000-0002-0000-0900-000001000000}">
      <formula1>State</formula1>
    </dataValidation>
    <dataValidation type="list" allowBlank="1" showInputMessage="1" showErrorMessage="1" sqref="E43:F43" xr:uid="{00000000-0002-0000-0900-000002000000}">
      <formula1>Fertiliser</formula1>
    </dataValidation>
    <dataValidation type="list" allowBlank="1" showInputMessage="1" showErrorMessage="1" sqref="G54:H54" xr:uid="{00000000-0002-0000-0900-000003000000}">
      <formula1>Electricity</formula1>
    </dataValidation>
    <dataValidation type="list" allowBlank="1" showInputMessage="1" showErrorMessage="1" sqref="C68" xr:uid="{00000000-0002-0000-0900-000004000000}">
      <formula1>Trees</formula1>
    </dataValidation>
    <dataValidation type="list" allowBlank="1" showInputMessage="1" showErrorMessage="1" sqref="H68" xr:uid="{00000000-0002-0000-0900-000005000000}">
      <formula1>Rainfall</formula1>
    </dataValidation>
    <dataValidation type="list" allowBlank="1" showInputMessage="1" showErrorMessage="1" sqref="F71:G71" xr:uid="{00000000-0002-0000-0900-000006000000}">
      <formula1>Waste.Management</formula1>
    </dataValidation>
    <dataValidation type="list" allowBlank="1" showInputMessage="1" showErrorMessage="1" sqref="F91" xr:uid="{00000000-0002-0000-0900-000007000000}">
      <formula1>Milkers_Feedpad_Waste</formula1>
    </dataValidation>
    <dataValidation type="list" allowBlank="1" showInputMessage="1" showErrorMessage="1" sqref="F96" xr:uid="{00000000-0002-0000-0900-000008000000}">
      <formula1>Heifers_Feedpad_Waste</formula1>
    </dataValidation>
    <dataValidation type="list" allowBlank="1" showInputMessage="1" showErrorMessage="1" sqref="C64:D64" xr:uid="{00000000-0002-0000-0900-000009000000}">
      <formula1>Tree_Sequestration</formula1>
    </dataValidation>
    <dataValidation type="whole" allowBlank="1" showInputMessage="1" showErrorMessage="1" error="If the herd's average lactation length is greater than 365 days, you must put 365 here as the assessment is only for a 12 month period" sqref="D29" xr:uid="{00000000-0002-0000-0900-00000A000000}">
      <formula1>1</formula1>
      <formula2>365</formula2>
    </dataValidation>
    <dataValidation type="list" allowBlank="1" showInputMessage="1" showErrorMessage="1" sqref="D25:E25" xr:uid="{00000000-0002-0000-0900-00000B000000}">
      <formula1>Milk.production</formula1>
    </dataValidation>
    <dataValidation type="decimal" allowBlank="1" showInputMessage="1" showErrorMessage="1" sqref="D31:E36" xr:uid="{00000000-0002-0000-0900-00000C000000}">
      <formula1>0</formula1>
      <formula2>30</formula2>
    </dataValidation>
    <dataValidation type="decimal" allowBlank="1" showInputMessage="1" showErrorMessage="1" sqref="F30:G36" xr:uid="{00000000-0002-0000-0900-00000D000000}">
      <formula1>0</formula1>
      <formula2>95</formula2>
    </dataValidation>
    <dataValidation type="decimal" allowBlank="1" showInputMessage="1" showErrorMessage="1" sqref="H31:I36" xr:uid="{00000000-0002-0000-0900-00000E000000}">
      <formula1>0</formula1>
      <formula2>50</formula2>
    </dataValidation>
    <dataValidation type="list" allowBlank="1" showInputMessage="1" showErrorMessage="1" sqref="G87" xr:uid="{00000000-0002-0000-0900-00000F000000}">
      <formula1>Pre_treat</formula1>
    </dataValidation>
  </dataValidations>
  <hyperlinks>
    <hyperlink ref="B36:B37" location="'Feed quality table'!A1" display="Click here to go to the feed quality table" xr:uid="{00000000-0004-0000-0900-000000000000}"/>
    <hyperlink ref="H43:I44" location="'Fertiliser rates'!A1" display="Click here to work out fertiliser rates" xr:uid="{00000000-0004-0000-0900-000001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034" r:id="rId4" name="Spinner 122">
              <controlPr defaultSize="0" autoPict="0">
                <anchor moveWithCells="1" sizeWithCells="1">
                  <from>
                    <xdr:col>6</xdr:col>
                    <xdr:colOff>1000125</xdr:colOff>
                    <xdr:row>156</xdr:row>
                    <xdr:rowOff>9525</xdr:rowOff>
                  </from>
                  <to>
                    <xdr:col>6</xdr:col>
                    <xdr:colOff>1343025</xdr:colOff>
                    <xdr:row>156</xdr:row>
                    <xdr:rowOff>190500</xdr:rowOff>
                  </to>
                </anchor>
              </controlPr>
            </control>
          </mc:Choice>
        </mc:AlternateContent>
        <mc:AlternateContent xmlns:mc="http://schemas.openxmlformats.org/markup-compatibility/2006">
          <mc:Choice Requires="x14">
            <control shapeId="39035" r:id="rId5" name="Spinner 123">
              <controlPr defaultSize="0" autoPict="0">
                <anchor moveWithCells="1" sizeWithCells="1">
                  <from>
                    <xdr:col>6</xdr:col>
                    <xdr:colOff>1000125</xdr:colOff>
                    <xdr:row>158</xdr:row>
                    <xdr:rowOff>9525</xdr:rowOff>
                  </from>
                  <to>
                    <xdr:col>6</xdr:col>
                    <xdr:colOff>1343025</xdr:colOff>
                    <xdr:row>158</xdr:row>
                    <xdr:rowOff>190500</xdr:rowOff>
                  </to>
                </anchor>
              </controlPr>
            </control>
          </mc:Choice>
        </mc:AlternateContent>
        <mc:AlternateContent xmlns:mc="http://schemas.openxmlformats.org/markup-compatibility/2006">
          <mc:Choice Requires="x14">
            <control shapeId="39036" r:id="rId6" name="Spinner 124">
              <controlPr defaultSize="0" autoPict="0">
                <anchor moveWithCells="1" sizeWithCells="1">
                  <from>
                    <xdr:col>6</xdr:col>
                    <xdr:colOff>1000125</xdr:colOff>
                    <xdr:row>160</xdr:row>
                    <xdr:rowOff>9525</xdr:rowOff>
                  </from>
                  <to>
                    <xdr:col>6</xdr:col>
                    <xdr:colOff>1343025</xdr:colOff>
                    <xdr:row>160</xdr:row>
                    <xdr:rowOff>190500</xdr:rowOff>
                  </to>
                </anchor>
              </controlPr>
            </control>
          </mc:Choice>
        </mc:AlternateContent>
        <mc:AlternateContent xmlns:mc="http://schemas.openxmlformats.org/markup-compatibility/2006">
          <mc:Choice Requires="x14">
            <control shapeId="39037" r:id="rId7" name="Spinner 125">
              <controlPr defaultSize="0" autoPict="0">
                <anchor moveWithCells="1" sizeWithCells="1">
                  <from>
                    <xdr:col>6</xdr:col>
                    <xdr:colOff>1000125</xdr:colOff>
                    <xdr:row>162</xdr:row>
                    <xdr:rowOff>9525</xdr:rowOff>
                  </from>
                  <to>
                    <xdr:col>6</xdr:col>
                    <xdr:colOff>1343025</xdr:colOff>
                    <xdr:row>162</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58" operator="equal" id="{9C3C8F56-BC4E-45FF-B8F2-3B76A6C07880}">
            <xm:f>'Baseline farm'!D10</xm:f>
            <x14:dxf/>
          </x14:cfRule>
          <x14:cfRule type="cellIs" priority="165" operator="notEqual" id="{01F63918-6BA4-43C9-9BB3-371CA8212D2C}">
            <xm:f>'Baseline farm'!D10</xm:f>
            <x14:dxf>
              <font>
                <b/>
                <i val="0"/>
                <color theme="0"/>
              </font>
              <fill>
                <patternFill>
                  <bgColor rgb="FFFF0000"/>
                </patternFill>
              </fill>
            </x14:dxf>
          </x14:cfRule>
          <xm:sqref>D11:F11 D13:F13 H13</xm:sqref>
        </x14:conditionalFormatting>
        <x14:conditionalFormatting xmlns:xm="http://schemas.microsoft.com/office/excel/2006/main">
          <x14:cfRule type="cellIs" priority="157" operator="equal" id="{89BEEF9F-D57D-44E3-8D5A-3995AADBB33E}">
            <xm:f>'Baseline farm'!H10</xm:f>
            <x14:dxf/>
          </x14:cfRule>
          <x14:cfRule type="cellIs" priority="161" operator="notEqual" id="{794D3117-1EF9-40D7-83BF-1B19ADCA0CD8}">
            <xm:f>'Baseline farm'!$H$10</xm:f>
            <x14:dxf>
              <font>
                <b/>
                <i val="0"/>
                <color rgb="FFFF0000"/>
              </font>
              <fill>
                <patternFill>
                  <bgColor theme="0" tint="-0.14996795556505021"/>
                </patternFill>
              </fill>
            </x14:dxf>
          </x14:cfRule>
          <xm:sqref>H11</xm:sqref>
        </x14:conditionalFormatting>
        <x14:conditionalFormatting xmlns:xm="http://schemas.microsoft.com/office/excel/2006/main">
          <x14:cfRule type="cellIs" priority="153" operator="notEqual" id="{94788983-D410-4905-A3CB-784F1F0FB0CA}">
            <xm:f>'Baseline farm'!$D$14</xm:f>
            <x14:dxf>
              <font>
                <b/>
                <i val="0"/>
                <color theme="0"/>
              </font>
              <fill>
                <patternFill>
                  <bgColor rgb="FFFF0000"/>
                </patternFill>
              </fill>
            </x14:dxf>
          </x14:cfRule>
          <x14:cfRule type="cellIs" priority="154" operator="equal" id="{7427BB03-F031-4139-977D-1902D6ACDBC7}">
            <xm:f>'Baseline farm'!$D$14</xm:f>
            <x14:dxf/>
          </x14:cfRule>
          <xm:sqref>D15</xm:sqref>
        </x14:conditionalFormatting>
        <x14:conditionalFormatting xmlns:xm="http://schemas.microsoft.com/office/excel/2006/main">
          <x14:cfRule type="cellIs" priority="151" operator="notEqual" id="{5F7F6290-6771-4BC8-912B-F1769FD1398E}">
            <xm:f>'Baseline farm'!$H$14</xm:f>
            <x14:dxf>
              <font>
                <b/>
                <i val="0"/>
                <color theme="0"/>
              </font>
              <fill>
                <patternFill>
                  <bgColor rgb="FFFF0000"/>
                </patternFill>
              </fill>
            </x14:dxf>
          </x14:cfRule>
          <x14:cfRule type="cellIs" priority="152" operator="equal" id="{DCE9A9C3-0D09-40EE-BC85-D67C01160DB0}">
            <xm:f>'Baseline farm'!$H$14</xm:f>
            <x14:dxf/>
          </x14:cfRule>
          <xm:sqref>H15</xm:sqref>
        </x14:conditionalFormatting>
        <x14:conditionalFormatting xmlns:xm="http://schemas.microsoft.com/office/excel/2006/main">
          <x14:cfRule type="cellIs" priority="41" operator="notEqual" id="{9239D202-6A65-41EF-BC9C-7824499B4EA7}">
            <xm:f>'Baseline farm'!$D$17</xm:f>
            <x14:dxf>
              <font>
                <b/>
                <i val="0"/>
                <color theme="0"/>
              </font>
              <fill>
                <patternFill>
                  <bgColor rgb="FFFF0000"/>
                </patternFill>
              </fill>
            </x14:dxf>
          </x14:cfRule>
          <x14:cfRule type="cellIs" priority="149" operator="notEqual" id="{990E7605-A803-41DC-AF5A-17E7AB420D4A}">
            <xm:f>'Baseline farm'!$D$17</xm:f>
            <x14:dxf>
              <font>
                <b/>
                <i val="0"/>
                <color theme="0"/>
              </font>
              <fill>
                <patternFill>
                  <bgColor rgb="FFFF0000"/>
                </patternFill>
              </fill>
            </x14:dxf>
          </x14:cfRule>
          <xm:sqref>D18</xm:sqref>
        </x14:conditionalFormatting>
        <x14:conditionalFormatting xmlns:xm="http://schemas.microsoft.com/office/excel/2006/main">
          <x14:cfRule type="cellIs" priority="38" operator="notEqual" id="{0C4BD277-F43D-4761-A688-5F64DBED2821}">
            <xm:f>'Baseline farm'!$G$17</xm:f>
            <x14:dxf>
              <font>
                <b/>
                <i val="0"/>
                <color theme="0"/>
              </font>
              <fill>
                <patternFill>
                  <bgColor rgb="FFFF0000"/>
                </patternFill>
              </fill>
            </x14:dxf>
          </x14:cfRule>
          <x14:cfRule type="cellIs" priority="139" operator="notEqual" id="{784596E2-324A-40B3-892B-1602493C2FAE}">
            <xm:f>'Baseline farm'!$G$17</xm:f>
            <x14:dxf>
              <font>
                <b/>
                <i val="0"/>
                <color theme="0"/>
              </font>
              <fill>
                <patternFill>
                  <bgColor rgb="FFFF0000"/>
                </patternFill>
              </fill>
            </x14:dxf>
          </x14:cfRule>
          <xm:sqref>G18</xm:sqref>
        </x14:conditionalFormatting>
        <x14:conditionalFormatting xmlns:xm="http://schemas.microsoft.com/office/excel/2006/main">
          <x14:cfRule type="cellIs" priority="35" operator="notEqual" id="{D81EA63D-D41A-4AC1-A1DD-BEE3655B4746}">
            <xm:f>'Baseline farm'!$D$19</xm:f>
            <x14:dxf>
              <font>
                <b/>
                <i val="0"/>
                <color theme="0"/>
              </font>
              <fill>
                <patternFill>
                  <bgColor rgb="FFFF0000"/>
                </patternFill>
              </fill>
            </x14:dxf>
          </x14:cfRule>
          <x14:cfRule type="cellIs" priority="135" operator="notEqual" id="{5BA0CC23-49DB-4FD8-BEE2-8B06142B6324}">
            <xm:f>'Baseline farm'!$D$19</xm:f>
            <x14:dxf>
              <font>
                <b/>
                <i val="0"/>
                <color theme="0"/>
              </font>
              <fill>
                <patternFill>
                  <bgColor rgb="FFFF0000"/>
                </patternFill>
              </fill>
            </x14:dxf>
          </x14:cfRule>
          <xm:sqref>D20</xm:sqref>
        </x14:conditionalFormatting>
        <x14:conditionalFormatting xmlns:xm="http://schemas.microsoft.com/office/excel/2006/main">
          <x14:cfRule type="cellIs" priority="34" operator="notEqual" id="{5449FF19-B78F-46F9-AAFC-2535C0387050}">
            <xm:f>'Baseline farm'!$E$19</xm:f>
            <x14:dxf>
              <font>
                <b/>
                <i val="0"/>
                <color theme="0"/>
              </font>
              <fill>
                <patternFill>
                  <bgColor rgb="FFFF0000"/>
                </patternFill>
              </fill>
            </x14:dxf>
          </x14:cfRule>
          <x14:cfRule type="cellIs" priority="133" operator="notEqual" id="{7D4D05DA-D426-4BED-849F-83AB17ACD33F}">
            <xm:f>'Baseline farm'!$E$19</xm:f>
            <x14:dxf>
              <font>
                <b/>
                <i val="0"/>
                <color theme="0"/>
              </font>
              <fill>
                <patternFill>
                  <bgColor rgb="FFFF0000"/>
                </patternFill>
              </fill>
            </x14:dxf>
          </x14:cfRule>
          <xm:sqref>E20</xm:sqref>
        </x14:conditionalFormatting>
        <x14:conditionalFormatting xmlns:xm="http://schemas.microsoft.com/office/excel/2006/main">
          <x14:cfRule type="cellIs" priority="33" operator="notEqual" id="{EFF888A6-CEDB-4E5A-9318-67A51887F617}">
            <xm:f>'Baseline farm'!$F$19</xm:f>
            <x14:dxf>
              <font>
                <b/>
                <i val="0"/>
                <color theme="0"/>
              </font>
              <fill>
                <patternFill>
                  <bgColor rgb="FFFF0000"/>
                </patternFill>
              </fill>
            </x14:dxf>
          </x14:cfRule>
          <x14:cfRule type="cellIs" priority="131" operator="notEqual" id="{DE5B0501-3BB1-418F-BFF4-84C15DC6C6D2}">
            <xm:f>'Baseline farm'!$F$19</xm:f>
            <x14:dxf>
              <font>
                <b/>
                <i val="0"/>
                <color theme="0"/>
              </font>
              <fill>
                <patternFill>
                  <bgColor rgb="FFFF0000"/>
                </patternFill>
              </fill>
            </x14:dxf>
          </x14:cfRule>
          <xm:sqref>F20</xm:sqref>
        </x14:conditionalFormatting>
        <x14:conditionalFormatting xmlns:xm="http://schemas.microsoft.com/office/excel/2006/main">
          <x14:cfRule type="cellIs" priority="32" operator="notEqual" id="{5AC3F546-1A92-48F4-ADCC-D9D03B0698C4}">
            <xm:f>'Baseline farm'!$G$19</xm:f>
            <x14:dxf>
              <font>
                <b/>
                <i val="0"/>
                <color theme="0"/>
              </font>
              <fill>
                <patternFill>
                  <bgColor rgb="FFFF0000"/>
                </patternFill>
              </fill>
            </x14:dxf>
          </x14:cfRule>
          <x14:cfRule type="cellIs" priority="130" operator="notEqual" id="{3F293713-F9D4-4B84-A041-4614B6FB757A}">
            <xm:f>'Baseline farm'!$G$19</xm:f>
            <x14:dxf>
              <font>
                <b/>
                <i val="0"/>
                <color theme="0"/>
              </font>
              <fill>
                <patternFill>
                  <bgColor rgb="FFFF0000"/>
                </patternFill>
              </fill>
            </x14:dxf>
          </x14:cfRule>
          <xm:sqref>G20</xm:sqref>
        </x14:conditionalFormatting>
        <x14:conditionalFormatting xmlns:xm="http://schemas.microsoft.com/office/excel/2006/main">
          <x14:cfRule type="cellIs" priority="31" operator="notEqual" id="{6D754F81-CCB3-4979-B452-9554FE8F3B20}">
            <xm:f>'Baseline farm'!$H$19</xm:f>
            <x14:dxf>
              <font>
                <b/>
                <i val="0"/>
                <color theme="0"/>
              </font>
              <fill>
                <patternFill>
                  <bgColor rgb="FFFF0000"/>
                </patternFill>
              </fill>
            </x14:dxf>
          </x14:cfRule>
          <x14:cfRule type="cellIs" priority="129" operator="notEqual" id="{D6F482FD-74AF-4C37-885D-5F1F853C9A8C}">
            <xm:f>'Baseline farm'!$H$19</xm:f>
            <x14:dxf>
              <font>
                <b/>
                <i val="0"/>
                <color theme="0"/>
              </font>
              <fill>
                <patternFill>
                  <bgColor rgb="FFFF0000"/>
                </patternFill>
              </fill>
            </x14:dxf>
          </x14:cfRule>
          <xm:sqref>H20</xm:sqref>
        </x14:conditionalFormatting>
        <x14:conditionalFormatting xmlns:xm="http://schemas.microsoft.com/office/excel/2006/main">
          <x14:cfRule type="cellIs" priority="30" operator="notEqual" id="{7AA72AE9-94F5-46A6-94E2-6590BF3FCCF7}">
            <xm:f>'Baseline farm'!$E$21</xm:f>
            <x14:dxf>
              <font>
                <b/>
                <i val="0"/>
                <color theme="0"/>
              </font>
              <fill>
                <patternFill>
                  <bgColor rgb="FFFF0000"/>
                </patternFill>
              </fill>
            </x14:dxf>
          </x14:cfRule>
          <x14:cfRule type="cellIs" priority="128" operator="notEqual" id="{C6C2B960-A3EC-4534-9165-316B1F194401}">
            <xm:f>'Baseline farm'!$E$21</xm:f>
            <x14:dxf>
              <font>
                <b/>
                <i val="0"/>
                <color theme="0"/>
              </font>
              <fill>
                <patternFill>
                  <bgColor rgb="FFFF0000"/>
                </patternFill>
              </fill>
            </x14:dxf>
          </x14:cfRule>
          <xm:sqref>E22</xm:sqref>
        </x14:conditionalFormatting>
        <x14:conditionalFormatting xmlns:xm="http://schemas.microsoft.com/office/excel/2006/main">
          <x14:cfRule type="cellIs" priority="29" operator="notEqual" id="{D69DBC54-851E-4816-B620-B6141F51AEA8}">
            <xm:f>'Baseline farm'!$F$21</xm:f>
            <x14:dxf>
              <font>
                <b/>
                <i val="0"/>
                <color theme="0"/>
              </font>
              <fill>
                <patternFill>
                  <bgColor rgb="FFFF0000"/>
                </patternFill>
              </fill>
            </x14:dxf>
          </x14:cfRule>
          <x14:cfRule type="cellIs" priority="127" operator="notEqual" id="{89C3A81F-6AFB-4AD1-BAA9-267E16E9F885}">
            <xm:f>'Baseline farm'!$F$21</xm:f>
            <x14:dxf>
              <font>
                <b/>
                <i val="0"/>
                <color theme="0"/>
              </font>
              <fill>
                <patternFill>
                  <bgColor rgb="FFFF0000"/>
                </patternFill>
              </fill>
            </x14:dxf>
          </x14:cfRule>
          <xm:sqref>F22</xm:sqref>
        </x14:conditionalFormatting>
        <x14:conditionalFormatting xmlns:xm="http://schemas.microsoft.com/office/excel/2006/main">
          <x14:cfRule type="cellIs" priority="28" operator="notEqual" id="{62F192B0-DA77-45CE-860B-2C5F1CA00493}">
            <xm:f>'Baseline farm'!$H$21</xm:f>
            <x14:dxf>
              <font>
                <b/>
                <i val="0"/>
                <color theme="0"/>
              </font>
              <fill>
                <patternFill>
                  <bgColor rgb="FFFF0000"/>
                </patternFill>
              </fill>
            </x14:dxf>
          </x14:cfRule>
          <x14:cfRule type="cellIs" priority="126" operator="notEqual" id="{52E2BAB7-F7A8-429A-95ED-93114226A138}">
            <xm:f>'Baseline farm'!$H$21</xm:f>
            <x14:dxf>
              <font>
                <b/>
                <i val="0"/>
                <color theme="0"/>
              </font>
              <fill>
                <patternFill>
                  <bgColor rgb="FFFF0000"/>
                </patternFill>
              </fill>
            </x14:dxf>
          </x14:cfRule>
          <xm:sqref>H22</xm:sqref>
        </x14:conditionalFormatting>
        <x14:conditionalFormatting xmlns:xm="http://schemas.microsoft.com/office/excel/2006/main">
          <x14:cfRule type="cellIs" priority="125" operator="notEqual" id="{39D65CA7-812E-4ED4-854C-465C11751033}">
            <xm:f>'Baseline farm'!$D$30</xm:f>
            <x14:dxf>
              <font>
                <b/>
                <i val="0"/>
                <color theme="0"/>
              </font>
              <fill>
                <patternFill>
                  <bgColor rgb="FFFF0000"/>
                </patternFill>
              </fill>
            </x14:dxf>
          </x14:cfRule>
          <xm:sqref>D31:E31</xm:sqref>
        </x14:conditionalFormatting>
        <x14:conditionalFormatting xmlns:xm="http://schemas.microsoft.com/office/excel/2006/main">
          <x14:cfRule type="cellIs" priority="124" operator="notEqual" id="{03A14A8B-8E44-486A-8FE7-0575AF5BA46A}">
            <xm:f>'Baseline farm'!$F$30</xm:f>
            <x14:dxf>
              <font>
                <b/>
                <i val="0"/>
                <color theme="0"/>
              </font>
              <fill>
                <patternFill>
                  <bgColor rgb="FFFF0000"/>
                </patternFill>
              </fill>
            </x14:dxf>
          </x14:cfRule>
          <xm:sqref>F31:G31</xm:sqref>
        </x14:conditionalFormatting>
        <x14:conditionalFormatting xmlns:xm="http://schemas.microsoft.com/office/excel/2006/main">
          <x14:cfRule type="cellIs" priority="123" operator="notEqual" id="{D7FC6227-4D3D-4D69-BED0-F8FB10E346FC}">
            <xm:f>'Baseline farm'!$H$30</xm:f>
            <x14:dxf>
              <font>
                <b/>
                <i val="0"/>
                <color theme="0"/>
              </font>
              <fill>
                <patternFill>
                  <bgColor rgb="FFFF0000"/>
                </patternFill>
              </fill>
            </x14:dxf>
          </x14:cfRule>
          <xm:sqref>H31</xm:sqref>
        </x14:conditionalFormatting>
        <x14:conditionalFormatting xmlns:xm="http://schemas.microsoft.com/office/excel/2006/main">
          <x14:cfRule type="cellIs" priority="122" operator="notEqual" id="{C850AA0A-7483-4F7A-A914-C318CC5D3DC5}">
            <xm:f>'Baseline farm'!$D$31</xm:f>
            <x14:dxf>
              <font>
                <b/>
                <i val="0"/>
                <color theme="0"/>
              </font>
              <fill>
                <patternFill>
                  <bgColor rgb="FFFF0000"/>
                </patternFill>
              </fill>
            </x14:dxf>
          </x14:cfRule>
          <xm:sqref>D32:E32</xm:sqref>
        </x14:conditionalFormatting>
        <x14:conditionalFormatting xmlns:xm="http://schemas.microsoft.com/office/excel/2006/main">
          <x14:cfRule type="cellIs" priority="121" operator="notEqual" id="{F2C4B553-7404-40B0-A780-C093CCCA3623}">
            <xm:f>'Baseline farm'!$F$31</xm:f>
            <x14:dxf>
              <font>
                <b/>
                <i val="0"/>
                <color theme="0"/>
              </font>
              <fill>
                <patternFill>
                  <bgColor rgb="FFFF0000"/>
                </patternFill>
              </fill>
            </x14:dxf>
          </x14:cfRule>
          <xm:sqref>F32:G32</xm:sqref>
        </x14:conditionalFormatting>
        <x14:conditionalFormatting xmlns:xm="http://schemas.microsoft.com/office/excel/2006/main">
          <x14:cfRule type="cellIs" priority="120" operator="notEqual" id="{884508F8-6E7F-4795-AF11-AA5FA4E043A0}">
            <xm:f>'Baseline farm'!$H$31</xm:f>
            <x14:dxf>
              <font>
                <b/>
                <i val="0"/>
                <color theme="0"/>
              </font>
              <fill>
                <patternFill>
                  <bgColor rgb="FFFF0000"/>
                </patternFill>
              </fill>
            </x14:dxf>
          </x14:cfRule>
          <xm:sqref>H32:I32</xm:sqref>
        </x14:conditionalFormatting>
        <x14:conditionalFormatting xmlns:xm="http://schemas.microsoft.com/office/excel/2006/main">
          <x14:cfRule type="cellIs" priority="119" operator="notEqual" id="{2411E8B9-A059-46CD-9352-E4D7842275C1}">
            <xm:f>'Baseline farm'!$D$32</xm:f>
            <x14:dxf>
              <font>
                <b/>
                <i val="0"/>
                <color theme="0"/>
              </font>
              <fill>
                <patternFill>
                  <bgColor rgb="FFFF0000"/>
                </patternFill>
              </fill>
            </x14:dxf>
          </x14:cfRule>
          <xm:sqref>D33:E33</xm:sqref>
        </x14:conditionalFormatting>
        <x14:conditionalFormatting xmlns:xm="http://schemas.microsoft.com/office/excel/2006/main">
          <x14:cfRule type="cellIs" priority="118" operator="notEqual" id="{58860ACB-6E73-4BA9-B169-0C1970F6A66E}">
            <xm:f>'Baseline farm'!$F$32</xm:f>
            <x14:dxf>
              <font>
                <b/>
                <i val="0"/>
                <color theme="0"/>
              </font>
              <fill>
                <patternFill>
                  <bgColor rgb="FFFF0000"/>
                </patternFill>
              </fill>
            </x14:dxf>
          </x14:cfRule>
          <xm:sqref>F33:G33</xm:sqref>
        </x14:conditionalFormatting>
        <x14:conditionalFormatting xmlns:xm="http://schemas.microsoft.com/office/excel/2006/main">
          <x14:cfRule type="cellIs" priority="117" operator="notEqual" id="{FC9806A9-2FE8-4629-A8FA-FA3F7DFE2C5A}">
            <xm:f>'Baseline farm'!$H$32</xm:f>
            <x14:dxf>
              <font>
                <b/>
                <i val="0"/>
                <color theme="0"/>
              </font>
              <fill>
                <patternFill>
                  <bgColor rgb="FFFF0000"/>
                </patternFill>
              </fill>
            </x14:dxf>
          </x14:cfRule>
          <xm:sqref>H33:I33</xm:sqref>
        </x14:conditionalFormatting>
        <x14:conditionalFormatting xmlns:xm="http://schemas.microsoft.com/office/excel/2006/main">
          <x14:cfRule type="cellIs" priority="116" operator="notEqual" id="{DA000741-B6ED-4787-A3AC-2F983EE4C0E1}">
            <xm:f>'Baseline farm'!$D$33</xm:f>
            <x14:dxf>
              <font>
                <b/>
                <i val="0"/>
                <color theme="0"/>
              </font>
              <fill>
                <patternFill>
                  <bgColor rgb="FFFF0000"/>
                </patternFill>
              </fill>
            </x14:dxf>
          </x14:cfRule>
          <xm:sqref>D34:E34</xm:sqref>
        </x14:conditionalFormatting>
        <x14:conditionalFormatting xmlns:xm="http://schemas.microsoft.com/office/excel/2006/main">
          <x14:cfRule type="cellIs" priority="115" operator="notEqual" id="{5A66475B-CD78-4AB4-BD3E-EA269C194A6F}">
            <xm:f>'Baseline farm'!$F$33</xm:f>
            <x14:dxf>
              <font>
                <b/>
                <i val="0"/>
                <color theme="0"/>
              </font>
              <fill>
                <patternFill>
                  <bgColor rgb="FFFF0000"/>
                </patternFill>
              </fill>
            </x14:dxf>
          </x14:cfRule>
          <xm:sqref>F34:G34</xm:sqref>
        </x14:conditionalFormatting>
        <x14:conditionalFormatting xmlns:xm="http://schemas.microsoft.com/office/excel/2006/main">
          <x14:cfRule type="cellIs" priority="114" operator="notEqual" id="{5A6B7627-2872-4DFA-88BC-FB0157EED20B}">
            <xm:f>'Baseline farm'!$H$33</xm:f>
            <x14:dxf>
              <font>
                <b/>
                <i val="0"/>
                <color theme="0"/>
              </font>
              <fill>
                <patternFill>
                  <bgColor rgb="FFFF0000"/>
                </patternFill>
              </fill>
            </x14:dxf>
          </x14:cfRule>
          <xm:sqref>H34:I34</xm:sqref>
        </x14:conditionalFormatting>
        <x14:conditionalFormatting xmlns:xm="http://schemas.microsoft.com/office/excel/2006/main">
          <x14:cfRule type="cellIs" priority="113" operator="notEqual" id="{578F8D8A-2CC2-4DEB-A8E8-70F155143622}">
            <xm:f>'Baseline farm'!$D$34</xm:f>
            <x14:dxf>
              <font>
                <b/>
                <i val="0"/>
                <color theme="0"/>
              </font>
              <fill>
                <patternFill>
                  <bgColor rgb="FFFF0000"/>
                </patternFill>
              </fill>
            </x14:dxf>
          </x14:cfRule>
          <xm:sqref>D35:E35</xm:sqref>
        </x14:conditionalFormatting>
        <x14:conditionalFormatting xmlns:xm="http://schemas.microsoft.com/office/excel/2006/main">
          <x14:cfRule type="cellIs" priority="112" operator="notEqual" id="{25D68A43-86B9-438F-A3E8-A3C0126E1ED5}">
            <xm:f>'Baseline farm'!$F$34</xm:f>
            <x14:dxf>
              <font>
                <b/>
                <i val="0"/>
                <color theme="0"/>
              </font>
              <fill>
                <patternFill>
                  <bgColor rgb="FFFF0000"/>
                </patternFill>
              </fill>
            </x14:dxf>
          </x14:cfRule>
          <xm:sqref>F35:G35</xm:sqref>
        </x14:conditionalFormatting>
        <x14:conditionalFormatting xmlns:xm="http://schemas.microsoft.com/office/excel/2006/main">
          <x14:cfRule type="cellIs" priority="111" operator="notEqual" id="{62A1D74D-6759-4EE0-BC84-A15311B81AB2}">
            <xm:f>'Baseline farm'!$H$34</xm:f>
            <x14:dxf>
              <font>
                <b/>
                <i val="0"/>
                <color theme="0"/>
              </font>
              <fill>
                <patternFill>
                  <bgColor rgb="FFFF0000"/>
                </patternFill>
              </fill>
            </x14:dxf>
          </x14:cfRule>
          <xm:sqref>H35:I35</xm:sqref>
        </x14:conditionalFormatting>
        <x14:conditionalFormatting xmlns:xm="http://schemas.microsoft.com/office/excel/2006/main">
          <x14:cfRule type="cellIs" priority="27" operator="notEqual" id="{123F937C-FF89-459D-ADCD-87CA02621568}">
            <xm:f>'Baseline farm'!$D$38</xm:f>
            <x14:dxf>
              <font>
                <b/>
                <i val="0"/>
                <color theme="0"/>
              </font>
              <fill>
                <patternFill>
                  <bgColor rgb="FFFF0000"/>
                </patternFill>
              </fill>
            </x14:dxf>
          </x14:cfRule>
          <x14:cfRule type="cellIs" priority="104" operator="notEqual" id="{88ED2836-21D6-409B-B4DE-20C791AD57F2}">
            <xm:f>'Baseline farm'!$D$38</xm:f>
            <x14:dxf>
              <font>
                <b/>
                <i val="0"/>
                <color theme="0"/>
              </font>
              <fill>
                <patternFill>
                  <bgColor rgb="FFFF0000"/>
                </patternFill>
              </fill>
            </x14:dxf>
          </x14:cfRule>
          <xm:sqref>D39</xm:sqref>
        </x14:conditionalFormatting>
        <x14:conditionalFormatting xmlns:xm="http://schemas.microsoft.com/office/excel/2006/main">
          <x14:cfRule type="cellIs" priority="26" operator="notEqual" id="{84FF14C5-CAB2-4EE8-BBAE-E6A99FE87C9E}">
            <xm:f>'Baseline farm'!$D$39</xm:f>
            <x14:dxf>
              <font>
                <b/>
                <i val="0"/>
                <color theme="0"/>
              </font>
              <fill>
                <patternFill>
                  <bgColor rgb="FFFF0000"/>
                </patternFill>
              </fill>
            </x14:dxf>
          </x14:cfRule>
          <x14:cfRule type="cellIs" priority="103" operator="notEqual" id="{58A274A0-44D8-4A62-AEFC-FBDE905A5243}">
            <xm:f>'Baseline farm'!$D$39</xm:f>
            <x14:dxf>
              <font>
                <b/>
                <i val="0"/>
                <color theme="0"/>
              </font>
              <fill>
                <patternFill>
                  <bgColor rgb="FFFF0000"/>
                </patternFill>
              </fill>
            </x14:dxf>
          </x14:cfRule>
          <xm:sqref>D40</xm:sqref>
        </x14:conditionalFormatting>
        <x14:conditionalFormatting xmlns:xm="http://schemas.microsoft.com/office/excel/2006/main">
          <x14:cfRule type="cellIs" priority="67" operator="notEqual" id="{DE16E047-AC8C-4416-B88B-19EFEC97E87A}">
            <xm:f>'Baseline farm'!C24</xm:f>
            <x14:dxf>
              <font>
                <b/>
                <i val="0"/>
                <color theme="0"/>
              </font>
              <fill>
                <patternFill>
                  <bgColor rgb="FFFF0000"/>
                </patternFill>
              </fill>
            </x14:dxf>
          </x14:cfRule>
          <xm:sqref>D66 H66 C68:D68 C57 C59 C61 G57:H57 G59:H59 G61:H61 C54:C55 C50:C51 E50:H51 G84 C46:C47 D27 D29 H25 H27 G81:H81 G94:H94 G87 G89:H89</xm:sqref>
        </x14:conditionalFormatting>
        <x14:conditionalFormatting xmlns:xm="http://schemas.microsoft.com/office/excel/2006/main">
          <x14:cfRule type="cellIs" priority="57" operator="notEqual" id="{7DC442C4-5CFC-455B-BF92-2E4491F0409B}">
            <xm:f>'Baseline farm'!$G$53</xm:f>
            <x14:dxf>
              <font>
                <b/>
                <i val="0"/>
                <color theme="0"/>
              </font>
              <fill>
                <patternFill>
                  <bgColor rgb="FFFF0000"/>
                </patternFill>
              </fill>
            </x14:dxf>
          </x14:cfRule>
          <xm:sqref>G54:H54</xm:sqref>
        </x14:conditionalFormatting>
        <x14:conditionalFormatting xmlns:xm="http://schemas.microsoft.com/office/excel/2006/main">
          <x14:cfRule type="cellIs" priority="55" operator="notEqual" id="{A893C8EF-A9C4-4602-8872-628AFF99AE5A}">
            <xm:f>'Baseline farm'!$H$67</xm:f>
            <x14:dxf>
              <font>
                <b/>
                <i val="0"/>
                <color theme="0"/>
              </font>
              <fill>
                <patternFill>
                  <bgColor rgb="FFFF0000"/>
                </patternFill>
              </fill>
            </x14:dxf>
          </x14:cfRule>
          <xm:sqref>H68</xm:sqref>
        </x14:conditionalFormatting>
        <x14:conditionalFormatting xmlns:xm="http://schemas.microsoft.com/office/excel/2006/main">
          <x14:cfRule type="cellIs" priority="54" operator="notEqual" id="{68C960E8-EDD1-4D2F-B6E5-1A9CC392A1D8}">
            <xm:f>'Baseline farm'!$F$70</xm:f>
            <x14:dxf>
              <font>
                <b/>
                <i val="0"/>
                <color theme="0"/>
              </font>
              <fill>
                <patternFill>
                  <bgColor rgb="FFFF0000"/>
                </patternFill>
              </fill>
            </x14:dxf>
          </x14:cfRule>
          <xm:sqref>F71:G71</xm:sqref>
        </x14:conditionalFormatting>
        <x14:conditionalFormatting xmlns:xm="http://schemas.microsoft.com/office/excel/2006/main">
          <x14:cfRule type="cellIs" priority="48" operator="notEqual" id="{412E16BD-F0E6-4149-9AD5-7FDACF32C389}">
            <xm:f>'Baseline farm'!$C$63</xm:f>
            <x14:dxf>
              <font>
                <b/>
                <i val="0"/>
                <color theme="0"/>
              </font>
              <fill>
                <patternFill>
                  <bgColor rgb="FFFF0000"/>
                </patternFill>
              </fill>
            </x14:dxf>
          </x14:cfRule>
          <xm:sqref>C64:D64</xm:sqref>
        </x14:conditionalFormatting>
        <x14:conditionalFormatting xmlns:xm="http://schemas.microsoft.com/office/excel/2006/main">
          <x14:cfRule type="cellIs" priority="40" operator="notEqual" id="{E519507D-030A-462B-BFE5-72CD7CA69281}">
            <xm:f>'Baseline farm'!$E$17</xm:f>
            <x14:dxf>
              <font>
                <b/>
                <i val="0"/>
                <color theme="0"/>
              </font>
              <fill>
                <patternFill>
                  <bgColor rgb="FFFF0000"/>
                </patternFill>
              </fill>
            </x14:dxf>
          </x14:cfRule>
          <x14:cfRule type="cellIs" priority="43" operator="notEqual" id="{4786BC17-EE38-4351-938C-0362742F776C}">
            <xm:f>'Baseline farm'!$E$17</xm:f>
            <x14:dxf>
              <font>
                <b/>
                <i val="0"/>
                <color theme="0"/>
              </font>
              <fill>
                <patternFill>
                  <bgColor rgb="FFFF0000"/>
                </patternFill>
              </fill>
            </x14:dxf>
          </x14:cfRule>
          <xm:sqref>E18</xm:sqref>
        </x14:conditionalFormatting>
        <x14:conditionalFormatting xmlns:xm="http://schemas.microsoft.com/office/excel/2006/main">
          <x14:cfRule type="cellIs" priority="39" operator="notEqual" id="{4B94D810-0556-4FCF-AD14-D66FBEFA02E6}">
            <xm:f>'Baseline farm'!$F$17</xm:f>
            <x14:dxf>
              <font>
                <b/>
                <i val="0"/>
                <color theme="0"/>
              </font>
              <fill>
                <patternFill>
                  <bgColor rgb="FFFF0000"/>
                </patternFill>
              </fill>
            </x14:dxf>
          </x14:cfRule>
          <x14:cfRule type="cellIs" priority="42" operator="notEqual" id="{A05A0D36-6F33-4209-99CC-A9E33243CEAC}">
            <xm:f>'Baseline farm'!$F$17</xm:f>
            <x14:dxf>
              <font>
                <b/>
                <i val="0"/>
                <color theme="0"/>
              </font>
              <fill>
                <patternFill>
                  <bgColor rgb="FFFF0000"/>
                </patternFill>
              </fill>
            </x14:dxf>
          </x14:cfRule>
          <xm:sqref>F18</xm:sqref>
        </x14:conditionalFormatting>
        <x14:conditionalFormatting xmlns:xm="http://schemas.microsoft.com/office/excel/2006/main">
          <x14:cfRule type="cellIs" priority="285" operator="notEqual" id="{DE16E047-AC8C-4416-B88B-19EFEC97E87A}">
            <xm:f>'Baseline farm'!#REF!</xm:f>
            <x14:dxf>
              <font>
                <b/>
                <i val="0"/>
                <color theme="0"/>
              </font>
              <fill>
                <patternFill>
                  <bgColor rgb="FFFF0000"/>
                </patternFill>
              </fill>
            </x14:dxf>
          </x14:cfRule>
          <xm:sqref>D25</xm:sqref>
        </x14:conditionalFormatting>
        <x14:conditionalFormatting xmlns:xm="http://schemas.microsoft.com/office/excel/2006/main">
          <x14:cfRule type="cellIs" priority="336" operator="notEqual" id="{A97AFA4F-8098-464E-995E-3A68D7E3FD52}">
            <xm:f>'Baseline farm'!$E$42</xm:f>
            <x14:dxf>
              <font>
                <b/>
                <i val="0"/>
                <color theme="0"/>
              </font>
              <fill>
                <patternFill>
                  <bgColor rgb="FFFF0000"/>
                </patternFill>
              </fill>
            </x14:dxf>
          </x14:cfRule>
          <xm:sqref>E43:F43</xm:sqref>
        </x14:conditionalFormatting>
        <x14:conditionalFormatting xmlns:xm="http://schemas.microsoft.com/office/excel/2006/main">
          <x14:cfRule type="cellIs" priority="23" operator="notEqual" id="{899226D0-4CEC-4CD8-BE05-54E84C0F6EE9}">
            <xm:f>'Baseline farm'!$C$45</xm:f>
            <x14:dxf>
              <font>
                <b/>
                <i val="0"/>
                <color theme="0"/>
              </font>
              <fill>
                <patternFill>
                  <bgColor rgb="FFFF0000"/>
                </patternFill>
              </fill>
            </x14:dxf>
          </x14:cfRule>
          <xm:sqref>C46</xm:sqref>
        </x14:conditionalFormatting>
        <x14:conditionalFormatting xmlns:xm="http://schemas.microsoft.com/office/excel/2006/main">
          <x14:cfRule type="cellIs" priority="22" operator="notEqual" id="{A6753946-33D2-45FC-B462-90AC1807F0A6}">
            <xm:f>'Baseline farm'!$G$45</xm:f>
            <x14:dxf>
              <font>
                <b/>
                <i val="0"/>
                <color theme="0"/>
              </font>
              <fill>
                <patternFill>
                  <bgColor rgb="FFFF0000"/>
                </patternFill>
              </fill>
            </x14:dxf>
          </x14:cfRule>
          <xm:sqref>G46</xm:sqref>
        </x14:conditionalFormatting>
        <x14:conditionalFormatting xmlns:xm="http://schemas.microsoft.com/office/excel/2006/main">
          <x14:cfRule type="cellIs" priority="21" operator="notEqual" id="{C7268AE6-6D0D-4B26-8206-AA1D1484A0F8}">
            <xm:f>'Baseline farm'!$G$46</xm:f>
            <x14:dxf>
              <font>
                <b/>
                <i val="0"/>
                <color theme="0"/>
              </font>
              <fill>
                <patternFill>
                  <bgColor rgb="FFFF0000"/>
                </patternFill>
              </fill>
            </x14:dxf>
          </x14:cfRule>
          <xm:sqref>G47</xm:sqref>
        </x14:conditionalFormatting>
        <x14:conditionalFormatting xmlns:xm="http://schemas.microsoft.com/office/excel/2006/main">
          <x14:cfRule type="cellIs" priority="387" operator="notEqual" id="{1FE45B6C-86EA-472E-A656-6CA8D916CDAC}">
            <xm:f>'Baseline farm'!$H$24</xm:f>
            <x14:dxf>
              <font>
                <b/>
                <i val="0"/>
                <color theme="0"/>
              </font>
              <fill>
                <patternFill>
                  <bgColor rgb="FFFF0000"/>
                </patternFill>
              </fill>
            </x14:dxf>
          </x14:cfRule>
          <xm:sqref>H25</xm:sqref>
        </x14:conditionalFormatting>
        <x14:conditionalFormatting xmlns:xm="http://schemas.microsoft.com/office/excel/2006/main">
          <x14:cfRule type="cellIs" priority="388" operator="notEqual" id="{259F9B1D-DA74-42AA-80C5-C4499CD13961}">
            <xm:f>'Baseline farm'!$D$24</xm:f>
            <x14:dxf>
              <font>
                <b/>
                <i val="0"/>
                <color theme="0"/>
              </font>
              <fill>
                <patternFill>
                  <bgColor rgb="FFFF0000"/>
                </patternFill>
              </fill>
            </x14:dxf>
          </x14:cfRule>
          <xm:sqref>D25:E25</xm:sqref>
        </x14:conditionalFormatting>
        <x14:conditionalFormatting xmlns:xm="http://schemas.microsoft.com/office/excel/2006/main">
          <x14:cfRule type="cellIs" priority="16" operator="notEqual" id="{43F8352B-AE8E-430E-91A7-1DF5125F27E9}">
            <xm:f>'Baseline farm'!$D$35</xm:f>
            <x14:dxf>
              <font>
                <b/>
                <i val="0"/>
                <color theme="0"/>
              </font>
              <fill>
                <patternFill>
                  <bgColor rgb="FFFF0000"/>
                </patternFill>
              </fill>
            </x14:dxf>
          </x14:cfRule>
          <xm:sqref>D36:E36</xm:sqref>
        </x14:conditionalFormatting>
        <x14:conditionalFormatting xmlns:xm="http://schemas.microsoft.com/office/excel/2006/main">
          <x14:cfRule type="cellIs" priority="15" operator="notEqual" id="{7DC8FE6F-4138-44E9-8A5E-C28EA855EABC}">
            <xm:f>'Baseline farm'!$F$35</xm:f>
            <x14:dxf>
              <font>
                <b/>
                <i val="0"/>
                <color theme="0"/>
              </font>
              <fill>
                <patternFill>
                  <bgColor rgb="FFFF0000"/>
                </patternFill>
              </fill>
            </x14:dxf>
          </x14:cfRule>
          <xm:sqref>F36:G36</xm:sqref>
        </x14:conditionalFormatting>
        <x14:conditionalFormatting xmlns:xm="http://schemas.microsoft.com/office/excel/2006/main">
          <x14:cfRule type="cellIs" priority="14" operator="notEqual" id="{BBD97B00-1F85-4332-9B7A-86BFBB27DF2D}">
            <xm:f>'Baseline farm'!$H$35</xm:f>
            <x14:dxf>
              <font>
                <b/>
                <i val="0"/>
                <color theme="0"/>
              </font>
              <fill>
                <patternFill>
                  <bgColor rgb="FFFF0000"/>
                </patternFill>
              </fill>
            </x14:dxf>
          </x14:cfRule>
          <xm:sqref>H36:I36</xm:sqref>
        </x14:conditionalFormatting>
        <x14:conditionalFormatting xmlns:xm="http://schemas.microsoft.com/office/excel/2006/main">
          <x14:cfRule type="cellIs" priority="443" operator="notEqual" id="{0513F504-6F22-4592-B1B2-388EFB0694BF}">
            <xm:f>'Baseline farm'!$F$90</xm:f>
            <x14:dxf>
              <font>
                <b/>
                <i val="0"/>
                <color theme="0"/>
              </font>
              <fill>
                <patternFill>
                  <bgColor rgb="FFFF0000"/>
                </patternFill>
              </fill>
            </x14:dxf>
          </x14:cfRule>
          <xm:sqref>F91</xm:sqref>
        </x14:conditionalFormatting>
        <x14:conditionalFormatting xmlns:xm="http://schemas.microsoft.com/office/excel/2006/main">
          <x14:cfRule type="cellIs" priority="6" operator="notEqual" id="{B7CB171C-04DF-49F6-90AD-D45354AB0287}">
            <xm:f>'Baseline farm'!$F$95</xm:f>
            <x14:dxf>
              <font>
                <b/>
                <i val="0"/>
                <color theme="0"/>
              </font>
              <fill>
                <patternFill>
                  <bgColor rgb="FFFF0000"/>
                </patternFill>
              </fill>
            </x14:dxf>
          </x14:cfRule>
          <x14:cfRule type="cellIs" priority="475" operator="notEqual" id="{34428AC7-96A8-4C9C-B93B-99B682DD3107}">
            <xm:f>'Baseline farm'!#REF!</xm:f>
            <x14:dxf>
              <font>
                <b/>
                <i val="0"/>
                <color theme="0"/>
              </font>
              <fill>
                <patternFill>
                  <bgColor rgb="FFFF0000"/>
                </patternFill>
              </fill>
            </x14:dxf>
          </x14:cfRule>
          <xm:sqref>F96</xm:sqref>
        </x14:conditionalFormatting>
        <x14:conditionalFormatting xmlns:xm="http://schemas.microsoft.com/office/excel/2006/main">
          <x14:cfRule type="cellIs" priority="8" operator="notEqual" id="{DE2577ED-97B8-4B47-AC99-4CCD38F0B340}">
            <xm:f>'Baseline farm'!$G$82</xm:f>
            <x14:dxf>
              <font>
                <b/>
                <i val="0"/>
                <color theme="0"/>
              </font>
              <fill>
                <patternFill>
                  <bgColor rgb="FFFF0000"/>
                </patternFill>
              </fill>
            </x14:dxf>
          </x14:cfRule>
          <xm:sqref>G83</xm:sqref>
        </x14:conditionalFormatting>
        <x14:conditionalFormatting xmlns:xm="http://schemas.microsoft.com/office/excel/2006/main">
          <x14:cfRule type="cellIs" priority="5" operator="notEqual" id="{4544A554-7507-4526-83B8-7844F9F05CE8}">
            <xm:f>'Baseline farm'!$G$86</xm:f>
            <x14:dxf>
              <font>
                <b/>
                <i val="0"/>
                <color theme="0"/>
              </font>
              <fill>
                <patternFill>
                  <bgColor rgb="FFFF0000"/>
                </patternFill>
              </fill>
            </x14:dxf>
          </x14:cfRule>
          <xm:sqref>G87</xm:sqref>
        </x14:conditionalFormatting>
        <x14:conditionalFormatting xmlns:xm="http://schemas.microsoft.com/office/excel/2006/main">
          <x14:cfRule type="cellIs" priority="1" operator="notEqual" id="{83D94709-8E4E-4CC4-B5FF-058308298B3B}">
            <xm:f>'Baseline farm'!$H$17</xm:f>
            <x14:dxf>
              <font>
                <b/>
                <i val="0"/>
                <color theme="0"/>
              </font>
              <fill>
                <patternFill>
                  <bgColor rgb="FFFF0000"/>
                </patternFill>
              </fill>
            </x14:dxf>
          </x14:cfRule>
          <x14:cfRule type="cellIs" priority="2" operator="notEqual" id="{01A74772-5D21-4AD8-BCD0-A8B939287D15}">
            <xm:f>'Baseline farm'!$H$17</xm:f>
            <x14:dxf>
              <font>
                <b/>
                <i val="0"/>
                <color theme="0"/>
              </font>
              <fill>
                <patternFill>
                  <bgColor rgb="FFFF0000"/>
                </patternFill>
              </fill>
            </x14:dxf>
          </x14:cfRule>
          <xm:sqref>H18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599"/>
  <sheetViews>
    <sheetView zoomScale="80" zoomScaleNormal="80" workbookViewId="0"/>
  </sheetViews>
  <sheetFormatPr defaultColWidth="9.140625" defaultRowHeight="15" x14ac:dyDescent="0.25"/>
  <cols>
    <col min="1" max="1" width="3.28515625" style="1560" customWidth="1"/>
    <col min="2" max="2" width="42.7109375" style="1560" customWidth="1"/>
    <col min="3" max="3" width="33.42578125" style="1560" customWidth="1"/>
    <col min="4" max="9" width="19.7109375" style="1560" customWidth="1"/>
    <col min="10" max="10" width="16.28515625" style="1560" customWidth="1"/>
    <col min="11" max="11" width="22.28515625" style="1560" customWidth="1"/>
    <col min="12" max="12" width="34.7109375" style="1560" customWidth="1"/>
    <col min="13" max="13" width="14" style="1560" bestFit="1" customWidth="1"/>
    <col min="14" max="14" width="14.28515625" style="1560" bestFit="1" customWidth="1"/>
    <col min="15" max="15" width="17.7109375" style="1560" customWidth="1"/>
    <col min="16" max="16" width="15" style="1560" bestFit="1" customWidth="1"/>
    <col min="17" max="17" width="10.85546875" style="1560" bestFit="1" customWidth="1"/>
    <col min="18" max="18" width="11.7109375" style="1560" bestFit="1" customWidth="1"/>
    <col min="19" max="19" width="41.28515625" style="1560" bestFit="1" customWidth="1"/>
    <col min="20" max="20" width="32.140625" style="1560" bestFit="1" customWidth="1"/>
    <col min="21" max="21" width="10.7109375" style="1560" bestFit="1" customWidth="1"/>
    <col min="22" max="22" width="13.42578125" style="1560" bestFit="1" customWidth="1"/>
    <col min="23" max="23" width="9.140625" style="1560"/>
    <col min="24" max="24" width="10.7109375" style="1560" customWidth="1"/>
    <col min="25" max="25" width="9.140625" style="1560"/>
    <col min="26" max="26" width="22.42578125" style="1560" bestFit="1" customWidth="1"/>
    <col min="27" max="28" width="9.140625" style="1560"/>
    <col min="29" max="29" width="10.140625" style="1560" bestFit="1" customWidth="1"/>
    <col min="30" max="30" width="12.28515625" style="1560" customWidth="1"/>
    <col min="31" max="33" width="9.140625" style="1560"/>
    <col min="34" max="34" width="20.42578125" style="1560" bestFit="1" customWidth="1"/>
    <col min="35" max="35" width="22.42578125" style="1560" customWidth="1"/>
    <col min="36" max="36" width="10.5703125" style="1560" bestFit="1" customWidth="1"/>
    <col min="37" max="41" width="9.140625" style="1560"/>
    <col min="42" max="42" width="12" style="1560" customWidth="1"/>
    <col min="43" max="43" width="38.85546875" style="1560" customWidth="1"/>
    <col min="44" max="44" width="18.140625" style="1560" customWidth="1"/>
    <col min="45" max="45" width="9.140625" style="1560"/>
    <col min="46" max="46" width="36.7109375" style="1560" customWidth="1"/>
    <col min="47" max="47" width="9.140625" style="1560"/>
    <col min="48" max="48" width="37.7109375" style="1560" bestFit="1" customWidth="1"/>
    <col min="49" max="49" width="9.140625" style="1560"/>
    <col min="50" max="50" width="37.7109375" style="1560" bestFit="1" customWidth="1"/>
    <col min="51" max="52" width="9.140625" style="1560"/>
    <col min="53" max="53" width="10.5703125" style="1560" customWidth="1"/>
    <col min="54" max="57" width="10.5703125" style="1560" bestFit="1" customWidth="1"/>
    <col min="58" max="16384" width="9.140625" style="1560"/>
  </cols>
  <sheetData>
    <row r="1" spans="1:10" ht="20.25" x14ac:dyDescent="0.3">
      <c r="A1" s="1929"/>
      <c r="J1" s="1849"/>
    </row>
    <row r="2" spans="1:10" ht="15" customHeight="1" x14ac:dyDescent="0.25">
      <c r="B2" s="2156" t="s">
        <v>1646</v>
      </c>
      <c r="C2" s="2156"/>
      <c r="D2" s="2156"/>
      <c r="E2" s="2156"/>
      <c r="F2" s="2156"/>
      <c r="G2" s="2156"/>
      <c r="H2" s="2156"/>
      <c r="I2" s="1850"/>
    </row>
    <row r="3" spans="1:10" ht="15" customHeight="1" x14ac:dyDescent="0.25">
      <c r="B3" s="2156"/>
      <c r="C3" s="2156"/>
      <c r="D3" s="2156"/>
      <c r="E3" s="2156"/>
      <c r="F3" s="2156"/>
      <c r="G3" s="2156"/>
      <c r="H3" s="2156"/>
      <c r="I3" s="1850"/>
    </row>
    <row r="4" spans="1:10" ht="15" customHeight="1" x14ac:dyDescent="0.25">
      <c r="B4" s="2156"/>
      <c r="C4" s="2156"/>
      <c r="D4" s="2156"/>
      <c r="E4" s="2156"/>
      <c r="F4" s="2156"/>
      <c r="G4" s="2156"/>
      <c r="H4" s="2156"/>
      <c r="I4" s="1850"/>
    </row>
    <row r="5" spans="1:10" ht="15" customHeight="1" x14ac:dyDescent="0.25">
      <c r="B5" s="2156"/>
      <c r="C5" s="2156"/>
      <c r="D5" s="2156"/>
      <c r="E5" s="2156"/>
      <c r="F5" s="2156"/>
      <c r="G5" s="2156"/>
      <c r="H5" s="2156"/>
      <c r="I5" s="1850"/>
    </row>
    <row r="7" spans="1:10" ht="18.75" x14ac:dyDescent="0.3">
      <c r="B7" s="1737" t="s">
        <v>1647</v>
      </c>
      <c r="C7" s="1565"/>
      <c r="E7" s="1624"/>
    </row>
    <row r="8" spans="1:10" ht="18.75" x14ac:dyDescent="0.3">
      <c r="B8" s="1737" t="s">
        <v>1648</v>
      </c>
      <c r="C8" s="1565"/>
      <c r="E8" s="1624"/>
    </row>
    <row r="9" spans="1:10" ht="18.75" x14ac:dyDescent="0.3">
      <c r="B9" s="1930"/>
      <c r="C9" s="1541"/>
      <c r="D9" s="1541"/>
      <c r="E9" s="1931"/>
      <c r="F9" s="1541"/>
      <c r="G9" s="1547"/>
      <c r="H9" s="1541"/>
      <c r="I9" s="1932"/>
    </row>
    <row r="10" spans="1:10" ht="18.75" x14ac:dyDescent="0.3">
      <c r="B10" s="1813" t="s">
        <v>912</v>
      </c>
      <c r="C10" s="1811" t="s">
        <v>1074</v>
      </c>
      <c r="D10" s="2157">
        <f>'Baseline farm'!D10:F10</f>
        <v>0</v>
      </c>
      <c r="E10" s="2157"/>
      <c r="F10" s="2157"/>
      <c r="G10" s="1784" t="s">
        <v>913</v>
      </c>
      <c r="H10" s="1625">
        <f>'Baseline farm'!H10</f>
        <v>0</v>
      </c>
      <c r="I10" s="1814"/>
    </row>
    <row r="11" spans="1:10" ht="18.75" x14ac:dyDescent="0.3">
      <c r="B11" s="1813"/>
      <c r="C11" s="1667"/>
      <c r="D11" s="1667"/>
      <c r="E11" s="1815"/>
      <c r="F11" s="1667"/>
      <c r="G11" s="1777"/>
      <c r="H11" s="1667"/>
      <c r="I11" s="1814"/>
    </row>
    <row r="12" spans="1:10" ht="18.75" x14ac:dyDescent="0.3">
      <c r="B12" s="1813"/>
      <c r="C12" s="1811" t="s">
        <v>914</v>
      </c>
      <c r="D12" s="2157">
        <f>'Baseline farm'!D12:F12</f>
        <v>0</v>
      </c>
      <c r="E12" s="2157"/>
      <c r="F12" s="2157"/>
      <c r="G12" s="1784" t="s">
        <v>1006</v>
      </c>
      <c r="H12" s="1625">
        <f>'Baseline farm'!H12</f>
        <v>0</v>
      </c>
      <c r="I12" s="1816"/>
    </row>
    <row r="13" spans="1:10" ht="18.75" x14ac:dyDescent="0.3">
      <c r="B13" s="1813"/>
      <c r="C13" s="1667"/>
      <c r="D13" s="1667"/>
      <c r="E13" s="1815"/>
      <c r="F13" s="1667"/>
      <c r="G13" s="1815"/>
      <c r="H13" s="1815"/>
      <c r="I13" s="1816"/>
    </row>
    <row r="14" spans="1:10" ht="15.75" x14ac:dyDescent="0.25">
      <c r="B14" s="1817"/>
      <c r="C14" s="1933" t="s">
        <v>915</v>
      </c>
      <c r="D14" s="1625">
        <f>'Baseline farm'!D14</f>
        <v>0</v>
      </c>
      <c r="E14" s="1783"/>
      <c r="F14" s="2204" t="s">
        <v>963</v>
      </c>
      <c r="G14" s="2204"/>
      <c r="H14" s="1625">
        <f>'Baseline farm'!H14</f>
        <v>0</v>
      </c>
      <c r="I14" s="1818"/>
    </row>
    <row r="15" spans="1:10" ht="18.75" x14ac:dyDescent="0.3">
      <c r="B15" s="1819"/>
      <c r="C15" s="1557"/>
      <c r="D15" s="1557"/>
      <c r="E15" s="1557"/>
      <c r="F15" s="1557"/>
      <c r="G15" s="1557"/>
      <c r="H15" s="1557"/>
      <c r="I15" s="1820"/>
    </row>
    <row r="16" spans="1:10" ht="15.75" x14ac:dyDescent="0.25">
      <c r="B16" s="1559"/>
      <c r="C16" s="1541"/>
      <c r="D16" s="1539" t="s">
        <v>249</v>
      </c>
      <c r="E16" s="1539" t="s">
        <v>250</v>
      </c>
      <c r="F16" s="1539" t="s">
        <v>251</v>
      </c>
      <c r="G16" s="1539" t="s">
        <v>1129</v>
      </c>
      <c r="H16" s="1539" t="s">
        <v>1128</v>
      </c>
      <c r="I16" s="1558"/>
    </row>
    <row r="17" spans="2:33" ht="15.75" x14ac:dyDescent="0.25">
      <c r="B17" s="1808" t="s">
        <v>254</v>
      </c>
      <c r="C17" s="1667"/>
      <c r="D17" s="1625">
        <f>'Baseline farm'!D17</f>
        <v>0</v>
      </c>
      <c r="E17" s="1625">
        <f>'Baseline farm'!E17</f>
        <v>0</v>
      </c>
      <c r="F17" s="1625">
        <f>'Baseline farm'!F17</f>
        <v>0</v>
      </c>
      <c r="G17" s="1625">
        <f>'Baseline farm'!G17</f>
        <v>0</v>
      </c>
      <c r="H17" s="1625">
        <f>'Baseline farm'!H17</f>
        <v>0</v>
      </c>
      <c r="I17" s="1889" t="s">
        <v>255</v>
      </c>
    </row>
    <row r="18" spans="2:33" ht="15.75" x14ac:dyDescent="0.25">
      <c r="B18" s="1808"/>
      <c r="C18" s="1667"/>
      <c r="D18" s="1769"/>
      <c r="E18" s="1769"/>
      <c r="F18" s="1769"/>
      <c r="G18" s="1769"/>
      <c r="H18" s="1769"/>
      <c r="I18" s="1889"/>
      <c r="J18" s="1934"/>
    </row>
    <row r="19" spans="2:33" ht="15.75" x14ac:dyDescent="0.25">
      <c r="B19" s="1808" t="s">
        <v>256</v>
      </c>
      <c r="C19" s="1667"/>
      <c r="D19" s="1625">
        <f>'Baseline farm'!D19</f>
        <v>0</v>
      </c>
      <c r="E19" s="1625">
        <f>'Baseline farm'!E19</f>
        <v>0</v>
      </c>
      <c r="F19" s="1625">
        <f>'Baseline farm'!F19</f>
        <v>0</v>
      </c>
      <c r="G19" s="1625">
        <f>'Baseline farm'!G19</f>
        <v>0</v>
      </c>
      <c r="H19" s="1625">
        <f>'Baseline farm'!H19</f>
        <v>0</v>
      </c>
      <c r="I19" s="1889" t="s">
        <v>257</v>
      </c>
    </row>
    <row r="20" spans="2:33" ht="17.25" x14ac:dyDescent="0.3">
      <c r="B20" s="1808"/>
      <c r="C20" s="1668"/>
      <c r="D20" s="1769"/>
      <c r="E20" s="1769"/>
      <c r="F20" s="1769"/>
      <c r="G20" s="1769"/>
      <c r="H20" s="1769"/>
      <c r="I20" s="1889"/>
      <c r="K20" s="1935"/>
    </row>
    <row r="21" spans="2:33" ht="15.75" x14ac:dyDescent="0.25">
      <c r="B21" s="1808" t="s">
        <v>895</v>
      </c>
      <c r="C21" s="1667"/>
      <c r="D21" s="1806"/>
      <c r="E21" s="1625">
        <f>'Baseline farm'!E21</f>
        <v>0</v>
      </c>
      <c r="F21" s="1625">
        <f>'Baseline farm'!F21</f>
        <v>0</v>
      </c>
      <c r="G21" s="1769"/>
      <c r="H21" s="1625">
        <f>'Baseline farm'!H21</f>
        <v>0</v>
      </c>
      <c r="I21" s="1889" t="s">
        <v>258</v>
      </c>
      <c r="K21" s="1936"/>
    </row>
    <row r="22" spans="2:33" ht="15.75" x14ac:dyDescent="0.25">
      <c r="B22" s="1809"/>
      <c r="C22" s="1557"/>
      <c r="D22" s="1543"/>
      <c r="E22" s="1556"/>
      <c r="F22" s="1556"/>
      <c r="G22" s="1556"/>
      <c r="H22" s="1556"/>
      <c r="I22" s="1786"/>
    </row>
    <row r="23" spans="2:33" ht="15.75" x14ac:dyDescent="0.25">
      <c r="B23" s="1555" t="s">
        <v>820</v>
      </c>
      <c r="C23" s="1931"/>
      <c r="D23" s="1931"/>
      <c r="E23" s="1931"/>
      <c r="F23" s="1931"/>
      <c r="G23" s="1931"/>
      <c r="H23" s="1931"/>
      <c r="I23" s="1554"/>
    </row>
    <row r="24" spans="2:33" ht="15.75" x14ac:dyDescent="0.25">
      <c r="B24" s="1840"/>
      <c r="C24" s="1667" t="s">
        <v>1111</v>
      </c>
      <c r="D24" s="2158">
        <f>'Baseline farm'!D24:E24</f>
        <v>0</v>
      </c>
      <c r="E24" s="2158"/>
      <c r="F24" s="2159" t="s">
        <v>1304</v>
      </c>
      <c r="G24" s="2159"/>
      <c r="H24" s="1625">
        <f>'Baseline farm'!H24</f>
        <v>0</v>
      </c>
      <c r="I24" s="1889" t="str">
        <f>IF(S188="1","litres of milk","kg milksolids")</f>
        <v>kg milksolids</v>
      </c>
    </row>
    <row r="25" spans="2:33" ht="18.75" x14ac:dyDescent="0.3">
      <c r="B25" s="1839"/>
      <c r="C25" s="1667"/>
      <c r="D25" s="1771"/>
      <c r="E25" s="1766"/>
      <c r="F25" s="1766"/>
      <c r="G25" s="1767"/>
      <c r="H25" s="1768"/>
      <c r="I25" s="1669"/>
      <c r="K25" s="1937"/>
    </row>
    <row r="26" spans="2:33" ht="15.75" x14ac:dyDescent="0.25">
      <c r="B26" s="1839"/>
      <c r="C26" s="1667" t="s">
        <v>1377</v>
      </c>
      <c r="D26" s="1625">
        <f>'Baseline farm'!D26</f>
        <v>0</v>
      </c>
      <c r="E26" s="1766" t="s">
        <v>259</v>
      </c>
      <c r="F26" s="2160" t="s">
        <v>1378</v>
      </c>
      <c r="G26" s="2160"/>
      <c r="H26" s="1625">
        <f>'Baseline farm'!H26</f>
        <v>0</v>
      </c>
      <c r="I26" s="1889" t="s">
        <v>259</v>
      </c>
      <c r="Z26" s="1565"/>
      <c r="AA26" s="1565"/>
      <c r="AB26" s="1565"/>
      <c r="AC26" s="1565"/>
      <c r="AD26" s="1565"/>
      <c r="AE26" s="1565"/>
      <c r="AF26" s="1565"/>
      <c r="AG26" s="1565"/>
    </row>
    <row r="27" spans="2:33" ht="15.75" x14ac:dyDescent="0.25">
      <c r="B27" s="1770"/>
      <c r="C27" s="1667"/>
      <c r="D27" s="1771"/>
      <c r="E27" s="1767"/>
      <c r="F27" s="1769"/>
      <c r="G27" s="1769"/>
      <c r="H27" s="1767"/>
      <c r="I27" s="1669"/>
      <c r="Z27" s="1565"/>
      <c r="AA27" s="1565"/>
      <c r="AB27" s="1565"/>
      <c r="AC27" s="1565"/>
      <c r="AD27" s="1565"/>
      <c r="AE27" s="1565"/>
      <c r="AF27" s="1565"/>
      <c r="AG27" s="1565"/>
    </row>
    <row r="28" spans="2:33" ht="15.75" x14ac:dyDescent="0.25">
      <c r="B28" s="1770"/>
      <c r="C28" s="1667" t="s">
        <v>515</v>
      </c>
      <c r="D28" s="1625">
        <f>'Baseline farm'!D28</f>
        <v>0</v>
      </c>
      <c r="E28" s="1767" t="s">
        <v>1308</v>
      </c>
      <c r="F28" s="2205" t="s">
        <v>829</v>
      </c>
      <c r="G28" s="2205"/>
      <c r="H28" s="1771" t="e">
        <f>P185</f>
        <v>#DIV/0!</v>
      </c>
      <c r="I28" s="1669"/>
      <c r="L28" s="1790"/>
      <c r="Z28" s="1565"/>
      <c r="AA28" s="1565"/>
      <c r="AB28" s="1565"/>
      <c r="AC28" s="1565"/>
      <c r="AD28" s="1565"/>
      <c r="AE28" s="1565"/>
      <c r="AF28" s="1565"/>
      <c r="AG28" s="1565"/>
    </row>
    <row r="29" spans="2:33" ht="15.75" x14ac:dyDescent="0.25">
      <c r="B29" s="1542" t="s">
        <v>1135</v>
      </c>
      <c r="C29" s="1541"/>
      <c r="D29" s="2206" t="s">
        <v>899</v>
      </c>
      <c r="E29" s="2206"/>
      <c r="F29" s="2207" t="s">
        <v>949</v>
      </c>
      <c r="G29" s="2207"/>
      <c r="H29" s="2207" t="s">
        <v>950</v>
      </c>
      <c r="I29" s="2208"/>
    </row>
    <row r="30" spans="2:33" ht="15.75" x14ac:dyDescent="0.25">
      <c r="B30" s="1776"/>
      <c r="C30" s="1667" t="s">
        <v>900</v>
      </c>
      <c r="D30" s="2154">
        <f>'Baseline farm'!D30:E30</f>
        <v>0</v>
      </c>
      <c r="E30" s="2154"/>
      <c r="F30" s="2154">
        <f>'Baseline farm'!F30:G30</f>
        <v>0</v>
      </c>
      <c r="G30" s="2154"/>
      <c r="H30" s="2154">
        <f>'Baseline farm'!H30:I30</f>
        <v>0</v>
      </c>
      <c r="I30" s="2203"/>
    </row>
    <row r="31" spans="2:33" ht="15.75" x14ac:dyDescent="0.25">
      <c r="B31" s="1810" t="s">
        <v>1072</v>
      </c>
      <c r="C31" s="1667" t="s">
        <v>901</v>
      </c>
      <c r="D31" s="2154">
        <f>'Baseline farm'!D31:E31</f>
        <v>0</v>
      </c>
      <c r="E31" s="2154"/>
      <c r="F31" s="2154">
        <f>'Baseline farm'!F31:G31</f>
        <v>0</v>
      </c>
      <c r="G31" s="2154"/>
      <c r="H31" s="2154">
        <f>'Baseline farm'!H31:I31</f>
        <v>0</v>
      </c>
      <c r="I31" s="2203"/>
    </row>
    <row r="32" spans="2:33" ht="15.75" x14ac:dyDescent="0.25">
      <c r="B32" s="1810" t="s">
        <v>1073</v>
      </c>
      <c r="C32" s="1667" t="s">
        <v>902</v>
      </c>
      <c r="D32" s="2154">
        <f>'Baseline farm'!D32:E32</f>
        <v>0</v>
      </c>
      <c r="E32" s="2154"/>
      <c r="F32" s="2154">
        <f>'Baseline farm'!F32:G32</f>
        <v>0</v>
      </c>
      <c r="G32" s="2154"/>
      <c r="H32" s="2154">
        <f>'Baseline farm'!H32:I32</f>
        <v>0</v>
      </c>
      <c r="I32" s="2203"/>
    </row>
    <row r="33" spans="2:33" ht="15.75" x14ac:dyDescent="0.25">
      <c r="B33" s="1782" t="e">
        <f>P189 &amp;" kg DM/cow.day"</f>
        <v>#DIV/0!</v>
      </c>
      <c r="C33" s="1667" t="s">
        <v>903</v>
      </c>
      <c r="D33" s="2154">
        <f>'Baseline farm'!D33:E33</f>
        <v>0</v>
      </c>
      <c r="E33" s="2154"/>
      <c r="F33" s="2154">
        <f>'Baseline farm'!F33:G33</f>
        <v>0</v>
      </c>
      <c r="G33" s="2154"/>
      <c r="H33" s="2154">
        <f>'Baseline farm'!H33:I33</f>
        <v>0</v>
      </c>
      <c r="I33" s="2203"/>
    </row>
    <row r="34" spans="2:33" ht="15.6" customHeight="1" x14ac:dyDescent="0.25">
      <c r="B34" s="1776"/>
      <c r="C34" s="1667" t="s">
        <v>904</v>
      </c>
      <c r="D34" s="2154">
        <f>'Baseline farm'!D34:E34</f>
        <v>0</v>
      </c>
      <c r="E34" s="2154"/>
      <c r="F34" s="2154">
        <f>'Baseline farm'!F34:G34</f>
        <v>0</v>
      </c>
      <c r="G34" s="2154"/>
      <c r="H34" s="2154">
        <f>'Baseline farm'!H34:I34</f>
        <v>0</v>
      </c>
      <c r="I34" s="2203"/>
    </row>
    <row r="35" spans="2:33" ht="15.6" customHeight="1" x14ac:dyDescent="0.25">
      <c r="B35" s="2209" t="s">
        <v>1350</v>
      </c>
      <c r="C35" s="1667" t="s">
        <v>905</v>
      </c>
      <c r="D35" s="2154">
        <f>'Baseline farm'!D35:E35</f>
        <v>0</v>
      </c>
      <c r="E35" s="2154"/>
      <c r="F35" s="2154">
        <f>'Baseline farm'!F35:G35</f>
        <v>0</v>
      </c>
      <c r="G35" s="2154"/>
      <c r="H35" s="2154">
        <f>'Baseline farm'!H35:I35</f>
        <v>0</v>
      </c>
      <c r="I35" s="2203"/>
    </row>
    <row r="36" spans="2:33" ht="15.6" customHeight="1" x14ac:dyDescent="0.25">
      <c r="B36" s="2210"/>
      <c r="C36" s="1553" t="s">
        <v>908</v>
      </c>
      <c r="D36" s="2211">
        <f>SUM(D30:E35)</f>
        <v>0</v>
      </c>
      <c r="E36" s="2211"/>
      <c r="F36" s="2211" t="e">
        <f>P187</f>
        <v>#DIV/0!</v>
      </c>
      <c r="G36" s="2211"/>
      <c r="H36" s="2211" t="e">
        <f>P188</f>
        <v>#DIV/0!</v>
      </c>
      <c r="I36" s="2212"/>
    </row>
    <row r="37" spans="2:33" ht="15.75" x14ac:dyDescent="0.25">
      <c r="B37" s="1776"/>
      <c r="C37" s="1811"/>
      <c r="D37" s="1771"/>
      <c r="E37" s="1771"/>
      <c r="F37" s="1771"/>
      <c r="G37" s="1771"/>
      <c r="H37" s="1771"/>
      <c r="I37" s="1851"/>
      <c r="K37" s="1938"/>
    </row>
    <row r="38" spans="2:33" ht="15.75" x14ac:dyDescent="0.25">
      <c r="B38" s="1808" t="s">
        <v>1136</v>
      </c>
      <c r="C38" s="1812"/>
      <c r="D38" s="1848">
        <f>'Baseline farm'!D38</f>
        <v>0</v>
      </c>
      <c r="E38" s="1891" t="s">
        <v>259</v>
      </c>
      <c r="F38" s="1771"/>
      <c r="G38" s="1771"/>
      <c r="H38" s="1771"/>
      <c r="I38" s="1669"/>
      <c r="K38" s="1939"/>
    </row>
    <row r="39" spans="2:33" ht="15.75" x14ac:dyDescent="0.25">
      <c r="B39" s="1808" t="s">
        <v>1137</v>
      </c>
      <c r="C39" s="1812"/>
      <c r="D39" s="1848">
        <f>'Baseline farm'!D39</f>
        <v>0</v>
      </c>
      <c r="E39" s="1891" t="s">
        <v>259</v>
      </c>
      <c r="F39" s="1852"/>
      <c r="G39" s="1852"/>
      <c r="H39" s="1852"/>
      <c r="I39" s="1669"/>
    </row>
    <row r="40" spans="2:33" ht="17.25" x14ac:dyDescent="0.3">
      <c r="B40" s="1809"/>
      <c r="C40" s="1552"/>
      <c r="D40" s="1940"/>
      <c r="E40" s="1940"/>
      <c r="F40" s="1940"/>
      <c r="G40" s="1940"/>
      <c r="H40" s="1940"/>
      <c r="I40" s="1669"/>
      <c r="L40" s="1935"/>
    </row>
    <row r="41" spans="2:33" ht="15.6" customHeight="1" x14ac:dyDescent="0.25">
      <c r="B41" s="1551" t="s">
        <v>921</v>
      </c>
      <c r="C41" s="2213"/>
      <c r="D41" s="2213"/>
      <c r="E41" s="1550"/>
      <c r="F41" s="1549"/>
      <c r="G41" s="2213"/>
      <c r="H41" s="2213"/>
      <c r="I41" s="2214"/>
      <c r="K41" s="1941"/>
      <c r="L41" s="1564"/>
      <c r="Z41" s="1565"/>
      <c r="AA41" s="1565"/>
      <c r="AB41" s="1565"/>
      <c r="AC41" s="1565"/>
      <c r="AD41" s="1565"/>
      <c r="AE41" s="1565"/>
      <c r="AF41" s="1565"/>
      <c r="AG41" s="1565"/>
    </row>
    <row r="42" spans="2:33" ht="15.6" customHeight="1" x14ac:dyDescent="0.25">
      <c r="B42" s="1842"/>
      <c r="C42" s="1667" t="s">
        <v>922</v>
      </c>
      <c r="D42" s="1843"/>
      <c r="E42" s="2157">
        <f>'Baseline farm'!E42:F42</f>
        <v>0</v>
      </c>
      <c r="F42" s="2157"/>
      <c r="G42" s="1843"/>
      <c r="H42" s="2215" t="s">
        <v>1254</v>
      </c>
      <c r="I42" s="2216"/>
      <c r="L42" s="1564"/>
      <c r="Z42" s="1565"/>
      <c r="AA42" s="1565"/>
      <c r="AB42" s="1565"/>
      <c r="AC42" s="1565"/>
      <c r="AD42" s="1565"/>
      <c r="AE42" s="1565"/>
      <c r="AF42" s="1565"/>
      <c r="AG42" s="1565"/>
    </row>
    <row r="43" spans="2:33" ht="15.6" customHeight="1" x14ac:dyDescent="0.25">
      <c r="B43" s="1842"/>
      <c r="C43" s="1843"/>
      <c r="D43" s="1843"/>
      <c r="E43" s="1844"/>
      <c r="F43" s="1845"/>
      <c r="G43" s="1843"/>
      <c r="H43" s="2217"/>
      <c r="I43" s="2218"/>
      <c r="L43" s="1564"/>
      <c r="Z43" s="1565"/>
      <c r="AA43" s="1565"/>
      <c r="AB43" s="1565"/>
      <c r="AC43" s="1565"/>
      <c r="AD43" s="1565"/>
      <c r="AE43" s="1565"/>
      <c r="AF43" s="1565"/>
      <c r="AG43" s="1565"/>
    </row>
    <row r="44" spans="2:33" ht="15.6" customHeight="1" x14ac:dyDescent="0.25">
      <c r="B44" s="1842"/>
      <c r="C44" s="1784" t="s">
        <v>1221</v>
      </c>
      <c r="D44" s="1843"/>
      <c r="E44" s="1844"/>
      <c r="F44" s="1845"/>
      <c r="G44" s="1881" t="s">
        <v>1223</v>
      </c>
      <c r="H44" s="1881"/>
      <c r="I44" s="1846"/>
      <c r="L44" s="1564"/>
      <c r="Z44" s="1565"/>
      <c r="AA44" s="1565"/>
      <c r="AB44" s="1565"/>
      <c r="AC44" s="1565"/>
      <c r="AD44" s="1565"/>
      <c r="AE44" s="1565"/>
      <c r="AF44" s="1565"/>
      <c r="AG44" s="1565"/>
    </row>
    <row r="45" spans="2:33" ht="15.75" x14ac:dyDescent="0.25">
      <c r="B45" s="1780" t="s">
        <v>1123</v>
      </c>
      <c r="C45" s="1853">
        <f>'Baseline farm'!C45</f>
        <v>0</v>
      </c>
      <c r="D45" s="1667" t="s">
        <v>261</v>
      </c>
      <c r="E45" s="1847" t="s">
        <v>1224</v>
      </c>
      <c r="F45" s="1773"/>
      <c r="G45" s="1853">
        <f>'Baseline farm'!G45</f>
        <v>0</v>
      </c>
      <c r="H45" s="1855" t="str">
        <f>IF($T$177="1","kg per ha per annum","t per annum")</f>
        <v>t per annum</v>
      </c>
      <c r="I45" s="1774"/>
      <c r="L45" s="1564"/>
      <c r="Z45" s="1565"/>
      <c r="AA45" s="1565"/>
      <c r="AB45" s="1565"/>
      <c r="AC45" s="1565"/>
      <c r="AD45" s="1565"/>
      <c r="AE45" s="1565"/>
      <c r="AF45" s="1565"/>
      <c r="AG45" s="1565"/>
    </row>
    <row r="46" spans="2:33" ht="15.75" x14ac:dyDescent="0.25">
      <c r="B46" s="1780" t="s">
        <v>1124</v>
      </c>
      <c r="C46" s="1853">
        <f>'Baseline farm'!C46</f>
        <v>0</v>
      </c>
      <c r="D46" s="1667" t="s">
        <v>261</v>
      </c>
      <c r="E46" s="1847" t="s">
        <v>1253</v>
      </c>
      <c r="F46" s="1773"/>
      <c r="G46" s="1853">
        <f>'Baseline farm'!G46</f>
        <v>0</v>
      </c>
      <c r="H46" s="1667" t="str">
        <f>H45</f>
        <v>t per annum</v>
      </c>
      <c r="I46" s="1774"/>
      <c r="L46" s="1564"/>
      <c r="Z46" s="1565"/>
      <c r="AA46" s="1565"/>
      <c r="AB46" s="1565"/>
      <c r="AC46" s="1565"/>
      <c r="AD46" s="1565"/>
      <c r="AE46" s="1565"/>
      <c r="AF46" s="1565"/>
      <c r="AG46" s="1565"/>
    </row>
    <row r="47" spans="2:33" ht="15.75" x14ac:dyDescent="0.25">
      <c r="B47" s="1778"/>
      <c r="C47" s="1667"/>
      <c r="D47" s="1667"/>
      <c r="E47" s="1667"/>
      <c r="F47" s="1667"/>
      <c r="G47" s="1667"/>
      <c r="H47" s="1667"/>
      <c r="I47" s="1669"/>
      <c r="L47" s="1564"/>
      <c r="Z47" s="1565"/>
      <c r="AA47" s="1565"/>
      <c r="AB47" s="1565"/>
      <c r="AC47" s="1565"/>
      <c r="AD47" s="1565"/>
      <c r="AE47" s="1565"/>
      <c r="AF47" s="1565"/>
      <c r="AG47" s="1565"/>
    </row>
    <row r="48" spans="2:33" ht="15.75" x14ac:dyDescent="0.25">
      <c r="B48" s="1778"/>
      <c r="C48" s="1942" t="s">
        <v>1220</v>
      </c>
      <c r="D48" s="1821"/>
      <c r="E48" s="1942" t="s">
        <v>1226</v>
      </c>
      <c r="F48" s="1942" t="s">
        <v>1227</v>
      </c>
      <c r="G48" s="1942" t="s">
        <v>1228</v>
      </c>
      <c r="H48" s="1942" t="s">
        <v>1229</v>
      </c>
      <c r="I48" s="1816"/>
      <c r="L48" s="1564"/>
      <c r="Z48" s="1565"/>
      <c r="AA48" s="1565"/>
      <c r="AB48" s="1565"/>
      <c r="AC48" s="1565"/>
      <c r="AD48" s="1565"/>
      <c r="AE48" s="1565"/>
      <c r="AF48" s="1565"/>
      <c r="AG48" s="1565"/>
    </row>
    <row r="49" spans="2:33" ht="15.75" x14ac:dyDescent="0.25">
      <c r="B49" s="1778" t="s">
        <v>1125</v>
      </c>
      <c r="C49" s="1853">
        <f>'Baseline farm'!C49</f>
        <v>0</v>
      </c>
      <c r="D49" s="1943" t="s">
        <v>1225</v>
      </c>
      <c r="E49" s="1853">
        <f>'Baseline farm'!E49</f>
        <v>0</v>
      </c>
      <c r="F49" s="1853">
        <f>'Baseline farm'!F49</f>
        <v>0</v>
      </c>
      <c r="G49" s="1853">
        <f>'Baseline farm'!G49</f>
        <v>0</v>
      </c>
      <c r="H49" s="1853">
        <f>'Baseline farm'!H49</f>
        <v>0</v>
      </c>
      <c r="I49" s="1822" t="str">
        <f>H45</f>
        <v>t per annum</v>
      </c>
      <c r="L49" s="1564"/>
      <c r="Z49" s="1565"/>
      <c r="AA49" s="1565"/>
      <c r="AB49" s="1565"/>
      <c r="AC49" s="1565"/>
      <c r="AD49" s="1565"/>
      <c r="AE49" s="1565"/>
      <c r="AF49" s="1565"/>
      <c r="AG49" s="1565"/>
    </row>
    <row r="50" spans="2:33" ht="15.75" x14ac:dyDescent="0.25">
      <c r="B50" s="1778" t="s">
        <v>1126</v>
      </c>
      <c r="C50" s="1853">
        <f>'Baseline farm'!C50</f>
        <v>0</v>
      </c>
      <c r="D50" s="1943" t="s">
        <v>1225</v>
      </c>
      <c r="E50" s="1853">
        <f>'Baseline farm'!E50</f>
        <v>0</v>
      </c>
      <c r="F50" s="1853">
        <f>'Baseline farm'!F50</f>
        <v>0</v>
      </c>
      <c r="G50" s="1853">
        <f>'Baseline farm'!G50</f>
        <v>0</v>
      </c>
      <c r="H50" s="1853">
        <f>'Baseline farm'!H50</f>
        <v>0</v>
      </c>
      <c r="I50" s="1822" t="str">
        <f>H45</f>
        <v>t per annum</v>
      </c>
      <c r="L50" s="1564"/>
      <c r="Z50" s="1565"/>
      <c r="AA50" s="1565"/>
      <c r="AB50" s="1565"/>
      <c r="AC50" s="1565"/>
      <c r="AD50" s="1565"/>
      <c r="AE50" s="1565"/>
      <c r="AF50" s="1565"/>
      <c r="AG50" s="1565"/>
    </row>
    <row r="51" spans="2:33" ht="15.75" x14ac:dyDescent="0.25">
      <c r="B51" s="1804"/>
      <c r="C51" s="1777"/>
      <c r="D51" s="1815"/>
      <c r="E51" s="1815"/>
      <c r="F51" s="1815"/>
      <c r="G51" s="1815"/>
      <c r="H51" s="1815"/>
      <c r="I51" s="1816"/>
      <c r="L51" s="1564"/>
      <c r="Z51" s="1565"/>
      <c r="AA51" s="1565"/>
      <c r="AB51" s="1565"/>
      <c r="AC51" s="1565"/>
      <c r="AD51" s="1565"/>
      <c r="AE51" s="1565"/>
      <c r="AF51" s="1565"/>
      <c r="AG51" s="1565"/>
    </row>
    <row r="52" spans="2:33" ht="15.75" x14ac:dyDescent="0.25">
      <c r="B52" s="1548" t="s">
        <v>948</v>
      </c>
      <c r="C52" s="1547"/>
      <c r="D52" s="1931"/>
      <c r="E52" s="1931"/>
      <c r="F52" s="1931"/>
      <c r="G52" s="1931"/>
      <c r="H52" s="1931"/>
      <c r="I52" s="1944"/>
      <c r="L52" s="1564"/>
      <c r="Z52" s="1565"/>
      <c r="AA52" s="1565"/>
      <c r="AB52" s="1565"/>
      <c r="AC52" s="1565"/>
      <c r="AD52" s="1565"/>
      <c r="AE52" s="1565"/>
      <c r="AF52" s="1565"/>
      <c r="AG52" s="1565"/>
    </row>
    <row r="53" spans="2:33" ht="15.75" x14ac:dyDescent="0.25">
      <c r="B53" s="1780" t="s">
        <v>886</v>
      </c>
      <c r="C53" s="1853">
        <f>'Baseline farm'!C53</f>
        <v>0</v>
      </c>
      <c r="D53" s="1888" t="s">
        <v>639</v>
      </c>
      <c r="E53" s="2159" t="s">
        <v>1029</v>
      </c>
      <c r="F53" s="2159"/>
      <c r="G53" s="2158">
        <f>'Baseline farm'!G53:H53</f>
        <v>0</v>
      </c>
      <c r="H53" s="2158"/>
      <c r="I53" s="1781"/>
      <c r="L53" s="1564"/>
      <c r="Z53" s="1565"/>
      <c r="AA53" s="1565"/>
      <c r="AB53" s="1565"/>
      <c r="AC53" s="1565"/>
      <c r="AD53" s="1565"/>
      <c r="AE53" s="1565"/>
      <c r="AF53" s="1565"/>
      <c r="AG53" s="1565"/>
    </row>
    <row r="54" spans="2:33" ht="15.75" x14ac:dyDescent="0.25">
      <c r="B54" s="1805" t="s">
        <v>894</v>
      </c>
      <c r="C54" s="1853">
        <f>'Baseline farm'!C54</f>
        <v>0</v>
      </c>
      <c r="D54" s="1540" t="s">
        <v>1305</v>
      </c>
      <c r="E54" s="1945"/>
      <c r="F54" s="1945"/>
      <c r="G54" s="1946"/>
      <c r="H54" s="1946"/>
      <c r="I54" s="1674"/>
      <c r="L54" s="1564"/>
      <c r="Z54" s="1565"/>
      <c r="AA54" s="1565"/>
      <c r="AB54" s="1565"/>
      <c r="AC54" s="1565"/>
      <c r="AD54" s="1565"/>
      <c r="AE54" s="1565"/>
      <c r="AF54" s="1565"/>
      <c r="AG54" s="1565"/>
    </row>
    <row r="55" spans="2:33" ht="15.75" x14ac:dyDescent="0.25">
      <c r="B55" s="1559" t="s">
        <v>920</v>
      </c>
      <c r="C55" s="1541"/>
      <c r="D55" s="1541"/>
      <c r="E55" s="1541"/>
      <c r="F55" s="1541"/>
      <c r="G55" s="1667"/>
      <c r="H55" s="1667"/>
      <c r="I55" s="1546"/>
    </row>
    <row r="56" spans="2:33" ht="15.75" x14ac:dyDescent="0.25">
      <c r="B56" s="1778" t="s">
        <v>1222</v>
      </c>
      <c r="C56" s="1853">
        <f>'Baseline farm'!C56</f>
        <v>0</v>
      </c>
      <c r="D56" s="1783" t="s">
        <v>1306</v>
      </c>
      <c r="E56" s="2168" t="s">
        <v>916</v>
      </c>
      <c r="F56" s="2168"/>
      <c r="G56" s="2169">
        <f>'Baseline farm'!G56:H56</f>
        <v>0</v>
      </c>
      <c r="H56" s="2169"/>
      <c r="I56" s="1890" t="s">
        <v>1306</v>
      </c>
    </row>
    <row r="57" spans="2:33" ht="15.75" x14ac:dyDescent="0.25">
      <c r="B57" s="1778"/>
      <c r="C57" s="1777"/>
      <c r="D57" s="1667"/>
      <c r="E57" s="1667"/>
      <c r="F57" s="1667"/>
      <c r="G57" s="1667"/>
      <c r="H57" s="1667"/>
      <c r="I57" s="1673"/>
    </row>
    <row r="58" spans="2:33" ht="15.75" x14ac:dyDescent="0.25">
      <c r="B58" s="1778" t="s">
        <v>917</v>
      </c>
      <c r="C58" s="1853">
        <f>'Baseline farm'!C58</f>
        <v>0</v>
      </c>
      <c r="D58" s="1783" t="s">
        <v>1306</v>
      </c>
      <c r="E58" s="2168" t="s">
        <v>918</v>
      </c>
      <c r="F58" s="2168"/>
      <c r="G58" s="2169">
        <f>'Baseline farm'!G58:H58</f>
        <v>0</v>
      </c>
      <c r="H58" s="2169"/>
      <c r="I58" s="1890" t="s">
        <v>1306</v>
      </c>
    </row>
    <row r="59" spans="2:33" ht="15.75" x14ac:dyDescent="0.25">
      <c r="B59" s="1778"/>
      <c r="C59" s="1777"/>
      <c r="D59" s="1667"/>
      <c r="E59" s="1667"/>
      <c r="F59" s="1667"/>
      <c r="G59" s="1667"/>
      <c r="H59" s="1667"/>
      <c r="I59" s="1673"/>
    </row>
    <row r="60" spans="2:33" ht="15.75" x14ac:dyDescent="0.25">
      <c r="B60" s="1823" t="s">
        <v>919</v>
      </c>
      <c r="C60" s="1853">
        <f>'Baseline farm'!C60</f>
        <v>0</v>
      </c>
      <c r="D60" s="1783" t="s">
        <v>1306</v>
      </c>
      <c r="E60" s="1667" t="s">
        <v>1041</v>
      </c>
      <c r="F60" s="1667"/>
      <c r="G60" s="2169">
        <f>'Baseline farm'!G60:H60</f>
        <v>0</v>
      </c>
      <c r="H60" s="2169"/>
      <c r="I60" s="1890" t="s">
        <v>1306</v>
      </c>
    </row>
    <row r="61" spans="2:33" ht="15.75" x14ac:dyDescent="0.25">
      <c r="B61" s="1824"/>
      <c r="C61" s="1557"/>
      <c r="D61" s="1557"/>
      <c r="E61" s="1557"/>
      <c r="F61" s="1557"/>
      <c r="G61" s="1557"/>
      <c r="H61" s="1557"/>
      <c r="I61" s="1674"/>
    </row>
    <row r="62" spans="2:33" ht="15.75" x14ac:dyDescent="0.25">
      <c r="B62" s="1559" t="s">
        <v>887</v>
      </c>
      <c r="C62" s="1821"/>
      <c r="D62" s="1821"/>
      <c r="E62" s="1545"/>
      <c r="F62" s="1668"/>
      <c r="G62" s="1544"/>
      <c r="H62" s="1541"/>
      <c r="I62" s="1546"/>
    </row>
    <row r="63" spans="2:33" ht="15.75" x14ac:dyDescent="0.25">
      <c r="B63" s="1778" t="s">
        <v>1132</v>
      </c>
      <c r="C63" s="2157" t="str">
        <f>'Baseline farm'!C63:D63</f>
        <v>No estimate of carbon sequestration</v>
      </c>
      <c r="D63" s="2157"/>
      <c r="E63" s="1671"/>
      <c r="F63" s="1668"/>
      <c r="G63" s="1672"/>
      <c r="H63" s="1667"/>
      <c r="I63" s="1673"/>
    </row>
    <row r="64" spans="2:33" ht="15.75" x14ac:dyDescent="0.25">
      <c r="B64" s="1778"/>
      <c r="C64" s="1667"/>
      <c r="D64" s="1667"/>
      <c r="E64" s="1671"/>
      <c r="F64" s="1672"/>
      <c r="G64" s="1672"/>
      <c r="H64" s="1667"/>
      <c r="I64" s="1673"/>
    </row>
    <row r="65" spans="1:33" ht="18.75" x14ac:dyDescent="0.35">
      <c r="B65" s="1778" t="s">
        <v>967</v>
      </c>
      <c r="C65" s="1668"/>
      <c r="D65" s="1853">
        <f>'Baseline farm'!D65</f>
        <v>0</v>
      </c>
      <c r="E65" s="1668" t="s">
        <v>1307</v>
      </c>
      <c r="F65" s="1671" t="s">
        <v>1158</v>
      </c>
      <c r="G65" s="1672"/>
      <c r="H65" s="1853">
        <f>'Baseline farm'!H65</f>
        <v>0</v>
      </c>
      <c r="I65" s="1673" t="s">
        <v>261</v>
      </c>
      <c r="L65" s="1564"/>
      <c r="Z65" s="1565"/>
      <c r="AA65" s="1565"/>
      <c r="AB65" s="1565"/>
      <c r="AC65" s="1565"/>
      <c r="AD65" s="1565"/>
      <c r="AE65" s="1565"/>
      <c r="AF65" s="1565"/>
      <c r="AG65" s="1565"/>
    </row>
    <row r="66" spans="1:33" ht="15.75" x14ac:dyDescent="0.25">
      <c r="B66" s="1670"/>
      <c r="C66" s="1825"/>
      <c r="D66" s="1667"/>
      <c r="E66" s="1668"/>
      <c r="F66" s="1671"/>
      <c r="G66" s="1672"/>
      <c r="H66" s="1667"/>
      <c r="I66" s="1673"/>
      <c r="L66" s="1564"/>
      <c r="Z66" s="1565"/>
      <c r="AA66" s="1565"/>
      <c r="AB66" s="1565"/>
      <c r="AC66" s="1565"/>
      <c r="AD66" s="1565"/>
      <c r="AE66" s="1565"/>
      <c r="AF66" s="1565"/>
      <c r="AG66" s="1565"/>
    </row>
    <row r="67" spans="1:33" ht="15.75" x14ac:dyDescent="0.25">
      <c r="B67" s="1947" t="s">
        <v>594</v>
      </c>
      <c r="C67" s="2157">
        <f>'Baseline farm'!C67:D67</f>
        <v>0</v>
      </c>
      <c r="D67" s="2157"/>
      <c r="E67" s="1668"/>
      <c r="F67" s="1667" t="s">
        <v>770</v>
      </c>
      <c r="G67" s="1672"/>
      <c r="H67" s="1625">
        <f>'Baseline farm'!H67</f>
        <v>0</v>
      </c>
      <c r="I67" s="1673"/>
      <c r="L67" s="1564"/>
      <c r="Z67" s="1565"/>
      <c r="AA67" s="1565"/>
      <c r="AB67" s="1565"/>
      <c r="AC67" s="1565"/>
      <c r="AD67" s="1565"/>
      <c r="AE67" s="1565"/>
      <c r="AF67" s="1565"/>
      <c r="AG67" s="1565"/>
    </row>
    <row r="68" spans="1:33" ht="15.75" x14ac:dyDescent="0.25">
      <c r="B68" s="1824"/>
      <c r="C68" s="1557"/>
      <c r="D68" s="1557"/>
      <c r="E68" s="1557"/>
      <c r="F68" s="1557"/>
      <c r="G68" s="1557"/>
      <c r="H68" s="1557"/>
      <c r="I68" s="1674"/>
      <c r="L68" s="1564"/>
      <c r="Z68" s="1565"/>
      <c r="AA68" s="1565"/>
      <c r="AB68" s="1565"/>
      <c r="AC68" s="1565"/>
      <c r="AD68" s="1565"/>
      <c r="AE68" s="1565"/>
      <c r="AF68" s="1565"/>
      <c r="AG68" s="1565"/>
    </row>
    <row r="69" spans="1:33" ht="15.75" x14ac:dyDescent="0.25">
      <c r="A69" s="1565"/>
      <c r="B69" s="1559" t="s">
        <v>954</v>
      </c>
      <c r="C69" s="1931"/>
      <c r="D69" s="1931"/>
      <c r="E69" s="1931"/>
      <c r="F69" s="1931"/>
      <c r="G69" s="1931"/>
      <c r="H69" s="1931"/>
      <c r="I69" s="1944"/>
      <c r="J69" s="1565"/>
      <c r="M69" s="1564"/>
    </row>
    <row r="70" spans="1:33" ht="15.75" x14ac:dyDescent="0.25">
      <c r="A70" s="1565"/>
      <c r="B70" s="1779"/>
      <c r="C70" s="2219" t="s">
        <v>956</v>
      </c>
      <c r="D70" s="2219"/>
      <c r="E70" s="2219"/>
      <c r="F70" s="2165" t="str">
        <f>'Baseline farm'!F70</f>
        <v>Default state-based factors and fractions</v>
      </c>
      <c r="G70" s="2165"/>
      <c r="H70" s="1893" t="s">
        <v>1380</v>
      </c>
      <c r="I70" s="1829" t="e">
        <f>D230</f>
        <v>#DIV/0!</v>
      </c>
      <c r="J70" s="1565"/>
      <c r="M70" s="1564"/>
    </row>
    <row r="71" spans="1:33" ht="15.6" customHeight="1" x14ac:dyDescent="0.25">
      <c r="A71" s="1565"/>
      <c r="B71" s="2172" t="s">
        <v>1004</v>
      </c>
      <c r="C71" s="1815"/>
      <c r="D71" s="1815"/>
      <c r="E71" s="1815"/>
      <c r="F71" s="1815"/>
      <c r="G71" s="1815"/>
      <c r="H71" s="1815"/>
      <c r="I71" s="1816"/>
      <c r="J71" s="1565"/>
      <c r="M71" s="1564"/>
    </row>
    <row r="72" spans="1:33" ht="15.75" x14ac:dyDescent="0.25">
      <c r="A72" s="1565"/>
      <c r="B72" s="2172"/>
      <c r="C72" s="1784" t="s">
        <v>262</v>
      </c>
      <c r="D72" s="1784" t="s">
        <v>1582</v>
      </c>
      <c r="E72" s="1784" t="s">
        <v>1583</v>
      </c>
      <c r="F72" s="1784" t="s">
        <v>263</v>
      </c>
      <c r="G72" s="1784" t="s">
        <v>1584</v>
      </c>
      <c r="H72" s="1784" t="s">
        <v>1585</v>
      </c>
      <c r="I72" s="1789" t="s">
        <v>264</v>
      </c>
      <c r="J72" s="1565"/>
      <c r="M72" s="1564"/>
    </row>
    <row r="73" spans="1:33" ht="15.75" x14ac:dyDescent="0.25">
      <c r="A73" s="1565"/>
      <c r="B73" s="1778" t="s">
        <v>489</v>
      </c>
      <c r="C73" s="1791" t="e">
        <f>AG203</f>
        <v>#N/A</v>
      </c>
      <c r="D73" s="1791" t="e">
        <f>AH203</f>
        <v>#N/A</v>
      </c>
      <c r="E73" s="1791" t="e">
        <f>AJ203</f>
        <v>#N/A</v>
      </c>
      <c r="F73" s="1791" t="e">
        <f>AI203</f>
        <v>#N/A</v>
      </c>
      <c r="G73" s="1791">
        <f>0</f>
        <v>0</v>
      </c>
      <c r="H73" s="1791">
        <f>0</f>
        <v>0</v>
      </c>
      <c r="I73" s="1792" t="e">
        <f>AK203</f>
        <v>#N/A</v>
      </c>
      <c r="J73" s="1565"/>
      <c r="M73" s="1564"/>
    </row>
    <row r="74" spans="1:33" ht="15.75" x14ac:dyDescent="0.25">
      <c r="A74" s="1565"/>
      <c r="B74" s="1778" t="s">
        <v>955</v>
      </c>
      <c r="C74" s="1791">
        <f>IF($G$70=1,0,AG206)</f>
        <v>0</v>
      </c>
      <c r="D74" s="1791">
        <f>IF($G$70=1,0,AH206)</f>
        <v>0</v>
      </c>
      <c r="E74" s="1791">
        <f>IF($G$70=1,0,AJ206)</f>
        <v>0</v>
      </c>
      <c r="F74" s="1791">
        <f>IF($G$70=1,0,AI206)</f>
        <v>0</v>
      </c>
      <c r="G74" s="1791">
        <f>0</f>
        <v>0</v>
      </c>
      <c r="H74" s="1791">
        <f>0</f>
        <v>0</v>
      </c>
      <c r="I74" s="1792">
        <f>IF($G$70=1,100,AK206)</f>
        <v>100</v>
      </c>
      <c r="J74" s="1565"/>
      <c r="M74" s="1564"/>
    </row>
    <row r="75" spans="1:33" ht="15.75" x14ac:dyDescent="0.25">
      <c r="A75" s="1565"/>
      <c r="B75" s="1779"/>
      <c r="C75" s="1815"/>
      <c r="D75" s="1815"/>
      <c r="E75" s="1815"/>
      <c r="F75" s="1815"/>
      <c r="G75" s="1815"/>
      <c r="H75" s="1815"/>
      <c r="I75" s="1816"/>
      <c r="J75" s="1565"/>
      <c r="M75" s="1564"/>
    </row>
    <row r="76" spans="1:33" ht="15.6" customHeight="1" x14ac:dyDescent="0.25">
      <c r="A76" s="1565"/>
      <c r="B76" s="2173" t="s">
        <v>1042</v>
      </c>
      <c r="C76" s="2174"/>
      <c r="D76" s="2174"/>
      <c r="E76" s="2174"/>
      <c r="F76" s="2174"/>
      <c r="G76" s="2174"/>
      <c r="H76" s="2174"/>
      <c r="I76" s="2220"/>
      <c r="J76" s="1565"/>
      <c r="M76" s="1564"/>
    </row>
    <row r="77" spans="1:33" ht="15.6" customHeight="1" x14ac:dyDescent="0.25">
      <c r="A77" s="1565"/>
      <c r="B77" s="2173"/>
      <c r="C77" s="2174"/>
      <c r="D77" s="2174"/>
      <c r="E77" s="2174"/>
      <c r="F77" s="2174"/>
      <c r="G77" s="2174"/>
      <c r="H77" s="2174"/>
      <c r="I77" s="2220"/>
      <c r="J77" s="1565"/>
      <c r="M77" s="1564"/>
    </row>
    <row r="78" spans="1:33" ht="15.75" x14ac:dyDescent="0.25">
      <c r="A78" s="1565"/>
      <c r="B78" s="2173"/>
      <c r="C78" s="2174"/>
      <c r="D78" s="2174"/>
      <c r="E78" s="2174"/>
      <c r="F78" s="2174"/>
      <c r="G78" s="2174"/>
      <c r="H78" s="2174"/>
      <c r="I78" s="2220"/>
      <c r="J78" s="1565"/>
      <c r="M78" s="1564"/>
    </row>
    <row r="79" spans="1:33" ht="16.5" x14ac:dyDescent="0.25">
      <c r="A79" s="1565"/>
      <c r="B79" s="1836"/>
      <c r="C79" s="1837"/>
      <c r="D79" s="1837"/>
      <c r="E79" s="1837"/>
      <c r="F79" s="1837"/>
      <c r="G79" s="1837"/>
      <c r="H79" s="1837"/>
      <c r="I79" s="1838"/>
      <c r="J79" s="1565"/>
      <c r="M79" s="1564"/>
    </row>
    <row r="80" spans="1:33" s="1565" customFormat="1" ht="15.75" x14ac:dyDescent="0.25">
      <c r="A80" s="1560"/>
      <c r="B80" s="1779" t="s">
        <v>489</v>
      </c>
      <c r="C80" s="1667"/>
      <c r="D80" s="1667"/>
      <c r="E80" s="1667"/>
      <c r="F80" s="1667"/>
      <c r="G80" s="1784" t="s">
        <v>964</v>
      </c>
      <c r="H80" s="1784" t="s">
        <v>965</v>
      </c>
      <c r="I80" s="1814"/>
      <c r="J80" s="1560"/>
      <c r="K80" s="1560"/>
      <c r="L80" s="1560"/>
      <c r="M80" s="1560"/>
      <c r="N80" s="1560"/>
      <c r="O80" s="1560"/>
      <c r="P80" s="1560"/>
      <c r="Q80" s="1560"/>
      <c r="R80" s="1560"/>
      <c r="S80" s="1560"/>
      <c r="T80" s="1560"/>
      <c r="U80" s="1560"/>
      <c r="V80" s="1560"/>
      <c r="W80" s="1560"/>
      <c r="X80" s="1560"/>
      <c r="Y80" s="1560"/>
      <c r="Z80" s="1560"/>
      <c r="AA80" s="1560"/>
      <c r="AB80" s="1560"/>
      <c r="AC80" s="1560"/>
      <c r="AD80" s="1560"/>
      <c r="AE80" s="1560"/>
      <c r="AF80" s="1560"/>
      <c r="AG80" s="1560"/>
    </row>
    <row r="81" spans="1:33" s="1565" customFormat="1" ht="15.75" x14ac:dyDescent="0.25">
      <c r="A81" s="1560"/>
      <c r="B81" s="1778" t="s">
        <v>1384</v>
      </c>
      <c r="C81" s="1667"/>
      <c r="D81" s="1667"/>
      <c r="E81" s="1667"/>
      <c r="F81" s="1826"/>
      <c r="G81" s="1625">
        <f>'Baseline farm'!G80</f>
        <v>0</v>
      </c>
      <c r="H81" s="1625">
        <f>'Baseline farm'!H80</f>
        <v>0</v>
      </c>
      <c r="I81" s="1814"/>
      <c r="J81" s="1560"/>
      <c r="K81" s="1560"/>
      <c r="L81" s="1560"/>
      <c r="M81" s="1560"/>
      <c r="N81" s="1560"/>
      <c r="O81" s="1560"/>
      <c r="P81" s="1560"/>
      <c r="Q81" s="1560"/>
      <c r="R81" s="1560"/>
      <c r="S81" s="1560"/>
      <c r="T81" s="1560"/>
      <c r="U81" s="1560"/>
      <c r="V81" s="1560"/>
      <c r="W81" s="1560"/>
      <c r="X81" s="1560"/>
      <c r="Y81" s="1560"/>
      <c r="Z81" s="1560"/>
      <c r="AA81" s="1560"/>
      <c r="AB81" s="1560"/>
      <c r="AC81" s="1560"/>
      <c r="AD81" s="1560"/>
      <c r="AE81" s="1560"/>
      <c r="AF81" s="1560"/>
      <c r="AG81" s="1560"/>
    </row>
    <row r="82" spans="1:33" s="1565" customFormat="1" ht="15.75" x14ac:dyDescent="0.25">
      <c r="A82" s="1560"/>
      <c r="B82" s="1778"/>
      <c r="C82" s="1667"/>
      <c r="D82" s="1667"/>
      <c r="E82" s="1667"/>
      <c r="F82" s="1667"/>
      <c r="G82" s="1667"/>
      <c r="H82" s="1821"/>
      <c r="I82" s="1814"/>
      <c r="J82" s="1560"/>
      <c r="K82" s="1560"/>
      <c r="L82" s="1560"/>
      <c r="M82" s="1560"/>
      <c r="N82" s="1560"/>
      <c r="O82" s="1560"/>
      <c r="P82" s="1560"/>
      <c r="Q82" s="1560"/>
      <c r="R82" s="1560"/>
      <c r="S82" s="1560"/>
      <c r="T82" s="1560"/>
      <c r="U82" s="1560"/>
      <c r="V82" s="1560"/>
      <c r="W82" s="1560"/>
      <c r="X82" s="1560"/>
      <c r="Y82" s="1560"/>
      <c r="Z82" s="1560"/>
      <c r="AA82" s="1560"/>
      <c r="AB82" s="1560"/>
      <c r="AC82" s="1560"/>
      <c r="AD82" s="1560"/>
      <c r="AE82" s="1560"/>
      <c r="AF82" s="1560"/>
      <c r="AG82" s="1560"/>
    </row>
    <row r="83" spans="1:33" s="1565" customFormat="1" ht="15.75" x14ac:dyDescent="0.25">
      <c r="A83" s="1560"/>
      <c r="B83" s="1823" t="s">
        <v>1412</v>
      </c>
      <c r="C83" s="1667"/>
      <c r="D83" s="1777"/>
      <c r="E83" s="1777"/>
      <c r="F83" s="1668"/>
      <c r="G83" s="1625">
        <f>'Baseline farm'!G82</f>
        <v>0</v>
      </c>
      <c r="H83" s="1888" t="s">
        <v>259</v>
      </c>
      <c r="I83" s="1781"/>
      <c r="J83" s="1560"/>
      <c r="K83" s="1560"/>
      <c r="L83" s="1560"/>
      <c r="M83" s="1560"/>
      <c r="N83" s="1560"/>
      <c r="O83" s="1560"/>
      <c r="P83" s="1560"/>
      <c r="Q83" s="1560"/>
      <c r="R83" s="1560"/>
      <c r="S83" s="1560"/>
      <c r="T83" s="1560"/>
      <c r="U83" s="1560"/>
      <c r="V83" s="1560"/>
      <c r="W83" s="1560"/>
      <c r="X83" s="1560"/>
      <c r="Y83" s="1560"/>
      <c r="Z83" s="1560"/>
      <c r="AA83" s="1560"/>
      <c r="AB83" s="1560"/>
      <c r="AC83" s="1560"/>
      <c r="AD83" s="1560"/>
      <c r="AE83" s="1560"/>
      <c r="AF83" s="1560"/>
      <c r="AG83" s="1560"/>
    </row>
    <row r="84" spans="1:33" s="1565" customFormat="1" ht="15.75" x14ac:dyDescent="0.25">
      <c r="A84" s="1560"/>
      <c r="B84" s="1778" t="s">
        <v>1413</v>
      </c>
      <c r="C84" s="1777"/>
      <c r="D84" s="1777"/>
      <c r="E84" s="1777"/>
      <c r="F84" s="1668"/>
      <c r="G84" s="1625">
        <f>'Baseline farm'!G83</f>
        <v>0</v>
      </c>
      <c r="H84" s="1888" t="s">
        <v>259</v>
      </c>
      <c r="I84" s="1781"/>
      <c r="J84" s="1560"/>
      <c r="K84" s="1560"/>
      <c r="L84" s="1560"/>
      <c r="M84" s="1560"/>
      <c r="N84" s="1560"/>
      <c r="O84" s="1560"/>
      <c r="P84" s="1560"/>
      <c r="Q84" s="1560"/>
      <c r="R84" s="1560"/>
      <c r="S84" s="1560"/>
      <c r="T84" s="1560"/>
      <c r="U84" s="1560"/>
      <c r="V84" s="1560"/>
      <c r="W84" s="1560"/>
      <c r="X84" s="1560"/>
      <c r="Y84" s="1560"/>
      <c r="Z84" s="1560"/>
      <c r="AA84" s="1560"/>
      <c r="AB84" s="1560"/>
      <c r="AC84" s="1560"/>
      <c r="AD84" s="1560"/>
      <c r="AE84" s="1560"/>
      <c r="AF84" s="1560"/>
      <c r="AG84" s="1560"/>
    </row>
    <row r="85" spans="1:33" s="1565" customFormat="1" ht="15.75" x14ac:dyDescent="0.25">
      <c r="A85" s="1560"/>
      <c r="B85" s="1778" t="s">
        <v>1411</v>
      </c>
      <c r="C85" s="1777"/>
      <c r="D85" s="1777"/>
      <c r="E85" s="1777"/>
      <c r="F85" s="1668"/>
      <c r="G85" s="1777">
        <f>'Baseline farm'!G84</f>
        <v>100</v>
      </c>
      <c r="H85" s="1777"/>
      <c r="I85" s="1781"/>
      <c r="J85" s="1560"/>
      <c r="K85" s="1560"/>
      <c r="L85" s="1560"/>
      <c r="M85" s="1560"/>
      <c r="N85" s="1560"/>
      <c r="O85" s="1560"/>
      <c r="P85" s="1560"/>
      <c r="Q85" s="1560"/>
      <c r="R85" s="1560"/>
      <c r="S85" s="1560"/>
      <c r="T85" s="1560"/>
      <c r="U85" s="1560"/>
      <c r="V85" s="1560"/>
      <c r="W85" s="1560"/>
      <c r="X85" s="1560"/>
      <c r="Y85" s="1560"/>
      <c r="Z85" s="1560"/>
      <c r="AA85" s="1560"/>
      <c r="AB85" s="1560"/>
      <c r="AC85" s="1560"/>
      <c r="AD85" s="1560"/>
      <c r="AE85" s="1560"/>
      <c r="AF85" s="1560"/>
      <c r="AG85" s="1560"/>
    </row>
    <row r="86" spans="1:33" s="1565" customFormat="1" ht="15.75" x14ac:dyDescent="0.25">
      <c r="A86" s="1560"/>
      <c r="B86" s="1779"/>
      <c r="C86" s="1777"/>
      <c r="D86" s="1777"/>
      <c r="E86" s="1777"/>
      <c r="F86" s="1668"/>
      <c r="G86" s="1777"/>
      <c r="H86" s="1777"/>
      <c r="I86" s="1781"/>
      <c r="J86" s="1560"/>
      <c r="K86" s="1560"/>
      <c r="L86" s="1560"/>
      <c r="M86" s="1560"/>
      <c r="N86" s="1560"/>
      <c r="O86" s="1560"/>
      <c r="P86" s="1560"/>
      <c r="Q86" s="1560"/>
      <c r="R86" s="1560"/>
      <c r="S86" s="1560"/>
      <c r="T86" s="1560"/>
      <c r="U86" s="1560"/>
      <c r="V86" s="1560"/>
      <c r="W86" s="1560"/>
      <c r="X86" s="1560"/>
      <c r="Y86" s="1560"/>
      <c r="Z86" s="1560"/>
      <c r="AA86" s="1560"/>
      <c r="AB86" s="1560"/>
      <c r="AC86" s="1560"/>
      <c r="AD86" s="1560"/>
      <c r="AE86" s="1560"/>
      <c r="AF86" s="1560"/>
      <c r="AG86" s="1560"/>
    </row>
    <row r="87" spans="1:33" s="1565" customFormat="1" ht="15.75" x14ac:dyDescent="0.25">
      <c r="A87" s="1560"/>
      <c r="B87" s="1778" t="s">
        <v>1364</v>
      </c>
      <c r="C87" s="1777"/>
      <c r="D87" s="1777"/>
      <c r="E87" s="1777"/>
      <c r="F87" s="1668"/>
      <c r="G87" s="1625">
        <f>'Baseline farm'!G86</f>
        <v>0</v>
      </c>
      <c r="H87" s="1777"/>
      <c r="I87" s="1781"/>
      <c r="J87" s="1560"/>
      <c r="K87" s="1560"/>
      <c r="L87" s="1560"/>
      <c r="M87" s="1560"/>
      <c r="N87" s="1560"/>
      <c r="O87" s="1560"/>
      <c r="P87" s="1560"/>
      <c r="Q87" s="1560"/>
      <c r="R87" s="1560"/>
      <c r="S87" s="1560"/>
      <c r="T87" s="1560"/>
      <c r="U87" s="1560"/>
      <c r="V87" s="1560"/>
      <c r="W87" s="1560"/>
      <c r="X87" s="1560"/>
      <c r="Y87" s="1560"/>
      <c r="Z87" s="1560"/>
      <c r="AA87" s="1560"/>
      <c r="AB87" s="1560"/>
      <c r="AC87" s="1560"/>
      <c r="AD87" s="1560"/>
      <c r="AE87" s="1560"/>
      <c r="AF87" s="1560"/>
      <c r="AG87" s="1560"/>
    </row>
    <row r="88" spans="1:33" s="1565" customFormat="1" ht="15.75" x14ac:dyDescent="0.25">
      <c r="A88" s="1560"/>
      <c r="B88" s="1778"/>
      <c r="C88" s="1777"/>
      <c r="D88" s="1777"/>
      <c r="E88" s="1777"/>
      <c r="F88" s="1777"/>
      <c r="G88" s="1784" t="s">
        <v>964</v>
      </c>
      <c r="H88" s="1784" t="s">
        <v>965</v>
      </c>
      <c r="I88" s="1781"/>
      <c r="J88" s="1560"/>
      <c r="K88" s="1560"/>
      <c r="L88" s="1560"/>
      <c r="M88" s="1560"/>
      <c r="N88" s="1560"/>
      <c r="O88" s="1560"/>
      <c r="P88" s="1560"/>
      <c r="Q88" s="1560"/>
      <c r="R88" s="1560"/>
      <c r="S88" s="1560"/>
      <c r="T88" s="1560"/>
      <c r="U88" s="1560"/>
      <c r="V88" s="1560"/>
      <c r="W88" s="1560"/>
      <c r="X88" s="1560"/>
      <c r="Y88" s="1560"/>
      <c r="Z88" s="1560"/>
      <c r="AA88" s="1560"/>
      <c r="AB88" s="1560"/>
      <c r="AC88" s="1560"/>
      <c r="AD88" s="1560"/>
      <c r="AE88" s="1560"/>
      <c r="AF88" s="1560"/>
      <c r="AG88" s="1560"/>
    </row>
    <row r="89" spans="1:33" s="1565" customFormat="1" ht="15.75" x14ac:dyDescent="0.25">
      <c r="A89" s="1560"/>
      <c r="B89" s="1778" t="s">
        <v>1385</v>
      </c>
      <c r="C89" s="1777"/>
      <c r="D89" s="1777"/>
      <c r="E89" s="1777"/>
      <c r="F89" s="1777"/>
      <c r="G89" s="1625">
        <f>'Baseline farm'!G88</f>
        <v>0</v>
      </c>
      <c r="H89" s="1625">
        <f>'Baseline farm'!H88</f>
        <v>0</v>
      </c>
      <c r="I89" s="1781"/>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row>
    <row r="90" spans="1:33" s="1565" customFormat="1" ht="15.75" x14ac:dyDescent="0.25">
      <c r="A90" s="1560"/>
      <c r="B90" s="1778"/>
      <c r="C90" s="1777"/>
      <c r="D90" s="1777"/>
      <c r="E90" s="1777"/>
      <c r="F90" s="1777"/>
      <c r="G90" s="1777"/>
      <c r="H90" s="1777"/>
      <c r="I90" s="1781"/>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row>
    <row r="91" spans="1:33" s="1565" customFormat="1" ht="15.75" x14ac:dyDescent="0.25">
      <c r="A91" s="1560"/>
      <c r="B91" s="1778" t="s">
        <v>1362</v>
      </c>
      <c r="C91" s="1777"/>
      <c r="D91" s="1777"/>
      <c r="E91" s="1668"/>
      <c r="F91" s="2157">
        <f>'Baseline farm'!F90:G90</f>
        <v>0</v>
      </c>
      <c r="G91" s="2157"/>
      <c r="H91" s="1784" t="s">
        <v>1031</v>
      </c>
      <c r="I91" s="1792" t="e">
        <f>AN203</f>
        <v>#N/A</v>
      </c>
      <c r="J91" s="1560"/>
      <c r="K91" s="1560"/>
      <c r="L91" s="1560"/>
      <c r="M91" s="1560"/>
      <c r="N91" s="1560"/>
      <c r="O91" s="1560"/>
      <c r="P91" s="1560"/>
      <c r="Q91" s="1560"/>
      <c r="R91" s="1560"/>
      <c r="S91" s="1560"/>
      <c r="T91" s="1560"/>
      <c r="U91" s="1560"/>
      <c r="V91" s="1560"/>
      <c r="W91" s="1560"/>
      <c r="X91" s="1560"/>
      <c r="Y91" s="1560"/>
      <c r="Z91" s="1560"/>
      <c r="AA91" s="1560"/>
      <c r="AB91" s="1560"/>
      <c r="AC91" s="1560"/>
      <c r="AD91" s="1560"/>
      <c r="AE91" s="1560"/>
      <c r="AF91" s="1560"/>
      <c r="AG91" s="1560"/>
    </row>
    <row r="92" spans="1:33" s="1565" customFormat="1" ht="15.75" x14ac:dyDescent="0.25">
      <c r="A92" s="1560"/>
      <c r="B92" s="1779"/>
      <c r="C92" s="1777"/>
      <c r="D92" s="1777"/>
      <c r="E92" s="1777"/>
      <c r="F92" s="1777"/>
      <c r="G92" s="1777"/>
      <c r="H92" s="1777"/>
      <c r="I92" s="1781"/>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row>
    <row r="93" spans="1:33" s="1565" customFormat="1" ht="15.75" x14ac:dyDescent="0.25">
      <c r="A93" s="1560"/>
      <c r="B93" s="1779" t="s">
        <v>971</v>
      </c>
      <c r="C93" s="1777"/>
      <c r="D93" s="1777"/>
      <c r="E93" s="1777"/>
      <c r="F93" s="1777"/>
      <c r="G93" s="1784" t="s">
        <v>964</v>
      </c>
      <c r="H93" s="1784" t="s">
        <v>965</v>
      </c>
      <c r="I93" s="1781"/>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row>
    <row r="94" spans="1:33" ht="15.75" x14ac:dyDescent="0.25">
      <c r="B94" s="1778" t="s">
        <v>1102</v>
      </c>
      <c r="C94" s="1777"/>
      <c r="D94" s="1777"/>
      <c r="E94" s="1777"/>
      <c r="F94" s="1777"/>
      <c r="G94" s="1625">
        <f>'Baseline farm'!G93</f>
        <v>0</v>
      </c>
      <c r="H94" s="1625">
        <f>'Baseline farm'!H93</f>
        <v>0</v>
      </c>
      <c r="I94" s="1781"/>
    </row>
    <row r="95" spans="1:33" x14ac:dyDescent="0.25">
      <c r="B95" s="1948"/>
      <c r="C95" s="1827"/>
      <c r="D95" s="1827"/>
      <c r="E95" s="1827"/>
      <c r="F95" s="1827"/>
      <c r="G95" s="1827"/>
      <c r="H95" s="1827"/>
      <c r="I95" s="1828"/>
    </row>
    <row r="96" spans="1:33" ht="15.75" x14ac:dyDescent="0.25">
      <c r="B96" s="1778" t="s">
        <v>966</v>
      </c>
      <c r="C96" s="1827"/>
      <c r="D96" s="1827"/>
      <c r="E96" s="1821"/>
      <c r="F96" s="2165">
        <f>'Baseline farm'!F95:G95</f>
        <v>0</v>
      </c>
      <c r="G96" s="2165"/>
      <c r="H96" s="1784" t="s">
        <v>1031</v>
      </c>
      <c r="I96" s="1949">
        <f>AN206</f>
        <v>1</v>
      </c>
    </row>
    <row r="97" spans="1:25" x14ac:dyDescent="0.25">
      <c r="B97" s="1830"/>
      <c r="C97" s="1950"/>
      <c r="D97" s="1950"/>
      <c r="E97" s="1950"/>
      <c r="F97" s="1950"/>
      <c r="G97" s="1950"/>
      <c r="H97" s="1950"/>
      <c r="I97" s="1831"/>
    </row>
    <row r="99" spans="1:25" ht="15.75" x14ac:dyDescent="0.25">
      <c r="B99" s="1832" t="s">
        <v>677</v>
      </c>
    </row>
    <row r="100" spans="1:25" ht="25.15" customHeight="1" x14ac:dyDescent="0.25">
      <c r="B100" s="2221"/>
      <c r="C100" s="2221"/>
      <c r="D100" s="2222" t="str">
        <f>D16</f>
        <v>Milking Cows</v>
      </c>
      <c r="E100" s="2222" t="str">
        <f>E16</f>
        <v xml:space="preserve">Heifers &gt;1 </v>
      </c>
      <c r="F100" s="2222" t="str">
        <f>F16</f>
        <v xml:space="preserve">Heifers &lt;1 </v>
      </c>
      <c r="G100" s="2222" t="str">
        <f>G16</f>
        <v>Mature bulls</v>
      </c>
      <c r="H100" s="2222" t="str">
        <f>H16</f>
        <v>Immature bulls</v>
      </c>
      <c r="I100" s="2222" t="s">
        <v>463</v>
      </c>
      <c r="J100" s="2227" t="s">
        <v>1070</v>
      </c>
      <c r="K100" s="2224" t="s">
        <v>1071</v>
      </c>
    </row>
    <row r="101" spans="1:25" ht="25.15" customHeight="1" x14ac:dyDescent="0.25">
      <c r="B101" s="1896"/>
      <c r="C101" s="1896"/>
      <c r="D101" s="2223"/>
      <c r="E101" s="2223"/>
      <c r="F101" s="2223"/>
      <c r="G101" s="2223"/>
      <c r="H101" s="2223"/>
      <c r="I101" s="2223"/>
      <c r="J101" s="2228"/>
      <c r="K101" s="2225"/>
    </row>
    <row r="102" spans="1:25" ht="15.75" x14ac:dyDescent="0.25">
      <c r="B102" s="1563" t="s">
        <v>891</v>
      </c>
      <c r="C102" s="1807" t="s">
        <v>457</v>
      </c>
      <c r="D102" s="1882" t="e">
        <f>SUM(D218:D218)*21*10^3</f>
        <v>#DIV/0!</v>
      </c>
      <c r="E102" s="1882">
        <f>SUM(E218:E218)*21*10^3</f>
        <v>0</v>
      </c>
      <c r="F102" s="1882">
        <f>SUM(F218:F218)*21*10^3</f>
        <v>0</v>
      </c>
      <c r="G102" s="1882">
        <f>SUM(G218:G218)*21*10^3</f>
        <v>0</v>
      </c>
      <c r="H102" s="1882">
        <f>SUM(H218:H218)*21*10^3</f>
        <v>0</v>
      </c>
      <c r="I102" s="1882"/>
      <c r="J102" s="1882" t="e">
        <f t="shared" ref="J102:J107" si="0">SUM(D102:H102)</f>
        <v>#DIV/0!</v>
      </c>
      <c r="K102" s="1886" t="e">
        <f>J102/($J$116-$J$115)</f>
        <v>#DIV/0!</v>
      </c>
      <c r="L102" s="1856"/>
      <c r="S102" s="1564"/>
      <c r="T102" s="1564"/>
      <c r="U102" s="1565"/>
      <c r="V102" s="1565"/>
      <c r="W102" s="1565"/>
      <c r="X102" s="1565"/>
      <c r="Y102" s="1565"/>
    </row>
    <row r="103" spans="1:25" ht="15.75" x14ac:dyDescent="0.25">
      <c r="B103" s="1561"/>
      <c r="C103" s="1561" t="s">
        <v>458</v>
      </c>
      <c r="D103" s="1882" t="e">
        <f>SUM(D243:D243)*21*10^3</f>
        <v>#DIV/0!</v>
      </c>
      <c r="E103" s="1882">
        <f>SUM(E243:E243)*21*10^3</f>
        <v>0</v>
      </c>
      <c r="F103" s="1882">
        <f>SUM(F243:F243)*21*10^3</f>
        <v>0</v>
      </c>
      <c r="G103" s="1882">
        <f>SUM(G243:G243)*21*10^3</f>
        <v>0</v>
      </c>
      <c r="H103" s="1882">
        <f>SUM(H243:H243)*21*10^3</f>
        <v>0</v>
      </c>
      <c r="I103" s="1882"/>
      <c r="J103" s="1882" t="e">
        <f t="shared" si="0"/>
        <v>#DIV/0!</v>
      </c>
      <c r="K103" s="1886" t="e">
        <f t="shared" ref="K103:K114" si="1">J103/($J$116-$J$115)</f>
        <v>#DIV/0!</v>
      </c>
      <c r="L103" s="1856"/>
      <c r="S103" s="1564"/>
      <c r="T103" s="1564"/>
      <c r="U103" s="1565"/>
      <c r="V103" s="1565"/>
      <c r="W103" s="1565"/>
      <c r="X103" s="1565"/>
      <c r="Y103" s="1565"/>
    </row>
    <row r="104" spans="1:25" ht="15.75" x14ac:dyDescent="0.25">
      <c r="A104" s="1565"/>
      <c r="B104" s="1563" t="s">
        <v>892</v>
      </c>
      <c r="C104" s="1561" t="s">
        <v>464</v>
      </c>
      <c r="D104" s="1882" t="e">
        <f>SUM(D405:D405)*310*10^3</f>
        <v>#DIV/0!</v>
      </c>
      <c r="E104" s="1882" t="e">
        <f>SUM(E405:E405)*310*10^3</f>
        <v>#N/A</v>
      </c>
      <c r="F104" s="1882" t="e">
        <f>SUM(F405:F405)*310*10^3</f>
        <v>#N/A</v>
      </c>
      <c r="G104" s="1882" t="e">
        <f>SUM(G405:G405)*310*10^3</f>
        <v>#N/A</v>
      </c>
      <c r="H104" s="1882" t="e">
        <f>SUM(H405:H405)*310*10^3</f>
        <v>#N/A</v>
      </c>
      <c r="I104" s="1882"/>
      <c r="J104" s="1882" t="e">
        <f t="shared" si="0"/>
        <v>#DIV/0!</v>
      </c>
      <c r="K104" s="1886" t="e">
        <f t="shared" si="1"/>
        <v>#DIV/0!</v>
      </c>
      <c r="L104" s="1856"/>
      <c r="N104" s="1856"/>
    </row>
    <row r="105" spans="1:25" ht="15.75" x14ac:dyDescent="0.25">
      <c r="A105" s="1565"/>
      <c r="B105" s="1561"/>
      <c r="C105" s="1561" t="s">
        <v>1586</v>
      </c>
      <c r="D105" s="1882" t="e">
        <f>SUM(D307:D307)*310*10^3</f>
        <v>#DIV/0!</v>
      </c>
      <c r="E105" s="1882" t="e">
        <f>SUM(E307:E307)*310*10^3</f>
        <v>#N/A</v>
      </c>
      <c r="F105" s="1882" t="e">
        <f>SUM(F307:F307)*310*10^3</f>
        <v>#N/A</v>
      </c>
      <c r="G105" s="1882" t="e">
        <f>SUM(G307:G307)*310*10^3</f>
        <v>#N/A</v>
      </c>
      <c r="H105" s="1882" t="e">
        <f>SUM(H307:H307)*310*10^3</f>
        <v>#N/A</v>
      </c>
      <c r="I105" s="1882"/>
      <c r="J105" s="1882" t="e">
        <f t="shared" si="0"/>
        <v>#DIV/0!</v>
      </c>
      <c r="K105" s="1886" t="e">
        <f t="shared" si="1"/>
        <v>#DIV/0!</v>
      </c>
      <c r="L105" s="1856"/>
      <c r="N105" s="1856"/>
      <c r="O105" s="1564"/>
      <c r="P105" s="1564"/>
      <c r="Q105" s="1564"/>
      <c r="R105" s="1564"/>
    </row>
    <row r="106" spans="1:25" ht="15.75" x14ac:dyDescent="0.25">
      <c r="A106" s="1565"/>
      <c r="B106" s="1561"/>
      <c r="C106" s="1561" t="s">
        <v>1587</v>
      </c>
      <c r="D106" s="1882" t="e">
        <f>SUM(D360:D360)*310*10^3</f>
        <v>#DIV/0!</v>
      </c>
      <c r="E106" s="1882" t="e">
        <f>SUM(E360:E360)*310*10^3</f>
        <v>#N/A</v>
      </c>
      <c r="F106" s="1882" t="e">
        <f>SUM(F360:F360)*310*10^3</f>
        <v>#N/A</v>
      </c>
      <c r="G106" s="1882" t="e">
        <f>SUM(G360:G360)*310*10^3</f>
        <v>#N/A</v>
      </c>
      <c r="H106" s="1882" t="e">
        <f>SUM(H360:H360)*310*10^3</f>
        <v>#N/A</v>
      </c>
      <c r="I106" s="1882"/>
      <c r="J106" s="1882" t="e">
        <f t="shared" si="0"/>
        <v>#DIV/0!</v>
      </c>
      <c r="K106" s="1886" t="e">
        <f t="shared" si="1"/>
        <v>#DIV/0!</v>
      </c>
      <c r="L106" s="1856"/>
      <c r="N106" s="1856"/>
      <c r="O106" s="1564"/>
      <c r="P106" s="1564"/>
      <c r="Q106" s="1564"/>
      <c r="R106" s="1564"/>
    </row>
    <row r="107" spans="1:25" ht="15.75" x14ac:dyDescent="0.25">
      <c r="A107" s="1565"/>
      <c r="B107" s="1561"/>
      <c r="C107" s="1561" t="s">
        <v>461</v>
      </c>
      <c r="D107" s="1882" t="e">
        <f>(SUM(D442:D442)+SUM(D476:D476))*310*10^3</f>
        <v>#DIV/0!</v>
      </c>
      <c r="E107" s="1882" t="e">
        <f>(SUM(E442:E442)+SUM(E476:E476))*310*10^3</f>
        <v>#N/A</v>
      </c>
      <c r="F107" s="1882" t="e">
        <f>(SUM(F442:F442)+SUM(F476:F476))*310*10^3</f>
        <v>#N/A</v>
      </c>
      <c r="G107" s="1882" t="e">
        <f>(SUM(G442:G442)+SUM(G476:G476))*310*10^3</f>
        <v>#N/A</v>
      </c>
      <c r="H107" s="1882" t="e">
        <f>(SUM(H442:H442)+SUM(H476:H476))*310*10^3</f>
        <v>#N/A</v>
      </c>
      <c r="I107" s="1882"/>
      <c r="J107" s="1882" t="e">
        <f t="shared" si="0"/>
        <v>#DIV/0!</v>
      </c>
      <c r="K107" s="1886" t="e">
        <f t="shared" si="1"/>
        <v>#DIV/0!</v>
      </c>
      <c r="L107" s="1856"/>
      <c r="N107" s="1856"/>
    </row>
    <row r="108" spans="1:25" ht="15.75" x14ac:dyDescent="0.25">
      <c r="A108" s="1565"/>
      <c r="B108" s="1561"/>
      <c r="C108" s="1561" t="s">
        <v>462</v>
      </c>
      <c r="D108" s="1883"/>
      <c r="E108" s="1882"/>
      <c r="F108" s="1882"/>
      <c r="G108" s="1882"/>
      <c r="H108" s="1882"/>
      <c r="I108" s="1882">
        <f>C341</f>
        <v>0</v>
      </c>
      <c r="J108" s="1882">
        <f>I108</f>
        <v>0</v>
      </c>
      <c r="K108" s="1886" t="e">
        <f t="shared" si="1"/>
        <v>#DIV/0!</v>
      </c>
      <c r="L108" s="1856"/>
    </row>
    <row r="109" spans="1:25" ht="15.75" x14ac:dyDescent="0.25">
      <c r="A109" s="1565"/>
      <c r="B109" s="1561"/>
      <c r="C109" s="1561" t="s">
        <v>460</v>
      </c>
      <c r="D109" s="1883"/>
      <c r="E109" s="1882"/>
      <c r="F109" s="1882"/>
      <c r="G109" s="1882"/>
      <c r="H109" s="1882"/>
      <c r="I109" s="1882">
        <f>(SUM(D437:D440)+SUM(D471:D474))*310*10^3</f>
        <v>0</v>
      </c>
      <c r="J109" s="1882">
        <f>I109</f>
        <v>0</v>
      </c>
      <c r="K109" s="1886" t="e">
        <f t="shared" si="1"/>
        <v>#DIV/0!</v>
      </c>
    </row>
    <row r="110" spans="1:25" ht="15.75" x14ac:dyDescent="0.25">
      <c r="A110" s="1565"/>
      <c r="B110" s="1563" t="s">
        <v>893</v>
      </c>
      <c r="C110" s="1561" t="s">
        <v>889</v>
      </c>
      <c r="D110" s="1883"/>
      <c r="E110" s="1882"/>
      <c r="F110" s="1882"/>
      <c r="G110" s="1882"/>
      <c r="H110" s="1882"/>
      <c r="I110" s="1882"/>
      <c r="J110" s="1882" t="e">
        <f>C554</f>
        <v>#N/A</v>
      </c>
      <c r="K110" s="1886" t="e">
        <f t="shared" si="1"/>
        <v>#N/A</v>
      </c>
    </row>
    <row r="111" spans="1:25" ht="15.75" x14ac:dyDescent="0.25">
      <c r="A111" s="1565"/>
      <c r="B111" s="1563"/>
      <c r="C111" s="1561" t="s">
        <v>890</v>
      </c>
      <c r="D111" s="1883"/>
      <c r="E111" s="1882"/>
      <c r="F111" s="1882"/>
      <c r="G111" s="1882"/>
      <c r="H111" s="1882"/>
      <c r="I111" s="1882"/>
      <c r="J111" s="1882">
        <f>C547+C548</f>
        <v>0</v>
      </c>
      <c r="K111" s="1886" t="e">
        <f t="shared" si="1"/>
        <v>#DIV/0!</v>
      </c>
    </row>
    <row r="112" spans="1:25" ht="15.75" x14ac:dyDescent="0.25">
      <c r="A112" s="1565"/>
      <c r="B112" s="1088" t="s">
        <v>1677</v>
      </c>
      <c r="C112" s="1561" t="s">
        <v>938</v>
      </c>
      <c r="D112" s="1883"/>
      <c r="E112" s="1882"/>
      <c r="F112" s="1882"/>
      <c r="G112" s="1882"/>
      <c r="H112" s="1882"/>
      <c r="I112" s="1882"/>
      <c r="J112" s="1882">
        <f>E578</f>
        <v>0</v>
      </c>
      <c r="K112" s="1886" t="e">
        <f t="shared" si="1"/>
        <v>#DIV/0!</v>
      </c>
    </row>
    <row r="113" spans="1:13" ht="15.75" x14ac:dyDescent="0.25">
      <c r="A113" s="1565"/>
      <c r="B113" s="1563"/>
      <c r="C113" s="1561" t="s">
        <v>939</v>
      </c>
      <c r="D113" s="1883"/>
      <c r="E113" s="1882"/>
      <c r="F113" s="1882"/>
      <c r="G113" s="1882"/>
      <c r="H113" s="1882"/>
      <c r="I113" s="1882"/>
      <c r="J113" s="1882">
        <f>E580-E578</f>
        <v>0</v>
      </c>
      <c r="K113" s="1886" t="e">
        <f t="shared" si="1"/>
        <v>#DIV/0!</v>
      </c>
    </row>
    <row r="114" spans="1:13" ht="15.75" x14ac:dyDescent="0.25">
      <c r="A114" s="1565"/>
      <c r="B114" s="1563"/>
      <c r="C114" s="1561" t="s">
        <v>921</v>
      </c>
      <c r="D114" s="1883"/>
      <c r="E114" s="1882"/>
      <c r="F114" s="1882"/>
      <c r="G114" s="1882"/>
      <c r="H114" s="1882"/>
      <c r="I114" s="1882"/>
      <c r="J114" s="1882">
        <f>E587</f>
        <v>0</v>
      </c>
      <c r="K114" s="1886" t="e">
        <f t="shared" si="1"/>
        <v>#DIV/0!</v>
      </c>
    </row>
    <row r="115" spans="1:13" ht="15.75" x14ac:dyDescent="0.25">
      <c r="B115" s="1563" t="s">
        <v>676</v>
      </c>
      <c r="C115" s="1561" t="s">
        <v>1153</v>
      </c>
      <c r="D115" s="1883"/>
      <c r="E115" s="1882"/>
      <c r="F115" s="1882"/>
      <c r="G115" s="1882"/>
      <c r="H115" s="1882"/>
      <c r="I115" s="1882"/>
      <c r="J115" s="1882">
        <f>IF(H65=0,IF(H65="",0,(G519*H65*-1)),(G519*H65*-1))</f>
        <v>0</v>
      </c>
      <c r="K115" s="1663"/>
    </row>
    <row r="116" spans="1:13" ht="17.25" x14ac:dyDescent="0.3">
      <c r="B116" s="1563" t="s">
        <v>1651</v>
      </c>
      <c r="C116" s="1561"/>
      <c r="D116" s="1884" t="e">
        <f t="shared" ref="D116:I116" si="2">SUM(D102:D115)</f>
        <v>#DIV/0!</v>
      </c>
      <c r="E116" s="1884" t="e">
        <f t="shared" si="2"/>
        <v>#N/A</v>
      </c>
      <c r="F116" s="1884" t="e">
        <f t="shared" si="2"/>
        <v>#N/A</v>
      </c>
      <c r="G116" s="1884" t="e">
        <f t="shared" si="2"/>
        <v>#N/A</v>
      </c>
      <c r="H116" s="1884" t="e">
        <f t="shared" si="2"/>
        <v>#N/A</v>
      </c>
      <c r="I116" s="1884">
        <f t="shared" si="2"/>
        <v>0</v>
      </c>
      <c r="J116" s="1885" t="e">
        <f>SUM(J102:J115)</f>
        <v>#DIV/0!</v>
      </c>
      <c r="K116" s="1894" t="s">
        <v>1389</v>
      </c>
      <c r="M116" s="1857"/>
    </row>
    <row r="117" spans="1:13" ht="15.75" x14ac:dyDescent="0.25">
      <c r="B117" s="1563" t="s">
        <v>1045</v>
      </c>
      <c r="C117" s="1561"/>
      <c r="D117" s="1887" t="e">
        <f t="shared" ref="D117:I117" si="3">D116/SUM($J$102:$J$114)</f>
        <v>#DIV/0!</v>
      </c>
      <c r="E117" s="1887" t="e">
        <f t="shared" si="3"/>
        <v>#N/A</v>
      </c>
      <c r="F117" s="1887" t="e">
        <f t="shared" si="3"/>
        <v>#N/A</v>
      </c>
      <c r="G117" s="1887" t="e">
        <f t="shared" si="3"/>
        <v>#N/A</v>
      </c>
      <c r="H117" s="1887" t="e">
        <f t="shared" si="3"/>
        <v>#N/A</v>
      </c>
      <c r="I117" s="1887" t="e">
        <f t="shared" si="3"/>
        <v>#DIV/0!</v>
      </c>
      <c r="J117" s="1803"/>
      <c r="K117" s="1772"/>
    </row>
    <row r="118" spans="1:13" ht="17.25" x14ac:dyDescent="0.3">
      <c r="B118" s="1563" t="s">
        <v>1120</v>
      </c>
      <c r="C118" s="1561"/>
      <c r="D118" s="1664"/>
      <c r="E118" s="1562"/>
      <c r="F118" s="1562"/>
      <c r="G118" s="1562"/>
      <c r="H118" s="1562"/>
      <c r="I118" s="1562"/>
      <c r="J118" s="1666" t="e">
        <f>P192</f>
        <v>#DIV/0!</v>
      </c>
      <c r="K118" s="1895" t="s">
        <v>1390</v>
      </c>
    </row>
    <row r="119" spans="1:13" ht="17.25" x14ac:dyDescent="0.3">
      <c r="B119" s="1833" t="s">
        <v>1043</v>
      </c>
      <c r="C119" s="1834"/>
      <c r="D119" s="1834"/>
      <c r="E119" s="1834"/>
      <c r="F119" s="1834"/>
      <c r="G119" s="1834"/>
      <c r="H119" s="1834"/>
      <c r="I119" s="1834"/>
      <c r="J119" s="1665" t="e">
        <f>P193</f>
        <v>#DIV/0!</v>
      </c>
      <c r="K119" s="1895" t="s">
        <v>1391</v>
      </c>
    </row>
    <row r="120" spans="1:13" ht="15.75" x14ac:dyDescent="0.25">
      <c r="B120" s="1833"/>
      <c r="C120" s="1834"/>
      <c r="D120" s="1834"/>
      <c r="E120" s="1834"/>
      <c r="F120" s="1834"/>
      <c r="G120" s="1834"/>
      <c r="H120" s="1834"/>
      <c r="I120" s="1834"/>
      <c r="J120" s="1665"/>
      <c r="K120" s="1895"/>
    </row>
    <row r="121" spans="1:13" ht="17.25" x14ac:dyDescent="0.3">
      <c r="B121" s="1563" t="s">
        <v>1652</v>
      </c>
      <c r="C121" s="1834"/>
      <c r="D121" s="1951" t="e">
        <f>'Baseline farm'!D113</f>
        <v>#DIV/0!</v>
      </c>
      <c r="E121" s="1951" t="e">
        <f>'Baseline farm'!E113</f>
        <v>#N/A</v>
      </c>
      <c r="F121" s="1951" t="e">
        <f>'Baseline farm'!F113</f>
        <v>#N/A</v>
      </c>
      <c r="G121" s="1951" t="e">
        <f>'Baseline farm'!G113</f>
        <v>#N/A</v>
      </c>
      <c r="H121" s="1951" t="e">
        <f>'Baseline farm'!H113</f>
        <v>#N/A</v>
      </c>
      <c r="I121" s="1951">
        <f>'Baseline farm'!I113</f>
        <v>0</v>
      </c>
      <c r="J121" s="1952" t="e">
        <f>'Baseline farm'!J113</f>
        <v>#DIV/0!</v>
      </c>
      <c r="K121" s="1894" t="s">
        <v>1389</v>
      </c>
    </row>
    <row r="122" spans="1:13" ht="17.25" x14ac:dyDescent="0.3">
      <c r="B122" s="1833" t="s">
        <v>1655</v>
      </c>
      <c r="C122" s="1834"/>
      <c r="D122" s="1834"/>
      <c r="E122" s="1834"/>
      <c r="F122" s="1834"/>
      <c r="G122" s="1834"/>
      <c r="H122" s="1834"/>
      <c r="I122" s="1834"/>
      <c r="J122" s="1665" t="e">
        <f>J116-J121</f>
        <v>#DIV/0!</v>
      </c>
      <c r="K122" s="1894" t="s">
        <v>1389</v>
      </c>
    </row>
    <row r="123" spans="1:13" ht="15.75" x14ac:dyDescent="0.25">
      <c r="B123" s="1833" t="s">
        <v>1656</v>
      </c>
      <c r="C123" s="1834"/>
      <c r="D123" s="1834"/>
      <c r="E123" s="1834"/>
      <c r="F123" s="1834"/>
      <c r="G123" s="1834"/>
      <c r="H123" s="1834"/>
      <c r="I123" s="1834"/>
      <c r="J123" s="1665" t="e">
        <f>(J116-J121)/J116*100</f>
        <v>#DIV/0!</v>
      </c>
      <c r="K123" s="1895" t="s">
        <v>259</v>
      </c>
    </row>
    <row r="125" spans="1:13" ht="15.75" x14ac:dyDescent="0.25">
      <c r="B125" s="1858"/>
      <c r="C125" s="1858"/>
      <c r="D125" s="1859"/>
      <c r="E125" s="1859"/>
      <c r="F125" s="1859"/>
      <c r="G125" s="1859"/>
      <c r="H125" s="1859"/>
      <c r="I125" s="1859"/>
    </row>
    <row r="126" spans="1:13" ht="15.75" x14ac:dyDescent="0.25">
      <c r="B126" s="1858"/>
      <c r="C126" s="1858"/>
      <c r="D126" s="1859"/>
      <c r="E126" s="1859"/>
      <c r="F126" s="1859"/>
      <c r="G126" s="1859"/>
      <c r="H126" s="1859"/>
      <c r="I126" s="1859"/>
    </row>
    <row r="127" spans="1:13" ht="15.75" x14ac:dyDescent="0.25">
      <c r="B127" s="1858"/>
      <c r="C127" s="1858"/>
      <c r="D127" s="1859"/>
      <c r="E127" s="1859"/>
      <c r="F127" s="1859"/>
      <c r="G127" s="1859"/>
      <c r="H127" s="1859"/>
      <c r="I127" s="1859"/>
      <c r="J127" s="1860"/>
    </row>
    <row r="128" spans="1:13" ht="15.75" x14ac:dyDescent="0.25">
      <c r="B128" s="1858"/>
      <c r="C128" s="1858"/>
      <c r="D128" s="1859"/>
      <c r="E128" s="1859"/>
      <c r="F128" s="1859"/>
      <c r="G128" s="1859"/>
      <c r="H128" s="1859"/>
      <c r="I128" s="1859"/>
    </row>
    <row r="129" spans="2:9" ht="15.75" x14ac:dyDescent="0.25">
      <c r="B129" s="1858"/>
      <c r="C129" s="1858"/>
      <c r="D129" s="1859"/>
      <c r="E129" s="1859"/>
      <c r="F129" s="1859"/>
      <c r="G129" s="1859"/>
      <c r="H129" s="1859"/>
      <c r="I129" s="1859"/>
    </row>
    <row r="130" spans="2:9" ht="15.75" x14ac:dyDescent="0.25">
      <c r="B130" s="1858"/>
      <c r="C130" s="1858"/>
      <c r="D130" s="1859"/>
      <c r="E130" s="1859"/>
      <c r="F130" s="1859"/>
      <c r="G130" s="1859"/>
      <c r="H130" s="1859"/>
      <c r="I130" s="1859"/>
    </row>
    <row r="131" spans="2:9" ht="15.75" x14ac:dyDescent="0.25">
      <c r="B131" s="1858"/>
      <c r="C131" s="1858"/>
      <c r="D131" s="1859"/>
      <c r="E131" s="1859"/>
      <c r="F131" s="1859"/>
      <c r="G131" s="1859"/>
      <c r="H131" s="1859"/>
      <c r="I131" s="1859"/>
    </row>
    <row r="132" spans="2:9" ht="15.75" x14ac:dyDescent="0.25">
      <c r="B132" s="1858"/>
      <c r="C132" s="1858"/>
      <c r="D132" s="1859"/>
      <c r="E132" s="1859"/>
      <c r="F132" s="1859"/>
      <c r="G132" s="1859"/>
      <c r="H132" s="1859"/>
      <c r="I132" s="1859"/>
    </row>
    <row r="133" spans="2:9" ht="15.75" x14ac:dyDescent="0.25">
      <c r="B133" s="1858"/>
      <c r="C133" s="1858"/>
      <c r="D133" s="1859"/>
      <c r="E133" s="1859"/>
      <c r="F133" s="1859"/>
      <c r="G133" s="1859"/>
      <c r="H133" s="1859"/>
      <c r="I133" s="1859"/>
    </row>
    <row r="134" spans="2:9" ht="15.75" x14ac:dyDescent="0.25">
      <c r="B134" s="1858"/>
      <c r="C134" s="1858"/>
      <c r="D134" s="1859"/>
      <c r="E134" s="1859"/>
      <c r="F134" s="1859"/>
      <c r="G134" s="1859"/>
      <c r="H134" s="1859"/>
      <c r="I134" s="1859"/>
    </row>
    <row r="135" spans="2:9" ht="15.75" x14ac:dyDescent="0.25">
      <c r="B135" s="1858"/>
      <c r="C135" s="1858"/>
      <c r="D135" s="1859"/>
      <c r="E135" s="1859"/>
      <c r="F135" s="1859"/>
      <c r="G135" s="1859"/>
      <c r="H135" s="1859"/>
      <c r="I135" s="1859"/>
    </row>
    <row r="136" spans="2:9" ht="15.75" x14ac:dyDescent="0.25">
      <c r="B136" s="1858"/>
      <c r="C136" s="1858"/>
      <c r="D136" s="1859"/>
      <c r="E136" s="1859"/>
      <c r="F136" s="1859"/>
      <c r="G136" s="1859"/>
      <c r="H136" s="1859"/>
      <c r="I136" s="1859"/>
    </row>
    <row r="137" spans="2:9" ht="15.75" x14ac:dyDescent="0.25">
      <c r="B137" s="1858"/>
      <c r="C137" s="1858"/>
      <c r="D137" s="1859"/>
      <c r="E137" s="1859"/>
      <c r="F137" s="1859"/>
      <c r="G137" s="1859"/>
      <c r="H137" s="1859"/>
      <c r="I137" s="1859"/>
    </row>
    <row r="138" spans="2:9" ht="15.75" x14ac:dyDescent="0.25">
      <c r="B138" s="1858"/>
      <c r="C138" s="1858"/>
      <c r="D138" s="1859"/>
      <c r="E138" s="1859"/>
      <c r="F138" s="1859"/>
      <c r="G138" s="1859"/>
      <c r="H138" s="1859"/>
      <c r="I138" s="1859"/>
    </row>
    <row r="139" spans="2:9" ht="15.75" x14ac:dyDescent="0.25">
      <c r="B139" s="1858"/>
      <c r="C139" s="1858"/>
      <c r="D139" s="1859"/>
      <c r="E139" s="1859"/>
      <c r="F139" s="1859"/>
      <c r="G139" s="1859"/>
      <c r="H139" s="1859"/>
      <c r="I139" s="1859"/>
    </row>
    <row r="140" spans="2:9" ht="15.75" x14ac:dyDescent="0.25">
      <c r="B140" s="1858"/>
      <c r="C140" s="1858"/>
      <c r="D140" s="1859"/>
      <c r="E140" s="1859"/>
      <c r="F140" s="1859"/>
      <c r="G140" s="1859"/>
      <c r="H140" s="1859"/>
      <c r="I140" s="1859"/>
    </row>
    <row r="141" spans="2:9" ht="15.75" x14ac:dyDescent="0.25">
      <c r="B141" s="1858"/>
      <c r="C141" s="1858"/>
      <c r="D141" s="1859"/>
      <c r="E141" s="1859"/>
      <c r="F141" s="1859"/>
      <c r="G141" s="1859"/>
      <c r="H141" s="1859"/>
      <c r="I141" s="1859"/>
    </row>
    <row r="142" spans="2:9" ht="15.75" x14ac:dyDescent="0.25">
      <c r="B142" s="1858"/>
      <c r="C142" s="1858"/>
      <c r="D142" s="1859"/>
      <c r="E142" s="1859"/>
      <c r="F142" s="1859"/>
      <c r="G142" s="1859"/>
      <c r="H142" s="1859"/>
      <c r="I142" s="1859"/>
    </row>
    <row r="143" spans="2:9" ht="15.75" x14ac:dyDescent="0.25">
      <c r="B143" s="1858"/>
      <c r="C143" s="1858"/>
      <c r="D143" s="1859"/>
      <c r="E143" s="1859"/>
      <c r="F143" s="1859"/>
      <c r="G143" s="1859"/>
      <c r="H143" s="1859"/>
      <c r="I143" s="1859"/>
    </row>
    <row r="144" spans="2:9" ht="15.75" x14ac:dyDescent="0.25">
      <c r="B144" s="1858"/>
      <c r="C144" s="1858"/>
      <c r="D144" s="1859"/>
      <c r="E144" s="1859"/>
      <c r="F144" s="1859"/>
      <c r="G144" s="1859"/>
      <c r="H144" s="1859"/>
      <c r="I144" s="1859"/>
    </row>
    <row r="145" spans="2:9" ht="15.75" x14ac:dyDescent="0.25">
      <c r="B145" s="1858"/>
      <c r="C145" s="1858"/>
      <c r="D145" s="1859"/>
      <c r="E145" s="1859"/>
      <c r="F145" s="1859"/>
      <c r="G145" s="1859"/>
      <c r="H145" s="1859"/>
      <c r="I145" s="1859"/>
    </row>
    <row r="146" spans="2:9" ht="15.75" x14ac:dyDescent="0.25">
      <c r="B146" s="1858"/>
      <c r="C146" s="1858"/>
      <c r="D146" s="1859"/>
      <c r="E146" s="1859"/>
      <c r="F146" s="1859"/>
      <c r="G146" s="1859"/>
      <c r="H146" s="1859"/>
      <c r="I146" s="1859"/>
    </row>
    <row r="147" spans="2:9" ht="15.75" x14ac:dyDescent="0.25">
      <c r="B147" s="1858"/>
      <c r="C147" s="1858"/>
      <c r="D147" s="1854"/>
      <c r="E147" s="1854"/>
      <c r="F147" s="1854"/>
      <c r="G147" s="1854"/>
      <c r="H147" s="1854"/>
      <c r="I147" s="1854"/>
    </row>
    <row r="167" spans="2:57" ht="12" customHeight="1" x14ac:dyDescent="0.25"/>
    <row r="171" spans="2:57" hidden="1" x14ac:dyDescent="0.25"/>
    <row r="172" spans="2:57" hidden="1" x14ac:dyDescent="0.25"/>
    <row r="173" spans="2:57" hidden="1" x14ac:dyDescent="0.25">
      <c r="Y173" s="1790"/>
    </row>
    <row r="174" spans="2:57" hidden="1" x14ac:dyDescent="0.25"/>
    <row r="175" spans="2:57" ht="15.75" hidden="1" x14ac:dyDescent="0.25">
      <c r="B175" s="1790"/>
      <c r="C175" s="1790" t="s">
        <v>297</v>
      </c>
      <c r="D175" s="1790" t="s">
        <v>1008</v>
      </c>
      <c r="E175" s="1790" t="s">
        <v>1009</v>
      </c>
      <c r="F175" s="1560" t="s">
        <v>960</v>
      </c>
      <c r="G175" s="1560" t="s">
        <v>1010</v>
      </c>
      <c r="H175" s="1560" t="s">
        <v>961</v>
      </c>
      <c r="I175" s="1560" t="s">
        <v>962</v>
      </c>
      <c r="J175" s="1560" t="s">
        <v>1011</v>
      </c>
      <c r="M175" s="1858"/>
      <c r="N175" s="1858" t="s">
        <v>821</v>
      </c>
      <c r="O175" s="1858"/>
      <c r="P175" s="1858"/>
      <c r="Q175" s="1858"/>
      <c r="R175" s="1858" t="s">
        <v>911</v>
      </c>
      <c r="S175" s="1858" t="s">
        <v>1037</v>
      </c>
      <c r="T175" s="1858"/>
      <c r="U175" s="1858" t="s">
        <v>941</v>
      </c>
      <c r="V175" s="1858"/>
      <c r="W175" s="1858"/>
      <c r="AA175" s="1858" t="s">
        <v>954</v>
      </c>
      <c r="AB175" s="1560">
        <v>1</v>
      </c>
      <c r="AC175" s="1858" t="s">
        <v>958</v>
      </c>
      <c r="AG175" s="1790" t="s">
        <v>985</v>
      </c>
      <c r="AJ175" s="1790" t="s">
        <v>971</v>
      </c>
      <c r="AP175" s="1861" t="s">
        <v>489</v>
      </c>
      <c r="AQ175" s="1790"/>
      <c r="AT175" s="1790" t="s">
        <v>971</v>
      </c>
      <c r="AU175" s="1790"/>
      <c r="AV175" s="1790"/>
      <c r="AW175" s="1790"/>
      <c r="AX175" s="1790" t="s">
        <v>993</v>
      </c>
      <c r="AY175" s="1790"/>
      <c r="AZ175" s="1790"/>
      <c r="BA175" s="1790"/>
      <c r="BB175" s="1790"/>
      <c r="BC175" s="1790"/>
      <c r="BD175" s="1790"/>
      <c r="BE175" s="1790"/>
    </row>
    <row r="176" spans="2:57" ht="15.75" hidden="1" x14ac:dyDescent="0.25">
      <c r="B176" s="1863">
        <v>1</v>
      </c>
      <c r="C176" s="1864" t="s">
        <v>1008</v>
      </c>
      <c r="D176" s="1790" t="s">
        <v>959</v>
      </c>
      <c r="E176" s="1790" t="s">
        <v>1014</v>
      </c>
      <c r="M176" s="1858"/>
      <c r="N176" s="1858"/>
      <c r="O176" s="1858"/>
      <c r="P176" s="1858"/>
      <c r="Q176" s="1858"/>
      <c r="R176" s="1858"/>
      <c r="S176" s="1858" t="s">
        <v>1036</v>
      </c>
      <c r="T176" s="1858"/>
      <c r="U176" s="1858" t="s">
        <v>942</v>
      </c>
      <c r="V176" s="1865" t="e">
        <f>K102</f>
        <v>#DIV/0!</v>
      </c>
      <c r="W176" s="1858"/>
      <c r="AB176" s="1858">
        <v>2</v>
      </c>
      <c r="AC176" s="1858" t="s">
        <v>957</v>
      </c>
      <c r="AE176" s="1858"/>
      <c r="AG176" s="1790" t="s">
        <v>973</v>
      </c>
      <c r="AH176" s="1790">
        <f>G81</f>
        <v>0</v>
      </c>
      <c r="AK176" s="1790" t="s">
        <v>979</v>
      </c>
      <c r="AL176" s="1790"/>
      <c r="AM176" s="1790">
        <f>G94</f>
        <v>0</v>
      </c>
      <c r="AN176" s="1790"/>
      <c r="AP176" s="1790" t="s">
        <v>980</v>
      </c>
      <c r="AQ176" s="1790"/>
      <c r="AR176" s="1862">
        <f>1-((AH176/24*AH177/365)+(AH181/24*AH182/365))</f>
        <v>1</v>
      </c>
      <c r="AT176" s="1790" t="s">
        <v>980</v>
      </c>
      <c r="AU176" s="1862">
        <f>1-(AM176/24*AM177/365)</f>
        <v>1</v>
      </c>
      <c r="AV176" s="1790"/>
      <c r="AW176" s="1790"/>
      <c r="AX176" s="1790"/>
      <c r="AY176" s="1790" t="s">
        <v>262</v>
      </c>
      <c r="AZ176" s="1790" t="s">
        <v>1593</v>
      </c>
      <c r="BA176" s="1790" t="s">
        <v>263</v>
      </c>
      <c r="BB176" s="1790" t="s">
        <v>1583</v>
      </c>
      <c r="BC176" s="1790" t="s">
        <v>992</v>
      </c>
      <c r="BD176" s="1790"/>
      <c r="BE176" s="1790"/>
    </row>
    <row r="177" spans="2:57" ht="15.75" hidden="1" x14ac:dyDescent="0.25">
      <c r="B177" s="1863">
        <v>2</v>
      </c>
      <c r="C177" s="1864" t="s">
        <v>1015</v>
      </c>
      <c r="D177" s="1790" t="s">
        <v>1012</v>
      </c>
      <c r="E177" s="1790" t="s">
        <v>1019</v>
      </c>
      <c r="M177" s="1858"/>
      <c r="N177" s="1858" t="s">
        <v>822</v>
      </c>
      <c r="O177" s="1858"/>
      <c r="P177" s="1866">
        <f>IF(S188="1",H24,0)</f>
        <v>0</v>
      </c>
      <c r="Q177" s="1858"/>
      <c r="R177" s="1858" t="s">
        <v>265</v>
      </c>
      <c r="S177" s="1858">
        <f>E42</f>
        <v>0</v>
      </c>
      <c r="T177" s="1867" t="str">
        <f>IF(S177="kg of element per ha per annum","1","2")</f>
        <v>2</v>
      </c>
      <c r="U177" s="1858" t="s">
        <v>943</v>
      </c>
      <c r="V177" s="1865" t="e">
        <f>K103</f>
        <v>#DIV/0!</v>
      </c>
      <c r="W177" s="1858"/>
      <c r="AB177" s="1858" t="s">
        <v>265</v>
      </c>
      <c r="AC177" s="1867">
        <f>IF(F70="",1,IF(F70=AC175,1,2))</f>
        <v>1</v>
      </c>
      <c r="AE177" s="1858"/>
      <c r="AF177" s="1790"/>
      <c r="AG177" s="1790" t="s">
        <v>974</v>
      </c>
      <c r="AH177" s="1868">
        <f>H81</f>
        <v>0</v>
      </c>
      <c r="AJ177" s="1790"/>
      <c r="AK177" s="1790" t="s">
        <v>965</v>
      </c>
      <c r="AL177" s="1790"/>
      <c r="AM177" s="1790">
        <f>H94</f>
        <v>0</v>
      </c>
      <c r="AN177" s="1790"/>
      <c r="AP177" s="1790" t="s">
        <v>981</v>
      </c>
      <c r="AQ177" s="1790"/>
      <c r="AR177" s="1862">
        <f>(AH176/24*AH177/365*AH178/100)*IF(Z182=2,0.8,1)</f>
        <v>0</v>
      </c>
      <c r="AT177" s="1790" t="s">
        <v>975</v>
      </c>
      <c r="AU177" s="1862">
        <f>IF(AL189=2,AM176/24*AM177/365,0)</f>
        <v>0</v>
      </c>
      <c r="AV177" s="1790"/>
      <c r="AW177" s="1790">
        <v>1</v>
      </c>
      <c r="AX177" s="1864" t="s">
        <v>1008</v>
      </c>
      <c r="AY177" s="1790">
        <v>90</v>
      </c>
      <c r="AZ177" s="1790">
        <v>35</v>
      </c>
      <c r="BA177" s="1790">
        <v>4</v>
      </c>
      <c r="BB177" s="1790">
        <v>0.5</v>
      </c>
      <c r="BC177" s="1790">
        <v>1</v>
      </c>
      <c r="BD177" s="1790"/>
      <c r="BE177" s="1790"/>
    </row>
    <row r="178" spans="2:57" ht="15.75" hidden="1" x14ac:dyDescent="0.25">
      <c r="B178" s="1863">
        <v>3</v>
      </c>
      <c r="C178" s="1864" t="s">
        <v>960</v>
      </c>
      <c r="D178" s="1790" t="s">
        <v>1013</v>
      </c>
      <c r="E178" s="1790" t="s">
        <v>1013</v>
      </c>
      <c r="M178" s="1858"/>
      <c r="N178" s="1858" t="s">
        <v>823</v>
      </c>
      <c r="O178" s="1858"/>
      <c r="P178" s="1866">
        <f>IF(S188="2",H24,0)</f>
        <v>0</v>
      </c>
      <c r="Q178" s="1858"/>
      <c r="R178" s="1858"/>
      <c r="S178" s="1858"/>
      <c r="T178" s="1858"/>
      <c r="U178" s="1858" t="s">
        <v>944</v>
      </c>
      <c r="V178" s="1865" t="e">
        <f>K104+K105+K106</f>
        <v>#DIV/0!</v>
      </c>
      <c r="W178" s="1858"/>
      <c r="X178" s="1858"/>
      <c r="Y178" s="1858"/>
      <c r="Z178" s="1858"/>
      <c r="AE178" s="1858"/>
      <c r="AF178" s="1790"/>
      <c r="AG178" s="1790" t="s">
        <v>1417</v>
      </c>
      <c r="AH178" s="1790">
        <f>G83</f>
        <v>0</v>
      </c>
      <c r="AJ178" s="1790"/>
      <c r="AK178" s="1790" t="s">
        <v>975</v>
      </c>
      <c r="AL178" s="1790"/>
      <c r="AM178" s="1790">
        <f>IF(AL189=1,AH178,0)</f>
        <v>0</v>
      </c>
      <c r="AN178" s="1790"/>
      <c r="AP178" s="1790" t="s">
        <v>1365</v>
      </c>
      <c r="AR178" s="1862">
        <f>(AH176/24*AH177/365*AH178/100)*IF(Z182=1,0,0.2)</f>
        <v>0</v>
      </c>
      <c r="AT178" s="1790" t="s">
        <v>1363</v>
      </c>
      <c r="AU178" s="1862">
        <f>IF(AM189=2,AM176/24*AM177/365*AM178/100)*IF(Z182=2,0.2,0)</f>
        <v>0</v>
      </c>
      <c r="AV178" s="1790"/>
      <c r="AW178" s="1790">
        <v>2</v>
      </c>
      <c r="AX178" s="1864" t="s">
        <v>1015</v>
      </c>
      <c r="AY178" s="1790">
        <v>90</v>
      </c>
      <c r="AZ178" s="1790">
        <v>35</v>
      </c>
      <c r="BA178" s="1790">
        <v>4</v>
      </c>
      <c r="BB178" s="1790">
        <v>0.5</v>
      </c>
      <c r="BC178" s="1790">
        <v>1</v>
      </c>
      <c r="BD178" s="1790"/>
      <c r="BE178" s="1790"/>
    </row>
    <row r="179" spans="2:57" ht="15.75" hidden="1" x14ac:dyDescent="0.25">
      <c r="B179" s="1863">
        <v>4</v>
      </c>
      <c r="C179" s="1864" t="s">
        <v>1010</v>
      </c>
      <c r="D179" s="1790"/>
      <c r="E179" s="1790"/>
      <c r="M179" s="1858"/>
      <c r="N179" s="1858" t="s">
        <v>824</v>
      </c>
      <c r="O179" s="1858"/>
      <c r="P179" s="1869">
        <f>(IF(D26="",4,D26))</f>
        <v>0</v>
      </c>
      <c r="Q179" s="1858"/>
      <c r="R179" s="1858"/>
      <c r="S179" s="1858"/>
      <c r="T179" s="1858"/>
      <c r="U179" s="1858" t="s">
        <v>945</v>
      </c>
      <c r="V179" s="1865" t="e">
        <f>K108</f>
        <v>#DIV/0!</v>
      </c>
      <c r="W179" s="1858"/>
      <c r="X179" s="1858"/>
      <c r="Y179" s="1858"/>
      <c r="Z179" s="1858"/>
      <c r="AA179" s="1858"/>
      <c r="AB179" s="1858"/>
      <c r="AC179" s="1858"/>
      <c r="AD179" s="1858"/>
      <c r="AE179" s="1858"/>
      <c r="AF179" s="1790"/>
      <c r="AG179" s="1560" t="s">
        <v>1649</v>
      </c>
      <c r="AH179" s="1790">
        <f>G84</f>
        <v>0</v>
      </c>
      <c r="AJ179" s="1790"/>
      <c r="AK179" s="1790"/>
      <c r="AL179" s="1790"/>
      <c r="AM179" s="1790"/>
      <c r="AN179" s="1790"/>
      <c r="AP179" s="1861" t="s">
        <v>982</v>
      </c>
      <c r="AQ179" s="1790"/>
      <c r="AR179" s="1862">
        <f>IF(Z182=1,(AH176/24*AH177/365*AH180/100),(AH176/24*AH177/365*AH180/100)*0.8)</f>
        <v>0</v>
      </c>
      <c r="AT179" s="1790" t="s">
        <v>990</v>
      </c>
      <c r="AU179" s="1862">
        <f>IF(AL189=3,(AM176/24*AM177/365)*IF(Z182=2,0.8,1),0)</f>
        <v>0</v>
      </c>
      <c r="AV179" s="1790"/>
      <c r="AW179" s="1790">
        <v>3</v>
      </c>
      <c r="AX179" s="1864" t="s">
        <v>960</v>
      </c>
      <c r="AY179" s="1790">
        <v>90</v>
      </c>
      <c r="AZ179" s="1790">
        <v>35</v>
      </c>
      <c r="BA179" s="1790">
        <v>4</v>
      </c>
      <c r="BB179" s="1790">
        <v>0.5</v>
      </c>
      <c r="BC179" s="1790">
        <v>1</v>
      </c>
      <c r="BD179" s="1790"/>
      <c r="BE179" s="1790"/>
    </row>
    <row r="180" spans="2:57" ht="15.75" hidden="1" x14ac:dyDescent="0.25">
      <c r="B180" s="1863">
        <v>5</v>
      </c>
      <c r="C180" s="1864" t="s">
        <v>1016</v>
      </c>
      <c r="D180" s="1790"/>
      <c r="E180" s="1790"/>
      <c r="M180" s="1858"/>
      <c r="N180" s="1858" t="s">
        <v>825</v>
      </c>
      <c r="O180" s="1858"/>
      <c r="P180" s="1858">
        <f>IF(H26="",3.3,H26)</f>
        <v>0</v>
      </c>
      <c r="Q180" s="1858"/>
      <c r="R180" s="1858"/>
      <c r="S180" s="1858"/>
      <c r="T180" s="1858"/>
      <c r="U180" s="1858" t="s">
        <v>946</v>
      </c>
      <c r="V180" s="1865" t="e">
        <f>K107</f>
        <v>#DIV/0!</v>
      </c>
      <c r="W180" s="1858"/>
      <c r="X180" s="1858" t="s">
        <v>968</v>
      </c>
      <c r="Y180" s="1858">
        <v>1</v>
      </c>
      <c r="Z180" s="1858" t="s">
        <v>969</v>
      </c>
      <c r="AA180" s="1858"/>
      <c r="AB180" s="1858"/>
      <c r="AC180" s="1858"/>
      <c r="AD180" s="1858"/>
      <c r="AE180" s="1858"/>
      <c r="AF180" s="1790"/>
      <c r="AG180" s="1790" t="s">
        <v>976</v>
      </c>
      <c r="AH180" s="1790">
        <f>100-AH178-AH179</f>
        <v>100</v>
      </c>
      <c r="AJ180" s="1790"/>
      <c r="AK180" s="1790"/>
      <c r="AL180" s="1790"/>
      <c r="AM180" s="1790"/>
      <c r="AN180" s="1790"/>
      <c r="AP180" s="1861" t="s">
        <v>996</v>
      </c>
      <c r="AQ180" s="1790"/>
      <c r="AR180" s="1862">
        <f>IF(Z182=1,0,(AH176/24*AH177/365*AH180/100)*0.2)</f>
        <v>0</v>
      </c>
      <c r="AT180" s="1790" t="s">
        <v>991</v>
      </c>
      <c r="AU180" s="1862">
        <f>IF(AL189=3,(AM176/24*AM177/365*IF(Z182=2,0.2,0)),0)</f>
        <v>0</v>
      </c>
      <c r="AV180" s="1790"/>
      <c r="AW180" s="1790">
        <v>4</v>
      </c>
      <c r="AX180" s="1864" t="s">
        <v>1010</v>
      </c>
      <c r="AY180" s="1790">
        <v>90</v>
      </c>
      <c r="AZ180" s="1790">
        <v>35</v>
      </c>
      <c r="BA180" s="1790">
        <v>5</v>
      </c>
      <c r="BB180" s="1790">
        <v>1</v>
      </c>
      <c r="BC180" s="1790">
        <v>2</v>
      </c>
      <c r="BD180" s="1790"/>
      <c r="BE180" s="1790"/>
    </row>
    <row r="181" spans="2:57" ht="15.75" hidden="1" x14ac:dyDescent="0.25">
      <c r="B181" s="1858">
        <v>6</v>
      </c>
      <c r="C181" s="1870" t="s">
        <v>1017</v>
      </c>
      <c r="D181" s="1790"/>
      <c r="E181" s="1790"/>
      <c r="M181" s="1858"/>
      <c r="N181" s="1858" t="s">
        <v>1025</v>
      </c>
      <c r="P181" s="1866">
        <f>IF(P177=0,P178,(P177*(P179+P180)/100))</f>
        <v>0</v>
      </c>
      <c r="Q181" s="1858"/>
      <c r="R181" s="1858" t="s">
        <v>1032</v>
      </c>
      <c r="S181" s="1858" t="s">
        <v>1162</v>
      </c>
      <c r="T181" s="1858"/>
      <c r="U181" s="1858" t="s">
        <v>947</v>
      </c>
      <c r="V181" s="1865" t="e">
        <f>K109</f>
        <v>#DIV/0!</v>
      </c>
      <c r="W181" s="1858"/>
      <c r="X181" s="1858"/>
      <c r="Y181" s="1858">
        <v>2</v>
      </c>
      <c r="Z181" s="1858" t="s">
        <v>970</v>
      </c>
      <c r="AA181" s="1858"/>
      <c r="AB181" s="1858"/>
      <c r="AC181" s="1858"/>
      <c r="AD181" s="1858"/>
      <c r="AE181" s="1858"/>
      <c r="AF181" s="1790"/>
      <c r="AG181" s="1790" t="s">
        <v>977</v>
      </c>
      <c r="AH181" s="1790">
        <f>G89</f>
        <v>0</v>
      </c>
      <c r="AJ181" s="1790"/>
      <c r="AK181" s="1790"/>
      <c r="AL181" s="1790"/>
      <c r="AM181" s="1790"/>
      <c r="AN181" s="1790"/>
      <c r="AP181" s="1790" t="s">
        <v>988</v>
      </c>
      <c r="AQ181" s="1790"/>
      <c r="AR181" s="1862">
        <f>IF(AG189=1,(AH181/24*AH182/365),0)*IF(Z182=2,0.8,1)</f>
        <v>0</v>
      </c>
      <c r="AT181" s="1790" t="s">
        <v>1588</v>
      </c>
      <c r="AU181" s="1862">
        <f>IF(AL189=4,AM176/24*AM177/365,0)</f>
        <v>0</v>
      </c>
      <c r="AV181" s="1790"/>
      <c r="AW181" s="1790">
        <v>5</v>
      </c>
      <c r="AX181" s="1864" t="s">
        <v>1016</v>
      </c>
      <c r="AY181" s="1790">
        <v>90</v>
      </c>
      <c r="AZ181" s="1790">
        <v>35</v>
      </c>
      <c r="BA181" s="1790">
        <v>4</v>
      </c>
      <c r="BB181" s="1790">
        <v>0.5</v>
      </c>
      <c r="BC181" s="1790">
        <v>1</v>
      </c>
      <c r="BD181" s="1790"/>
      <c r="BE181" s="1790"/>
    </row>
    <row r="182" spans="2:57" ht="15.75" hidden="1" x14ac:dyDescent="0.25">
      <c r="B182" s="1863">
        <v>7</v>
      </c>
      <c r="C182" s="1864" t="s">
        <v>1018</v>
      </c>
      <c r="D182" s="1790"/>
      <c r="E182" s="1790"/>
      <c r="M182" s="1858"/>
      <c r="N182" s="1858" t="s">
        <v>827</v>
      </c>
      <c r="O182" s="1858"/>
      <c r="P182" s="1866" t="e">
        <f>IF(P177=0,(P178/((P179+P180)/100)),P177)</f>
        <v>#DIV/0!</v>
      </c>
      <c r="Q182" s="1858"/>
      <c r="R182" s="1858"/>
      <c r="S182" s="1858" t="s">
        <v>1034</v>
      </c>
      <c r="T182" s="1858"/>
      <c r="U182" s="1858" t="s">
        <v>948</v>
      </c>
      <c r="V182" s="1865" t="e">
        <f>K110+K111</f>
        <v>#N/A</v>
      </c>
      <c r="W182" s="1858"/>
      <c r="X182" s="1858"/>
      <c r="Y182" s="1858" t="s">
        <v>265</v>
      </c>
      <c r="Z182" s="1867">
        <f>IF(G87="",1,IF(G87=Z180,1,2))</f>
        <v>2</v>
      </c>
      <c r="AA182" s="1858"/>
      <c r="AB182" s="1858"/>
      <c r="AC182" s="1858"/>
      <c r="AD182" s="1858"/>
      <c r="AE182" s="1858"/>
      <c r="AG182" s="1790" t="s">
        <v>978</v>
      </c>
      <c r="AH182" s="1790">
        <f>H89</f>
        <v>0</v>
      </c>
      <c r="AP182" s="1790" t="s">
        <v>1366</v>
      </c>
      <c r="AR182" s="1862">
        <f>IF(AG189=1,(AH181/24*AH182/365)*IF(Z182=2,0.2,0),0)</f>
        <v>0</v>
      </c>
      <c r="AT182" s="1790" t="s">
        <v>984</v>
      </c>
      <c r="AU182" s="1862">
        <f>AU178+AU180+AU181</f>
        <v>0</v>
      </c>
      <c r="AV182" s="1790"/>
      <c r="AW182" s="1790">
        <v>6</v>
      </c>
      <c r="AX182" s="1870" t="s">
        <v>1017</v>
      </c>
      <c r="AY182" s="1790">
        <v>90</v>
      </c>
      <c r="AZ182" s="1790">
        <v>35</v>
      </c>
      <c r="BA182" s="1790">
        <v>4</v>
      </c>
      <c r="BB182" s="1790">
        <v>0.5</v>
      </c>
      <c r="BC182" s="1790">
        <v>1</v>
      </c>
      <c r="BD182" s="1790"/>
      <c r="BE182" s="1790"/>
    </row>
    <row r="183" spans="2:57" ht="15.75" hidden="1" x14ac:dyDescent="0.25">
      <c r="B183" s="1871"/>
      <c r="D183" s="1790"/>
      <c r="E183" s="1790"/>
      <c r="M183" s="1858"/>
      <c r="N183" s="1858" t="s">
        <v>1376</v>
      </c>
      <c r="O183" s="1858"/>
      <c r="P183" s="1866" t="e">
        <f>(P182*1.03)*(0.337+0.116*P179+0.06*P180)</f>
        <v>#DIV/0!</v>
      </c>
      <c r="Q183" s="1858"/>
      <c r="S183" s="1858" t="s">
        <v>1033</v>
      </c>
      <c r="T183" s="1858"/>
      <c r="U183" s="1858" t="s">
        <v>937</v>
      </c>
      <c r="V183" s="1865" t="e">
        <f>SUM(K112:K114)</f>
        <v>#DIV/0!</v>
      </c>
      <c r="W183" s="1858"/>
      <c r="X183" s="1858"/>
      <c r="Y183" s="1858"/>
      <c r="Z183" s="1858"/>
      <c r="AA183" s="1858"/>
      <c r="AB183" s="1858"/>
      <c r="AC183" s="1858"/>
      <c r="AD183" s="1858"/>
      <c r="AE183" s="1858"/>
      <c r="AG183" s="1790" t="s">
        <v>986</v>
      </c>
      <c r="AJ183" s="1790" t="s">
        <v>987</v>
      </c>
      <c r="AP183" s="1790" t="s">
        <v>1367</v>
      </c>
      <c r="AQ183" s="1790"/>
      <c r="AR183" s="1862">
        <f>IF(AG189=2,(AH181/24*AH182/365*IF(Z182=2,0.8,1)),0)</f>
        <v>0</v>
      </c>
      <c r="AT183" s="1790" t="s">
        <v>1589</v>
      </c>
      <c r="AU183" s="1862">
        <f>IF(AL189=1,(AM176/24)*(AM177/365),0)</f>
        <v>0</v>
      </c>
      <c r="AV183" s="1790"/>
      <c r="AW183" s="1790">
        <v>7</v>
      </c>
      <c r="AX183" s="1864" t="s">
        <v>1018</v>
      </c>
      <c r="AY183" s="1790">
        <v>90</v>
      </c>
      <c r="AZ183" s="1790">
        <v>35</v>
      </c>
      <c r="BA183" s="1790">
        <v>5</v>
      </c>
      <c r="BB183" s="1790">
        <v>1</v>
      </c>
      <c r="BC183" s="1790">
        <v>2</v>
      </c>
      <c r="BD183" s="1790"/>
      <c r="BE183" s="1790"/>
    </row>
    <row r="184" spans="2:57" ht="15.75" hidden="1" x14ac:dyDescent="0.25">
      <c r="B184" s="1790"/>
      <c r="C184" s="1790"/>
      <c r="D184" s="1790"/>
      <c r="E184" s="1790"/>
      <c r="M184" s="1858"/>
      <c r="N184" s="1858" t="s">
        <v>828</v>
      </c>
      <c r="O184" s="1858"/>
      <c r="P184" s="1869" t="e">
        <f>ROUND((P183/D17/D28),1)</f>
        <v>#DIV/0!</v>
      </c>
      <c r="Q184" s="1858"/>
      <c r="R184" s="1858" t="s">
        <v>265</v>
      </c>
      <c r="S184" s="1867">
        <f>IF(C63=S181,1,IF(C63=S182,2,3))</f>
        <v>1</v>
      </c>
      <c r="T184" s="1858"/>
      <c r="U184" s="1858"/>
      <c r="V184" s="1858"/>
      <c r="W184" s="1858"/>
      <c r="AB184" s="1858"/>
      <c r="AC184" s="1858"/>
      <c r="AD184" s="1858"/>
      <c r="AE184" s="1858"/>
      <c r="AP184" s="1790" t="s">
        <v>989</v>
      </c>
      <c r="AQ184" s="1790"/>
      <c r="AR184" s="1862">
        <f>(IF(AG189=2,(AH181/24*AH182/365*IF(Z182=2,0.2,0)),0))</f>
        <v>0</v>
      </c>
      <c r="AV184" s="1790"/>
      <c r="AW184" s="1790" t="s">
        <v>265</v>
      </c>
      <c r="AX184" s="1790" t="e">
        <f>VLOOKUP($D$14,$AX$177:$BC$183,1,FALSE)</f>
        <v>#N/A</v>
      </c>
      <c r="AY184" s="1790" t="e">
        <f>VLOOKUP($D$14,$AX$177:$BC$183,2,FALSE)</f>
        <v>#N/A</v>
      </c>
      <c r="AZ184" s="1790" t="e">
        <f>VLOOKUP($D$14,$AX$177:$BC$183,3,FALSE)</f>
        <v>#N/A</v>
      </c>
      <c r="BA184" s="1790" t="e">
        <f>VLOOKUP($D$14,$AX$177:$BC$183,4,FALSE)</f>
        <v>#N/A</v>
      </c>
      <c r="BB184" s="1790" t="e">
        <f>VLOOKUP($D$14,$AX$177:$BC$183,5,FALSE)</f>
        <v>#N/A</v>
      </c>
      <c r="BC184" s="1790" t="e">
        <f>VLOOKUP($D$14,$AX$177:$BC$183,6,FALSE)</f>
        <v>#N/A</v>
      </c>
      <c r="BD184" s="1790"/>
      <c r="BE184" s="1790"/>
    </row>
    <row r="185" spans="2:57" ht="15.75" hidden="1" x14ac:dyDescent="0.25">
      <c r="B185" s="1790" t="s">
        <v>1020</v>
      </c>
      <c r="C185" s="1863">
        <f>D14</f>
        <v>0</v>
      </c>
      <c r="D185" s="1858" t="s">
        <v>1021</v>
      </c>
      <c r="E185" s="1790">
        <f>H14</f>
        <v>0</v>
      </c>
      <c r="M185" s="1858"/>
      <c r="N185" s="1858" t="s">
        <v>826</v>
      </c>
      <c r="O185" s="1858"/>
      <c r="P185" s="1869" t="e">
        <f>(P183/1.03/D17/D28)</f>
        <v>#DIV/0!</v>
      </c>
      <c r="Q185" s="1858"/>
      <c r="R185" s="1858"/>
      <c r="S185" s="1858"/>
      <c r="T185" s="1858"/>
      <c r="U185" s="1858"/>
      <c r="V185" s="1858"/>
      <c r="W185" s="1858"/>
      <c r="AE185" s="1858"/>
      <c r="AF185" s="1858">
        <v>1</v>
      </c>
      <c r="AG185" s="1790" t="s">
        <v>1415</v>
      </c>
      <c r="AH185" s="1858"/>
      <c r="AI185" s="1858"/>
      <c r="AJ185" s="1790" t="s">
        <v>972</v>
      </c>
      <c r="AK185" s="1790">
        <v>1</v>
      </c>
      <c r="AL185" s="1790" t="s">
        <v>1415</v>
      </c>
      <c r="AP185" s="1861" t="s">
        <v>983</v>
      </c>
      <c r="AQ185" s="1790"/>
      <c r="AR185" s="1862">
        <f>(IF(AG189=3,(AH181/24*AH182/365),0))</f>
        <v>0</v>
      </c>
      <c r="AT185" s="1790"/>
      <c r="AU185" s="1790"/>
      <c r="AV185" s="1790"/>
      <c r="AW185" s="1790"/>
      <c r="AX185" s="1790"/>
      <c r="AY185" s="1790"/>
      <c r="AZ185" s="1790"/>
      <c r="BA185" s="1790"/>
      <c r="BB185" s="1790"/>
      <c r="BC185" s="1790"/>
      <c r="BD185" s="1790"/>
      <c r="BE185" s="1790"/>
    </row>
    <row r="186" spans="2:57" ht="15.75" hidden="1" x14ac:dyDescent="0.25">
      <c r="M186" s="1858"/>
      <c r="N186" s="1858"/>
      <c r="O186" s="1858"/>
      <c r="P186" s="1858"/>
      <c r="Q186" s="1858"/>
      <c r="R186" s="1858" t="s">
        <v>821</v>
      </c>
      <c r="S186" s="1858" t="s">
        <v>1112</v>
      </c>
      <c r="T186" s="1858"/>
      <c r="U186" s="1858"/>
      <c r="V186" s="1858"/>
      <c r="W186" s="1858"/>
      <c r="AE186" s="1858"/>
      <c r="AF186" s="1858">
        <v>2</v>
      </c>
      <c r="AG186" s="1790" t="s">
        <v>1030</v>
      </c>
      <c r="AH186" s="1858"/>
      <c r="AI186" s="1858"/>
      <c r="AJ186" s="1790"/>
      <c r="AK186" s="1790">
        <v>2</v>
      </c>
      <c r="AL186" s="1790" t="s">
        <v>1030</v>
      </c>
      <c r="AP186" s="1790" t="s">
        <v>1590</v>
      </c>
      <c r="AQ186" s="1790"/>
      <c r="AR186" s="1862">
        <f>IF(AG189=4,(AH181/24*AH182/365),0)</f>
        <v>0</v>
      </c>
      <c r="AT186" s="1790"/>
      <c r="AU186" s="1790"/>
      <c r="AV186" s="1790"/>
      <c r="AW186" s="1790" t="s">
        <v>1000</v>
      </c>
      <c r="AX186" s="1790"/>
      <c r="AY186" s="1872" t="e">
        <f>AY184*AR189</f>
        <v>#N/A</v>
      </c>
      <c r="AZ186" s="1872" t="e">
        <f>AZ184*AR188</f>
        <v>#N/A</v>
      </c>
      <c r="BA186" s="1872" t="e">
        <f>BA184*AR187</f>
        <v>#N/A</v>
      </c>
      <c r="BB186" s="1872" t="e">
        <f>BB184*AR190</f>
        <v>#N/A</v>
      </c>
      <c r="BC186" s="1872" t="e">
        <f>BC184*AR176</f>
        <v>#N/A</v>
      </c>
    </row>
    <row r="187" spans="2:57" ht="15.75" hidden="1" x14ac:dyDescent="0.25">
      <c r="M187" s="1858"/>
      <c r="N187" s="1858" t="s">
        <v>906</v>
      </c>
      <c r="O187" s="1858"/>
      <c r="P187" s="1869" t="e">
        <f>((D30*F30)+(D31*F31)+(D32*F32)+(D33*F33)+(D34*F34)+(D35*F35))/D36</f>
        <v>#DIV/0!</v>
      </c>
      <c r="Q187" s="1858"/>
      <c r="R187" s="1858"/>
      <c r="S187" s="1858" t="s">
        <v>1113</v>
      </c>
      <c r="T187" s="1858"/>
      <c r="U187" s="1858"/>
      <c r="V187" s="1858"/>
      <c r="W187" s="1858"/>
      <c r="AE187" s="1858"/>
      <c r="AF187" s="1858">
        <v>3</v>
      </c>
      <c r="AG187" s="1858" t="s">
        <v>1416</v>
      </c>
      <c r="AH187" s="1858"/>
      <c r="AI187" s="1858"/>
      <c r="AJ187" s="1790"/>
      <c r="AK187" s="1790">
        <v>3</v>
      </c>
      <c r="AL187" s="1858" t="s">
        <v>1416</v>
      </c>
      <c r="AP187" s="1861" t="s">
        <v>984</v>
      </c>
      <c r="AQ187" s="1790"/>
      <c r="AR187" s="1862">
        <f>AR178+AR182+AR185+AR180+AR184</f>
        <v>0</v>
      </c>
      <c r="AW187" s="1790" t="s">
        <v>994</v>
      </c>
      <c r="AX187" s="1790"/>
      <c r="AY187" s="1872"/>
      <c r="AZ187" s="1872"/>
      <c r="BA187" s="1872"/>
      <c r="BB187" s="1872"/>
      <c r="BC187" s="1872" t="e">
        <f>SUM(AY186:BC186)</f>
        <v>#N/A</v>
      </c>
    </row>
    <row r="188" spans="2:57" ht="15.75" hidden="1" x14ac:dyDescent="0.25">
      <c r="M188" s="1858"/>
      <c r="N188" s="1858" t="s">
        <v>907</v>
      </c>
      <c r="O188" s="1858"/>
      <c r="P188" s="1869" t="e">
        <f>((D30*H30)+(D31*H31)+(D32*H32)+(D33*H33)+(D34*H34)+(D35*H35))/D36</f>
        <v>#DIV/0!</v>
      </c>
      <c r="Q188" s="1858"/>
      <c r="R188" s="1858" t="s">
        <v>265</v>
      </c>
      <c r="S188" s="1867" t="str">
        <f>IF(D24=S186,"1","2")</f>
        <v>2</v>
      </c>
      <c r="T188" s="1858"/>
      <c r="U188" s="1858"/>
      <c r="V188" s="1858"/>
      <c r="W188" s="1858"/>
      <c r="AE188" s="1858"/>
      <c r="AF188" s="1858">
        <v>4</v>
      </c>
      <c r="AG188" s="1858" t="s">
        <v>1414</v>
      </c>
      <c r="AH188" s="1858"/>
      <c r="AI188" s="1858"/>
      <c r="AJ188" s="1790"/>
      <c r="AK188" s="1790">
        <v>4</v>
      </c>
      <c r="AL188" s="1858" t="s">
        <v>1414</v>
      </c>
      <c r="AP188" s="1861" t="s">
        <v>1650</v>
      </c>
      <c r="AQ188" s="1790"/>
      <c r="AR188" s="1862">
        <f>(AH176/24)*(AH177/365)*(AH179/100)</f>
        <v>0</v>
      </c>
      <c r="AW188" s="1790"/>
      <c r="AX188" s="1790"/>
      <c r="AY188" s="1790"/>
      <c r="AZ188" s="1790"/>
      <c r="BA188" s="1790"/>
      <c r="BB188" s="1790"/>
      <c r="BC188" s="1790"/>
    </row>
    <row r="189" spans="2:57" ht="15.75" hidden="1" x14ac:dyDescent="0.25">
      <c r="M189" s="1858"/>
      <c r="N189" s="1858" t="s">
        <v>1373</v>
      </c>
      <c r="O189" s="1858"/>
      <c r="P189" s="1869" t="e">
        <f>ROUND((1.185+(0.00454*D19)-(0.0000026*(D19)^2)+((0.315*0)))^2*1.1+((H28*D28/365)*3.054/0.6/(0.00795*P187-0.0014)/18.4),1)</f>
        <v>#DIV/0!</v>
      </c>
      <c r="Q189" s="1858"/>
      <c r="R189" s="1858"/>
      <c r="S189" s="1858"/>
      <c r="T189" s="1858"/>
      <c r="U189" s="1858"/>
      <c r="V189" s="1858"/>
      <c r="W189" s="1858"/>
      <c r="X189" s="1858"/>
      <c r="Y189" s="1858"/>
      <c r="Z189" s="1858"/>
      <c r="AA189" s="1858"/>
      <c r="AE189" s="1858"/>
      <c r="AF189" s="1790" t="s">
        <v>265</v>
      </c>
      <c r="AG189" s="1790">
        <f>IF(F91=AG185,1,IF(F91=AG186,2,IF(F91=AG187,3,4)))</f>
        <v>4</v>
      </c>
      <c r="AH189" s="1858"/>
      <c r="AI189" s="1858"/>
      <c r="AJ189" s="1790"/>
      <c r="AK189" s="1790" t="s">
        <v>265</v>
      </c>
      <c r="AL189" s="1790">
        <f>IF(F96=AL185,1,IF(F96=AL186,2,IF(F96=AL187,3,4)))</f>
        <v>4</v>
      </c>
      <c r="AP189" s="1790" t="s">
        <v>995</v>
      </c>
      <c r="AQ189" s="1790"/>
      <c r="AR189" s="1862">
        <f>AR179+AR183</f>
        <v>0</v>
      </c>
      <c r="AW189" s="1790" t="s">
        <v>1001</v>
      </c>
      <c r="AX189" s="1790"/>
      <c r="AY189" s="1790" t="e">
        <f>AY184*AU179</f>
        <v>#N/A</v>
      </c>
      <c r="AZ189" s="1790" t="e">
        <f>AZ184*AU183</f>
        <v>#N/A</v>
      </c>
      <c r="BA189" s="1790" t="e">
        <f>BA184*AU182</f>
        <v>#N/A</v>
      </c>
      <c r="BB189" s="1790" t="e">
        <f>BB184*AU177</f>
        <v>#N/A</v>
      </c>
      <c r="BC189" s="1790" t="e">
        <f>BC184*AU176</f>
        <v>#N/A</v>
      </c>
    </row>
    <row r="190" spans="2:57" ht="15.75" hidden="1" x14ac:dyDescent="0.25">
      <c r="M190" s="1858"/>
      <c r="N190" s="1858"/>
      <c r="O190" s="1858"/>
      <c r="P190" s="1858"/>
      <c r="Q190" s="1858"/>
      <c r="R190" s="1858"/>
      <c r="S190" s="1858"/>
      <c r="T190" s="1858"/>
      <c r="U190" s="1858"/>
      <c r="V190" s="1858"/>
      <c r="W190" s="1858"/>
      <c r="X190" s="1858"/>
      <c r="Y190" s="1858"/>
      <c r="Z190" s="1858"/>
      <c r="AA190" s="1858"/>
      <c r="AB190" s="1858"/>
      <c r="AC190" s="1858"/>
      <c r="AD190" s="1858"/>
      <c r="AE190" s="1858"/>
      <c r="AP190" s="1790" t="s">
        <v>1591</v>
      </c>
      <c r="AQ190" s="1790"/>
      <c r="AR190" s="1862">
        <f>AR177+AR181</f>
        <v>0</v>
      </c>
      <c r="AW190" s="1790" t="s">
        <v>994</v>
      </c>
      <c r="AX190" s="1790"/>
      <c r="AY190" s="1790"/>
      <c r="AZ190" s="1790"/>
      <c r="BA190" s="1790"/>
      <c r="BB190" s="1790"/>
      <c r="BC190" s="1872" t="e">
        <f>SUM(AY189:BC189)</f>
        <v>#N/A</v>
      </c>
    </row>
    <row r="191" spans="2:57" ht="18.75" hidden="1" x14ac:dyDescent="0.3">
      <c r="B191" s="1873" t="s">
        <v>679</v>
      </c>
      <c r="D191" s="1858"/>
      <c r="E191" s="1858"/>
      <c r="M191" s="1858"/>
      <c r="N191" s="1858" t="s">
        <v>1026</v>
      </c>
      <c r="O191" s="1858"/>
      <c r="P191" s="1866" t="e">
        <f>J116*1000</f>
        <v>#DIV/0!</v>
      </c>
      <c r="Q191" s="1858"/>
      <c r="R191" s="1858"/>
      <c r="S191" s="1858"/>
      <c r="T191" s="1858"/>
      <c r="U191" s="1858"/>
      <c r="V191" s="1858"/>
      <c r="W191" s="1858"/>
      <c r="X191" s="1858"/>
      <c r="Y191" s="1858"/>
      <c r="Z191" s="1858"/>
      <c r="AA191" s="1858"/>
      <c r="AB191" s="1858"/>
      <c r="AC191" s="1858"/>
      <c r="AD191" s="1858"/>
      <c r="AM191" s="1790"/>
      <c r="AR191" s="1892"/>
    </row>
    <row r="192" spans="2:57" ht="15.75" hidden="1" x14ac:dyDescent="0.25">
      <c r="M192" s="1858"/>
      <c r="N192" s="1858" t="s">
        <v>1027</v>
      </c>
      <c r="O192" s="1858"/>
      <c r="P192" s="1874" t="e">
        <f>P191/P183</f>
        <v>#DIV/0!</v>
      </c>
      <c r="Q192" s="1858"/>
      <c r="R192" s="1858"/>
      <c r="S192" s="1858"/>
      <c r="T192" s="1858"/>
      <c r="U192" s="1858"/>
      <c r="V192" s="1858"/>
      <c r="W192" s="1858"/>
      <c r="X192" s="1858"/>
      <c r="Y192" s="1858"/>
      <c r="Z192" s="1858"/>
      <c r="AA192" s="1858"/>
      <c r="AB192" s="1858"/>
      <c r="AC192" s="1858"/>
      <c r="AD192" s="1858"/>
      <c r="AE192" s="1858"/>
      <c r="AF192" s="1858"/>
      <c r="AG192" s="1854" t="s">
        <v>262</v>
      </c>
      <c r="AH192" s="1867" t="s">
        <v>1593</v>
      </c>
      <c r="AI192" s="1867" t="s">
        <v>266</v>
      </c>
      <c r="AJ192" s="1867" t="s">
        <v>1583</v>
      </c>
      <c r="AK192" s="1867" t="s">
        <v>1592</v>
      </c>
      <c r="AM192" s="1867"/>
      <c r="AN192" s="1867" t="s">
        <v>994</v>
      </c>
    </row>
    <row r="193" spans="2:53" ht="15.75" hidden="1" x14ac:dyDescent="0.25">
      <c r="B193" s="1675" t="s">
        <v>0</v>
      </c>
      <c r="C193" s="1675" t="s">
        <v>253</v>
      </c>
      <c r="D193" s="1676" t="str">
        <f t="shared" ref="D193:I193" si="4">D16</f>
        <v>Milking Cows</v>
      </c>
      <c r="E193" s="1676" t="str">
        <f t="shared" si="4"/>
        <v xml:space="preserve">Heifers &gt;1 </v>
      </c>
      <c r="F193" s="1676" t="str">
        <f t="shared" si="4"/>
        <v xml:space="preserve">Heifers &lt;1 </v>
      </c>
      <c r="G193" s="1676" t="str">
        <f t="shared" si="4"/>
        <v>Mature bulls</v>
      </c>
      <c r="H193" s="1676" t="str">
        <f t="shared" si="4"/>
        <v>Immature bulls</v>
      </c>
      <c r="I193" s="1676">
        <f t="shared" si="4"/>
        <v>0</v>
      </c>
      <c r="J193" s="1677" t="s">
        <v>267</v>
      </c>
      <c r="N193" s="1858" t="s">
        <v>1028</v>
      </c>
      <c r="O193" s="1858"/>
      <c r="P193" s="1869" t="e">
        <f>P191/P181</f>
        <v>#DIV/0!</v>
      </c>
      <c r="AE193" s="1858">
        <v>1</v>
      </c>
      <c r="AF193" s="1864" t="s">
        <v>1008</v>
      </c>
      <c r="AG193" s="1854">
        <v>6</v>
      </c>
      <c r="AH193" s="1854">
        <v>0.5</v>
      </c>
      <c r="AI193" s="1854">
        <v>0</v>
      </c>
      <c r="AJ193" s="1854">
        <v>1.5</v>
      </c>
      <c r="AK193" s="1854">
        <v>92</v>
      </c>
      <c r="AM193" s="1854"/>
      <c r="AN193" s="1854">
        <v>6.5025000000000004</v>
      </c>
    </row>
    <row r="194" spans="2:53" ht="15.75" hidden="1" x14ac:dyDescent="0.25">
      <c r="B194" s="1678"/>
      <c r="C194" s="1678"/>
      <c r="D194" s="1678"/>
      <c r="E194" s="1678"/>
      <c r="F194" s="1678"/>
      <c r="G194" s="1678"/>
      <c r="H194" s="1678"/>
      <c r="I194" s="1678"/>
      <c r="J194" s="1679"/>
      <c r="AE194" s="1858">
        <v>2</v>
      </c>
      <c r="AF194" s="1864" t="s">
        <v>1015</v>
      </c>
      <c r="AG194" s="1854">
        <v>6</v>
      </c>
      <c r="AH194" s="1854">
        <v>0.5</v>
      </c>
      <c r="AI194" s="1854">
        <v>0</v>
      </c>
      <c r="AJ194" s="1854">
        <v>1.5</v>
      </c>
      <c r="AK194" s="1854">
        <v>92</v>
      </c>
      <c r="AM194" s="1854"/>
      <c r="AN194" s="1854">
        <v>6.5025000000000004</v>
      </c>
    </row>
    <row r="195" spans="2:53" ht="15.75" hidden="1" x14ac:dyDescent="0.25">
      <c r="B195" s="1680" t="s">
        <v>268</v>
      </c>
      <c r="C195" s="1678"/>
      <c r="D195" s="1680" t="s">
        <v>909</v>
      </c>
      <c r="E195" s="1680"/>
      <c r="F195" s="1680"/>
      <c r="G195" s="1680"/>
      <c r="H195" s="1678"/>
      <c r="I195" s="1678"/>
      <c r="J195" s="1681" t="s">
        <v>1594</v>
      </c>
      <c r="AE195" s="1858">
        <v>3</v>
      </c>
      <c r="AF195" s="1864" t="s">
        <v>960</v>
      </c>
      <c r="AG195" s="1854">
        <v>6</v>
      </c>
      <c r="AH195" s="1854">
        <v>0.5</v>
      </c>
      <c r="AI195" s="1854">
        <v>0</v>
      </c>
      <c r="AJ195" s="1854">
        <v>1.5</v>
      </c>
      <c r="AK195" s="1854">
        <v>92</v>
      </c>
      <c r="AM195" s="1854"/>
      <c r="AN195" s="1854">
        <v>6.5025000000000004</v>
      </c>
    </row>
    <row r="196" spans="2:53" ht="15.75" hidden="1" x14ac:dyDescent="0.25">
      <c r="B196" s="1678"/>
      <c r="C196" s="1678" t="s">
        <v>472</v>
      </c>
      <c r="D196" s="1682" t="e">
        <f>(1.185+(0.00454*D19)-(0.0000026*(D19)^2)+((0.315*D21)))^2*1.1+D200</f>
        <v>#DIV/0!</v>
      </c>
      <c r="E196" s="1682">
        <f>(1.185+(0.00454*E19)-(0.0000026*(E19)^2)+((0.315*E21)))^2*1+E200</f>
        <v>1.4042250000000001</v>
      </c>
      <c r="F196" s="1682">
        <f>(1.185+(0.00454*F19)-(0.0000026*(F19)^2)+((0.315*F21)))^2*1+F200</f>
        <v>1.4042250000000001</v>
      </c>
      <c r="G196" s="1682">
        <f>(1.185+(0.00454*G19)-(0.0000026*(G19)^2)+((0.315*G21)))^2*1+G200</f>
        <v>1.4042250000000001</v>
      </c>
      <c r="H196" s="1682">
        <f>(1.185+(0.00454*H19)-(0.0000026*(H19)^2)+((0.315*H21)))^2*1+H200</f>
        <v>1.4042250000000001</v>
      </c>
      <c r="I196" s="1683" t="s">
        <v>269</v>
      </c>
      <c r="J196" s="1679"/>
      <c r="AE196" s="1858">
        <v>4</v>
      </c>
      <c r="AF196" s="1864" t="s">
        <v>1010</v>
      </c>
      <c r="AG196" s="1854">
        <v>3</v>
      </c>
      <c r="AH196" s="1854">
        <v>0</v>
      </c>
      <c r="AI196" s="1854">
        <v>0</v>
      </c>
      <c r="AJ196" s="1854">
        <v>7</v>
      </c>
      <c r="AK196" s="1854">
        <v>90</v>
      </c>
      <c r="AM196" s="1854"/>
      <c r="AN196" s="1854">
        <v>4.57</v>
      </c>
    </row>
    <row r="197" spans="2:53" ht="15.75" hidden="1" x14ac:dyDescent="0.25">
      <c r="B197" s="1678"/>
      <c r="C197" s="1678"/>
      <c r="D197" s="1682"/>
      <c r="E197" s="1682"/>
      <c r="F197" s="1682"/>
      <c r="G197" s="1682"/>
      <c r="H197" s="1682"/>
      <c r="I197" s="1683"/>
      <c r="J197" s="1679"/>
      <c r="AE197" s="1863">
        <v>5</v>
      </c>
      <c r="AF197" s="1864" t="s">
        <v>1016</v>
      </c>
      <c r="AG197" s="1854">
        <v>10</v>
      </c>
      <c r="AH197" s="1854">
        <v>0.5</v>
      </c>
      <c r="AI197" s="1854">
        <v>0</v>
      </c>
      <c r="AJ197" s="1854">
        <v>1</v>
      </c>
      <c r="AK197" s="1854">
        <v>88.5</v>
      </c>
      <c r="AM197" s="1854"/>
      <c r="AN197" s="1854">
        <v>10.07</v>
      </c>
    </row>
    <row r="198" spans="2:53" ht="15.75" hidden="1" x14ac:dyDescent="0.25">
      <c r="B198" s="1680" t="s">
        <v>270</v>
      </c>
      <c r="C198" s="1683"/>
      <c r="D198" s="1680" t="s">
        <v>1595</v>
      </c>
      <c r="E198" s="1680"/>
      <c r="F198" s="1678"/>
      <c r="G198" s="1678"/>
      <c r="H198" s="1678"/>
      <c r="I198" s="1678"/>
      <c r="J198" s="1679"/>
      <c r="AE198" s="1858">
        <v>6</v>
      </c>
      <c r="AF198" s="1870" t="s">
        <v>1017</v>
      </c>
      <c r="AG198" s="1854">
        <v>2</v>
      </c>
      <c r="AH198" s="1854">
        <v>0</v>
      </c>
      <c r="AI198" s="1854">
        <v>0</v>
      </c>
      <c r="AJ198" s="1854">
        <v>6</v>
      </c>
      <c r="AK198" s="1854">
        <v>92</v>
      </c>
      <c r="AM198" s="1854"/>
      <c r="AN198" s="1854">
        <v>2.75</v>
      </c>
    </row>
    <row r="199" spans="2:53" ht="15.75" hidden="1" x14ac:dyDescent="0.25">
      <c r="B199" s="1678"/>
      <c r="C199" s="1678"/>
      <c r="D199" s="1680" t="s">
        <v>271</v>
      </c>
      <c r="E199" s="1678"/>
      <c r="F199" s="1678"/>
      <c r="G199" s="1678"/>
      <c r="H199" s="1678"/>
      <c r="I199" s="1678"/>
      <c r="J199" s="1681" t="s">
        <v>1596</v>
      </c>
      <c r="AE199" s="1858">
        <v>7</v>
      </c>
      <c r="AF199" s="1864" t="s">
        <v>1018</v>
      </c>
      <c r="AG199" s="1854">
        <v>3</v>
      </c>
      <c r="AH199" s="1854">
        <v>0</v>
      </c>
      <c r="AI199" s="1854">
        <v>0</v>
      </c>
      <c r="AJ199" s="1854">
        <v>7</v>
      </c>
      <c r="AK199" s="1854">
        <v>90</v>
      </c>
      <c r="AM199" s="1854"/>
      <c r="AN199" s="1854">
        <v>4.57</v>
      </c>
    </row>
    <row r="200" spans="2:53" ht="15.75" hidden="1" x14ac:dyDescent="0.25">
      <c r="B200" s="1678"/>
      <c r="C200" s="1678" t="s">
        <v>472</v>
      </c>
      <c r="D200" s="1795" t="e">
        <f>(H28*D28/365)*3.054/0.6/((0.00795*F36)-0.0014)/18.4</f>
        <v>#DIV/0!</v>
      </c>
      <c r="E200" s="1682">
        <f>0*3.054/0.6/(0.00795*D38-0.0014)/18.4</f>
        <v>0</v>
      </c>
      <c r="F200" s="1682">
        <f>0*3.054/0.6/(0.00795*D39-0.0014)/18.4</f>
        <v>0</v>
      </c>
      <c r="G200" s="1682">
        <f>0*3.054/0.6/(0.00795*D38-0.0014)/18.4</f>
        <v>0</v>
      </c>
      <c r="H200" s="1682">
        <f>0*3.054/0.6/(0.00795*D38-0.0014)/18.4</f>
        <v>0</v>
      </c>
      <c r="I200" s="1683" t="s">
        <v>269</v>
      </c>
      <c r="J200" s="1679"/>
      <c r="AJ200" s="1854"/>
      <c r="AK200" s="1854"/>
      <c r="AL200" s="1854"/>
      <c r="AM200" s="1854"/>
      <c r="AN200" s="1854"/>
    </row>
    <row r="201" spans="2:53" ht="15.75" hidden="1" x14ac:dyDescent="0.25">
      <c r="B201" s="1678"/>
      <c r="C201" s="1678"/>
      <c r="D201" s="1682"/>
      <c r="E201" s="1682"/>
      <c r="F201" s="1682"/>
      <c r="G201" s="1682"/>
      <c r="H201" s="1682"/>
      <c r="I201" s="1683"/>
      <c r="J201" s="1679"/>
      <c r="AE201" s="1858" t="s">
        <v>997</v>
      </c>
      <c r="AF201" s="1858">
        <f>C185</f>
        <v>0</v>
      </c>
      <c r="AG201" s="1854" t="e">
        <f>VLOOKUP($D$14,$AF$193:$AN$199,2,FALSE)</f>
        <v>#N/A</v>
      </c>
      <c r="AH201" s="1854" t="e">
        <f>VLOOKUP($C$185,$AF$193:$AN$199,3,FALSE)</f>
        <v>#N/A</v>
      </c>
      <c r="AI201" s="1854" t="e">
        <f>VLOOKUP($C$185,$AF$193:$AN$199,4,FALSE)</f>
        <v>#N/A</v>
      </c>
      <c r="AJ201" s="1854" t="e">
        <f>VLOOKUP($C$185,$AF$193:$AN$199,5,FALSE)</f>
        <v>#N/A</v>
      </c>
      <c r="AK201" s="1854" t="e">
        <f>VLOOKUP($C$185,$AF$193:$AN$199,6,FALSE)</f>
        <v>#N/A</v>
      </c>
      <c r="AL201" s="1854"/>
      <c r="AM201" s="1854"/>
      <c r="AN201" s="1854" t="e">
        <f>VLOOKUP($C$185,$AF$193:$AN$199,9,FALSE)</f>
        <v>#N/A</v>
      </c>
    </row>
    <row r="202" spans="2:53" ht="15.75" hidden="1" x14ac:dyDescent="0.25">
      <c r="B202" s="1680" t="s">
        <v>1574</v>
      </c>
      <c r="C202" s="1683"/>
      <c r="D202" s="1684" t="s">
        <v>1575</v>
      </c>
      <c r="E202" s="1678"/>
      <c r="F202" s="1678"/>
      <c r="G202" s="1678"/>
      <c r="H202" s="1678"/>
      <c r="I202" s="1678"/>
      <c r="J202" s="1681" t="s">
        <v>1576</v>
      </c>
      <c r="AE202" s="1858" t="s">
        <v>999</v>
      </c>
      <c r="AF202" s="1858"/>
      <c r="AG202" s="1859">
        <f>AR189*100</f>
        <v>0</v>
      </c>
      <c r="AH202" s="1859">
        <f>AR188*100</f>
        <v>0</v>
      </c>
      <c r="AI202" s="1859">
        <f>AR187*100</f>
        <v>0</v>
      </c>
      <c r="AJ202" s="1859">
        <f>AR190*100</f>
        <v>0</v>
      </c>
      <c r="AK202" s="1859">
        <f>AR176*100</f>
        <v>100</v>
      </c>
      <c r="AL202" s="1859"/>
      <c r="AM202" s="1854"/>
      <c r="AN202" s="1859" t="e">
        <f>BC187</f>
        <v>#N/A</v>
      </c>
    </row>
    <row r="203" spans="2:53" ht="15.75" hidden="1" x14ac:dyDescent="0.25">
      <c r="B203" s="1678"/>
      <c r="C203" s="1678" t="s">
        <v>472</v>
      </c>
      <c r="D203" s="1682" t="e">
        <f>D196*18.4</f>
        <v>#DIV/0!</v>
      </c>
      <c r="E203" s="1682">
        <f>E196*18.4</f>
        <v>25.83774</v>
      </c>
      <c r="F203" s="1682">
        <f>F196*18.4</f>
        <v>25.83774</v>
      </c>
      <c r="G203" s="1682">
        <f>G196*18.4</f>
        <v>25.83774</v>
      </c>
      <c r="H203" s="1682">
        <f>H196*18.4</f>
        <v>25.83774</v>
      </c>
      <c r="I203" s="1683" t="s">
        <v>1577</v>
      </c>
      <c r="J203" s="1679"/>
      <c r="AE203" s="1790" t="s">
        <v>998</v>
      </c>
      <c r="AG203" s="1859" t="e">
        <f>IF($AC$177=1,AG201,AG202)</f>
        <v>#N/A</v>
      </c>
      <c r="AH203" s="1859" t="e">
        <f>IF($AC$177=1,AH201,AH202)</f>
        <v>#N/A</v>
      </c>
      <c r="AI203" s="1859" t="e">
        <f>IF($AC$177=1,AI201,AI202)</f>
        <v>#N/A</v>
      </c>
      <c r="AJ203" s="1859" t="e">
        <f>IF($AC$177=1,AJ201,AJ202)</f>
        <v>#N/A</v>
      </c>
      <c r="AK203" s="1859" t="e">
        <f>IF($AC$177=1,AK201,AK202)</f>
        <v>#N/A</v>
      </c>
      <c r="AL203" s="1859"/>
      <c r="AM203" s="1859"/>
      <c r="AN203" s="1859" t="e">
        <f>IF($AC$177=1,AN201,AN202)</f>
        <v>#N/A</v>
      </c>
    </row>
    <row r="204" spans="2:53" ht="15.75" hidden="1" x14ac:dyDescent="0.25">
      <c r="B204" s="1678"/>
      <c r="C204" s="1678"/>
      <c r="D204" s="1682"/>
      <c r="E204" s="1682"/>
      <c r="F204" s="1682"/>
      <c r="G204" s="1682"/>
      <c r="H204" s="1682"/>
      <c r="I204" s="1683"/>
      <c r="J204" s="1679"/>
      <c r="AE204" s="1858" t="s">
        <v>997</v>
      </c>
      <c r="AG204" s="1854">
        <v>0</v>
      </c>
      <c r="AH204" s="1854">
        <v>0</v>
      </c>
      <c r="AI204" s="1854">
        <v>0</v>
      </c>
      <c r="AJ204" s="1854">
        <v>0</v>
      </c>
      <c r="AK204" s="1854">
        <v>100</v>
      </c>
      <c r="AL204" s="1854"/>
      <c r="AM204" s="1854"/>
      <c r="AN204" s="1854">
        <f>IF(OR(D14="Queensland",D14="Northern.Territory"),2,1)</f>
        <v>1</v>
      </c>
    </row>
    <row r="205" spans="2:53" ht="15.75" hidden="1" x14ac:dyDescent="0.25">
      <c r="B205" s="1680" t="s">
        <v>6</v>
      </c>
      <c r="C205" s="1683"/>
      <c r="D205" s="1680" t="s">
        <v>272</v>
      </c>
      <c r="E205" s="1683"/>
      <c r="F205" s="1683"/>
      <c r="G205" s="1683"/>
      <c r="H205" s="1678"/>
      <c r="I205" s="1678"/>
      <c r="J205" s="1681" t="s">
        <v>1578</v>
      </c>
      <c r="AE205" s="1790" t="s">
        <v>1002</v>
      </c>
      <c r="AG205" s="1859">
        <f>AU179*100</f>
        <v>0</v>
      </c>
      <c r="AH205" s="1859">
        <f>AU183*100</f>
        <v>0</v>
      </c>
      <c r="AI205" s="1859">
        <f>AU182*100</f>
        <v>0</v>
      </c>
      <c r="AJ205" s="1859">
        <f>AU177*100</f>
        <v>0</v>
      </c>
      <c r="AK205" s="1859">
        <f>AU176*100</f>
        <v>100</v>
      </c>
      <c r="AL205" s="1859"/>
      <c r="AM205" s="1854"/>
      <c r="AN205" s="1875" t="e">
        <f>BC190</f>
        <v>#N/A</v>
      </c>
    </row>
    <row r="206" spans="2:53" ht="15.75" hidden="1" x14ac:dyDescent="0.25">
      <c r="B206" s="1678"/>
      <c r="C206" s="1678" t="s">
        <v>472</v>
      </c>
      <c r="D206" s="1682" t="e">
        <f>D196/(1.185+(0.00454*D19)-(0.0000026*(D19)^2)+((0.315*0)))^2</f>
        <v>#DIV/0!</v>
      </c>
      <c r="E206" s="1682">
        <f>E196/(1.185+(0.00454*E19)-(0.0000026*(E19)^2)+((0.315*0)))^2</f>
        <v>1</v>
      </c>
      <c r="F206" s="1682">
        <f>F196/(1.185+(0.00454*F19)-(0.0000026*(F19)^2)+((0.315*0)))^2</f>
        <v>1</v>
      </c>
      <c r="G206" s="1682">
        <f>G196/(1.185+(0.00454*G19)-(0.0000026*(G19)^2)+((0.315*0)))^2</f>
        <v>1</v>
      </c>
      <c r="H206" s="1682">
        <f>H196/(1.185+(0.00454*H19)-(0.0000026*(H19)^2)+((0.315*0)))^2</f>
        <v>1</v>
      </c>
      <c r="I206" s="1683" t="s">
        <v>269</v>
      </c>
      <c r="J206" s="1679"/>
      <c r="AE206" s="1858" t="s">
        <v>1003</v>
      </c>
      <c r="AG206" s="1859">
        <f>IF($AC$177=1,AG204,AG205)</f>
        <v>0</v>
      </c>
      <c r="AH206" s="1859">
        <f>IF($AC$177=1,AH204,AH205)</f>
        <v>0</v>
      </c>
      <c r="AI206" s="1859">
        <f>IF($AC$177=1,AI204,AI205)</f>
        <v>0</v>
      </c>
      <c r="AJ206" s="1859">
        <f>IF($AC$177=1,AJ204,AJ205)</f>
        <v>0</v>
      </c>
      <c r="AK206" s="1859">
        <f>IF($AC$177=1,AK204,AK205)</f>
        <v>100</v>
      </c>
      <c r="AL206" s="1859"/>
      <c r="AM206" s="1859"/>
      <c r="AN206" s="1859">
        <f>IF($AC$177=1,AN204,AN205)</f>
        <v>1</v>
      </c>
    </row>
    <row r="207" spans="2:53" ht="15.75" hidden="1" x14ac:dyDescent="0.25">
      <c r="B207" s="1678"/>
      <c r="C207" s="1678"/>
      <c r="D207" s="1682"/>
      <c r="E207" s="1682"/>
      <c r="F207" s="1682"/>
      <c r="G207" s="1682"/>
      <c r="H207" s="1682"/>
      <c r="I207" s="1683"/>
      <c r="J207" s="1679"/>
      <c r="AE207" s="1858"/>
      <c r="AF207" s="1858"/>
      <c r="AG207" s="1858"/>
      <c r="AH207" s="1858"/>
      <c r="AI207" s="1858"/>
      <c r="AJ207" s="1858"/>
      <c r="AK207" s="1858"/>
      <c r="AL207" s="1858"/>
      <c r="AM207" s="1876"/>
    </row>
    <row r="208" spans="2:53" ht="15.75" hidden="1" x14ac:dyDescent="0.25">
      <c r="B208" s="1680" t="s">
        <v>1579</v>
      </c>
      <c r="C208" s="1683"/>
      <c r="D208" s="1680" t="s">
        <v>1580</v>
      </c>
      <c r="E208" s="1683"/>
      <c r="F208" s="1683"/>
      <c r="G208" s="1678"/>
      <c r="H208" s="1678"/>
      <c r="I208" s="1678"/>
      <c r="J208" s="1681" t="s">
        <v>1581</v>
      </c>
      <c r="AS208" s="1858"/>
      <c r="AT208" s="1858"/>
      <c r="AU208" s="1858"/>
      <c r="AV208" s="1858"/>
      <c r="AW208" s="1858"/>
      <c r="AX208" s="1858"/>
      <c r="AY208" s="1858"/>
      <c r="AZ208" s="1858"/>
      <c r="BA208" s="1876"/>
    </row>
    <row r="209" spans="2:10" ht="15.75" hidden="1" x14ac:dyDescent="0.25">
      <c r="B209" s="1678"/>
      <c r="C209" s="1678" t="s">
        <v>472</v>
      </c>
      <c r="D209" s="1682" t="e">
        <f>1.3+(0.112*F36)+D206*(2.37-(0.05*F36))</f>
        <v>#DIV/0!</v>
      </c>
      <c r="E209" s="1682">
        <f>1.3+(0.112*D38)+E206*(2.37-(0.05*D38))</f>
        <v>3.67</v>
      </c>
      <c r="F209" s="1682">
        <f>1.3+(0.112*D38)+F206*(2.37-(0.05*D38))</f>
        <v>3.67</v>
      </c>
      <c r="G209" s="1682">
        <f>1.3+(0.112*D38)+G206*(2.37-(0.05*D38))</f>
        <v>3.67</v>
      </c>
      <c r="H209" s="1682">
        <f>1.3+(0.112*D38)+H206*(2.37-(0.05*D38))</f>
        <v>3.67</v>
      </c>
      <c r="I209" s="1678" t="s">
        <v>259</v>
      </c>
      <c r="J209" s="1679"/>
    </row>
    <row r="210" spans="2:10" ht="15.75" hidden="1" x14ac:dyDescent="0.25">
      <c r="B210" s="1678"/>
      <c r="C210" s="1678"/>
      <c r="D210" s="1682"/>
      <c r="E210" s="1682"/>
      <c r="F210" s="1682"/>
      <c r="G210" s="1682"/>
      <c r="H210" s="1682"/>
      <c r="I210" s="1678"/>
      <c r="J210" s="1679"/>
    </row>
    <row r="211" spans="2:10" ht="15.75" hidden="1" x14ac:dyDescent="0.25">
      <c r="B211" s="1680" t="s">
        <v>273</v>
      </c>
      <c r="C211" s="1678"/>
      <c r="D211" s="1680" t="s">
        <v>1597</v>
      </c>
      <c r="E211" s="1683"/>
      <c r="F211" s="1678"/>
      <c r="G211" s="1678"/>
      <c r="H211" s="1678"/>
      <c r="I211" s="1678"/>
      <c r="J211" s="1681" t="s">
        <v>1598</v>
      </c>
    </row>
    <row r="212" spans="2:10" ht="15.75" hidden="1" x14ac:dyDescent="0.25">
      <c r="B212" s="1678"/>
      <c r="C212" s="1678"/>
      <c r="D212" s="1680" t="s">
        <v>1599</v>
      </c>
      <c r="E212" s="1683"/>
      <c r="F212" s="1683"/>
      <c r="G212" s="1678"/>
      <c r="H212" s="1678"/>
      <c r="I212" s="1678"/>
      <c r="J212" s="1679"/>
    </row>
    <row r="213" spans="2:10" ht="15.75" hidden="1" x14ac:dyDescent="0.25">
      <c r="B213" s="1678"/>
      <c r="C213" s="1678" t="s">
        <v>472</v>
      </c>
      <c r="D213" s="1685" t="e">
        <f>D209/100*D203/55.22</f>
        <v>#DIV/0!</v>
      </c>
      <c r="E213" s="1685">
        <f>E209/100*E203/55.22</f>
        <v>1.7172130713509596E-2</v>
      </c>
      <c r="F213" s="1685">
        <f>F209/100*F203/55.22</f>
        <v>1.7172130713509596E-2</v>
      </c>
      <c r="G213" s="1685">
        <f>G209/100*G203/55.22</f>
        <v>1.7172130713509596E-2</v>
      </c>
      <c r="H213" s="1685">
        <f>H209/100*H203/55.22</f>
        <v>1.7172130713509596E-2</v>
      </c>
      <c r="I213" s="1683" t="s">
        <v>274</v>
      </c>
      <c r="J213" s="1679"/>
    </row>
    <row r="214" spans="2:10" ht="15.75" hidden="1" x14ac:dyDescent="0.25">
      <c r="B214" s="1678"/>
      <c r="C214" s="1678"/>
      <c r="D214" s="1678"/>
      <c r="E214" s="1678"/>
      <c r="F214" s="1678"/>
      <c r="G214" s="1678"/>
      <c r="H214" s="1678"/>
      <c r="I214" s="1678"/>
      <c r="J214" s="1679"/>
    </row>
    <row r="215" spans="2:10" ht="15.75" hidden="1" x14ac:dyDescent="0.25">
      <c r="B215" s="1686" t="s">
        <v>275</v>
      </c>
      <c r="C215" s="1678"/>
      <c r="D215" s="1678"/>
      <c r="E215" s="1678"/>
      <c r="F215" s="1678"/>
      <c r="G215" s="1678"/>
      <c r="H215" s="1678"/>
      <c r="I215" s="1678"/>
      <c r="J215" s="1679"/>
    </row>
    <row r="216" spans="2:10" ht="15.75" hidden="1" x14ac:dyDescent="0.25">
      <c r="B216" s="1678"/>
      <c r="C216" s="1678"/>
      <c r="D216" s="1687" t="s">
        <v>1600</v>
      </c>
      <c r="E216" s="1678"/>
      <c r="F216" s="1678"/>
      <c r="G216" s="1678"/>
      <c r="H216" s="1678"/>
      <c r="I216" s="1678"/>
      <c r="J216" s="1681" t="s">
        <v>276</v>
      </c>
    </row>
    <row r="217" spans="2:10" ht="15.75" hidden="1" x14ac:dyDescent="0.25">
      <c r="B217" s="1678"/>
      <c r="C217" s="1678"/>
      <c r="D217" s="1678"/>
      <c r="E217" s="1678"/>
      <c r="F217" s="1678"/>
      <c r="G217" s="1678"/>
      <c r="H217" s="1678"/>
      <c r="I217" s="1678"/>
      <c r="J217" s="1679"/>
    </row>
    <row r="218" spans="2:10" ht="15.75" hidden="1" x14ac:dyDescent="0.25">
      <c r="B218" s="1678"/>
      <c r="C218" s="1678" t="s">
        <v>472</v>
      </c>
      <c r="D218" s="1688" t="e">
        <f>(365*D17*D213)*10^-6</f>
        <v>#DIV/0!</v>
      </c>
      <c r="E218" s="1688">
        <f>(365*E17*E213)*10^-6</f>
        <v>0</v>
      </c>
      <c r="F218" s="1688">
        <f>(365*F17*F213)*10^-6</f>
        <v>0</v>
      </c>
      <c r="G218" s="1688">
        <f>(365*G17*G213)*10^-6</f>
        <v>0</v>
      </c>
      <c r="H218" s="1688">
        <f>(365*H17*H213)*10^-6</f>
        <v>0</v>
      </c>
      <c r="I218" s="1678" t="s">
        <v>473</v>
      </c>
      <c r="J218" s="1679"/>
    </row>
    <row r="219" spans="2:10" ht="15.75" hidden="1" x14ac:dyDescent="0.25">
      <c r="B219" s="1678"/>
      <c r="C219" s="1678"/>
      <c r="D219" s="1678"/>
      <c r="E219" s="1678"/>
      <c r="F219" s="1678"/>
      <c r="G219" s="1678"/>
      <c r="H219" s="1678"/>
      <c r="I219" s="1678"/>
      <c r="J219" s="1679"/>
    </row>
    <row r="220" spans="2:10" ht="15.75" hidden="1" x14ac:dyDescent="0.25">
      <c r="B220" s="1686" t="s">
        <v>277</v>
      </c>
      <c r="C220" s="1689" t="e">
        <f>SUM(D218:H218)</f>
        <v>#DIV/0!</v>
      </c>
      <c r="D220" s="1690"/>
      <c r="E220" s="1690"/>
      <c r="F220" s="1690"/>
      <c r="G220" s="1690"/>
      <c r="H220" s="1690"/>
      <c r="I220" s="1691" t="s">
        <v>278</v>
      </c>
      <c r="J220" s="1679"/>
    </row>
    <row r="221" spans="2:10" ht="15.75" hidden="1" x14ac:dyDescent="0.25">
      <c r="B221" s="1686" t="s">
        <v>279</v>
      </c>
      <c r="C221" s="1689" t="e">
        <f>C220*21</f>
        <v>#DIV/0!</v>
      </c>
      <c r="D221" s="1690"/>
      <c r="E221" s="1690"/>
      <c r="F221" s="1690"/>
      <c r="G221" s="1690"/>
      <c r="H221" s="1690"/>
      <c r="I221" s="1691" t="s">
        <v>280</v>
      </c>
      <c r="J221" s="1679"/>
    </row>
    <row r="222" spans="2:10" ht="15.75" hidden="1" x14ac:dyDescent="0.25">
      <c r="B222" s="1897" t="s">
        <v>279</v>
      </c>
      <c r="C222" s="1898" t="e">
        <f>C221*10^3</f>
        <v>#DIV/0!</v>
      </c>
      <c r="D222" s="1899"/>
      <c r="E222" s="1899"/>
      <c r="F222" s="1899"/>
      <c r="G222" s="1899"/>
      <c r="H222" s="1899"/>
      <c r="I222" s="1900" t="s">
        <v>281</v>
      </c>
      <c r="J222" s="1901"/>
    </row>
    <row r="223" spans="2:10" hidden="1" x14ac:dyDescent="0.25"/>
    <row r="224" spans="2:10" ht="15.75" hidden="1" x14ac:dyDescent="0.25">
      <c r="B224" s="1692" t="s">
        <v>459</v>
      </c>
      <c r="C224" s="1692"/>
      <c r="D224" s="1693" t="str">
        <f t="shared" ref="D224:I224" si="5">D16</f>
        <v>Milking Cows</v>
      </c>
      <c r="E224" s="1693" t="str">
        <f t="shared" si="5"/>
        <v xml:space="preserve">Heifers &gt;1 </v>
      </c>
      <c r="F224" s="1693" t="str">
        <f t="shared" si="5"/>
        <v xml:space="preserve">Heifers &lt;1 </v>
      </c>
      <c r="G224" s="1693" t="str">
        <f t="shared" si="5"/>
        <v>Mature bulls</v>
      </c>
      <c r="H224" s="1693" t="str">
        <f t="shared" si="5"/>
        <v>Immature bulls</v>
      </c>
      <c r="I224" s="1693">
        <f t="shared" si="5"/>
        <v>0</v>
      </c>
      <c r="J224" s="1694" t="s">
        <v>267</v>
      </c>
    </row>
    <row r="225" spans="2:10" ht="15.75" hidden="1" x14ac:dyDescent="0.25">
      <c r="B225" s="1695" t="s">
        <v>283</v>
      </c>
      <c r="C225" s="1696">
        <v>0.08</v>
      </c>
      <c r="D225" s="1697"/>
      <c r="E225" s="1696"/>
      <c r="F225" s="1696"/>
      <c r="G225" s="1696"/>
      <c r="H225" s="1696"/>
      <c r="I225" s="1696" t="s">
        <v>284</v>
      </c>
      <c r="J225" s="1698"/>
    </row>
    <row r="226" spans="2:10" ht="15.75" hidden="1" x14ac:dyDescent="0.25">
      <c r="B226" s="1695" t="s">
        <v>285</v>
      </c>
      <c r="C226" s="1696">
        <v>0.24</v>
      </c>
      <c r="D226" s="1697"/>
      <c r="E226" s="1696"/>
      <c r="F226" s="1696"/>
      <c r="G226" s="1696"/>
      <c r="H226" s="1696"/>
      <c r="I226" s="1696" t="s">
        <v>286</v>
      </c>
      <c r="J226" s="1698"/>
    </row>
    <row r="227" spans="2:10" ht="15.75" hidden="1" x14ac:dyDescent="0.25">
      <c r="B227" s="1902" t="s">
        <v>287</v>
      </c>
      <c r="C227" s="1903">
        <v>0.66200000000000003</v>
      </c>
      <c r="D227" s="1904"/>
      <c r="E227" s="1903"/>
      <c r="F227" s="1903"/>
      <c r="G227" s="1903"/>
      <c r="H227" s="1903"/>
      <c r="I227" s="1903" t="s">
        <v>288</v>
      </c>
      <c r="J227" s="1905"/>
    </row>
    <row r="228" spans="2:10" ht="15.75" hidden="1" x14ac:dyDescent="0.25">
      <c r="B228" s="1697"/>
      <c r="C228" s="1699"/>
      <c r="D228" s="1697"/>
      <c r="E228" s="1697"/>
      <c r="F228" s="1697"/>
      <c r="G228" s="1697"/>
      <c r="H228" s="1697"/>
      <c r="I228" s="1697"/>
      <c r="J228" s="1698"/>
    </row>
    <row r="229" spans="2:10" ht="15.75" hidden="1" x14ac:dyDescent="0.25">
      <c r="B229" s="1695" t="s">
        <v>289</v>
      </c>
      <c r="C229" s="1695" t="s">
        <v>290</v>
      </c>
      <c r="D229" s="1696"/>
      <c r="E229" s="1697"/>
      <c r="F229" s="1697"/>
      <c r="G229" s="1697"/>
      <c r="H229" s="1697"/>
      <c r="I229" s="1697"/>
      <c r="J229" s="1700" t="s">
        <v>291</v>
      </c>
    </row>
    <row r="230" spans="2:10" ht="15.75" hidden="1" x14ac:dyDescent="0.25">
      <c r="B230" s="1697"/>
      <c r="C230" s="1697" t="s">
        <v>472</v>
      </c>
      <c r="D230" s="1701" t="e">
        <f>D196*(1-(F36/100))*(1-$C$225)</f>
        <v>#DIV/0!</v>
      </c>
      <c r="E230" s="1701">
        <f>E196*(1-(D38/100))*(1-$C$225)</f>
        <v>1.291887</v>
      </c>
      <c r="F230" s="1701">
        <f>F196*(1-(D38/100))*(1-$C$225)</f>
        <v>1.291887</v>
      </c>
      <c r="G230" s="1701">
        <f>G196*(1-(D38/100))*(1-$C$225)</f>
        <v>1.291887</v>
      </c>
      <c r="H230" s="1701">
        <f>H196*(1-(D38/100))*(1-$C$225)</f>
        <v>1.291887</v>
      </c>
      <c r="I230" s="1696" t="s">
        <v>292</v>
      </c>
      <c r="J230" s="1698"/>
    </row>
    <row r="231" spans="2:10" ht="15.75" hidden="1" x14ac:dyDescent="0.25">
      <c r="B231" s="1697"/>
      <c r="C231" s="1697"/>
      <c r="D231" s="1697"/>
      <c r="E231" s="1697"/>
      <c r="F231" s="1697"/>
      <c r="G231" s="1697"/>
      <c r="H231" s="1697"/>
      <c r="I231" s="1697"/>
      <c r="J231" s="1698"/>
    </row>
    <row r="232" spans="2:10" ht="15.75" hidden="1" x14ac:dyDescent="0.25">
      <c r="B232" s="1695" t="s">
        <v>293</v>
      </c>
      <c r="C232" s="1695" t="s">
        <v>294</v>
      </c>
      <c r="D232" s="1696"/>
      <c r="E232" s="1696"/>
      <c r="F232" s="1702"/>
      <c r="G232" s="1702"/>
      <c r="H232" s="1697"/>
      <c r="I232" s="1702"/>
      <c r="J232" s="1700" t="s">
        <v>295</v>
      </c>
    </row>
    <row r="233" spans="2:10" ht="15.75" hidden="1" x14ac:dyDescent="0.25">
      <c r="B233" s="1697"/>
      <c r="C233" s="1696" t="s">
        <v>296</v>
      </c>
      <c r="D233" s="1697"/>
      <c r="E233" s="1697"/>
      <c r="F233" s="1697"/>
      <c r="G233" s="1697"/>
      <c r="H233" s="1697"/>
      <c r="I233" s="1697"/>
      <c r="J233" s="1698"/>
    </row>
    <row r="234" spans="2:10" ht="15.75" hidden="1" x14ac:dyDescent="0.25">
      <c r="B234" s="1697"/>
      <c r="C234" s="1696"/>
      <c r="D234" s="1696"/>
      <c r="E234" s="1702"/>
      <c r="F234" s="1702"/>
      <c r="G234" s="1702"/>
      <c r="H234" s="1702"/>
      <c r="I234" s="1697"/>
      <c r="J234" s="1698"/>
    </row>
    <row r="235" spans="2:10" ht="15.75" hidden="1" x14ac:dyDescent="0.25">
      <c r="B235" s="1697"/>
      <c r="C235" s="1697"/>
      <c r="D235" s="1697"/>
      <c r="E235" s="1697"/>
      <c r="F235" s="1697"/>
      <c r="G235" s="1697"/>
      <c r="H235" s="1697"/>
      <c r="I235" s="1697"/>
      <c r="J235" s="1704"/>
    </row>
    <row r="236" spans="2:10" ht="15.75" hidden="1" x14ac:dyDescent="0.25">
      <c r="B236" s="1697"/>
      <c r="C236" s="1695" t="s">
        <v>896</v>
      </c>
      <c r="D236" s="1697"/>
      <c r="E236" s="1697"/>
      <c r="F236" s="1697"/>
      <c r="G236" s="1697"/>
      <c r="H236" s="1697"/>
      <c r="I236" s="1697"/>
      <c r="J236" s="1703"/>
    </row>
    <row r="237" spans="2:10" ht="15.75" hidden="1" x14ac:dyDescent="0.25">
      <c r="B237" s="1697"/>
      <c r="C237" s="1697"/>
      <c r="D237" s="1697"/>
      <c r="E237" s="1697"/>
      <c r="F237" s="1697"/>
      <c r="G237" s="1697"/>
      <c r="H237" s="1697"/>
      <c r="I237" s="1697"/>
      <c r="J237" s="1705"/>
    </row>
    <row r="238" spans="2:10" ht="15.75" hidden="1" x14ac:dyDescent="0.25">
      <c r="B238" s="1697"/>
      <c r="C238" s="1697" t="s">
        <v>472</v>
      </c>
      <c r="D238" s="1706" t="e">
        <f>D230*$C$226*$AN$203%*$C$227</f>
        <v>#DIV/0!</v>
      </c>
      <c r="E238" s="1706">
        <f>E230*$C$226*$AN$206%*$C$227</f>
        <v>2.0525500656E-3</v>
      </c>
      <c r="F238" s="1706">
        <f>F230*$C$226*$AN$206%*$C$227</f>
        <v>2.0525500656E-3</v>
      </c>
      <c r="G238" s="1706">
        <f>G230*$C$226*$AN$206%*$C$227</f>
        <v>2.0525500656E-3</v>
      </c>
      <c r="H238" s="1706">
        <f>H230*$C$226*$AN$206%*$C$227</f>
        <v>2.0525500656E-3</v>
      </c>
      <c r="I238" s="1696" t="s">
        <v>274</v>
      </c>
      <c r="J238" s="1698"/>
    </row>
    <row r="239" spans="2:10" ht="15.75" hidden="1" x14ac:dyDescent="0.25">
      <c r="B239" s="1707"/>
      <c r="C239" s="1707"/>
      <c r="D239" s="1707"/>
      <c r="E239" s="1707"/>
      <c r="F239" s="1707"/>
      <c r="G239" s="1707"/>
      <c r="H239" s="1707"/>
      <c r="I239" s="1707"/>
      <c r="J239" s="1705"/>
    </row>
    <row r="240" spans="2:10" ht="15.75" hidden="1" x14ac:dyDescent="0.25">
      <c r="B240" s="1695" t="s">
        <v>298</v>
      </c>
      <c r="C240" s="1695"/>
      <c r="D240" s="1695"/>
      <c r="E240" s="1696"/>
      <c r="F240" s="1696"/>
      <c r="G240" s="1696"/>
      <c r="H240" s="1696"/>
      <c r="I240" s="1696"/>
      <c r="J240" s="1698"/>
    </row>
    <row r="241" spans="2:10" ht="15.75" hidden="1" x14ac:dyDescent="0.25">
      <c r="B241" s="1696"/>
      <c r="C241" s="1695" t="s">
        <v>1601</v>
      </c>
      <c r="D241" s="1696"/>
      <c r="E241" s="1696"/>
      <c r="F241" s="1696"/>
      <c r="G241" s="1696"/>
      <c r="H241" s="1696"/>
      <c r="I241" s="1696"/>
      <c r="J241" s="1700" t="s">
        <v>299</v>
      </c>
    </row>
    <row r="242" spans="2:10" ht="15.75" hidden="1" x14ac:dyDescent="0.25">
      <c r="B242" s="1696"/>
      <c r="C242" s="1695"/>
      <c r="D242" s="1696"/>
      <c r="E242" s="1696"/>
      <c r="F242" s="1696"/>
      <c r="G242" s="1696"/>
      <c r="H242" s="1696"/>
      <c r="I242" s="1696"/>
      <c r="J242" s="1698"/>
    </row>
    <row r="243" spans="2:10" ht="15.75" hidden="1" x14ac:dyDescent="0.25">
      <c r="B243" s="1696"/>
      <c r="C243" s="1697" t="s">
        <v>472</v>
      </c>
      <c r="D243" s="1706" t="e">
        <f>(365*D17*D238)*10^-6</f>
        <v>#DIV/0!</v>
      </c>
      <c r="E243" s="1706">
        <f>(365*E17*E238)*10^-6</f>
        <v>0</v>
      </c>
      <c r="F243" s="1706">
        <f>(365*F17*F238)*10^-6</f>
        <v>0</v>
      </c>
      <c r="G243" s="1706">
        <f>(365*G17*G238)*10^-6</f>
        <v>0</v>
      </c>
      <c r="H243" s="1706">
        <f>(365*H17*H238)*10^-6</f>
        <v>0</v>
      </c>
      <c r="I243" s="1696" t="s">
        <v>473</v>
      </c>
      <c r="J243" s="1698"/>
    </row>
    <row r="244" spans="2:10" ht="15.75" hidden="1" x14ac:dyDescent="0.25">
      <c r="B244" s="1696"/>
      <c r="C244" s="1696"/>
      <c r="D244" s="1696"/>
      <c r="E244" s="1696"/>
      <c r="F244" s="1696"/>
      <c r="G244" s="1696"/>
      <c r="H244" s="1696"/>
      <c r="I244" s="1697"/>
      <c r="J244" s="1698"/>
    </row>
    <row r="245" spans="2:10" ht="15.75" hidden="1" x14ac:dyDescent="0.25">
      <c r="B245" s="1695" t="s">
        <v>300</v>
      </c>
      <c r="C245" s="1708" t="e">
        <f>SUM(D243:H243)</f>
        <v>#DIV/0!</v>
      </c>
      <c r="D245" s="1706"/>
      <c r="E245" s="1706"/>
      <c r="F245" s="1706"/>
      <c r="G245" s="1706"/>
      <c r="H245" s="1706"/>
      <c r="I245" s="1696" t="s">
        <v>301</v>
      </c>
      <c r="J245" s="1705"/>
    </row>
    <row r="246" spans="2:10" ht="15.75" hidden="1" x14ac:dyDescent="0.25">
      <c r="B246" s="1695" t="s">
        <v>300</v>
      </c>
      <c r="C246" s="1709" t="e">
        <f>C245*21</f>
        <v>#DIV/0!</v>
      </c>
      <c r="D246" s="1706"/>
      <c r="E246" s="1706"/>
      <c r="F246" s="1706"/>
      <c r="G246" s="1706"/>
      <c r="H246" s="1706"/>
      <c r="I246" s="1696" t="s">
        <v>302</v>
      </c>
      <c r="J246" s="1705"/>
    </row>
    <row r="247" spans="2:10" ht="15.75" hidden="1" x14ac:dyDescent="0.25">
      <c r="B247" s="1902" t="s">
        <v>300</v>
      </c>
      <c r="C247" s="1906" t="e">
        <f>C246*10^3</f>
        <v>#DIV/0!</v>
      </c>
      <c r="D247" s="1907"/>
      <c r="E247" s="1907"/>
      <c r="F247" s="1907"/>
      <c r="G247" s="1907"/>
      <c r="H247" s="1907"/>
      <c r="I247" s="1904" t="s">
        <v>303</v>
      </c>
      <c r="J247" s="1905"/>
    </row>
    <row r="248" spans="2:10" hidden="1" x14ac:dyDescent="0.25"/>
    <row r="249" spans="2:10" ht="15.75" hidden="1" x14ac:dyDescent="0.25">
      <c r="B249" s="1566" t="s">
        <v>304</v>
      </c>
      <c r="C249" s="1566" t="s">
        <v>253</v>
      </c>
      <c r="D249" s="1567" t="str">
        <f t="shared" ref="D249:I249" si="6">D16</f>
        <v>Milking Cows</v>
      </c>
      <c r="E249" s="1567" t="str">
        <f t="shared" si="6"/>
        <v xml:space="preserve">Heifers &gt;1 </v>
      </c>
      <c r="F249" s="1567" t="str">
        <f t="shared" si="6"/>
        <v xml:space="preserve">Heifers &lt;1 </v>
      </c>
      <c r="G249" s="1567" t="str">
        <f t="shared" si="6"/>
        <v>Mature bulls</v>
      </c>
      <c r="H249" s="1567" t="str">
        <f t="shared" si="6"/>
        <v>Immature bulls</v>
      </c>
      <c r="I249" s="1567">
        <f t="shared" si="6"/>
        <v>0</v>
      </c>
      <c r="J249" s="1568" t="s">
        <v>267</v>
      </c>
    </row>
    <row r="250" spans="2:10" ht="15.75" hidden="1" x14ac:dyDescent="0.25">
      <c r="B250" s="1569"/>
      <c r="C250" s="1569"/>
      <c r="D250" s="1569"/>
      <c r="E250" s="1569"/>
      <c r="F250" s="1569"/>
      <c r="G250" s="1569"/>
      <c r="H250" s="1569"/>
      <c r="I250" s="1569"/>
      <c r="J250" s="1570"/>
    </row>
    <row r="251" spans="2:10" ht="15.75" hidden="1" x14ac:dyDescent="0.25">
      <c r="B251" s="1571" t="s">
        <v>305</v>
      </c>
      <c r="C251" s="1569"/>
      <c r="D251" s="1571" t="s">
        <v>306</v>
      </c>
      <c r="E251" s="1572"/>
      <c r="F251" s="1572"/>
      <c r="G251" s="1573"/>
      <c r="H251" s="1569"/>
      <c r="I251" s="1569"/>
      <c r="J251" s="1570" t="s">
        <v>307</v>
      </c>
    </row>
    <row r="252" spans="2:10" ht="15.75" hidden="1" x14ac:dyDescent="0.25">
      <c r="B252" s="1569"/>
      <c r="C252" s="1574" t="s">
        <v>472</v>
      </c>
      <c r="D252" s="1575" t="e">
        <f>D196*H36%</f>
        <v>#DIV/0!</v>
      </c>
      <c r="E252" s="1575">
        <f>E196*D39%</f>
        <v>0</v>
      </c>
      <c r="F252" s="1575">
        <f>F196*D39%</f>
        <v>0</v>
      </c>
      <c r="G252" s="1575">
        <f>G196*D39%</f>
        <v>0</v>
      </c>
      <c r="H252" s="1575">
        <f>H196*D39%</f>
        <v>0</v>
      </c>
      <c r="I252" s="1569" t="s">
        <v>292</v>
      </c>
      <c r="J252" s="1570"/>
    </row>
    <row r="253" spans="2:10" ht="15.75" hidden="1" x14ac:dyDescent="0.25">
      <c r="B253" s="1576"/>
      <c r="C253" s="1576"/>
      <c r="D253" s="1576"/>
      <c r="E253" s="1576"/>
      <c r="F253" s="1576"/>
      <c r="G253" s="1577"/>
      <c r="H253" s="1569"/>
      <c r="I253" s="1569"/>
      <c r="J253" s="1570"/>
    </row>
    <row r="254" spans="2:10" ht="15.75" hidden="1" x14ac:dyDescent="0.25">
      <c r="B254" s="1571" t="s">
        <v>308</v>
      </c>
      <c r="C254" s="1572"/>
      <c r="D254" s="1571" t="s">
        <v>309</v>
      </c>
      <c r="E254" s="1572"/>
      <c r="F254" s="1572"/>
      <c r="G254" s="1573"/>
      <c r="H254" s="1569"/>
      <c r="I254" s="1569"/>
      <c r="J254" s="1570" t="s">
        <v>310</v>
      </c>
    </row>
    <row r="255" spans="2:10" ht="15.75" hidden="1" x14ac:dyDescent="0.25">
      <c r="B255" s="1572"/>
      <c r="C255" s="1569"/>
      <c r="D255" s="1569" t="s">
        <v>311</v>
      </c>
      <c r="E255" s="1572"/>
      <c r="F255" s="1572"/>
      <c r="G255" s="1573"/>
      <c r="H255" s="1569"/>
      <c r="I255" s="1569"/>
      <c r="J255" s="1570"/>
    </row>
    <row r="256" spans="2:10" ht="15.75" hidden="1" x14ac:dyDescent="0.25">
      <c r="B256" s="1569"/>
      <c r="C256" s="1569"/>
      <c r="D256" s="1569" t="s">
        <v>312</v>
      </c>
      <c r="E256" s="1578"/>
      <c r="F256" s="1578"/>
      <c r="G256" s="1573"/>
      <c r="H256" s="1569"/>
      <c r="I256" s="1569"/>
      <c r="J256" s="1570"/>
    </row>
    <row r="257" spans="2:10" ht="15.75" hidden="1" x14ac:dyDescent="0.25">
      <c r="B257" s="1569"/>
      <c r="C257" s="1574" t="s">
        <v>472</v>
      </c>
      <c r="D257" s="1575" t="e">
        <f>(0.3*((D252*(1-((F36+10)/100))))+(0.105*((0.1604*F36-1.037)*D196*0.008))+(0.0152*D196))/6.25</f>
        <v>#DIV/0!</v>
      </c>
      <c r="E257" s="1575">
        <f>(0.3*((E252*(1-((D38+10)/100))))+(0.105*((0.1604*D38-1.037)*E196*0.008))+(0.0152*E196))/6.25</f>
        <v>3.2193644299200004E-3</v>
      </c>
      <c r="F257" s="1575">
        <f>(0.3*((F252*(1-((D38+10)/100))))+(0.105*((0.1604*D38-1.037)*F196*0.008))+(0.0152*F196))/6.25</f>
        <v>3.2193644299200004E-3</v>
      </c>
      <c r="G257" s="1575">
        <f>(0.3*((G252*(1-((D38+10)/100))))+(0.105*((0.1604*D38-1.037)*G196*0.008))+(0.0152*G196))/6.25</f>
        <v>3.2193644299200004E-3</v>
      </c>
      <c r="H257" s="1575">
        <f>(0.3*((H252*(1-((D38+10)/100))))+(0.105*((0.1604*D38-1.037)*H196*0.008))+(0.0152*H196))/6.25</f>
        <v>3.2193644299200004E-3</v>
      </c>
      <c r="I257" s="1569" t="s">
        <v>292</v>
      </c>
      <c r="J257" s="1570"/>
    </row>
    <row r="258" spans="2:10" ht="15.75" hidden="1" x14ac:dyDescent="0.25">
      <c r="B258" s="1569"/>
      <c r="C258" s="1569"/>
      <c r="D258" s="1569"/>
      <c r="E258" s="1569"/>
      <c r="F258" s="1569"/>
      <c r="G258" s="1569"/>
      <c r="H258" s="1569"/>
      <c r="I258" s="1569"/>
      <c r="J258" s="1570"/>
    </row>
    <row r="259" spans="2:10" ht="17.25" hidden="1" x14ac:dyDescent="0.3">
      <c r="B259" s="1571" t="s">
        <v>313</v>
      </c>
      <c r="C259" s="1569"/>
      <c r="D259" s="1579" t="s">
        <v>1602</v>
      </c>
      <c r="E259" s="1580"/>
      <c r="F259" s="1580"/>
      <c r="G259" s="1580"/>
      <c r="H259" s="1580"/>
      <c r="I259" s="1569"/>
      <c r="J259" s="1570" t="s">
        <v>314</v>
      </c>
    </row>
    <row r="260" spans="2:10" ht="16.5" hidden="1" thickBot="1" x14ac:dyDescent="0.3">
      <c r="B260" s="1569"/>
      <c r="C260" s="1569"/>
      <c r="D260" s="1569"/>
      <c r="E260" s="1569"/>
      <c r="F260" s="1569"/>
      <c r="G260" s="1569"/>
      <c r="H260" s="1569"/>
      <c r="I260" s="1569"/>
      <c r="J260" s="1570"/>
    </row>
    <row r="261" spans="2:10" ht="16.5" hidden="1" thickBot="1" x14ac:dyDescent="0.3">
      <c r="B261" s="1581"/>
      <c r="C261" s="1582" t="s">
        <v>897</v>
      </c>
      <c r="D261" s="1583"/>
      <c r="E261" s="1583"/>
      <c r="F261" s="1583"/>
      <c r="G261" s="1583"/>
      <c r="H261" s="1584"/>
      <c r="I261" s="1569"/>
      <c r="J261" s="1570" t="s">
        <v>315</v>
      </c>
    </row>
    <row r="262" spans="2:10" ht="15.75" hidden="1" x14ac:dyDescent="0.25">
      <c r="B262" s="1569"/>
      <c r="C262" s="1582"/>
      <c r="D262" s="1583" t="s">
        <v>249</v>
      </c>
      <c r="E262" s="1583" t="s">
        <v>316</v>
      </c>
      <c r="F262" s="1583" t="s">
        <v>317</v>
      </c>
      <c r="G262" s="1583" t="s">
        <v>318</v>
      </c>
      <c r="H262" s="1584" t="s">
        <v>319</v>
      </c>
      <c r="I262" s="1569"/>
      <c r="J262" s="1570"/>
    </row>
    <row r="263" spans="2:10" ht="15.75" hidden="1" x14ac:dyDescent="0.25">
      <c r="B263" s="1581">
        <v>1</v>
      </c>
      <c r="C263" s="1877" t="s">
        <v>1008</v>
      </c>
      <c r="D263" s="1585">
        <v>550</v>
      </c>
      <c r="E263" s="1585">
        <v>550</v>
      </c>
      <c r="F263" s="1585">
        <v>550</v>
      </c>
      <c r="G263" s="1585">
        <v>770</v>
      </c>
      <c r="H263" s="1586">
        <v>770</v>
      </c>
      <c r="I263" s="1569"/>
      <c r="J263" s="1570"/>
    </row>
    <row r="264" spans="2:10" ht="15.75" hidden="1" x14ac:dyDescent="0.25">
      <c r="B264" s="1581">
        <v>2</v>
      </c>
      <c r="C264" s="1877" t="s">
        <v>1015</v>
      </c>
      <c r="D264" s="1585">
        <v>580</v>
      </c>
      <c r="E264" s="1585">
        <v>580</v>
      </c>
      <c r="F264" s="1585">
        <v>580</v>
      </c>
      <c r="G264" s="1585">
        <v>770</v>
      </c>
      <c r="H264" s="1586">
        <v>770</v>
      </c>
      <c r="I264" s="1569"/>
      <c r="J264" s="1570"/>
    </row>
    <row r="265" spans="2:10" ht="15.75" hidden="1" x14ac:dyDescent="0.25">
      <c r="B265" s="1581">
        <v>3</v>
      </c>
      <c r="C265" s="1877" t="s">
        <v>960</v>
      </c>
      <c r="D265" s="1585">
        <v>550</v>
      </c>
      <c r="E265" s="1585">
        <v>550</v>
      </c>
      <c r="F265" s="1585">
        <v>550</v>
      </c>
      <c r="G265" s="1585">
        <v>770</v>
      </c>
      <c r="H265" s="1586">
        <v>770</v>
      </c>
      <c r="I265" s="1581"/>
      <c r="J265" s="1570"/>
    </row>
    <row r="266" spans="2:10" ht="15.75" hidden="1" x14ac:dyDescent="0.25">
      <c r="B266" s="1581">
        <v>4</v>
      </c>
      <c r="C266" s="1877" t="s">
        <v>1010</v>
      </c>
      <c r="D266" s="1585">
        <v>580</v>
      </c>
      <c r="E266" s="1585">
        <v>580</v>
      </c>
      <c r="F266" s="1585">
        <v>580</v>
      </c>
      <c r="G266" s="1585">
        <v>770</v>
      </c>
      <c r="H266" s="1586">
        <v>770</v>
      </c>
      <c r="I266" s="1569"/>
      <c r="J266" s="1570"/>
    </row>
    <row r="267" spans="2:10" ht="15.75" hidden="1" x14ac:dyDescent="0.25">
      <c r="B267" s="1581">
        <v>5</v>
      </c>
      <c r="C267" s="1877" t="s">
        <v>1016</v>
      </c>
      <c r="D267" s="1585">
        <v>550</v>
      </c>
      <c r="E267" s="1585">
        <v>550</v>
      </c>
      <c r="F267" s="1585">
        <v>550</v>
      </c>
      <c r="G267" s="1585">
        <v>770</v>
      </c>
      <c r="H267" s="1586">
        <v>770</v>
      </c>
      <c r="I267" s="1569"/>
      <c r="J267" s="1570"/>
    </row>
    <row r="268" spans="2:10" ht="15.75" hidden="1" x14ac:dyDescent="0.25">
      <c r="B268" s="1581">
        <v>6</v>
      </c>
      <c r="C268" s="1878" t="s">
        <v>1017</v>
      </c>
      <c r="D268" s="1585">
        <v>550</v>
      </c>
      <c r="E268" s="1585">
        <v>550</v>
      </c>
      <c r="F268" s="1585">
        <v>550</v>
      </c>
      <c r="G268" s="1585">
        <v>770</v>
      </c>
      <c r="H268" s="1586">
        <v>770</v>
      </c>
      <c r="I268" s="1569"/>
      <c r="J268" s="1570"/>
    </row>
    <row r="269" spans="2:10" ht="16.5" hidden="1" thickBot="1" x14ac:dyDescent="0.3">
      <c r="B269" s="1581">
        <v>7</v>
      </c>
      <c r="C269" s="1879" t="s">
        <v>1018</v>
      </c>
      <c r="D269" s="1585">
        <v>550</v>
      </c>
      <c r="E269" s="1585">
        <v>550</v>
      </c>
      <c r="F269" s="1585">
        <v>550</v>
      </c>
      <c r="G269" s="1585">
        <v>770</v>
      </c>
      <c r="H269" s="1586">
        <v>770</v>
      </c>
      <c r="I269" s="1569"/>
      <c r="J269" s="1570"/>
    </row>
    <row r="270" spans="2:10" ht="16.5" hidden="1" thickBot="1" x14ac:dyDescent="0.3">
      <c r="B270" s="1574" t="s">
        <v>265</v>
      </c>
      <c r="C270" s="1587" t="e">
        <f>VLOOKUP($D$14,$C$263:$H$269,1,FALSE)</f>
        <v>#N/A</v>
      </c>
      <c r="D270" s="1588" t="e">
        <f>VLOOKUP($C$185,$C$263:$H$269,2,FALSE)</f>
        <v>#N/A</v>
      </c>
      <c r="E270" s="1588" t="e">
        <f>VLOOKUP($C$185,$C$263:$H$269,3,FALSE)</f>
        <v>#N/A</v>
      </c>
      <c r="F270" s="1588" t="e">
        <f>VLOOKUP($C$185,$C$263:$H$269,4,FALSE)</f>
        <v>#N/A</v>
      </c>
      <c r="G270" s="1588" t="e">
        <f>VLOOKUP($C$185,$C$263:$H$269,5,FALSE)</f>
        <v>#N/A</v>
      </c>
      <c r="H270" s="1588" t="e">
        <f>VLOOKUP($C$185,$C$263:$H$269,6,FALSE)</f>
        <v>#N/A</v>
      </c>
      <c r="I270" s="1569"/>
      <c r="J270" s="1570"/>
    </row>
    <row r="271" spans="2:10" ht="16.5" hidden="1" thickBot="1" x14ac:dyDescent="0.3">
      <c r="B271" s="1569"/>
      <c r="C271" s="1587" t="s">
        <v>337</v>
      </c>
      <c r="D271" s="1589" t="e">
        <f>IF(D270&gt;0,D19/D270,0)</f>
        <v>#N/A</v>
      </c>
      <c r="E271" s="1589" t="e">
        <f>IF(E270&gt;0,E19/E270,0)</f>
        <v>#N/A</v>
      </c>
      <c r="F271" s="1589" t="e">
        <f>IF(F270&gt;0,F19/F270,0)</f>
        <v>#N/A</v>
      </c>
      <c r="G271" s="1589" t="e">
        <f>IF(G270&gt;0,G19/G270,0)</f>
        <v>#N/A</v>
      </c>
      <c r="H271" s="1590" t="e">
        <f>IF(H270&gt;0,H19/H270,0)</f>
        <v>#N/A</v>
      </c>
      <c r="I271" s="1581"/>
      <c r="J271" s="1570"/>
    </row>
    <row r="272" spans="2:10" ht="15.75" hidden="1" x14ac:dyDescent="0.25">
      <c r="B272" s="1569"/>
      <c r="C272" s="1569"/>
      <c r="D272" s="1569"/>
      <c r="E272" s="1569"/>
      <c r="F272" s="1569"/>
      <c r="G272" s="1569"/>
      <c r="H272" s="1569"/>
      <c r="I272" s="1569"/>
      <c r="J272" s="1570"/>
    </row>
    <row r="273" spans="2:10" ht="15.75" hidden="1" x14ac:dyDescent="0.25">
      <c r="B273" s="1569"/>
      <c r="C273" s="1574" t="s">
        <v>472</v>
      </c>
      <c r="D273" s="1591" t="e">
        <f>((0.032*(H28*D28/365))+(0.212-0.008*(D206-2)-((0.14-0.008*(D206-2))/(1+EXP(-6*(D$271-0.4)))))*(0*0.92))/6.25</f>
        <v>#DIV/0!</v>
      </c>
      <c r="E273" s="1591" t="e">
        <f>((0.032*0)+(0.212-0.008*(E206-2)-((0.14-0.008*(E206-2))/(1+EXP(-6*(E$271-0.4)))))*(E21*0.92))/6.25</f>
        <v>#N/A</v>
      </c>
      <c r="F273" s="1591" t="e">
        <f>((0.032*0)+(0.212-0.008*(F206-2)-((0.14-0.008*(F206-2))/(1+EXP(-6*(F$271-0.4)))))*(F21*0.92))/6.25</f>
        <v>#N/A</v>
      </c>
      <c r="G273" s="1591" t="e">
        <f>((0.032*0)+(0.212-0.008*(G206-2)-((0.14-0.008*(G206-2))/(1+EXP(-6*(G$271-0.4)))))*(0*0.92))/6.25</f>
        <v>#N/A</v>
      </c>
      <c r="H273" s="1591" t="e">
        <f>((0.032*0)+(0.212-0.008*(H206-2)-((0.14-0.008*(H206-2))/(1+EXP(-6*(H$271-0.4)))))*(H21*0.92))/6.25</f>
        <v>#N/A</v>
      </c>
      <c r="I273" s="1581" t="s">
        <v>320</v>
      </c>
      <c r="J273" s="1570"/>
    </row>
    <row r="274" spans="2:10" ht="15.75" hidden="1" x14ac:dyDescent="0.25">
      <c r="B274" s="1569"/>
      <c r="C274" s="1592"/>
      <c r="D274" s="1591"/>
      <c r="E274" s="1591"/>
      <c r="F274" s="1591"/>
      <c r="G274" s="1591"/>
      <c r="H274" s="1591"/>
      <c r="I274" s="1581"/>
      <c r="J274" s="1570"/>
    </row>
    <row r="275" spans="2:10" ht="18.75" hidden="1" x14ac:dyDescent="0.25">
      <c r="B275" s="1571" t="s">
        <v>321</v>
      </c>
      <c r="C275" s="1569"/>
      <c r="D275" s="1593" t="s">
        <v>322</v>
      </c>
      <c r="E275" s="1591"/>
      <c r="F275" s="1591"/>
      <c r="G275" s="1591"/>
      <c r="H275" s="1569"/>
      <c r="I275" s="1581"/>
      <c r="J275" s="1570" t="s">
        <v>323</v>
      </c>
    </row>
    <row r="276" spans="2:10" ht="15.75" hidden="1" x14ac:dyDescent="0.25">
      <c r="B276" s="1569"/>
      <c r="C276" s="1574" t="s">
        <v>472</v>
      </c>
      <c r="D276" s="1591" t="e">
        <f>(D252/6.25)-D273-D257-((1.1*10^-4*D19^0.75)/6.25)</f>
        <v>#DIV/0!</v>
      </c>
      <c r="E276" s="1591" t="e">
        <f>(E252/6.25)-E273-E257-((1.1*10^-4*E19^0.75)/6.25)</f>
        <v>#N/A</v>
      </c>
      <c r="F276" s="1591" t="e">
        <f>(F252/6.25)-F273-F257-((1.1*10^-4*F19^0.75)/6.25)</f>
        <v>#N/A</v>
      </c>
      <c r="G276" s="1591" t="e">
        <f>(G252/6.25)-G273-G257-((1.1*10^-4*G19^0.75)/6.25)</f>
        <v>#N/A</v>
      </c>
      <c r="H276" s="1591" t="e">
        <f>(H252/6.25)-H273-H257-((1.1*10^-4*H19^0.75)/6.25)</f>
        <v>#N/A</v>
      </c>
      <c r="I276" s="1581" t="s">
        <v>320</v>
      </c>
      <c r="J276" s="1570"/>
    </row>
    <row r="277" spans="2:10" ht="15.75" hidden="1" x14ac:dyDescent="0.25">
      <c r="B277" s="1569"/>
      <c r="C277" s="1569"/>
      <c r="D277" s="1569"/>
      <c r="E277" s="1569"/>
      <c r="F277" s="1569"/>
      <c r="G277" s="1569"/>
      <c r="H277" s="1569"/>
      <c r="I277" s="1581"/>
      <c r="J277" s="1570"/>
    </row>
    <row r="278" spans="2:10" ht="15.75" hidden="1" x14ac:dyDescent="0.25">
      <c r="B278" s="1571" t="s">
        <v>482</v>
      </c>
      <c r="C278" s="1569"/>
      <c r="D278" s="1571" t="s">
        <v>474</v>
      </c>
      <c r="E278" s="1569"/>
      <c r="F278" s="1569"/>
      <c r="G278" s="1569"/>
      <c r="H278" s="1569"/>
      <c r="I278" s="1581"/>
      <c r="J278" s="1570" t="s">
        <v>324</v>
      </c>
    </row>
    <row r="279" spans="2:10" ht="15.75" hidden="1" x14ac:dyDescent="0.25">
      <c r="B279" s="1569"/>
      <c r="C279" s="1569"/>
      <c r="D279" s="1569"/>
      <c r="E279" s="1569"/>
      <c r="F279" s="1569"/>
      <c r="G279" s="1569"/>
      <c r="H279" s="1569"/>
      <c r="I279" s="1569"/>
      <c r="J279" s="1570"/>
    </row>
    <row r="280" spans="2:10" ht="15.75" hidden="1" x14ac:dyDescent="0.25">
      <c r="B280" s="1569"/>
      <c r="C280" s="1574" t="s">
        <v>472</v>
      </c>
      <c r="D280" s="1575" t="e">
        <f>(365*D17*D257)*10^-6</f>
        <v>#DIV/0!</v>
      </c>
      <c r="E280" s="1575">
        <f>(365*E17*E257)*10^-6</f>
        <v>0</v>
      </c>
      <c r="F280" s="1575">
        <f>(365*F17*F257)*10^-6</f>
        <v>0</v>
      </c>
      <c r="G280" s="1575">
        <f>(365*G17*G257)*10^-6</f>
        <v>0</v>
      </c>
      <c r="H280" s="1575">
        <f>(365*H17*H257)*10^-6</f>
        <v>0</v>
      </c>
      <c r="I280" s="1569" t="s">
        <v>476</v>
      </c>
      <c r="J280" s="1570"/>
    </row>
    <row r="281" spans="2:10" ht="15.75" hidden="1" x14ac:dyDescent="0.25">
      <c r="B281" s="1569"/>
      <c r="C281" s="1569"/>
      <c r="D281" s="1569"/>
      <c r="E281" s="1569"/>
      <c r="F281" s="1569"/>
      <c r="G281" s="1569"/>
      <c r="H281" s="1569"/>
      <c r="I281" s="1569"/>
      <c r="J281" s="1570"/>
    </row>
    <row r="282" spans="2:10" ht="15.75" hidden="1" x14ac:dyDescent="0.25">
      <c r="B282" s="1571" t="s">
        <v>483</v>
      </c>
      <c r="C282" s="1569"/>
      <c r="D282" s="1571" t="s">
        <v>475</v>
      </c>
      <c r="E282" s="1569"/>
      <c r="F282" s="1569"/>
      <c r="G282" s="1569"/>
      <c r="H282" s="1569"/>
      <c r="I282" s="1569"/>
      <c r="J282" s="1570" t="s">
        <v>326</v>
      </c>
    </row>
    <row r="283" spans="2:10" ht="15.75" hidden="1" x14ac:dyDescent="0.25">
      <c r="B283" s="1569"/>
      <c r="C283" s="1569"/>
      <c r="D283" s="1569"/>
      <c r="E283" s="1569"/>
      <c r="F283" s="1569"/>
      <c r="G283" s="1569"/>
      <c r="H283" s="1569"/>
      <c r="I283" s="1569"/>
      <c r="J283" s="1570"/>
    </row>
    <row r="284" spans="2:10" ht="15.75" hidden="1" x14ac:dyDescent="0.25">
      <c r="B284" s="1569"/>
      <c r="C284" s="1574" t="s">
        <v>472</v>
      </c>
      <c r="D284" s="1591" t="e">
        <f>(365*D17*D276)*10^-6</f>
        <v>#DIV/0!</v>
      </c>
      <c r="E284" s="1591" t="e">
        <f>(365*E17*E276)*10^-6</f>
        <v>#N/A</v>
      </c>
      <c r="F284" s="1591" t="e">
        <f>(365*F17*F276)*10^-6</f>
        <v>#N/A</v>
      </c>
      <c r="G284" s="1591" t="e">
        <f>(365*G17*G276)*10^-6</f>
        <v>#N/A</v>
      </c>
      <c r="H284" s="1591" t="e">
        <f>(365*H17*H276)*10^-6</f>
        <v>#N/A</v>
      </c>
      <c r="I284" s="1569" t="s">
        <v>476</v>
      </c>
      <c r="J284" s="1570"/>
    </row>
    <row r="285" spans="2:10" ht="15.75" hidden="1" x14ac:dyDescent="0.25">
      <c r="B285" s="1569"/>
      <c r="C285" s="1569"/>
      <c r="D285" s="1569"/>
      <c r="E285" s="1569"/>
      <c r="F285" s="1569"/>
      <c r="G285" s="1569"/>
      <c r="H285" s="1569"/>
      <c r="I285" s="1569"/>
      <c r="J285" s="1570"/>
    </row>
    <row r="286" spans="2:10" ht="15.75" hidden="1" x14ac:dyDescent="0.25">
      <c r="B286" s="1571" t="s">
        <v>484</v>
      </c>
      <c r="C286" s="1569"/>
      <c r="D286" s="1571" t="s">
        <v>327</v>
      </c>
      <c r="E286" s="1569"/>
      <c r="F286" s="1569"/>
      <c r="G286" s="1569"/>
      <c r="H286" s="1569"/>
      <c r="I286" s="1569"/>
      <c r="J286" s="1570"/>
    </row>
    <row r="287" spans="2:10" ht="15.75" hidden="1" x14ac:dyDescent="0.25">
      <c r="B287" s="1569"/>
      <c r="C287" s="1569"/>
      <c r="D287" s="1594"/>
      <c r="E287" s="1594"/>
      <c r="F287" s="1594"/>
      <c r="G287" s="1594"/>
      <c r="H287" s="1594"/>
      <c r="I287" s="1581"/>
      <c r="J287" s="1570"/>
    </row>
    <row r="288" spans="2:10" ht="15.75" hidden="1" x14ac:dyDescent="0.25">
      <c r="B288" s="1569"/>
      <c r="C288" s="1574" t="s">
        <v>472</v>
      </c>
      <c r="D288" s="1594" t="e">
        <f>D280+D284</f>
        <v>#DIV/0!</v>
      </c>
      <c r="E288" s="1594" t="e">
        <f>E280+E284</f>
        <v>#N/A</v>
      </c>
      <c r="F288" s="1594" t="e">
        <f>F280+F284</f>
        <v>#N/A</v>
      </c>
      <c r="G288" s="1594" t="e">
        <f>G280+G284</f>
        <v>#N/A</v>
      </c>
      <c r="H288" s="1594" t="e">
        <f>H280+H284</f>
        <v>#N/A</v>
      </c>
      <c r="I288" s="1569" t="s">
        <v>476</v>
      </c>
      <c r="J288" s="1570"/>
    </row>
    <row r="289" spans="2:10" ht="15.75" hidden="1" x14ac:dyDescent="0.25">
      <c r="B289" s="1569"/>
      <c r="C289" s="1574"/>
      <c r="D289" s="1569"/>
      <c r="E289" s="1569"/>
      <c r="F289" s="1569"/>
      <c r="G289" s="1569"/>
      <c r="H289" s="1569"/>
      <c r="I289" s="1569"/>
      <c r="J289" s="1570"/>
    </row>
    <row r="290" spans="2:10" ht="15.75" hidden="1" x14ac:dyDescent="0.25">
      <c r="B290" s="1571" t="s">
        <v>328</v>
      </c>
      <c r="C290" s="1592"/>
      <c r="D290" s="1571" t="s">
        <v>329</v>
      </c>
      <c r="E290" s="1592"/>
      <c r="F290" s="1592"/>
      <c r="G290" s="1592"/>
      <c r="H290" s="1581"/>
      <c r="I290" s="1569"/>
      <c r="J290" s="1570" t="s">
        <v>1603</v>
      </c>
    </row>
    <row r="291" spans="2:10" ht="15.75" hidden="1" x14ac:dyDescent="0.25">
      <c r="B291" s="1569"/>
      <c r="C291" s="1569"/>
      <c r="D291" s="1569" t="s">
        <v>330</v>
      </c>
      <c r="E291" s="1595"/>
      <c r="F291" s="1595"/>
      <c r="G291" s="1595"/>
      <c r="H291" s="1595"/>
      <c r="I291" s="1569"/>
      <c r="J291" s="1570" t="s">
        <v>1604</v>
      </c>
    </row>
    <row r="292" spans="2:10" ht="15.75" hidden="1" x14ac:dyDescent="0.25">
      <c r="B292" s="1569"/>
      <c r="C292" s="1569"/>
      <c r="D292" s="1569" t="s">
        <v>331</v>
      </c>
      <c r="E292" s="1569"/>
      <c r="F292" s="1569"/>
      <c r="G292" s="1569"/>
      <c r="H292" s="1569"/>
      <c r="I292" s="1569"/>
      <c r="J292" s="1570"/>
    </row>
    <row r="293" spans="2:10" ht="15.75" hidden="1" x14ac:dyDescent="0.25">
      <c r="B293" s="1569"/>
      <c r="C293" s="1569"/>
      <c r="D293" s="1569"/>
      <c r="E293" s="1569"/>
      <c r="F293" s="1569"/>
      <c r="G293" s="1569"/>
      <c r="H293" s="1569"/>
      <c r="I293" s="1569"/>
      <c r="J293" s="1596"/>
    </row>
    <row r="294" spans="2:10" ht="15.75" hidden="1" x14ac:dyDescent="0.25">
      <c r="B294" s="1597" t="s">
        <v>332</v>
      </c>
      <c r="C294" s="1569"/>
      <c r="D294" s="1571" t="s">
        <v>1605</v>
      </c>
      <c r="E294" s="1569"/>
      <c r="F294" s="1569"/>
      <c r="G294" s="1569"/>
      <c r="H294" s="1569"/>
      <c r="I294" s="1597" t="s">
        <v>333</v>
      </c>
      <c r="J294" s="1570"/>
    </row>
    <row r="295" spans="2:10" ht="15.75" hidden="1" x14ac:dyDescent="0.25">
      <c r="B295" s="1592" t="s">
        <v>1606</v>
      </c>
      <c r="C295" s="1574" t="s">
        <v>472</v>
      </c>
      <c r="D295" s="1598" t="e">
        <f>D288*$C$73%*$I$295*44/28</f>
        <v>#DIV/0!</v>
      </c>
      <c r="E295" s="1598" t="e">
        <f>E288*$C$74%*$I$295*44/28</f>
        <v>#N/A</v>
      </c>
      <c r="F295" s="1598" t="e">
        <f>F288*$C$74%*$I$295*44/28</f>
        <v>#N/A</v>
      </c>
      <c r="G295" s="1598" t="e">
        <f>G288*$C$74%*$I$295*44/28</f>
        <v>#N/A</v>
      </c>
      <c r="H295" s="1598" t="e">
        <f>H288*$C$74%*$I$295*44/28</f>
        <v>#N/A</v>
      </c>
      <c r="I295" s="1592">
        <v>1E-3</v>
      </c>
      <c r="J295" s="1570"/>
    </row>
    <row r="296" spans="2:10" ht="15.75" hidden="1" x14ac:dyDescent="0.25">
      <c r="B296" s="1569"/>
      <c r="C296" s="1569"/>
      <c r="D296" s="1569"/>
      <c r="E296" s="1569"/>
      <c r="F296" s="1569"/>
      <c r="G296" s="1569"/>
      <c r="H296" s="1569"/>
      <c r="I296" s="1569"/>
      <c r="J296" s="1570"/>
    </row>
    <row r="297" spans="2:10" ht="15.75" hidden="1" x14ac:dyDescent="0.25">
      <c r="B297" s="1592" t="s">
        <v>1607</v>
      </c>
      <c r="C297" s="1574" t="s">
        <v>472</v>
      </c>
      <c r="D297" s="1598" t="e">
        <f>D288*$D$73%*$I$297*44/28</f>
        <v>#DIV/0!</v>
      </c>
      <c r="E297" s="1598" t="e">
        <f>E288*$D$74%*$I$297*44/28</f>
        <v>#N/A</v>
      </c>
      <c r="F297" s="1598" t="e">
        <f>F288*$D$74%*$I$297*44/28</f>
        <v>#N/A</v>
      </c>
      <c r="G297" s="1598" t="e">
        <f>G288*$D$74%*$I$297*44/28</f>
        <v>#N/A</v>
      </c>
      <c r="H297" s="1598" t="e">
        <f>H288*$D$74%*$I$297*44/28</f>
        <v>#N/A</v>
      </c>
      <c r="I297" s="1592">
        <v>1E-3</v>
      </c>
      <c r="J297" s="1570"/>
    </row>
    <row r="298" spans="2:10" ht="15.75" hidden="1" x14ac:dyDescent="0.25">
      <c r="B298" s="1569"/>
      <c r="C298" s="1569"/>
      <c r="D298" s="1569"/>
      <c r="E298" s="1569"/>
      <c r="F298" s="1569"/>
      <c r="G298" s="1569"/>
      <c r="H298" s="1569"/>
      <c r="I298" s="1569"/>
      <c r="J298" s="1570"/>
    </row>
    <row r="299" spans="2:10" ht="15.75" hidden="1" x14ac:dyDescent="0.25">
      <c r="B299" s="1592" t="s">
        <v>1608</v>
      </c>
      <c r="C299" s="1574" t="s">
        <v>472</v>
      </c>
      <c r="D299" s="1598" t="e">
        <f>D288*$E$73%*$I$299*44/28</f>
        <v>#DIV/0!</v>
      </c>
      <c r="E299" s="1598" t="e">
        <f>E288*$E$74%*$I$299*44/28</f>
        <v>#N/A</v>
      </c>
      <c r="F299" s="1598" t="e">
        <f>F288*$E$74%*$I$299*44/28</f>
        <v>#N/A</v>
      </c>
      <c r="G299" s="1598" t="e">
        <f>G288*$E$74%*$I$299*44/28</f>
        <v>#N/A</v>
      </c>
      <c r="H299" s="1598" t="e">
        <f>H288*$E$74%*$I$299*44/28</f>
        <v>#N/A</v>
      </c>
      <c r="I299" s="1592">
        <v>0</v>
      </c>
      <c r="J299" s="1570"/>
    </row>
    <row r="300" spans="2:10" ht="15.75" hidden="1" x14ac:dyDescent="0.25">
      <c r="B300" s="1569"/>
      <c r="C300" s="1574"/>
      <c r="D300" s="1598"/>
      <c r="E300" s="1598"/>
      <c r="F300" s="1598"/>
      <c r="G300" s="1598"/>
      <c r="H300" s="1598"/>
      <c r="I300" s="1569"/>
      <c r="J300" s="1570"/>
    </row>
    <row r="301" spans="2:10" ht="15.75" hidden="1" x14ac:dyDescent="0.25">
      <c r="B301" s="1592" t="s">
        <v>1609</v>
      </c>
      <c r="C301" s="1574" t="s">
        <v>472</v>
      </c>
      <c r="D301" s="1598" t="e">
        <f>D288*($F$73%+$G$73%)*$I$301*44/28</f>
        <v>#DIV/0!</v>
      </c>
      <c r="E301" s="1598" t="e">
        <f>E288*($F$74%+$G$74%)*$I$301*44/28</f>
        <v>#N/A</v>
      </c>
      <c r="F301" s="1598" t="e">
        <f>F288*($F$74%+$G$74%)*$I$301*44/28</f>
        <v>#N/A</v>
      </c>
      <c r="G301" s="1598" t="e">
        <f>G288*($F$74%+$G$74%)*$I$301*44/28</f>
        <v>#N/A</v>
      </c>
      <c r="H301" s="1598" t="e">
        <f>H288*($F$74%+$G$74%)*$I$301*44/28</f>
        <v>#N/A</v>
      </c>
      <c r="I301" s="1574">
        <v>0.02</v>
      </c>
      <c r="J301" s="1570"/>
    </row>
    <row r="302" spans="2:10" ht="15.75" hidden="1" x14ac:dyDescent="0.25">
      <c r="B302" s="1569"/>
      <c r="C302" s="1574"/>
      <c r="D302" s="1598"/>
      <c r="E302" s="1598"/>
      <c r="F302" s="1598"/>
      <c r="G302" s="1598"/>
      <c r="H302" s="1598"/>
      <c r="I302" s="1569"/>
      <c r="J302" s="1570"/>
    </row>
    <row r="303" spans="2:10" ht="15.75" hidden="1" x14ac:dyDescent="0.25">
      <c r="B303" s="1592" t="s">
        <v>1610</v>
      </c>
      <c r="C303" s="1574" t="s">
        <v>472</v>
      </c>
      <c r="D303" s="1598" t="e">
        <f>D288*$H$73%*$I$303*44/28</f>
        <v>#DIV/0!</v>
      </c>
      <c r="E303" s="1598" t="e">
        <f>E288*$H$74%*$I$303*44/28</f>
        <v>#N/A</v>
      </c>
      <c r="F303" s="1598" t="e">
        <f>F288*$H$74%*$I$303*44/28</f>
        <v>#N/A</v>
      </c>
      <c r="G303" s="1598" t="e">
        <f>G288*$H$74%*$I$303*44/28</f>
        <v>#N/A</v>
      </c>
      <c r="H303" s="1598" t="e">
        <f>H288*$H$74%*$I$303*44/28</f>
        <v>#N/A</v>
      </c>
      <c r="I303" s="1574">
        <v>1E-3</v>
      </c>
      <c r="J303" s="1570"/>
    </row>
    <row r="304" spans="2:10" ht="15.75" hidden="1" x14ac:dyDescent="0.25">
      <c r="B304" s="1569"/>
      <c r="C304" s="1574"/>
      <c r="D304" s="1598"/>
      <c r="E304" s="1598"/>
      <c r="F304" s="1598"/>
      <c r="G304" s="1598"/>
      <c r="H304" s="1598"/>
      <c r="I304" s="1569"/>
      <c r="J304" s="1570"/>
    </row>
    <row r="305" spans="2:13" ht="15.75" hidden="1" x14ac:dyDescent="0.25">
      <c r="B305" s="1592" t="s">
        <v>334</v>
      </c>
      <c r="C305" s="1574" t="s">
        <v>472</v>
      </c>
      <c r="D305" s="1598" t="e">
        <f>D288*$I$73%*$I$305*44/28</f>
        <v>#DIV/0!</v>
      </c>
      <c r="E305" s="1598" t="e">
        <f>E288*$I$74%*$I$305*44/28</f>
        <v>#N/A</v>
      </c>
      <c r="F305" s="1598" t="e">
        <f>F288*$I$74%*$I$305*44/28</f>
        <v>#N/A</v>
      </c>
      <c r="G305" s="1598" t="e">
        <f>G288*$I$74%*$I$305*44/28</f>
        <v>#N/A</v>
      </c>
      <c r="H305" s="1598" t="e">
        <f>H288*$I$74%*$I$305*44/28</f>
        <v>#N/A</v>
      </c>
      <c r="I305" s="1592">
        <v>0</v>
      </c>
      <c r="J305" s="1570"/>
    </row>
    <row r="306" spans="2:13" ht="15.75" hidden="1" x14ac:dyDescent="0.25">
      <c r="B306" s="1569"/>
      <c r="C306" s="1569"/>
      <c r="D306" s="1598"/>
      <c r="E306" s="1598"/>
      <c r="F306" s="1598"/>
      <c r="G306" s="1598"/>
      <c r="H306" s="1598"/>
      <c r="I306" s="1569"/>
      <c r="J306" s="1570"/>
    </row>
    <row r="307" spans="2:13" ht="15.75" hidden="1" x14ac:dyDescent="0.25">
      <c r="B307" s="1571" t="s">
        <v>1611</v>
      </c>
      <c r="C307" s="1574" t="s">
        <v>472</v>
      </c>
      <c r="D307" s="1598" t="e">
        <f>SUM(D295,D297,D299,D301,D303,D305)</f>
        <v>#DIV/0!</v>
      </c>
      <c r="E307" s="1598" t="e">
        <f>SUM(E295,E297,E299,E301,E303,E305)</f>
        <v>#N/A</v>
      </c>
      <c r="F307" s="1598" t="e">
        <f>SUM(F295,F297,F299,F301,F303,F305)</f>
        <v>#N/A</v>
      </c>
      <c r="G307" s="1598" t="e">
        <f>SUM(G295,G297,G299,G301,G303,G305)</f>
        <v>#N/A</v>
      </c>
      <c r="H307" s="1598" t="e">
        <f>SUM(H295,H297,H299,H301,H303,H305)</f>
        <v>#N/A</v>
      </c>
      <c r="I307" s="1569" t="s">
        <v>477</v>
      </c>
      <c r="J307" s="1570"/>
    </row>
    <row r="308" spans="2:13" ht="15.75" hidden="1" x14ac:dyDescent="0.25">
      <c r="B308" s="1569"/>
      <c r="C308" s="1569"/>
      <c r="D308" s="1569"/>
      <c r="E308" s="1569"/>
      <c r="F308" s="1569"/>
      <c r="G308" s="1569"/>
      <c r="H308" s="1569"/>
      <c r="I308" s="1569"/>
      <c r="J308" s="1570"/>
    </row>
    <row r="309" spans="2:13" ht="15.75" hidden="1" x14ac:dyDescent="0.25">
      <c r="B309" s="1569" t="s">
        <v>1612</v>
      </c>
      <c r="C309" s="1574" t="s">
        <v>472</v>
      </c>
      <c r="D309" s="1598" t="e">
        <f>SUM(D295,D297,D299,D301,D303)</f>
        <v>#DIV/0!</v>
      </c>
      <c r="E309" s="1598" t="e">
        <f>SUM(E295,E297,E299,E301,E303)</f>
        <v>#N/A</v>
      </c>
      <c r="F309" s="1598" t="e">
        <f>SUM(F295,F297,F299,F301,F303)</f>
        <v>#N/A</v>
      </c>
      <c r="G309" s="1598" t="e">
        <f>SUM(G295,G297,G299,G301,G303)</f>
        <v>#N/A</v>
      </c>
      <c r="H309" s="1598" t="e">
        <f>SUM(H295,H297,H299,H301,H303)</f>
        <v>#N/A</v>
      </c>
      <c r="I309" s="1569" t="s">
        <v>477</v>
      </c>
      <c r="J309" s="1570"/>
    </row>
    <row r="310" spans="2:13" ht="15.75" hidden="1" x14ac:dyDescent="0.25">
      <c r="B310" s="1569"/>
      <c r="C310" s="1574"/>
      <c r="D310" s="1569"/>
      <c r="E310" s="1569"/>
      <c r="F310" s="1569"/>
      <c r="G310" s="1569"/>
      <c r="H310" s="1569"/>
      <c r="I310" s="1569"/>
      <c r="J310" s="1570"/>
    </row>
    <row r="311" spans="2:13" ht="15.75" hidden="1" x14ac:dyDescent="0.25">
      <c r="B311" s="1571" t="s">
        <v>300</v>
      </c>
      <c r="C311" s="1598" t="e">
        <f>SUM(D307:H307)</f>
        <v>#DIV/0!</v>
      </c>
      <c r="D311" s="1569"/>
      <c r="E311" s="1569"/>
      <c r="F311" s="1569"/>
      <c r="G311" s="1569"/>
      <c r="H311" s="1569"/>
      <c r="I311" s="1595" t="s">
        <v>336</v>
      </c>
      <c r="J311" s="1570"/>
    </row>
    <row r="312" spans="2:13" ht="15.75" hidden="1" x14ac:dyDescent="0.25">
      <c r="B312" s="1571" t="s">
        <v>300</v>
      </c>
      <c r="C312" s="1599" t="e">
        <f>C311*310</f>
        <v>#DIV/0!</v>
      </c>
      <c r="D312" s="1569"/>
      <c r="E312" s="1569"/>
      <c r="F312" s="1569"/>
      <c r="G312" s="1569"/>
      <c r="H312" s="1569"/>
      <c r="I312" s="1569" t="s">
        <v>302</v>
      </c>
      <c r="J312" s="1570"/>
    </row>
    <row r="313" spans="2:13" ht="15.75" hidden="1" x14ac:dyDescent="0.25">
      <c r="B313" s="1908" t="s">
        <v>300</v>
      </c>
      <c r="C313" s="1909" t="e">
        <f>C312*10^3</f>
        <v>#DIV/0!</v>
      </c>
      <c r="D313" s="1910"/>
      <c r="E313" s="1910"/>
      <c r="F313" s="1910"/>
      <c r="G313" s="1910"/>
      <c r="H313" s="1910"/>
      <c r="I313" s="1910" t="s">
        <v>303</v>
      </c>
      <c r="J313" s="1911"/>
    </row>
    <row r="314" spans="2:13" ht="15.75" hidden="1" x14ac:dyDescent="0.25">
      <c r="L314" s="1565"/>
      <c r="M314" s="1565"/>
    </row>
    <row r="315" spans="2:13" ht="31.5" hidden="1" x14ac:dyDescent="0.25">
      <c r="B315" s="1600" t="s">
        <v>282</v>
      </c>
      <c r="C315" s="1601"/>
      <c r="D315" s="1602"/>
      <c r="E315" s="1602"/>
      <c r="F315" s="1602"/>
      <c r="G315" s="1602"/>
      <c r="H315" s="1602"/>
      <c r="I315" s="1603" t="s">
        <v>252</v>
      </c>
      <c r="J315" s="1604" t="s">
        <v>267</v>
      </c>
      <c r="K315" s="1605"/>
      <c r="L315" s="1565"/>
      <c r="M315" s="1565"/>
    </row>
    <row r="316" spans="2:13" ht="15.75" hidden="1" x14ac:dyDescent="0.25">
      <c r="B316" s="1606" t="s">
        <v>340</v>
      </c>
      <c r="C316" s="1607"/>
      <c r="D316" s="1607"/>
      <c r="E316" s="1607"/>
      <c r="F316" s="1607"/>
      <c r="G316" s="1607"/>
      <c r="H316" s="1607"/>
      <c r="I316" s="1607"/>
      <c r="J316" s="1608"/>
      <c r="K316" s="1605"/>
      <c r="L316" s="1565"/>
      <c r="M316" s="1565"/>
    </row>
    <row r="317" spans="2:13" ht="15.75" hidden="1" x14ac:dyDescent="0.25">
      <c r="B317" s="1606" t="s">
        <v>898</v>
      </c>
      <c r="C317" s="1606" t="s">
        <v>341</v>
      </c>
      <c r="D317" s="1607"/>
      <c r="E317" s="1607"/>
      <c r="F317" s="1607"/>
      <c r="G317" s="1607"/>
      <c r="H317" s="1607"/>
      <c r="I317" s="1607"/>
      <c r="J317" s="1608" t="s">
        <v>342</v>
      </c>
      <c r="K317" s="1605"/>
      <c r="L317" s="1565"/>
      <c r="M317" s="1565"/>
    </row>
    <row r="318" spans="2:13" ht="15.75" hidden="1" x14ac:dyDescent="0.25">
      <c r="B318" s="1607"/>
      <c r="C318" s="1607" t="s">
        <v>343</v>
      </c>
      <c r="D318" s="1607"/>
      <c r="E318" s="1607"/>
      <c r="F318" s="1607"/>
      <c r="G318" s="1607"/>
      <c r="H318" s="1607"/>
      <c r="I318" s="1607" t="s">
        <v>344</v>
      </c>
      <c r="J318" s="1608"/>
      <c r="K318" s="1605"/>
      <c r="L318" s="1565"/>
      <c r="M318" s="1565"/>
    </row>
    <row r="319" spans="2:13" ht="15.75" hidden="1" x14ac:dyDescent="0.25">
      <c r="B319" s="1607"/>
      <c r="C319" s="1607" t="s">
        <v>345</v>
      </c>
      <c r="D319" s="1607"/>
      <c r="E319" s="1607"/>
      <c r="F319" s="1607"/>
      <c r="G319" s="1607"/>
      <c r="H319" s="1607"/>
      <c r="I319" s="1607"/>
      <c r="J319" s="1608" t="s">
        <v>346</v>
      </c>
      <c r="K319" s="1605"/>
      <c r="L319" s="1565"/>
      <c r="M319" s="1565"/>
    </row>
    <row r="320" spans="2:13" ht="15.75" hidden="1" x14ac:dyDescent="0.25">
      <c r="B320" s="1607"/>
      <c r="C320" s="1607"/>
      <c r="D320" s="1607"/>
      <c r="E320" s="1607"/>
      <c r="F320" s="1607"/>
      <c r="G320" s="1607"/>
      <c r="H320" s="1607"/>
      <c r="I320" s="1607"/>
      <c r="J320" s="1608"/>
      <c r="K320" s="1605"/>
      <c r="L320" s="1565"/>
      <c r="M320" s="1565"/>
    </row>
    <row r="321" spans="2:13" ht="15.75" hidden="1" x14ac:dyDescent="0.25">
      <c r="B321" s="1609" t="s">
        <v>339</v>
      </c>
      <c r="C321" s="1610"/>
      <c r="D321" s="1622">
        <f>IF($T$177="1",($C$45*G45*10^-6),(G45*10^-3))</f>
        <v>0</v>
      </c>
      <c r="E321" s="1607"/>
      <c r="F321" s="1607"/>
      <c r="G321" s="1607"/>
      <c r="H321" s="1607"/>
      <c r="I321" s="1607" t="s">
        <v>952</v>
      </c>
      <c r="J321" s="1608"/>
      <c r="K321" s="1605"/>
      <c r="L321" s="1565"/>
      <c r="M321" s="1565"/>
    </row>
    <row r="322" spans="2:13" ht="15.75" hidden="1" x14ac:dyDescent="0.25">
      <c r="B322" s="1609" t="s">
        <v>951</v>
      </c>
      <c r="C322" s="1610"/>
      <c r="D322" s="1622">
        <f>IF($T$177="1",($C$46*G46)*10^-6,(G46*10^-3))</f>
        <v>0</v>
      </c>
      <c r="E322" s="1607"/>
      <c r="F322" s="1607"/>
      <c r="G322" s="1607"/>
      <c r="H322" s="1607"/>
      <c r="I322" s="1607" t="s">
        <v>952</v>
      </c>
      <c r="J322" s="1608"/>
      <c r="K322" s="1565"/>
      <c r="L322" s="1565"/>
      <c r="M322" s="1565"/>
    </row>
    <row r="323" spans="2:13" ht="15.75" hidden="1" x14ac:dyDescent="0.25">
      <c r="B323" s="1607"/>
      <c r="C323" s="1607"/>
      <c r="D323" s="1622"/>
      <c r="E323" s="1607"/>
      <c r="F323" s="1607"/>
      <c r="G323" s="1607"/>
      <c r="H323" s="1607"/>
      <c r="I323" s="1607"/>
      <c r="J323" s="1608"/>
      <c r="K323" s="1565"/>
      <c r="L323" s="1565"/>
      <c r="M323" s="1565"/>
    </row>
    <row r="324" spans="2:13" ht="15.75" hidden="1" x14ac:dyDescent="0.25">
      <c r="B324" s="1606" t="s">
        <v>347</v>
      </c>
      <c r="C324" s="1606" t="s">
        <v>348</v>
      </c>
      <c r="D324" s="1607"/>
      <c r="E324" s="1607"/>
      <c r="F324" s="1607"/>
      <c r="G324" s="1607"/>
      <c r="H324" s="1607"/>
      <c r="I324" s="1607" t="s">
        <v>953</v>
      </c>
      <c r="J324" s="1608" t="s">
        <v>350</v>
      </c>
      <c r="K324" s="1565"/>
      <c r="L324" s="1565"/>
      <c r="M324" s="1565"/>
    </row>
    <row r="325" spans="2:13" ht="15.75" hidden="1" x14ac:dyDescent="0.25">
      <c r="B325" s="1607"/>
      <c r="C325" s="1607" t="s">
        <v>351</v>
      </c>
      <c r="D325" s="1607"/>
      <c r="E325" s="1607"/>
      <c r="F325" s="1607"/>
      <c r="G325" s="1607"/>
      <c r="H325" s="1607"/>
      <c r="I325" s="1607" t="s">
        <v>352</v>
      </c>
      <c r="J325" s="1608" t="s">
        <v>353</v>
      </c>
      <c r="K325" s="1565"/>
      <c r="L325" s="1565"/>
      <c r="M325" s="1565"/>
    </row>
    <row r="326" spans="2:13" ht="15.75" hidden="1" x14ac:dyDescent="0.25">
      <c r="B326" s="1607"/>
      <c r="C326" s="1607"/>
      <c r="D326" s="1607"/>
      <c r="E326" s="1607"/>
      <c r="F326" s="1607"/>
      <c r="G326" s="1607"/>
      <c r="H326" s="1607"/>
      <c r="I326" s="1607"/>
      <c r="J326" s="1608"/>
      <c r="K326" s="1565"/>
      <c r="L326" s="1565"/>
      <c r="M326" s="1565"/>
    </row>
    <row r="327" spans="2:13" ht="15.75" hidden="1" x14ac:dyDescent="0.25">
      <c r="B327" s="1710" t="s">
        <v>354</v>
      </c>
      <c r="C327" s="1711" t="s">
        <v>355</v>
      </c>
      <c r="D327" s="1607"/>
      <c r="E327" s="1612" t="s">
        <v>339</v>
      </c>
      <c r="F327" s="1607"/>
      <c r="G327" s="1622">
        <f>D321*$C$330*44/28</f>
        <v>0</v>
      </c>
      <c r="H327" s="1712"/>
      <c r="I327" s="1607" t="s">
        <v>953</v>
      </c>
      <c r="J327" s="1608"/>
      <c r="K327" s="1565"/>
      <c r="L327" s="1565"/>
      <c r="M327" s="1565"/>
    </row>
    <row r="328" spans="2:13" ht="15.75" hidden="1" x14ac:dyDescent="0.25">
      <c r="B328" s="1713" t="s">
        <v>356</v>
      </c>
      <c r="C328" s="1714">
        <v>4.0000000000000001E-3</v>
      </c>
      <c r="D328" s="1607"/>
      <c r="E328" s="1612" t="s">
        <v>338</v>
      </c>
      <c r="F328" s="1607"/>
      <c r="G328" s="1622">
        <f>D322*$C$331*44/28</f>
        <v>0</v>
      </c>
      <c r="H328" s="1712"/>
      <c r="I328" s="1607" t="s">
        <v>953</v>
      </c>
      <c r="J328" s="1608"/>
      <c r="K328" s="1565"/>
      <c r="L328" s="1565"/>
      <c r="M328" s="1565"/>
    </row>
    <row r="329" spans="2:13" ht="15.75" hidden="1" x14ac:dyDescent="0.25">
      <c r="B329" s="1713" t="s">
        <v>357</v>
      </c>
      <c r="C329" s="1714">
        <v>2.1000000000000001E-2</v>
      </c>
      <c r="D329" s="1607"/>
      <c r="E329" s="1609"/>
      <c r="F329" s="1607"/>
      <c r="G329" s="1611"/>
      <c r="H329" s="1712"/>
      <c r="I329" s="1607"/>
      <c r="J329" s="1608"/>
      <c r="K329" s="1565"/>
      <c r="L329" s="1565"/>
      <c r="M329" s="1565"/>
    </row>
    <row r="330" spans="2:13" ht="15.75" hidden="1" x14ac:dyDescent="0.25">
      <c r="B330" s="1715" t="s">
        <v>358</v>
      </c>
      <c r="C330" s="1716">
        <v>4.0000000000000001E-3</v>
      </c>
      <c r="D330" s="1607"/>
      <c r="E330" s="1609"/>
      <c r="F330" s="1607"/>
      <c r="G330" s="1611"/>
      <c r="H330" s="1712"/>
      <c r="I330" s="1607"/>
      <c r="J330" s="1608"/>
      <c r="K330" s="1565"/>
      <c r="L330" s="1565"/>
      <c r="M330" s="1565"/>
    </row>
    <row r="331" spans="2:13" ht="15.75" hidden="1" x14ac:dyDescent="0.25">
      <c r="B331" s="1715" t="s">
        <v>359</v>
      </c>
      <c r="C331" s="1716">
        <v>3.0000000000000001E-3</v>
      </c>
      <c r="D331" s="1607"/>
      <c r="E331" s="1607"/>
      <c r="F331" s="1607"/>
      <c r="G331" s="1611"/>
      <c r="H331" s="1712"/>
      <c r="I331" s="1607"/>
      <c r="J331" s="1608"/>
      <c r="K331" s="1565"/>
      <c r="L331" s="1565"/>
      <c r="M331" s="1565"/>
    </row>
    <row r="332" spans="2:13" ht="15.75" hidden="1" x14ac:dyDescent="0.25">
      <c r="B332" s="1713" t="s">
        <v>360</v>
      </c>
      <c r="C332" s="1714">
        <v>1.2500000000000001E-2</v>
      </c>
      <c r="D332" s="1607"/>
      <c r="E332" s="1607"/>
      <c r="F332" s="1607"/>
      <c r="G332" s="1611"/>
      <c r="H332" s="1607"/>
      <c r="I332" s="1607"/>
      <c r="J332" s="1608"/>
      <c r="K332" s="1565"/>
      <c r="L332" s="1565"/>
      <c r="M332" s="1565"/>
    </row>
    <row r="333" spans="2:13" ht="15.75" hidden="1" x14ac:dyDescent="0.25">
      <c r="B333" s="1713" t="s">
        <v>361</v>
      </c>
      <c r="C333" s="1714">
        <v>5.0000000000000001E-3</v>
      </c>
      <c r="D333" s="1607"/>
      <c r="E333" s="1612"/>
      <c r="F333" s="1607"/>
      <c r="G333" s="1613"/>
      <c r="H333" s="1717"/>
      <c r="I333" s="1607"/>
      <c r="J333" s="1608"/>
      <c r="K333" s="1565"/>
      <c r="L333" s="1565"/>
      <c r="M333" s="1565"/>
    </row>
    <row r="334" spans="2:13" ht="15.75" hidden="1" x14ac:dyDescent="0.25">
      <c r="B334" s="1718" t="s">
        <v>362</v>
      </c>
      <c r="C334" s="1719">
        <v>2.1000000000000001E-2</v>
      </c>
      <c r="D334" s="1607"/>
      <c r="E334" s="1609"/>
      <c r="F334" s="1607"/>
      <c r="G334" s="1613"/>
      <c r="H334" s="1717"/>
      <c r="I334" s="1607"/>
      <c r="J334" s="1608"/>
      <c r="K334" s="1565"/>
      <c r="L334" s="1565"/>
      <c r="M334" s="1565"/>
    </row>
    <row r="335" spans="2:13" ht="15.75" hidden="1" x14ac:dyDescent="0.25">
      <c r="B335" s="1607"/>
      <c r="C335" s="1607"/>
      <c r="D335" s="1607"/>
      <c r="E335" s="1609"/>
      <c r="F335" s="1607"/>
      <c r="G335" s="1613"/>
      <c r="H335" s="1717"/>
      <c r="I335" s="1607"/>
      <c r="J335" s="1608"/>
      <c r="K335" s="1565"/>
      <c r="L335" s="1565"/>
      <c r="M335" s="1565"/>
    </row>
    <row r="336" spans="2:13" ht="15.75" hidden="1" x14ac:dyDescent="0.25">
      <c r="B336" s="1607"/>
      <c r="C336" s="1607"/>
      <c r="D336" s="1607"/>
      <c r="E336" s="1609"/>
      <c r="F336" s="1607"/>
      <c r="G336" s="1613"/>
      <c r="H336" s="1717"/>
      <c r="I336" s="1607"/>
      <c r="J336" s="1608"/>
      <c r="K336" s="1565"/>
      <c r="L336" s="1565"/>
      <c r="M336" s="1565"/>
    </row>
    <row r="337" spans="2:20" ht="15.75" hidden="1" x14ac:dyDescent="0.25">
      <c r="B337" s="1607"/>
      <c r="C337" s="1607"/>
      <c r="D337" s="1607"/>
      <c r="E337" s="1607"/>
      <c r="F337" s="1607"/>
      <c r="G337" s="1611"/>
      <c r="H337" s="1720"/>
      <c r="I337" s="1607"/>
      <c r="J337" s="1608"/>
      <c r="K337" s="1565"/>
      <c r="L337" s="1565"/>
      <c r="M337" s="1565"/>
    </row>
    <row r="338" spans="2:20" ht="15.75" hidden="1" x14ac:dyDescent="0.25">
      <c r="B338" s="1607"/>
      <c r="C338" s="1607"/>
      <c r="D338" s="1607"/>
      <c r="E338" s="1607"/>
      <c r="F338" s="1607"/>
      <c r="G338" s="1607"/>
      <c r="H338" s="1607"/>
      <c r="I338" s="1607"/>
      <c r="J338" s="1608"/>
      <c r="K338" s="1565"/>
      <c r="L338" s="1565"/>
      <c r="M338" s="1565"/>
    </row>
    <row r="339" spans="2:20" ht="15.75" hidden="1" x14ac:dyDescent="0.25">
      <c r="B339" s="1606" t="s">
        <v>363</v>
      </c>
      <c r="C339" s="1626">
        <f>SUM(G327:G328)</f>
        <v>0</v>
      </c>
      <c r="D339" s="1607"/>
      <c r="E339" s="1607"/>
      <c r="F339" s="1607"/>
      <c r="G339" s="1607"/>
      <c r="H339" s="1607"/>
      <c r="I339" s="1607" t="s">
        <v>336</v>
      </c>
      <c r="J339" s="1608"/>
      <c r="K339" s="1565"/>
      <c r="L339" s="1565"/>
      <c r="M339" s="1565"/>
    </row>
    <row r="340" spans="2:20" ht="15.75" hidden="1" x14ac:dyDescent="0.25">
      <c r="B340" s="1606" t="s">
        <v>363</v>
      </c>
      <c r="C340" s="1659">
        <f>C339*310</f>
        <v>0</v>
      </c>
      <c r="D340" s="1607"/>
      <c r="E340" s="1607"/>
      <c r="F340" s="1607"/>
      <c r="G340" s="1607"/>
      <c r="H340" s="1607"/>
      <c r="I340" s="1607" t="s">
        <v>302</v>
      </c>
      <c r="J340" s="1608"/>
      <c r="K340" s="1565"/>
      <c r="L340" s="1565"/>
      <c r="M340" s="1565"/>
    </row>
    <row r="341" spans="2:20" ht="15.75" hidden="1" x14ac:dyDescent="0.25">
      <c r="B341" s="1606" t="s">
        <v>363</v>
      </c>
      <c r="C341" s="1614">
        <f>C340*10^3</f>
        <v>0</v>
      </c>
      <c r="D341" s="1607"/>
      <c r="E341" s="1609"/>
      <c r="F341" s="1609"/>
      <c r="G341" s="1609"/>
      <c r="H341" s="1609"/>
      <c r="I341" s="1607" t="s">
        <v>303</v>
      </c>
      <c r="J341" s="1608"/>
      <c r="K341" s="1565"/>
      <c r="L341" s="1565"/>
      <c r="M341" s="1565"/>
    </row>
    <row r="342" spans="2:20" ht="15.75" hidden="1" x14ac:dyDescent="0.25">
      <c r="B342" s="1607"/>
      <c r="C342" s="1607"/>
      <c r="D342" s="1607"/>
      <c r="E342" s="1609"/>
      <c r="F342" s="1609"/>
      <c r="G342" s="1609"/>
      <c r="H342" s="1609"/>
      <c r="I342" s="1609"/>
      <c r="J342" s="1608"/>
      <c r="K342" s="1565"/>
      <c r="L342" s="1565"/>
      <c r="M342" s="1565"/>
    </row>
    <row r="343" spans="2:20" ht="15.75" hidden="1" x14ac:dyDescent="0.25">
      <c r="B343" s="1606" t="s">
        <v>364</v>
      </c>
      <c r="C343" s="1607"/>
      <c r="D343" s="1607"/>
      <c r="E343" s="1609"/>
      <c r="F343" s="1609"/>
      <c r="G343" s="1615"/>
      <c r="H343" s="1615"/>
      <c r="I343" s="1609"/>
      <c r="J343" s="1608"/>
      <c r="K343" s="1565"/>
      <c r="L343" s="1565"/>
      <c r="M343" s="1565"/>
    </row>
    <row r="344" spans="2:20" ht="15.75" hidden="1" x14ac:dyDescent="0.25">
      <c r="B344" s="1606" t="s">
        <v>365</v>
      </c>
      <c r="C344" s="1606" t="s">
        <v>1613</v>
      </c>
      <c r="D344" s="1607"/>
      <c r="E344" s="1609"/>
      <c r="F344" s="1609"/>
      <c r="G344" s="1609"/>
      <c r="H344" s="1609"/>
      <c r="I344" s="1609"/>
      <c r="J344" s="1608" t="s">
        <v>366</v>
      </c>
      <c r="K344" s="1565"/>
      <c r="L344" s="1565"/>
      <c r="M344" s="1565"/>
    </row>
    <row r="345" spans="2:20" ht="15.75" hidden="1" x14ac:dyDescent="0.25">
      <c r="B345" s="1609"/>
      <c r="C345" s="1609" t="s">
        <v>367</v>
      </c>
      <c r="D345" s="1609"/>
      <c r="E345" s="1609"/>
      <c r="F345" s="1609"/>
      <c r="G345" s="1609"/>
      <c r="H345" s="1609"/>
      <c r="I345" s="1609"/>
      <c r="J345" s="1608"/>
      <c r="K345" s="1565"/>
      <c r="L345" s="1565"/>
      <c r="M345" s="1565"/>
    </row>
    <row r="346" spans="2:20" ht="15.75" hidden="1" x14ac:dyDescent="0.25">
      <c r="B346" s="1609"/>
      <c r="C346" s="1607" t="s">
        <v>1614</v>
      </c>
      <c r="D346" s="1609"/>
      <c r="E346" s="1609"/>
      <c r="F346" s="1609"/>
      <c r="G346" s="1609"/>
      <c r="H346" s="1609"/>
      <c r="I346" s="1609"/>
      <c r="J346" s="1608"/>
      <c r="K346" s="1565"/>
      <c r="L346" s="1565"/>
      <c r="M346" s="1565"/>
    </row>
    <row r="347" spans="2:20" ht="15.75" hidden="1" x14ac:dyDescent="0.25">
      <c r="B347" s="1607"/>
      <c r="C347" s="1607" t="s">
        <v>1615</v>
      </c>
      <c r="D347" s="1609"/>
      <c r="E347" s="1616"/>
      <c r="F347" s="1607"/>
      <c r="G347" s="1607"/>
      <c r="H347" s="1607"/>
      <c r="I347" s="1607"/>
      <c r="J347" s="1608"/>
      <c r="K347" s="1565"/>
      <c r="L347" s="1565"/>
      <c r="M347" s="1565"/>
    </row>
    <row r="348" spans="2:20" ht="15.75" hidden="1" x14ac:dyDescent="0.25">
      <c r="B348" s="1607"/>
      <c r="C348" s="1609"/>
      <c r="D348" s="1609"/>
      <c r="E348" s="1616"/>
      <c r="F348" s="1607"/>
      <c r="G348" s="1607"/>
      <c r="H348" s="1607"/>
      <c r="I348" s="1607"/>
      <c r="J348" s="1608"/>
      <c r="K348" s="1565"/>
      <c r="L348" s="1565"/>
      <c r="M348" s="1565"/>
    </row>
    <row r="349" spans="2:20" ht="15.75" hidden="1" x14ac:dyDescent="0.25">
      <c r="B349" s="1607"/>
      <c r="C349" s="1607"/>
      <c r="D349" s="1617" t="str">
        <f>D16</f>
        <v>Milking Cows</v>
      </c>
      <c r="E349" s="1617" t="str">
        <f>E16</f>
        <v xml:space="preserve">Heifers &gt;1 </v>
      </c>
      <c r="F349" s="1617" t="str">
        <f>F16</f>
        <v xml:space="preserve">Heifers &lt;1 </v>
      </c>
      <c r="G349" s="1617" t="str">
        <f>G16</f>
        <v>Mature bulls</v>
      </c>
      <c r="H349" s="1617" t="str">
        <f>H16</f>
        <v>Immature bulls</v>
      </c>
      <c r="I349" s="1607"/>
      <c r="J349" s="1608"/>
      <c r="K349" s="1565"/>
      <c r="L349" s="1619"/>
      <c r="M349" s="1620"/>
      <c r="S349" s="1565"/>
      <c r="T349" s="1565"/>
    </row>
    <row r="350" spans="2:20" ht="15.75" hidden="1" x14ac:dyDescent="0.25">
      <c r="B350" s="1606" t="s">
        <v>1616</v>
      </c>
      <c r="C350" s="1610" t="s">
        <v>478</v>
      </c>
      <c r="D350" s="1622" t="e">
        <f>D288*SUM($C$73:$H$73)%</f>
        <v>#DIV/0!</v>
      </c>
      <c r="E350" s="1622" t="e">
        <f>E288*SUM($C$74:$H$74)%</f>
        <v>#N/A</v>
      </c>
      <c r="F350" s="1622" t="e">
        <f>F288*SUM($C$74:$H$74)%</f>
        <v>#N/A</v>
      </c>
      <c r="G350" s="1622" t="e">
        <f>G288*SUM($C$74:$H$74)%</f>
        <v>#N/A</v>
      </c>
      <c r="H350" s="1622" t="e">
        <f>H288*SUM($C$74:$H$74)%</f>
        <v>#N/A</v>
      </c>
      <c r="I350" s="1607"/>
      <c r="J350" s="1608"/>
      <c r="K350" s="1564"/>
      <c r="L350" s="1619"/>
      <c r="M350" s="1621"/>
      <c r="S350" s="1565"/>
      <c r="T350" s="1565"/>
    </row>
    <row r="351" spans="2:20" ht="15.75" hidden="1" x14ac:dyDescent="0.25">
      <c r="B351" s="1607"/>
      <c r="C351" s="1607"/>
      <c r="D351" s="1622"/>
      <c r="E351" s="1622"/>
      <c r="F351" s="1622"/>
      <c r="G351" s="1622"/>
      <c r="H351" s="1622"/>
      <c r="I351" s="1618"/>
      <c r="J351" s="1608"/>
      <c r="K351" s="1564"/>
      <c r="L351" s="1564"/>
      <c r="M351" s="1621"/>
      <c r="S351" s="1565"/>
      <c r="T351" s="1565"/>
    </row>
    <row r="352" spans="2:20" ht="15.75" hidden="1" x14ac:dyDescent="0.25">
      <c r="B352" s="1606" t="s">
        <v>1617</v>
      </c>
      <c r="C352" s="1610" t="s">
        <v>478</v>
      </c>
      <c r="D352" s="1622" t="e">
        <f>D309/(44/28)</f>
        <v>#DIV/0!</v>
      </c>
      <c r="E352" s="1622" t="e">
        <f>E309/(44/28)</f>
        <v>#N/A</v>
      </c>
      <c r="F352" s="1622" t="e">
        <f>F309/(44/28)</f>
        <v>#N/A</v>
      </c>
      <c r="G352" s="1622" t="e">
        <f>G309/(44/28)</f>
        <v>#N/A</v>
      </c>
      <c r="H352" s="1622" t="e">
        <f>H309/(44/28)</f>
        <v>#N/A</v>
      </c>
      <c r="I352" s="1607"/>
      <c r="J352" s="1608"/>
      <c r="K352" s="1565"/>
      <c r="L352" s="1624"/>
      <c r="M352" s="1621"/>
      <c r="N352" s="1565"/>
      <c r="O352" s="1565"/>
      <c r="P352" s="1565"/>
      <c r="Q352" s="1565"/>
      <c r="R352" s="1565"/>
      <c r="S352" s="1565"/>
      <c r="T352" s="1565"/>
    </row>
    <row r="353" spans="2:20" ht="15.75" hidden="1" x14ac:dyDescent="0.25">
      <c r="B353" s="1607"/>
      <c r="C353" s="1607"/>
      <c r="D353" s="1622"/>
      <c r="E353" s="1622"/>
      <c r="F353" s="1622"/>
      <c r="G353" s="1622"/>
      <c r="H353" s="1622"/>
      <c r="I353" s="1607"/>
      <c r="J353" s="1623"/>
      <c r="K353" s="1565"/>
      <c r="L353" s="1624"/>
      <c r="M353" s="1621"/>
      <c r="N353" s="1565"/>
      <c r="O353" s="1565"/>
      <c r="P353" s="1565"/>
      <c r="Q353" s="1565"/>
      <c r="R353" s="1565"/>
      <c r="S353" s="1565"/>
      <c r="T353" s="1565"/>
    </row>
    <row r="354" spans="2:20" ht="15.75" hidden="1" x14ac:dyDescent="0.25">
      <c r="B354" s="1606" t="s">
        <v>1618</v>
      </c>
      <c r="C354" s="1610" t="s">
        <v>478</v>
      </c>
      <c r="D354" s="1793" t="e">
        <f>SUM(N430:S430)</f>
        <v>#DIV/0!</v>
      </c>
      <c r="E354" s="1793" t="e">
        <f>SUM(N432:S432)</f>
        <v>#N/A</v>
      </c>
      <c r="F354" s="1793" t="e">
        <f>SUM(N434:S434)</f>
        <v>#N/A</v>
      </c>
      <c r="G354" s="1793" t="e">
        <f>SUM(N436:S436)</f>
        <v>#N/A</v>
      </c>
      <c r="H354" s="1793" t="e">
        <f>SUM(N438:S438)</f>
        <v>#N/A</v>
      </c>
      <c r="I354" s="1607"/>
      <c r="J354" s="1623"/>
      <c r="K354" s="1565"/>
      <c r="L354" s="1624"/>
      <c r="M354" s="1624"/>
      <c r="N354" s="1565"/>
      <c r="O354" s="1565"/>
      <c r="P354" s="1565"/>
      <c r="Q354" s="1565"/>
      <c r="R354" s="1565"/>
      <c r="S354" s="1565"/>
      <c r="T354" s="1565"/>
    </row>
    <row r="355" spans="2:20" ht="15.75" hidden="1" x14ac:dyDescent="0.25">
      <c r="B355" s="1607"/>
      <c r="C355" s="1610"/>
      <c r="D355" s="1622"/>
      <c r="E355" s="1802"/>
      <c r="F355" s="1802"/>
      <c r="G355" s="1802"/>
      <c r="H355" s="1802"/>
      <c r="I355" s="1607"/>
      <c r="J355" s="1623"/>
      <c r="K355" s="1565"/>
      <c r="L355" s="1624"/>
      <c r="M355" s="1624"/>
      <c r="N355" s="1565"/>
      <c r="O355" s="1565"/>
      <c r="P355" s="1565"/>
      <c r="Q355" s="1565"/>
      <c r="R355" s="1565"/>
      <c r="S355" s="1565"/>
      <c r="T355" s="1565"/>
    </row>
    <row r="356" spans="2:20" ht="15.75" hidden="1" x14ac:dyDescent="0.25">
      <c r="B356" s="1606" t="s">
        <v>1619</v>
      </c>
      <c r="C356" s="1610" t="s">
        <v>478</v>
      </c>
      <c r="D356" s="1622" t="e">
        <f>D350-D352-D354</f>
        <v>#DIV/0!</v>
      </c>
      <c r="E356" s="1622" t="e">
        <f>E350-E352-E354</f>
        <v>#N/A</v>
      </c>
      <c r="F356" s="1622" t="e">
        <f>F350-F352-F354</f>
        <v>#N/A</v>
      </c>
      <c r="G356" s="1622" t="e">
        <f>G350-G352-G354</f>
        <v>#N/A</v>
      </c>
      <c r="H356" s="1622" t="e">
        <f>H350-H352-H354</f>
        <v>#N/A</v>
      </c>
      <c r="I356" s="1607"/>
      <c r="J356" s="1623"/>
      <c r="K356" s="1565"/>
      <c r="L356" s="1625"/>
      <c r="M356" s="1565"/>
      <c r="N356" s="1565"/>
      <c r="O356" s="1565"/>
      <c r="P356" s="1565"/>
      <c r="Q356" s="1565"/>
      <c r="R356" s="1565"/>
      <c r="S356" s="1565"/>
      <c r="T356" s="1565"/>
    </row>
    <row r="357" spans="2:20" ht="15.75" hidden="1" x14ac:dyDescent="0.25">
      <c r="B357" s="1607"/>
      <c r="C357" s="1607"/>
      <c r="D357" s="1607"/>
      <c r="E357" s="1607"/>
      <c r="F357" s="1607"/>
      <c r="G357" s="1607"/>
      <c r="H357" s="1607"/>
      <c r="I357" s="1607"/>
      <c r="J357" s="1623"/>
      <c r="K357" s="1564"/>
      <c r="L357" s="1621"/>
      <c r="M357" s="1565"/>
      <c r="N357" s="1565"/>
      <c r="O357" s="1565"/>
      <c r="P357" s="1565"/>
      <c r="Q357" s="1565"/>
      <c r="R357" s="1565"/>
      <c r="S357" s="1565"/>
      <c r="T357" s="1565"/>
    </row>
    <row r="358" spans="2:20" ht="15.75" hidden="1" x14ac:dyDescent="0.25">
      <c r="B358" s="1606" t="s">
        <v>368</v>
      </c>
      <c r="C358" s="1606" t="s">
        <v>369</v>
      </c>
      <c r="D358" s="1607"/>
      <c r="E358" s="1607"/>
      <c r="F358" s="1607"/>
      <c r="G358" s="1607"/>
      <c r="H358" s="1607"/>
      <c r="I358" s="1610"/>
      <c r="J358" s="1608" t="s">
        <v>370</v>
      </c>
      <c r="K358" s="1564"/>
      <c r="L358" s="1627"/>
      <c r="M358" s="1565"/>
      <c r="N358" s="1565"/>
      <c r="O358" s="1565"/>
      <c r="P358" s="1565"/>
      <c r="Q358" s="1565"/>
      <c r="R358" s="1565"/>
      <c r="S358" s="1565"/>
      <c r="T358" s="1565"/>
    </row>
    <row r="359" spans="2:20" ht="15.75" hidden="1" x14ac:dyDescent="0.25">
      <c r="B359" s="1607"/>
      <c r="C359" s="1607" t="s">
        <v>371</v>
      </c>
      <c r="D359" s="1626">
        <v>0.01</v>
      </c>
      <c r="E359" s="1607"/>
      <c r="F359" s="1607"/>
      <c r="G359" s="1607"/>
      <c r="H359" s="1607"/>
      <c r="I359" s="1607"/>
      <c r="J359" s="1623"/>
      <c r="K359" s="1564"/>
      <c r="L359" s="1625"/>
      <c r="M359" s="1565"/>
      <c r="N359" s="1565"/>
      <c r="O359" s="1565"/>
      <c r="P359" s="1565"/>
      <c r="Q359" s="1565"/>
      <c r="R359" s="1565"/>
      <c r="S359" s="1565"/>
      <c r="T359" s="1565"/>
    </row>
    <row r="360" spans="2:20" ht="15.75" hidden="1" x14ac:dyDescent="0.25">
      <c r="B360" s="1607"/>
      <c r="C360" s="1610" t="s">
        <v>478</v>
      </c>
      <c r="D360" s="1613" t="e">
        <f>D356*$D$359*44/28</f>
        <v>#DIV/0!</v>
      </c>
      <c r="E360" s="1613" t="e">
        <f>E356*$D$359*44/28</f>
        <v>#N/A</v>
      </c>
      <c r="F360" s="1613" t="e">
        <f>F356*$D$359*44/28</f>
        <v>#N/A</v>
      </c>
      <c r="G360" s="1613" t="e">
        <f>G356*$D$359*44/28</f>
        <v>#N/A</v>
      </c>
      <c r="H360" s="1613" t="e">
        <f>H356*$D$359*44/28</f>
        <v>#N/A</v>
      </c>
      <c r="I360" s="1610" t="s">
        <v>335</v>
      </c>
      <c r="J360" s="1623"/>
      <c r="K360" s="1564"/>
      <c r="L360" s="1564"/>
      <c r="M360" s="1564"/>
      <c r="N360" s="1565"/>
      <c r="O360" s="1565"/>
      <c r="P360" s="1565"/>
      <c r="Q360" s="1565"/>
      <c r="R360" s="1565"/>
      <c r="S360" s="1565"/>
      <c r="T360" s="1565"/>
    </row>
    <row r="361" spans="2:20" ht="15.75" hidden="1" x14ac:dyDescent="0.25">
      <c r="B361" s="1607"/>
      <c r="C361" s="1607"/>
      <c r="D361" s="1607"/>
      <c r="E361" s="1607"/>
      <c r="F361" s="1607"/>
      <c r="G361" s="1607"/>
      <c r="H361" s="1607"/>
      <c r="I361" s="1607"/>
      <c r="J361" s="1623"/>
      <c r="K361" s="1628"/>
      <c r="L361" s="1564"/>
      <c r="M361" s="1564"/>
      <c r="N361" s="1565"/>
      <c r="O361" s="1565"/>
      <c r="P361" s="1565"/>
      <c r="Q361" s="1565"/>
      <c r="R361" s="1565"/>
      <c r="S361" s="1565"/>
      <c r="T361" s="1565"/>
    </row>
    <row r="362" spans="2:20" ht="15.75" hidden="1" x14ac:dyDescent="0.25">
      <c r="B362" s="1606" t="s">
        <v>372</v>
      </c>
      <c r="C362" s="1606" t="s">
        <v>373</v>
      </c>
      <c r="D362" s="1607"/>
      <c r="E362" s="1607"/>
      <c r="F362" s="1607"/>
      <c r="G362" s="1607"/>
      <c r="H362" s="1607"/>
      <c r="I362" s="1607"/>
      <c r="J362" s="1608" t="s">
        <v>374</v>
      </c>
      <c r="K362" s="1628"/>
      <c r="L362" s="1565"/>
      <c r="M362" s="1565"/>
      <c r="N362" s="1565"/>
      <c r="O362" s="1565"/>
      <c r="P362" s="1565"/>
      <c r="Q362" s="1565"/>
      <c r="R362" s="1565"/>
      <c r="S362" s="1565"/>
      <c r="T362" s="1565"/>
    </row>
    <row r="363" spans="2:20" ht="15.75" hidden="1" x14ac:dyDescent="0.25">
      <c r="B363" s="1607"/>
      <c r="C363" s="1607" t="s">
        <v>375</v>
      </c>
      <c r="D363" s="1607"/>
      <c r="E363" s="1607"/>
      <c r="F363" s="1607"/>
      <c r="G363" s="1607"/>
      <c r="H363" s="1607"/>
      <c r="I363" s="1610" t="s">
        <v>344</v>
      </c>
      <c r="J363" s="1721" t="s">
        <v>376</v>
      </c>
      <c r="K363" s="1605"/>
      <c r="L363" s="1565"/>
      <c r="M363" s="1565"/>
      <c r="N363" s="1565"/>
      <c r="O363" s="1565"/>
      <c r="P363" s="1565"/>
      <c r="Q363" s="1565"/>
      <c r="R363" s="1565"/>
      <c r="S363" s="1565"/>
      <c r="T363" s="1565"/>
    </row>
    <row r="364" spans="2:20" ht="15.75" hidden="1" x14ac:dyDescent="0.25">
      <c r="B364" s="1607"/>
      <c r="C364" s="1607" t="s">
        <v>377</v>
      </c>
      <c r="D364" s="1607"/>
      <c r="E364" s="1607"/>
      <c r="F364" s="1607"/>
      <c r="G364" s="1607"/>
      <c r="H364" s="1607"/>
      <c r="I364" s="1610" t="s">
        <v>378</v>
      </c>
      <c r="J364" s="1608"/>
      <c r="K364" s="1605"/>
      <c r="L364" s="1565"/>
      <c r="M364" s="1565"/>
      <c r="N364" s="1565"/>
      <c r="O364" s="1565"/>
      <c r="P364" s="1565"/>
      <c r="Q364" s="1565"/>
      <c r="R364" s="1565"/>
      <c r="S364" s="1565"/>
      <c r="T364" s="1565"/>
    </row>
    <row r="365" spans="2:20" ht="15.75" hidden="1" x14ac:dyDescent="0.25">
      <c r="B365" s="1607"/>
      <c r="C365" s="1607" t="s">
        <v>379</v>
      </c>
      <c r="D365" s="1607"/>
      <c r="E365" s="1607"/>
      <c r="F365" s="1607"/>
      <c r="G365" s="1607"/>
      <c r="H365" s="1607"/>
      <c r="I365" s="1607" t="s">
        <v>380</v>
      </c>
      <c r="J365" s="1608"/>
      <c r="K365" s="1605"/>
      <c r="L365" s="1565"/>
      <c r="M365" s="1565"/>
      <c r="N365" s="1565"/>
      <c r="O365" s="1565"/>
      <c r="P365" s="1565"/>
      <c r="Q365" s="1565"/>
      <c r="R365" s="1565"/>
      <c r="S365" s="1565"/>
      <c r="T365" s="1565"/>
    </row>
    <row r="366" spans="2:20" ht="15.75" hidden="1" x14ac:dyDescent="0.25">
      <c r="B366" s="1607"/>
      <c r="C366" s="1607" t="s">
        <v>381</v>
      </c>
      <c r="D366" s="1607"/>
      <c r="E366" s="1607"/>
      <c r="F366" s="1607"/>
      <c r="G366" s="1607"/>
      <c r="H366" s="1607"/>
      <c r="I366" s="1607" t="s">
        <v>382</v>
      </c>
      <c r="J366" s="1608"/>
      <c r="K366" s="1605"/>
      <c r="L366" s="1565"/>
      <c r="M366" s="1565"/>
      <c r="N366" s="1565"/>
      <c r="O366" s="1565"/>
      <c r="P366" s="1565"/>
      <c r="Q366" s="1565"/>
      <c r="R366" s="1565"/>
      <c r="S366" s="1565"/>
      <c r="T366" s="1565"/>
    </row>
    <row r="367" spans="2:20" ht="15.75" hidden="1" x14ac:dyDescent="0.25">
      <c r="B367" s="1607"/>
      <c r="C367" s="1607" t="s">
        <v>383</v>
      </c>
      <c r="D367" s="1607"/>
      <c r="E367" s="1607"/>
      <c r="F367" s="1607"/>
      <c r="G367" s="1607"/>
      <c r="H367" s="1607"/>
      <c r="I367" s="1607"/>
      <c r="J367" s="1608"/>
      <c r="K367" s="1565"/>
      <c r="L367" s="1565"/>
      <c r="M367" s="1565"/>
      <c r="N367" s="1565"/>
      <c r="O367" s="1565"/>
      <c r="P367" s="1565"/>
      <c r="Q367" s="1565"/>
      <c r="R367" s="1565"/>
      <c r="S367" s="1565"/>
      <c r="T367" s="1565"/>
    </row>
    <row r="368" spans="2:20" ht="15.75" hidden="1" x14ac:dyDescent="0.25">
      <c r="B368" s="1607"/>
      <c r="C368" s="1607" t="s">
        <v>384</v>
      </c>
      <c r="D368" s="1607"/>
      <c r="E368" s="1607"/>
      <c r="F368" s="1607"/>
      <c r="G368" s="1607"/>
      <c r="H368" s="1607"/>
      <c r="I368" s="1607"/>
      <c r="J368" s="1608"/>
      <c r="K368" s="1565"/>
      <c r="L368" s="1565"/>
      <c r="M368" s="1565"/>
      <c r="N368" s="1565"/>
      <c r="O368" s="1565"/>
      <c r="P368" s="1565"/>
      <c r="Q368" s="1565"/>
      <c r="R368" s="1565"/>
      <c r="S368" s="1565"/>
      <c r="T368" s="1565"/>
    </row>
    <row r="369" spans="2:20" ht="15.75" hidden="1" x14ac:dyDescent="0.25">
      <c r="B369" s="1607"/>
      <c r="C369" s="1607"/>
      <c r="D369" s="1607"/>
      <c r="E369" s="1607"/>
      <c r="F369" s="1607"/>
      <c r="G369" s="1607"/>
      <c r="H369" s="1607"/>
      <c r="I369" s="1607"/>
      <c r="J369" s="1608"/>
      <c r="K369" s="1565"/>
      <c r="L369" s="1565"/>
      <c r="M369" s="1565"/>
      <c r="N369" s="1565"/>
      <c r="O369" s="1565"/>
      <c r="P369" s="1565"/>
      <c r="Q369" s="1565"/>
      <c r="R369" s="1565"/>
      <c r="S369" s="1565"/>
      <c r="T369" s="1565"/>
    </row>
    <row r="370" spans="2:20" ht="15.75" hidden="1" x14ac:dyDescent="0.25">
      <c r="B370" s="1606" t="s">
        <v>385</v>
      </c>
      <c r="C370" s="1606" t="s">
        <v>386</v>
      </c>
      <c r="D370" s="1607"/>
      <c r="E370" s="1607"/>
      <c r="F370" s="1607"/>
      <c r="G370" s="1607"/>
      <c r="H370" s="1607"/>
      <c r="I370" s="1607" t="s">
        <v>349</v>
      </c>
      <c r="J370" s="1608" t="s">
        <v>387</v>
      </c>
      <c r="K370" s="1565"/>
      <c r="L370" s="1565"/>
      <c r="M370" s="1565"/>
      <c r="N370" s="1565"/>
      <c r="O370" s="1565"/>
      <c r="P370" s="1565"/>
      <c r="Q370" s="1565"/>
      <c r="R370" s="1565"/>
      <c r="S370" s="1565"/>
      <c r="T370" s="1565"/>
    </row>
    <row r="371" spans="2:20" ht="15.75" hidden="1" x14ac:dyDescent="0.25">
      <c r="B371" s="1607"/>
      <c r="C371" s="1607" t="s">
        <v>388</v>
      </c>
      <c r="D371" s="1607"/>
      <c r="E371" s="1607"/>
      <c r="F371" s="1607"/>
      <c r="G371" s="1607"/>
      <c r="H371" s="1607"/>
      <c r="I371" s="1607" t="s">
        <v>352</v>
      </c>
      <c r="J371" s="1721" t="s">
        <v>376</v>
      </c>
      <c r="K371" s="1565"/>
      <c r="L371" s="1624"/>
      <c r="M371" s="1565"/>
      <c r="N371" s="1565"/>
      <c r="O371" s="1565"/>
      <c r="P371" s="1565"/>
      <c r="Q371" s="1565"/>
      <c r="R371" s="1565"/>
      <c r="S371" s="1565"/>
      <c r="T371" s="1565"/>
    </row>
    <row r="372" spans="2:20" ht="15.75" hidden="1" x14ac:dyDescent="0.25">
      <c r="B372" s="1607"/>
      <c r="C372" s="1607"/>
      <c r="D372" s="1607"/>
      <c r="E372" s="1607"/>
      <c r="F372" s="1607"/>
      <c r="G372" s="1607"/>
      <c r="H372" s="1607"/>
      <c r="I372" s="1607"/>
      <c r="J372" s="1608"/>
      <c r="K372" s="1565"/>
      <c r="L372" s="1565"/>
      <c r="M372" s="1565"/>
      <c r="N372" s="1565"/>
      <c r="O372" s="1565"/>
      <c r="P372" s="1565"/>
      <c r="Q372" s="1565"/>
      <c r="R372" s="1565"/>
      <c r="S372" s="1565"/>
      <c r="T372" s="1565"/>
    </row>
    <row r="373" spans="2:20" ht="15.75" hidden="1" x14ac:dyDescent="0.25">
      <c r="B373" s="1607"/>
      <c r="C373" s="1607"/>
      <c r="D373" s="1607"/>
      <c r="E373" s="1607"/>
      <c r="F373" s="1607"/>
      <c r="G373" s="1607"/>
      <c r="H373" s="1607"/>
      <c r="I373" s="1607"/>
      <c r="J373" s="1608"/>
      <c r="K373" s="1565"/>
      <c r="L373" s="1565"/>
      <c r="M373" s="1565"/>
      <c r="N373" s="1565"/>
      <c r="O373" s="1565"/>
      <c r="P373" s="1565"/>
      <c r="Q373" s="1565"/>
      <c r="R373" s="1565"/>
      <c r="S373" s="1565"/>
      <c r="T373" s="1565"/>
    </row>
    <row r="374" spans="2:20" ht="15.75" hidden="1" x14ac:dyDescent="0.25">
      <c r="B374" s="1607" t="s">
        <v>389</v>
      </c>
      <c r="C374" s="1607"/>
      <c r="D374" s="1607"/>
      <c r="E374" s="1607"/>
      <c r="F374" s="1607"/>
      <c r="G374" s="1607"/>
      <c r="H374" s="1607"/>
      <c r="I374" s="1607"/>
      <c r="J374" s="1608"/>
      <c r="K374" s="1565"/>
      <c r="L374" s="1565"/>
      <c r="M374" s="1565"/>
      <c r="N374" s="1565"/>
      <c r="O374" s="1565"/>
      <c r="P374" s="1565"/>
      <c r="Q374" s="1565"/>
      <c r="R374" s="1565"/>
      <c r="S374" s="1565"/>
      <c r="T374" s="1565"/>
    </row>
    <row r="375" spans="2:20" ht="15.75" hidden="1" x14ac:dyDescent="0.25">
      <c r="B375" s="1606" t="s">
        <v>390</v>
      </c>
      <c r="C375" s="1606" t="s">
        <v>391</v>
      </c>
      <c r="D375" s="1607"/>
      <c r="E375" s="1607"/>
      <c r="F375" s="1607"/>
      <c r="G375" s="1607"/>
      <c r="H375" s="1607"/>
      <c r="I375" s="1607"/>
      <c r="J375" s="1608" t="s">
        <v>392</v>
      </c>
      <c r="K375" s="1565"/>
      <c r="L375" s="1565"/>
      <c r="M375" s="1565"/>
      <c r="N375" s="1565"/>
      <c r="O375" s="1565"/>
      <c r="P375" s="1565"/>
      <c r="Q375" s="1565"/>
      <c r="R375" s="1565"/>
      <c r="S375" s="1565"/>
      <c r="T375" s="1565"/>
    </row>
    <row r="376" spans="2:20" ht="15.75" hidden="1" x14ac:dyDescent="0.25">
      <c r="B376" s="1607"/>
      <c r="C376" s="1607" t="s">
        <v>393</v>
      </c>
      <c r="D376" s="1607"/>
      <c r="E376" s="1607"/>
      <c r="F376" s="1607"/>
      <c r="G376" s="1607"/>
      <c r="H376" s="1607"/>
      <c r="I376" s="1607"/>
      <c r="J376" s="1721" t="s">
        <v>376</v>
      </c>
      <c r="K376" s="1565"/>
      <c r="L376" s="1565"/>
      <c r="M376" s="1629"/>
      <c r="N376" s="1565"/>
      <c r="O376" s="1565"/>
      <c r="P376" s="1565"/>
      <c r="Q376" s="1565"/>
      <c r="R376" s="1565"/>
      <c r="S376" s="1565"/>
      <c r="T376" s="1565"/>
    </row>
    <row r="377" spans="2:20" ht="15.75" hidden="1" x14ac:dyDescent="0.25">
      <c r="B377" s="1607"/>
      <c r="C377" s="1607" t="s">
        <v>394</v>
      </c>
      <c r="D377" s="1607"/>
      <c r="E377" s="1607"/>
      <c r="F377" s="1607"/>
      <c r="G377" s="1607"/>
      <c r="H377" s="1607"/>
      <c r="I377" s="1607"/>
      <c r="J377" s="1608"/>
      <c r="K377" s="1565"/>
      <c r="L377" s="1565"/>
      <c r="M377" s="1565"/>
      <c r="N377" s="1565"/>
      <c r="O377" s="1565"/>
      <c r="P377" s="1565"/>
      <c r="Q377" s="1565"/>
      <c r="R377" s="1565"/>
      <c r="S377" s="1565"/>
      <c r="T377" s="1565"/>
    </row>
    <row r="378" spans="2:20" ht="15.75" hidden="1" x14ac:dyDescent="0.25">
      <c r="B378" s="1607"/>
      <c r="C378" s="1607" t="s">
        <v>395</v>
      </c>
      <c r="D378" s="1607"/>
      <c r="E378" s="1607"/>
      <c r="F378" s="1607"/>
      <c r="G378" s="1607"/>
      <c r="H378" s="1607"/>
      <c r="I378" s="1607"/>
      <c r="J378" s="1608"/>
      <c r="K378" s="1565"/>
      <c r="L378" s="1565"/>
      <c r="M378" s="1565"/>
      <c r="N378" s="1565"/>
      <c r="O378" s="1565"/>
      <c r="P378" s="1565"/>
      <c r="Q378" s="1565"/>
      <c r="R378" s="1565"/>
      <c r="S378" s="1564"/>
      <c r="T378" s="1564"/>
    </row>
    <row r="379" spans="2:20" ht="15.75" hidden="1" x14ac:dyDescent="0.25">
      <c r="B379" s="1607"/>
      <c r="C379" s="1607"/>
      <c r="D379" s="1607"/>
      <c r="E379" s="1607"/>
      <c r="F379" s="1607"/>
      <c r="G379" s="1607"/>
      <c r="H379" s="1607"/>
      <c r="I379" s="1607"/>
      <c r="J379" s="1608"/>
      <c r="K379" s="1565"/>
      <c r="L379" s="1565"/>
      <c r="M379" s="1565"/>
      <c r="N379" s="1565"/>
      <c r="O379" s="1565"/>
      <c r="P379" s="1565"/>
      <c r="Q379" s="1565"/>
      <c r="R379" s="1565"/>
      <c r="S379" s="1722"/>
      <c r="T379" s="1627"/>
    </row>
    <row r="380" spans="2:20" ht="15.75" hidden="1" x14ac:dyDescent="0.25">
      <c r="B380" s="1606" t="s">
        <v>396</v>
      </c>
      <c r="C380" s="1606" t="s">
        <v>386</v>
      </c>
      <c r="D380" s="1607"/>
      <c r="E380" s="1607"/>
      <c r="F380" s="1607"/>
      <c r="G380" s="1607"/>
      <c r="H380" s="1607"/>
      <c r="I380" s="1607" t="s">
        <v>349</v>
      </c>
      <c r="J380" s="1608" t="s">
        <v>397</v>
      </c>
      <c r="K380" s="1565"/>
      <c r="L380" s="1565"/>
      <c r="M380" s="1565"/>
      <c r="N380" s="1565"/>
      <c r="O380" s="1565"/>
      <c r="P380" s="1565"/>
      <c r="Q380" s="1565"/>
      <c r="R380" s="1565"/>
      <c r="S380" s="1564"/>
      <c r="T380" s="1627"/>
    </row>
    <row r="381" spans="2:20" ht="15.75" hidden="1" x14ac:dyDescent="0.25">
      <c r="B381" s="1607"/>
      <c r="C381" s="1607" t="s">
        <v>388</v>
      </c>
      <c r="D381" s="1607"/>
      <c r="E381" s="1607"/>
      <c r="F381" s="1607"/>
      <c r="G381" s="1607"/>
      <c r="H381" s="1607"/>
      <c r="I381" s="1607" t="s">
        <v>352</v>
      </c>
      <c r="J381" s="1721" t="s">
        <v>376</v>
      </c>
      <c r="K381" s="1565"/>
      <c r="L381" s="1565"/>
      <c r="M381" s="1565"/>
      <c r="N381" s="1564"/>
      <c r="O381" s="1564"/>
      <c r="P381" s="1564"/>
      <c r="Q381" s="1564"/>
      <c r="R381" s="1564"/>
      <c r="S381" s="1564"/>
      <c r="T381" s="1625"/>
    </row>
    <row r="382" spans="2:20" ht="15.75" hidden="1" x14ac:dyDescent="0.25">
      <c r="B382" s="1607"/>
      <c r="C382" s="1607"/>
      <c r="D382" s="1607"/>
      <c r="E382" s="1607"/>
      <c r="F382" s="1607"/>
      <c r="G382" s="1607"/>
      <c r="H382" s="1607"/>
      <c r="I382" s="1607"/>
      <c r="J382" s="1608"/>
      <c r="K382" s="1565"/>
      <c r="L382" s="1565"/>
      <c r="M382" s="1565"/>
      <c r="N382" s="1722"/>
      <c r="O382" s="1722"/>
      <c r="P382" s="1722"/>
      <c r="Q382" s="1722"/>
      <c r="R382" s="1722"/>
      <c r="S382" s="1564"/>
      <c r="T382" s="1564"/>
    </row>
    <row r="383" spans="2:20" ht="15.75" hidden="1" x14ac:dyDescent="0.25">
      <c r="B383" s="1607"/>
      <c r="C383" s="1607"/>
      <c r="D383" s="1607"/>
      <c r="E383" s="1607"/>
      <c r="F383" s="1607"/>
      <c r="G383" s="1607"/>
      <c r="H383" s="1607"/>
      <c r="I383" s="1607"/>
      <c r="J383" s="1608"/>
      <c r="K383" s="1565"/>
      <c r="L383" s="1624"/>
      <c r="M383" s="1564"/>
      <c r="N383" s="1564"/>
      <c r="O383" s="1564"/>
      <c r="P383" s="1564"/>
      <c r="Q383" s="1564"/>
      <c r="R383" s="1564"/>
      <c r="S383" s="1564"/>
      <c r="T383" s="1564"/>
    </row>
    <row r="384" spans="2:20" ht="15.75" hidden="1" x14ac:dyDescent="0.25">
      <c r="B384" s="1607"/>
      <c r="C384" s="1607"/>
      <c r="D384" s="1607"/>
      <c r="E384" s="1607"/>
      <c r="F384" s="1607"/>
      <c r="G384" s="1607"/>
      <c r="H384" s="1607"/>
      <c r="I384" s="1607"/>
      <c r="J384" s="1608"/>
      <c r="K384" s="1565"/>
      <c r="L384" s="1624"/>
      <c r="M384" s="1564"/>
      <c r="N384" s="1564"/>
      <c r="O384" s="1564"/>
      <c r="P384" s="1564"/>
      <c r="Q384" s="1564"/>
      <c r="R384" s="1564"/>
      <c r="S384" s="1564"/>
      <c r="T384" s="1564"/>
    </row>
    <row r="385" spans="2:20" ht="15.75" hidden="1" x14ac:dyDescent="0.25">
      <c r="B385" s="1606" t="s">
        <v>398</v>
      </c>
      <c r="C385" s="1606" t="s">
        <v>399</v>
      </c>
      <c r="D385" s="1607"/>
      <c r="E385" s="1607"/>
      <c r="F385" s="1607"/>
      <c r="G385" s="1607"/>
      <c r="H385" s="1607"/>
      <c r="I385" s="1607" t="s">
        <v>349</v>
      </c>
      <c r="J385" s="1608" t="s">
        <v>400</v>
      </c>
      <c r="K385" s="1565"/>
      <c r="L385" s="1624"/>
      <c r="M385" s="1564"/>
      <c r="N385" s="1564"/>
      <c r="O385" s="1564"/>
      <c r="P385" s="1564"/>
      <c r="Q385" s="1564"/>
      <c r="R385" s="1564"/>
      <c r="S385" s="1565"/>
      <c r="T385" s="1565"/>
    </row>
    <row r="386" spans="2:20" ht="15.75" hidden="1" x14ac:dyDescent="0.25">
      <c r="B386" s="1607"/>
      <c r="C386" s="1607" t="s">
        <v>401</v>
      </c>
      <c r="D386" s="1607"/>
      <c r="E386" s="1607"/>
      <c r="F386" s="1607"/>
      <c r="G386" s="1607"/>
      <c r="H386" s="1607"/>
      <c r="I386" s="1607" t="s">
        <v>261</v>
      </c>
      <c r="J386" s="1721" t="s">
        <v>376</v>
      </c>
      <c r="K386" s="1565"/>
      <c r="L386" s="1624"/>
      <c r="M386" s="1565"/>
      <c r="N386" s="1564"/>
      <c r="O386" s="1564"/>
      <c r="P386" s="1564"/>
      <c r="Q386" s="1564"/>
      <c r="R386" s="1564"/>
      <c r="S386" s="1565"/>
      <c r="T386" s="1565"/>
    </row>
    <row r="387" spans="2:20" ht="15.75" hidden="1" x14ac:dyDescent="0.25">
      <c r="B387" s="1607"/>
      <c r="C387" s="1607" t="s">
        <v>402</v>
      </c>
      <c r="D387" s="1607"/>
      <c r="E387" s="1607"/>
      <c r="F387" s="1607"/>
      <c r="G387" s="1607"/>
      <c r="H387" s="1607"/>
      <c r="I387" s="1607" t="s">
        <v>403</v>
      </c>
      <c r="J387" s="1608"/>
      <c r="K387" s="1565"/>
      <c r="L387" s="1565"/>
      <c r="M387" s="1629"/>
      <c r="N387" s="1564"/>
      <c r="O387" s="1564"/>
      <c r="P387" s="1564"/>
      <c r="Q387" s="1564"/>
      <c r="R387" s="1564"/>
      <c r="S387" s="1565"/>
      <c r="T387" s="1565"/>
    </row>
    <row r="388" spans="2:20" ht="15.75" hidden="1" x14ac:dyDescent="0.25">
      <c r="B388" s="1607"/>
      <c r="C388" s="1606"/>
      <c r="D388" s="1607"/>
      <c r="E388" s="1607"/>
      <c r="F388" s="1607"/>
      <c r="G388" s="1607"/>
      <c r="H388" s="1607"/>
      <c r="I388" s="1607"/>
      <c r="J388" s="1608"/>
      <c r="K388" s="1565"/>
      <c r="L388" s="1565"/>
      <c r="M388" s="1629"/>
      <c r="N388" s="1723"/>
      <c r="O388" s="1565"/>
      <c r="P388" s="1565"/>
      <c r="Q388" s="1565"/>
      <c r="R388" s="1565"/>
      <c r="S388" s="1565"/>
      <c r="T388" s="1565"/>
    </row>
    <row r="389" spans="2:20" ht="15.75" hidden="1" x14ac:dyDescent="0.25">
      <c r="B389" s="1607"/>
      <c r="C389" s="1609"/>
      <c r="D389" s="1609"/>
      <c r="E389" s="1616"/>
      <c r="F389" s="1610"/>
      <c r="G389" s="1607"/>
      <c r="H389" s="1607"/>
      <c r="I389" s="1607"/>
      <c r="J389" s="1608"/>
      <c r="K389" s="1565"/>
      <c r="L389" s="1565"/>
      <c r="M389" s="1629"/>
      <c r="N389" s="1565"/>
      <c r="O389" s="1565"/>
      <c r="P389" s="1565"/>
      <c r="Q389" s="1565"/>
      <c r="R389" s="1565"/>
      <c r="S389" s="1565"/>
      <c r="T389" s="1565"/>
    </row>
    <row r="390" spans="2:20" ht="15.75" hidden="1" x14ac:dyDescent="0.25">
      <c r="B390" s="1607"/>
      <c r="C390" s="1607"/>
      <c r="D390" s="1607"/>
      <c r="E390" s="1607"/>
      <c r="F390" s="1607"/>
      <c r="G390" s="1607"/>
      <c r="H390" s="1607"/>
      <c r="I390" s="1607"/>
      <c r="J390" s="1608"/>
      <c r="K390" s="1565"/>
      <c r="L390" s="1565"/>
      <c r="M390" s="1629"/>
      <c r="N390" s="1565"/>
      <c r="O390" s="1565"/>
      <c r="P390" s="1565"/>
      <c r="Q390" s="1565"/>
      <c r="R390" s="1565"/>
      <c r="S390" s="1565"/>
      <c r="T390" s="1565"/>
    </row>
    <row r="391" spans="2:20" ht="15.75" hidden="1" x14ac:dyDescent="0.25">
      <c r="B391" s="1607" t="s">
        <v>404</v>
      </c>
      <c r="C391" s="1607"/>
      <c r="D391" s="1607"/>
      <c r="E391" s="1607"/>
      <c r="F391" s="1607"/>
      <c r="G391" s="1607"/>
      <c r="H391" s="1607"/>
      <c r="I391" s="1607"/>
      <c r="J391" s="1608"/>
      <c r="K391" s="1565"/>
      <c r="L391" s="1565"/>
      <c r="M391" s="1629"/>
      <c r="N391" s="1565"/>
      <c r="O391" s="1565"/>
      <c r="P391" s="1565"/>
      <c r="Q391" s="1565"/>
      <c r="R391" s="1565"/>
      <c r="S391" s="1565"/>
      <c r="T391" s="1565"/>
    </row>
    <row r="392" spans="2:20" ht="15.75" hidden="1" x14ac:dyDescent="0.25">
      <c r="B392" s="1606" t="s">
        <v>405</v>
      </c>
      <c r="C392" s="1607"/>
      <c r="D392" s="1607"/>
      <c r="E392" s="1607"/>
      <c r="F392" s="1607"/>
      <c r="G392" s="1607"/>
      <c r="H392" s="1607"/>
      <c r="I392" s="1607"/>
      <c r="J392" s="1608" t="s">
        <v>406</v>
      </c>
      <c r="K392" s="1565"/>
      <c r="L392" s="1565"/>
      <c r="M392" s="1629"/>
      <c r="N392" s="1565"/>
      <c r="O392" s="1565"/>
      <c r="P392" s="1565"/>
      <c r="Q392" s="1565"/>
      <c r="R392" s="1565"/>
      <c r="S392" s="1565"/>
      <c r="T392" s="1565"/>
    </row>
    <row r="393" spans="2:20" ht="15.75" hidden="1" x14ac:dyDescent="0.25">
      <c r="B393" s="1607"/>
      <c r="C393" s="1606" t="s">
        <v>407</v>
      </c>
      <c r="D393" s="1607"/>
      <c r="E393" s="1607"/>
      <c r="F393" s="1607"/>
      <c r="G393" s="1607"/>
      <c r="H393" s="1607"/>
      <c r="I393" s="1607"/>
      <c r="J393" s="1608" t="s">
        <v>408</v>
      </c>
      <c r="K393" s="1565"/>
      <c r="L393" s="1565"/>
      <c r="M393" s="1629"/>
      <c r="N393" s="1565"/>
      <c r="O393" s="1565"/>
      <c r="P393" s="1565"/>
      <c r="Q393" s="1565"/>
      <c r="R393" s="1565"/>
      <c r="S393" s="1564"/>
      <c r="T393" s="1564"/>
    </row>
    <row r="394" spans="2:20" ht="15.75" hidden="1" x14ac:dyDescent="0.25">
      <c r="B394" s="1607"/>
      <c r="C394" s="1607"/>
      <c r="D394" s="1607"/>
      <c r="E394" s="1607"/>
      <c r="F394" s="1607"/>
      <c r="G394" s="1607"/>
      <c r="H394" s="1607"/>
      <c r="I394" s="1607"/>
      <c r="J394" s="1623"/>
      <c r="K394" s="1565"/>
      <c r="L394" s="1630"/>
      <c r="M394" s="1631"/>
      <c r="N394" s="1565"/>
      <c r="O394" s="1565"/>
      <c r="P394" s="1565"/>
      <c r="Q394" s="1565"/>
      <c r="R394" s="1565"/>
      <c r="S394" s="1628"/>
      <c r="T394" s="1564"/>
    </row>
    <row r="395" spans="2:20" ht="15.75" hidden="1" x14ac:dyDescent="0.25">
      <c r="B395" s="1611"/>
      <c r="C395" s="1610" t="s">
        <v>478</v>
      </c>
      <c r="D395" s="1622" t="e">
        <f>D280*I$73%</f>
        <v>#DIV/0!</v>
      </c>
      <c r="E395" s="1712">
        <f>E280*$I$74%</f>
        <v>0</v>
      </c>
      <c r="F395" s="1712">
        <f>F280*$I$74%</f>
        <v>0</v>
      </c>
      <c r="G395" s="1712">
        <f>G280*$I$74%</f>
        <v>0</v>
      </c>
      <c r="H395" s="1712">
        <f>H280*$I$74%</f>
        <v>0</v>
      </c>
      <c r="I395" s="1607" t="s">
        <v>325</v>
      </c>
      <c r="J395" s="1608"/>
      <c r="K395" s="1630"/>
      <c r="L395" s="1630"/>
      <c r="M395" s="1630"/>
      <c r="N395" s="1565"/>
      <c r="O395" s="1565"/>
      <c r="P395" s="1565"/>
      <c r="Q395" s="1565"/>
      <c r="R395" s="1565"/>
      <c r="S395" s="1628"/>
      <c r="T395" s="1564"/>
    </row>
    <row r="396" spans="2:20" ht="15.75" hidden="1" x14ac:dyDescent="0.25">
      <c r="B396" s="1607"/>
      <c r="C396" s="1607"/>
      <c r="D396" s="1622"/>
      <c r="E396" s="1712"/>
      <c r="F396" s="1712"/>
      <c r="G396" s="1712"/>
      <c r="H396" s="1712"/>
      <c r="I396" s="1607"/>
      <c r="J396" s="1608"/>
      <c r="K396" s="1630"/>
      <c r="L396" s="1630"/>
      <c r="M396" s="1631"/>
      <c r="N396" s="1564"/>
      <c r="O396" s="1564"/>
      <c r="P396" s="1564"/>
      <c r="Q396" s="1564"/>
      <c r="R396" s="1564"/>
      <c r="S396" s="1565"/>
      <c r="T396" s="1565"/>
    </row>
    <row r="397" spans="2:20" ht="15.75" hidden="1" x14ac:dyDescent="0.25">
      <c r="B397" s="1607"/>
      <c r="C397" s="1606" t="s">
        <v>409</v>
      </c>
      <c r="D397" s="1622"/>
      <c r="E397" s="1712"/>
      <c r="F397" s="1712"/>
      <c r="G397" s="1712"/>
      <c r="H397" s="1712"/>
      <c r="I397" s="1607"/>
      <c r="J397" s="1608" t="s">
        <v>410</v>
      </c>
      <c r="K397" s="1630"/>
      <c r="L397" s="1630"/>
      <c r="M397" s="1631"/>
      <c r="N397" s="1564"/>
      <c r="O397" s="1564"/>
      <c r="P397" s="1564"/>
      <c r="Q397" s="1564"/>
      <c r="R397" s="1564"/>
      <c r="S397" s="1565"/>
      <c r="T397" s="1565"/>
    </row>
    <row r="398" spans="2:20" ht="15.75" hidden="1" x14ac:dyDescent="0.25">
      <c r="B398" s="1607"/>
      <c r="C398" s="1607"/>
      <c r="D398" s="1622"/>
      <c r="E398" s="1712"/>
      <c r="F398" s="1712"/>
      <c r="G398" s="1712"/>
      <c r="H398" s="1712"/>
      <c r="I398" s="1607"/>
      <c r="J398" s="1623"/>
      <c r="K398" s="1630"/>
      <c r="L398" s="1630"/>
      <c r="M398" s="1631"/>
      <c r="N398" s="1564"/>
      <c r="O398" s="1632"/>
      <c r="P398" s="1632"/>
      <c r="Q398" s="1564"/>
      <c r="R398" s="1564"/>
      <c r="S398" s="1565"/>
      <c r="T398" s="1565"/>
    </row>
    <row r="399" spans="2:20" ht="15.75" hidden="1" x14ac:dyDescent="0.25">
      <c r="B399" s="1607"/>
      <c r="C399" s="1610" t="s">
        <v>478</v>
      </c>
      <c r="D399" s="1622" t="e">
        <f>D284*$I$73%</f>
        <v>#DIV/0!</v>
      </c>
      <c r="E399" s="1712" t="e">
        <f>E284*$I$74%</f>
        <v>#N/A</v>
      </c>
      <c r="F399" s="1712" t="e">
        <f>F284*$I$74%</f>
        <v>#N/A</v>
      </c>
      <c r="G399" s="1712" t="e">
        <f>G284*$I$74%</f>
        <v>#N/A</v>
      </c>
      <c r="H399" s="1712" t="e">
        <f>H284*$I$74%</f>
        <v>#N/A</v>
      </c>
      <c r="I399" s="1607" t="s">
        <v>325</v>
      </c>
      <c r="J399" s="1623"/>
      <c r="K399" s="1630"/>
      <c r="L399" s="1565"/>
      <c r="M399" s="1565"/>
      <c r="N399" s="1565"/>
      <c r="O399" s="1565"/>
      <c r="P399" s="1565"/>
      <c r="Q399" s="1565"/>
      <c r="R399" s="1565"/>
      <c r="S399" s="1565"/>
      <c r="T399" s="1565"/>
    </row>
    <row r="400" spans="2:20" ht="15.75" hidden="1" x14ac:dyDescent="0.25">
      <c r="B400" s="1607"/>
      <c r="C400" s="1607"/>
      <c r="D400" s="1633"/>
      <c r="E400" s="1607"/>
      <c r="F400" s="1607"/>
      <c r="G400" s="1607"/>
      <c r="H400" s="1607"/>
      <c r="I400" s="1607"/>
      <c r="J400" s="1623"/>
      <c r="K400" s="1565"/>
      <c r="L400" s="1565"/>
      <c r="M400" s="1565"/>
      <c r="N400" s="1565"/>
      <c r="O400" s="1565"/>
      <c r="P400" s="1565"/>
      <c r="Q400" s="1565"/>
      <c r="R400" s="1565"/>
      <c r="S400" s="1564"/>
      <c r="T400" s="1564"/>
    </row>
    <row r="401" spans="2:20" ht="15.75" hidden="1" x14ac:dyDescent="0.25">
      <c r="B401" s="1606" t="s">
        <v>411</v>
      </c>
      <c r="C401" s="1606" t="s">
        <v>412</v>
      </c>
      <c r="D401" s="1607"/>
      <c r="E401" s="1607"/>
      <c r="F401" s="1607"/>
      <c r="G401" s="1607"/>
      <c r="H401" s="1607"/>
      <c r="I401" s="1607"/>
      <c r="J401" s="1608" t="s">
        <v>413</v>
      </c>
      <c r="K401" s="1565"/>
      <c r="L401" s="1565"/>
      <c r="M401" s="1565"/>
      <c r="N401" s="1565"/>
      <c r="O401" s="1565"/>
      <c r="P401" s="1565"/>
      <c r="Q401" s="1565"/>
      <c r="R401" s="1565"/>
      <c r="S401" s="1564"/>
      <c r="T401" s="1564"/>
    </row>
    <row r="402" spans="2:20" ht="15.75" hidden="1" x14ac:dyDescent="0.25">
      <c r="B402" s="1607"/>
      <c r="C402" s="1607" t="s">
        <v>414</v>
      </c>
      <c r="D402" s="1615">
        <v>5.0000000000000001E-3</v>
      </c>
      <c r="E402" s="1607"/>
      <c r="F402" s="1607"/>
      <c r="G402" s="1607"/>
      <c r="H402" s="1607"/>
      <c r="I402" s="1607"/>
      <c r="J402" s="1623"/>
      <c r="K402" s="1565"/>
      <c r="L402" s="1565"/>
      <c r="M402" s="1565"/>
      <c r="N402" s="1565"/>
      <c r="O402" s="1565"/>
      <c r="P402" s="1565"/>
      <c r="Q402" s="1565"/>
      <c r="R402" s="1565"/>
      <c r="S402" s="1565"/>
      <c r="T402" s="1565"/>
    </row>
    <row r="403" spans="2:20" ht="15.75" hidden="1" x14ac:dyDescent="0.25">
      <c r="B403" s="1607"/>
      <c r="C403" s="1607" t="s">
        <v>415</v>
      </c>
      <c r="D403" s="1609">
        <v>4.0000000000000001E-3</v>
      </c>
      <c r="E403" s="1607"/>
      <c r="F403" s="1607"/>
      <c r="G403" s="1607"/>
      <c r="H403" s="1607"/>
      <c r="I403" s="1607"/>
      <c r="J403" s="1623"/>
      <c r="K403" s="1565"/>
      <c r="L403" s="1565"/>
      <c r="M403" s="1565"/>
      <c r="N403" s="1564"/>
      <c r="O403" s="1564"/>
      <c r="P403" s="1564"/>
      <c r="Q403" s="1564"/>
      <c r="R403" s="1564"/>
      <c r="S403" s="1565"/>
      <c r="T403" s="1565"/>
    </row>
    <row r="404" spans="2:20" ht="15.75" hidden="1" x14ac:dyDescent="0.25">
      <c r="B404" s="1607"/>
      <c r="C404" s="1607"/>
      <c r="D404" s="1607"/>
      <c r="E404" s="1607"/>
      <c r="F404" s="1607"/>
      <c r="G404" s="1607"/>
      <c r="H404" s="1607"/>
      <c r="I404" s="1607"/>
      <c r="J404" s="1623"/>
      <c r="K404" s="1565"/>
      <c r="L404" s="1634"/>
      <c r="M404" s="1565"/>
      <c r="N404" s="1564"/>
      <c r="O404" s="1564"/>
      <c r="P404" s="1564"/>
      <c r="Q404" s="1564"/>
      <c r="R404" s="1564"/>
      <c r="S404" s="1565"/>
      <c r="T404" s="1565"/>
    </row>
    <row r="405" spans="2:20" ht="15.75" hidden="1" x14ac:dyDescent="0.25">
      <c r="B405" s="1607"/>
      <c r="C405" s="1610" t="s">
        <v>478</v>
      </c>
      <c r="D405" s="1633" t="e">
        <f>(D395*$D$402*44/28)+(D399*$D$403*44/28)</f>
        <v>#DIV/0!</v>
      </c>
      <c r="E405" s="1633" t="e">
        <f>(E395*$D$402*44/28)+(E399*$D$403*44/28)</f>
        <v>#N/A</v>
      </c>
      <c r="F405" s="1633" t="e">
        <f>(F395*$D$402*44/28)+(F399*$D$403*44/28)</f>
        <v>#N/A</v>
      </c>
      <c r="G405" s="1633" t="e">
        <f>(G395*$D$402*44/28)+(G399*$D$403*44/28)</f>
        <v>#N/A</v>
      </c>
      <c r="H405" s="1633" t="e">
        <f>(H395*$D$402*44/28)+(H399*$D$403*44/28)</f>
        <v>#N/A</v>
      </c>
      <c r="I405" s="1610" t="s">
        <v>335</v>
      </c>
      <c r="J405" s="1623"/>
      <c r="K405" s="1565"/>
      <c r="L405" s="1565"/>
      <c r="M405" s="1565"/>
      <c r="N405" s="1565"/>
      <c r="O405" s="1565"/>
      <c r="P405" s="1565"/>
      <c r="Q405" s="1565"/>
      <c r="R405" s="1565"/>
      <c r="S405" s="1565"/>
      <c r="T405" s="1565"/>
    </row>
    <row r="406" spans="2:20" ht="15.75" hidden="1" x14ac:dyDescent="0.25">
      <c r="B406" s="1607"/>
      <c r="C406" s="1607"/>
      <c r="D406" s="1607"/>
      <c r="E406" s="1607"/>
      <c r="F406" s="1607"/>
      <c r="G406" s="1607"/>
      <c r="H406" s="1607"/>
      <c r="I406" s="1607"/>
      <c r="J406" s="1623"/>
      <c r="K406" s="1565"/>
      <c r="L406" s="1565"/>
      <c r="M406" s="1565"/>
      <c r="N406" s="1565"/>
      <c r="O406" s="1565"/>
      <c r="P406" s="1565"/>
      <c r="Q406" s="1565"/>
      <c r="R406" s="1565"/>
      <c r="S406" s="1565"/>
      <c r="T406" s="1565"/>
    </row>
    <row r="407" spans="2:20" ht="15.75" hidden="1" x14ac:dyDescent="0.25">
      <c r="B407" s="1606" t="s">
        <v>416</v>
      </c>
      <c r="C407" s="1607"/>
      <c r="D407" s="1635"/>
      <c r="E407" s="1607"/>
      <c r="F407" s="1607"/>
      <c r="G407" s="1607"/>
      <c r="H407" s="1607"/>
      <c r="I407" s="1607"/>
      <c r="J407" s="1623"/>
      <c r="K407" s="1565"/>
      <c r="N407" s="1565"/>
      <c r="O407" s="1565"/>
      <c r="P407" s="1565"/>
      <c r="Q407" s="1565"/>
      <c r="R407" s="1565"/>
      <c r="S407" s="1565"/>
      <c r="T407" s="1565"/>
    </row>
    <row r="408" spans="2:20" ht="15.75" hidden="1" x14ac:dyDescent="0.25">
      <c r="B408" s="1607"/>
      <c r="C408" s="1610" t="s">
        <v>478</v>
      </c>
      <c r="D408" s="1611" t="e">
        <f>D360+D405</f>
        <v>#DIV/0!</v>
      </c>
      <c r="E408" s="1611" t="e">
        <f>E360+E405</f>
        <v>#N/A</v>
      </c>
      <c r="F408" s="1611" t="e">
        <f>F360+F405</f>
        <v>#N/A</v>
      </c>
      <c r="G408" s="1611" t="e">
        <f>G360+G405</f>
        <v>#N/A</v>
      </c>
      <c r="H408" s="1611" t="e">
        <f>H360+H405</f>
        <v>#N/A</v>
      </c>
      <c r="I408" s="1610" t="s">
        <v>335</v>
      </c>
      <c r="J408" s="1623"/>
      <c r="N408" s="1565"/>
      <c r="O408" s="1565"/>
      <c r="P408" s="1565"/>
      <c r="Q408" s="1565"/>
      <c r="R408" s="1565"/>
      <c r="S408" s="1565"/>
      <c r="T408" s="1565"/>
    </row>
    <row r="409" spans="2:20" ht="15.75" hidden="1" x14ac:dyDescent="0.25">
      <c r="B409" s="1607"/>
      <c r="C409" s="1610"/>
      <c r="D409" s="1611"/>
      <c r="E409" s="1611"/>
      <c r="F409" s="1611"/>
      <c r="G409" s="1611"/>
      <c r="H409" s="1611"/>
      <c r="I409" s="1610"/>
      <c r="J409" s="1636"/>
      <c r="L409" s="1638"/>
      <c r="M409" s="1638"/>
      <c r="N409" s="1565"/>
      <c r="O409" s="1565"/>
      <c r="P409" s="1565"/>
      <c r="Q409" s="1565"/>
      <c r="R409" s="1565"/>
      <c r="S409" s="1640"/>
      <c r="T409" s="1565"/>
    </row>
    <row r="410" spans="2:20" ht="15.75" hidden="1" x14ac:dyDescent="0.25">
      <c r="B410" s="1606" t="s">
        <v>300</v>
      </c>
      <c r="C410" s="1637" t="e">
        <f>SUM(D408:H408)</f>
        <v>#DIV/0!</v>
      </c>
      <c r="D410" s="1611"/>
      <c r="E410" s="1611"/>
      <c r="F410" s="1611"/>
      <c r="G410" s="1611"/>
      <c r="H410" s="1611"/>
      <c r="I410" s="1610" t="s">
        <v>336</v>
      </c>
      <c r="J410" s="1636"/>
      <c r="K410" s="1638"/>
      <c r="L410" s="1638"/>
      <c r="M410" s="1638"/>
      <c r="N410" s="1565"/>
      <c r="O410" s="1565"/>
      <c r="P410" s="1565"/>
      <c r="Q410" s="1565"/>
      <c r="R410" s="1565"/>
      <c r="S410" s="1565"/>
      <c r="T410" s="1565"/>
    </row>
    <row r="411" spans="2:20" ht="15.75" hidden="1" x14ac:dyDescent="0.25">
      <c r="B411" s="1606" t="s">
        <v>300</v>
      </c>
      <c r="C411" s="1614" t="e">
        <f>C410*310</f>
        <v>#DIV/0!</v>
      </c>
      <c r="D411" s="1607"/>
      <c r="E411" s="1607"/>
      <c r="F411" s="1607"/>
      <c r="G411" s="1607"/>
      <c r="H411" s="1607"/>
      <c r="I411" s="1610" t="s">
        <v>302</v>
      </c>
      <c r="J411" s="1636"/>
      <c r="K411" s="1638"/>
      <c r="L411" s="1638"/>
      <c r="M411" s="1638"/>
      <c r="N411" s="1565"/>
      <c r="O411" s="1565"/>
      <c r="P411" s="1565"/>
      <c r="Q411" s="1565"/>
      <c r="R411" s="1565"/>
      <c r="S411" s="1565"/>
      <c r="T411" s="1565"/>
    </row>
    <row r="412" spans="2:20" ht="15.75" hidden="1" x14ac:dyDescent="0.25">
      <c r="B412" s="1606" t="s">
        <v>300</v>
      </c>
      <c r="C412" s="1614" t="e">
        <f>C411*10^3</f>
        <v>#DIV/0!</v>
      </c>
      <c r="D412" s="1607"/>
      <c r="E412" s="1639"/>
      <c r="F412" s="1607"/>
      <c r="G412" s="1607"/>
      <c r="H412" s="1607"/>
      <c r="I412" s="1610" t="s">
        <v>303</v>
      </c>
      <c r="J412" s="1636"/>
      <c r="K412" s="1638"/>
      <c r="L412" s="1638"/>
      <c r="M412" s="1638"/>
      <c r="N412" s="1640"/>
      <c r="O412" s="1640"/>
      <c r="P412" s="1640"/>
      <c r="Q412" s="1640"/>
      <c r="R412" s="1640"/>
      <c r="S412" s="1565"/>
      <c r="T412" s="1565"/>
    </row>
    <row r="413" spans="2:20" ht="15.75" hidden="1" x14ac:dyDescent="0.25">
      <c r="B413" s="1607"/>
      <c r="C413" s="1607"/>
      <c r="D413" s="1607"/>
      <c r="E413" s="1607"/>
      <c r="F413" s="1607"/>
      <c r="G413" s="1607"/>
      <c r="H413" s="1607"/>
      <c r="I413" s="1607"/>
      <c r="J413" s="1636"/>
      <c r="K413" s="1638"/>
      <c r="L413" s="1638"/>
      <c r="M413" s="1638"/>
      <c r="N413" s="1565"/>
      <c r="O413" s="1565"/>
      <c r="P413" s="1565"/>
      <c r="Q413" s="1565"/>
      <c r="R413" s="1565"/>
      <c r="S413" s="1565"/>
      <c r="T413" s="1565"/>
    </row>
    <row r="414" spans="2:20" ht="15.75" hidden="1" x14ac:dyDescent="0.25">
      <c r="B414" s="1606" t="s">
        <v>417</v>
      </c>
      <c r="C414" s="1606" t="s">
        <v>418</v>
      </c>
      <c r="D414" s="1607"/>
      <c r="E414" s="1607"/>
      <c r="F414" s="1607"/>
      <c r="G414" s="1607"/>
      <c r="H414" s="1607"/>
      <c r="I414" s="1607"/>
      <c r="J414" s="1608" t="s">
        <v>419</v>
      </c>
      <c r="K414" s="1605"/>
      <c r="L414" s="1638"/>
      <c r="M414" s="1638"/>
      <c r="N414" s="1565"/>
      <c r="O414" s="1565"/>
      <c r="P414" s="1565"/>
      <c r="Q414" s="1565"/>
      <c r="R414" s="1565"/>
      <c r="S414" s="1565"/>
      <c r="T414" s="1565"/>
    </row>
    <row r="415" spans="2:20" ht="15.75" hidden="1" x14ac:dyDescent="0.25">
      <c r="B415" s="1607"/>
      <c r="C415" s="1607" t="s">
        <v>420</v>
      </c>
      <c r="D415" s="1607"/>
      <c r="E415" s="1607"/>
      <c r="F415" s="1607"/>
      <c r="G415" s="1607"/>
      <c r="H415" s="1607"/>
      <c r="I415" s="1607" t="s">
        <v>344</v>
      </c>
      <c r="J415" s="1608"/>
      <c r="K415" s="1565"/>
      <c r="L415" s="1638"/>
      <c r="M415" s="1638"/>
      <c r="N415" s="1565"/>
      <c r="O415" s="1565"/>
      <c r="P415" s="1565"/>
      <c r="Q415" s="1565"/>
      <c r="R415" s="1565"/>
      <c r="S415" s="1565"/>
      <c r="T415" s="1565"/>
    </row>
    <row r="416" spans="2:20" ht="16.5" hidden="1" thickBot="1" x14ac:dyDescent="0.3">
      <c r="B416" s="1607"/>
      <c r="C416" s="1607" t="s">
        <v>343</v>
      </c>
      <c r="D416" s="1607"/>
      <c r="E416" s="1607"/>
      <c r="F416" s="1607"/>
      <c r="G416" s="1607"/>
      <c r="H416" s="1607"/>
      <c r="I416" s="1641" t="s">
        <v>344</v>
      </c>
      <c r="J416" s="1608"/>
      <c r="K416" s="1565"/>
      <c r="L416" s="1638"/>
      <c r="M416" s="1638"/>
      <c r="N416" s="1565"/>
      <c r="O416" s="1565"/>
      <c r="P416" s="1565"/>
      <c r="Q416" s="1565"/>
      <c r="R416" s="1565"/>
      <c r="S416" s="1565"/>
      <c r="T416" s="1565"/>
    </row>
    <row r="417" spans="2:20" ht="15.75" hidden="1" x14ac:dyDescent="0.25">
      <c r="B417" s="1607"/>
      <c r="C417" s="1607" t="s">
        <v>1620</v>
      </c>
      <c r="D417" s="1607"/>
      <c r="E417" s="1607"/>
      <c r="F417" s="1607"/>
      <c r="G417" s="1607"/>
      <c r="H417" s="1607"/>
      <c r="I417" s="1641" t="s">
        <v>421</v>
      </c>
      <c r="J417" s="1608"/>
      <c r="K417" s="1565"/>
      <c r="L417" s="1643" t="s">
        <v>1621</v>
      </c>
      <c r="M417" s="1644" t="s">
        <v>1622</v>
      </c>
      <c r="N417" s="1645" t="s">
        <v>1623</v>
      </c>
      <c r="O417" s="1645" t="s">
        <v>1624</v>
      </c>
      <c r="P417" s="1645" t="s">
        <v>1625</v>
      </c>
      <c r="Q417" s="1645" t="s">
        <v>1626</v>
      </c>
      <c r="R417" s="1645" t="s">
        <v>1627</v>
      </c>
      <c r="S417" s="1645" t="s">
        <v>1628</v>
      </c>
      <c r="T417" s="1646" t="s">
        <v>1629</v>
      </c>
    </row>
    <row r="418" spans="2:20" ht="15.75" hidden="1" x14ac:dyDescent="0.25">
      <c r="B418" s="1607"/>
      <c r="C418" s="1607"/>
      <c r="D418" s="1607"/>
      <c r="E418" s="1607"/>
      <c r="F418" s="1607"/>
      <c r="G418" s="1607"/>
      <c r="H418" s="1607"/>
      <c r="I418" s="1641"/>
      <c r="J418" s="1608"/>
      <c r="K418" s="1565"/>
      <c r="L418" s="1647"/>
      <c r="M418" s="1648"/>
      <c r="N418" s="1609"/>
      <c r="O418" s="1609"/>
      <c r="P418" s="1609"/>
      <c r="Q418" s="1609"/>
      <c r="R418" s="1609"/>
      <c r="S418" s="1609"/>
      <c r="T418" s="1649"/>
    </row>
    <row r="419" spans="2:20" ht="15.75" hidden="1" x14ac:dyDescent="0.25">
      <c r="B419" s="1607" t="s">
        <v>422</v>
      </c>
      <c r="C419" s="1615" t="s">
        <v>900</v>
      </c>
      <c r="D419" s="1787">
        <f>D321*0.1</f>
        <v>0</v>
      </c>
      <c r="E419" s="1717"/>
      <c r="F419" s="1622"/>
      <c r="G419" s="1607"/>
      <c r="H419" s="1607"/>
      <c r="I419" s="1641" t="s">
        <v>476</v>
      </c>
      <c r="J419" s="1724"/>
      <c r="K419" s="1564"/>
      <c r="L419" s="1650" t="s">
        <v>1630</v>
      </c>
      <c r="M419" s="1648"/>
      <c r="N419" s="1651">
        <v>0.35</v>
      </c>
      <c r="O419" s="1652">
        <v>0.4</v>
      </c>
      <c r="P419" s="1651">
        <v>7.0000000000000007E-2</v>
      </c>
      <c r="Q419" s="1651">
        <v>0.3</v>
      </c>
      <c r="R419" s="1651">
        <v>0.2</v>
      </c>
      <c r="S419" s="1651">
        <v>0</v>
      </c>
      <c r="T419" s="1653">
        <v>0.2</v>
      </c>
    </row>
    <row r="420" spans="2:20" ht="15.75" hidden="1" x14ac:dyDescent="0.25">
      <c r="B420" s="1607"/>
      <c r="C420" s="1615" t="s">
        <v>910</v>
      </c>
      <c r="D420" s="1787">
        <f>D322*0.1</f>
        <v>0</v>
      </c>
      <c r="E420" s="1616"/>
      <c r="F420" s="1607"/>
      <c r="G420" s="1607"/>
      <c r="H420" s="1607"/>
      <c r="I420" s="1641" t="s">
        <v>476</v>
      </c>
      <c r="J420" s="1724"/>
      <c r="K420" s="1619"/>
      <c r="L420" s="1647" t="s">
        <v>1631</v>
      </c>
      <c r="M420" s="1654" t="s">
        <v>478</v>
      </c>
      <c r="N420" s="1794" t="e">
        <f t="shared" ref="N420:T420" si="7">$D$288*C73%</f>
        <v>#DIV/0!</v>
      </c>
      <c r="O420" s="1794" t="e">
        <f t="shared" si="7"/>
        <v>#DIV/0!</v>
      </c>
      <c r="P420" s="1794" t="e">
        <f t="shared" si="7"/>
        <v>#DIV/0!</v>
      </c>
      <c r="Q420" s="1794" t="e">
        <f t="shared" si="7"/>
        <v>#DIV/0!</v>
      </c>
      <c r="R420" s="1794" t="e">
        <f t="shared" si="7"/>
        <v>#DIV/0!</v>
      </c>
      <c r="S420" s="1794" t="e">
        <f t="shared" si="7"/>
        <v>#DIV/0!</v>
      </c>
      <c r="T420" s="1796" t="e">
        <f t="shared" si="7"/>
        <v>#DIV/0!</v>
      </c>
    </row>
    <row r="421" spans="2:20" ht="15.75" hidden="1" x14ac:dyDescent="0.25">
      <c r="B421" s="1607"/>
      <c r="C421" s="1615"/>
      <c r="D421" s="1787"/>
      <c r="E421" s="1616"/>
      <c r="F421" s="1607"/>
      <c r="G421" s="1607"/>
      <c r="H421" s="1607"/>
      <c r="I421" s="1641"/>
      <c r="J421" s="1623"/>
      <c r="K421" s="1605"/>
      <c r="L421" s="1647"/>
      <c r="M421" s="1654"/>
      <c r="N421" s="1794"/>
      <c r="O421" s="1794"/>
      <c r="P421" s="1794"/>
      <c r="Q421" s="1794"/>
      <c r="R421" s="1794"/>
      <c r="S421" s="1794"/>
      <c r="T421" s="1796"/>
    </row>
    <row r="422" spans="2:20" ht="15.75" hidden="1" x14ac:dyDescent="0.25">
      <c r="B422" s="1607"/>
      <c r="C422" s="1615"/>
      <c r="D422" s="1787"/>
      <c r="E422" s="1616"/>
      <c r="F422" s="1607"/>
      <c r="G422" s="1607"/>
      <c r="H422" s="1607"/>
      <c r="I422" s="1641"/>
      <c r="J422" s="1608"/>
      <c r="K422" s="1565"/>
      <c r="L422" s="1647" t="s">
        <v>1632</v>
      </c>
      <c r="M422" s="1654" t="s">
        <v>478</v>
      </c>
      <c r="N422" s="1794" t="e">
        <f t="shared" ref="N422:T422" si="8">$E$288*C74%</f>
        <v>#N/A</v>
      </c>
      <c r="O422" s="1794" t="e">
        <f t="shared" si="8"/>
        <v>#N/A</v>
      </c>
      <c r="P422" s="1794" t="e">
        <f t="shared" si="8"/>
        <v>#N/A</v>
      </c>
      <c r="Q422" s="1794" t="e">
        <f t="shared" si="8"/>
        <v>#N/A</v>
      </c>
      <c r="R422" s="1794" t="e">
        <f t="shared" si="8"/>
        <v>#N/A</v>
      </c>
      <c r="S422" s="1794" t="e">
        <f t="shared" si="8"/>
        <v>#N/A</v>
      </c>
      <c r="T422" s="1796" t="e">
        <f t="shared" si="8"/>
        <v>#N/A</v>
      </c>
    </row>
    <row r="423" spans="2:20" ht="15.75" hidden="1" x14ac:dyDescent="0.25">
      <c r="B423" s="1607"/>
      <c r="C423" s="1610"/>
      <c r="D423" s="1613"/>
      <c r="E423" s="1616"/>
      <c r="F423" s="1607"/>
      <c r="G423" s="1607"/>
      <c r="H423" s="1607"/>
      <c r="I423" s="1641"/>
      <c r="J423" s="1608"/>
      <c r="K423" s="1565"/>
      <c r="L423" s="1647"/>
      <c r="M423" s="1654"/>
      <c r="N423" s="1794"/>
      <c r="O423" s="1794"/>
      <c r="P423" s="1794"/>
      <c r="Q423" s="1794"/>
      <c r="R423" s="1794"/>
      <c r="S423" s="1794"/>
      <c r="T423" s="1796"/>
    </row>
    <row r="424" spans="2:20" ht="15.75" hidden="1" x14ac:dyDescent="0.25">
      <c r="B424" s="1606" t="s">
        <v>423</v>
      </c>
      <c r="C424" s="1606" t="s">
        <v>1633</v>
      </c>
      <c r="D424" s="1607"/>
      <c r="E424" s="1607"/>
      <c r="F424" s="1607"/>
      <c r="G424" s="1607"/>
      <c r="H424" s="1607"/>
      <c r="I424" s="1607"/>
      <c r="J424" s="1608" t="s">
        <v>424</v>
      </c>
      <c r="K424" s="1565"/>
      <c r="L424" s="1647" t="s">
        <v>1634</v>
      </c>
      <c r="M424" s="1654" t="s">
        <v>478</v>
      </c>
      <c r="N424" s="1794" t="e">
        <f t="shared" ref="N424:T424" si="9">$F$288*C74%</f>
        <v>#N/A</v>
      </c>
      <c r="O424" s="1794" t="e">
        <f t="shared" si="9"/>
        <v>#N/A</v>
      </c>
      <c r="P424" s="1794" t="e">
        <f t="shared" si="9"/>
        <v>#N/A</v>
      </c>
      <c r="Q424" s="1794" t="e">
        <f t="shared" si="9"/>
        <v>#N/A</v>
      </c>
      <c r="R424" s="1794" t="e">
        <f t="shared" si="9"/>
        <v>#N/A</v>
      </c>
      <c r="S424" s="1794" t="e">
        <f t="shared" si="9"/>
        <v>#N/A</v>
      </c>
      <c r="T424" s="1796" t="e">
        <f t="shared" si="9"/>
        <v>#N/A</v>
      </c>
    </row>
    <row r="425" spans="2:20" ht="15.75" hidden="1" x14ac:dyDescent="0.25">
      <c r="B425" s="1607"/>
      <c r="C425" s="1607" t="s">
        <v>425</v>
      </c>
      <c r="D425" s="1607"/>
      <c r="E425" s="1607"/>
      <c r="F425" s="1607"/>
      <c r="G425" s="1607"/>
      <c r="H425" s="1607"/>
      <c r="I425" s="1607"/>
      <c r="J425" s="1608" t="s">
        <v>426</v>
      </c>
      <c r="K425" s="1565"/>
      <c r="L425" s="1647"/>
      <c r="M425" s="1609"/>
      <c r="N425" s="1794"/>
      <c r="O425" s="1794"/>
      <c r="P425" s="1794"/>
      <c r="Q425" s="1794"/>
      <c r="R425" s="1794"/>
      <c r="S425" s="1794"/>
      <c r="T425" s="1796"/>
    </row>
    <row r="426" spans="2:20" ht="15.75" hidden="1" x14ac:dyDescent="0.25">
      <c r="B426" s="1607"/>
      <c r="C426" s="1607"/>
      <c r="D426" s="1607"/>
      <c r="E426" s="1607"/>
      <c r="F426" s="1607"/>
      <c r="G426" s="1607"/>
      <c r="H426" s="1607"/>
      <c r="I426" s="1607"/>
      <c r="J426" s="1623"/>
      <c r="K426" s="1565"/>
      <c r="L426" s="1647" t="s">
        <v>1635</v>
      </c>
      <c r="M426" s="1654" t="s">
        <v>478</v>
      </c>
      <c r="N426" s="1794" t="e">
        <f t="shared" ref="N426:T426" si="10">$G$288*C74%</f>
        <v>#N/A</v>
      </c>
      <c r="O426" s="1794" t="e">
        <f t="shared" si="10"/>
        <v>#N/A</v>
      </c>
      <c r="P426" s="1794" t="e">
        <f t="shared" si="10"/>
        <v>#N/A</v>
      </c>
      <c r="Q426" s="1794" t="e">
        <f t="shared" si="10"/>
        <v>#N/A</v>
      </c>
      <c r="R426" s="1794" t="e">
        <f t="shared" si="10"/>
        <v>#N/A</v>
      </c>
      <c r="S426" s="1794" t="e">
        <f t="shared" si="10"/>
        <v>#N/A</v>
      </c>
      <c r="T426" s="1796" t="e">
        <f t="shared" si="10"/>
        <v>#N/A</v>
      </c>
    </row>
    <row r="427" spans="2:20" ht="15.75" hidden="1" x14ac:dyDescent="0.25">
      <c r="B427" s="1607" t="s">
        <v>427</v>
      </c>
      <c r="C427" s="1610" t="s">
        <v>478</v>
      </c>
      <c r="D427" s="1613" t="e">
        <f>SUM(N430:T430)</f>
        <v>#DIV/0!</v>
      </c>
      <c r="E427" s="1616" t="e">
        <f>SUM(N432:T432)</f>
        <v>#N/A</v>
      </c>
      <c r="F427" s="1655" t="e">
        <f>SUM(N434:T434)</f>
        <v>#N/A</v>
      </c>
      <c r="G427" s="1655" t="e">
        <f>SUM(N436:T436)</f>
        <v>#N/A</v>
      </c>
      <c r="H427" s="1655" t="e">
        <f>SUM(N438:T438)</f>
        <v>#N/A</v>
      </c>
      <c r="I427" s="1641" t="s">
        <v>325</v>
      </c>
      <c r="J427" s="1608"/>
      <c r="K427" s="1565"/>
      <c r="L427" s="1647"/>
      <c r="M427" s="1609"/>
      <c r="N427" s="1794"/>
      <c r="O427" s="1794"/>
      <c r="P427" s="1794"/>
      <c r="Q427" s="1794"/>
      <c r="R427" s="1794"/>
      <c r="S427" s="1794"/>
      <c r="T427" s="1796"/>
    </row>
    <row r="428" spans="2:20" ht="15.75" hidden="1" x14ac:dyDescent="0.25">
      <c r="B428" s="1607"/>
      <c r="C428" s="1607"/>
      <c r="D428" s="1607"/>
      <c r="E428" s="1656"/>
      <c r="F428" s="1656"/>
      <c r="G428" s="1607"/>
      <c r="H428" s="1607"/>
      <c r="I428" s="1607"/>
      <c r="J428" s="1623"/>
      <c r="K428" s="1565"/>
      <c r="L428" s="1647" t="s">
        <v>1636</v>
      </c>
      <c r="M428" s="1654" t="s">
        <v>478</v>
      </c>
      <c r="N428" s="1794" t="e">
        <f t="shared" ref="N428:T428" si="11">$H$288*C74%</f>
        <v>#N/A</v>
      </c>
      <c r="O428" s="1794" t="e">
        <f t="shared" si="11"/>
        <v>#N/A</v>
      </c>
      <c r="P428" s="1794" t="e">
        <f t="shared" si="11"/>
        <v>#N/A</v>
      </c>
      <c r="Q428" s="1794" t="e">
        <f t="shared" si="11"/>
        <v>#N/A</v>
      </c>
      <c r="R428" s="1794" t="e">
        <f t="shared" si="11"/>
        <v>#N/A</v>
      </c>
      <c r="S428" s="1794" t="e">
        <f t="shared" si="11"/>
        <v>#N/A</v>
      </c>
      <c r="T428" s="1796" t="e">
        <f t="shared" si="11"/>
        <v>#N/A</v>
      </c>
    </row>
    <row r="429" spans="2:20" ht="15.75" hidden="1" x14ac:dyDescent="0.25">
      <c r="B429" s="1606" t="s">
        <v>428</v>
      </c>
      <c r="C429" s="1612" t="s">
        <v>429</v>
      </c>
      <c r="D429" s="1609"/>
      <c r="E429" s="1725"/>
      <c r="F429" s="1656"/>
      <c r="G429" s="1609"/>
      <c r="H429" s="1609"/>
      <c r="I429" s="1609" t="s">
        <v>344</v>
      </c>
      <c r="J429" s="1608" t="s">
        <v>430</v>
      </c>
      <c r="K429" s="1565"/>
      <c r="L429" s="1647"/>
      <c r="M429" s="1609"/>
      <c r="N429" s="1616"/>
      <c r="O429" s="1616"/>
      <c r="P429" s="1616"/>
      <c r="Q429" s="1616"/>
      <c r="R429" s="1794"/>
      <c r="S429" s="1616"/>
      <c r="T429" s="1797"/>
    </row>
    <row r="430" spans="2:20" ht="15.75" hidden="1" x14ac:dyDescent="0.25">
      <c r="B430" s="1607"/>
      <c r="C430" s="1609" t="s">
        <v>431</v>
      </c>
      <c r="D430" s="1609"/>
      <c r="E430" s="1725"/>
      <c r="F430" s="1656"/>
      <c r="G430" s="1609"/>
      <c r="H430" s="1609"/>
      <c r="I430" s="1609" t="s">
        <v>432</v>
      </c>
      <c r="J430" s="1608" t="s">
        <v>376</v>
      </c>
      <c r="K430" s="1565"/>
      <c r="L430" s="1647" t="s">
        <v>1637</v>
      </c>
      <c r="M430" s="1654" t="s">
        <v>478</v>
      </c>
      <c r="N430" s="1616" t="e">
        <f>N420*N$419</f>
        <v>#DIV/0!</v>
      </c>
      <c r="O430" s="1616" t="e">
        <f>O420*O$419</f>
        <v>#DIV/0!</v>
      </c>
      <c r="P430" s="1616" t="e">
        <f>P420*P$419</f>
        <v>#DIV/0!</v>
      </c>
      <c r="Q430" s="1616" t="e">
        <f t="shared" ref="Q430:T430" si="12">Q420*Q$419</f>
        <v>#DIV/0!</v>
      </c>
      <c r="R430" s="1616" t="e">
        <f t="shared" si="12"/>
        <v>#DIV/0!</v>
      </c>
      <c r="S430" s="1616" t="e">
        <f t="shared" si="12"/>
        <v>#DIV/0!</v>
      </c>
      <c r="T430" s="1797" t="e">
        <f t="shared" si="12"/>
        <v>#DIV/0!</v>
      </c>
    </row>
    <row r="431" spans="2:20" ht="15.75" hidden="1" x14ac:dyDescent="0.25">
      <c r="B431" s="1607"/>
      <c r="C431" s="1609" t="s">
        <v>433</v>
      </c>
      <c r="D431" s="1609"/>
      <c r="E431" s="1725"/>
      <c r="F431" s="1725"/>
      <c r="G431" s="1609"/>
      <c r="H431" s="1609"/>
      <c r="I431" s="1609"/>
      <c r="J431" s="1608"/>
      <c r="K431" s="1565"/>
      <c r="L431" s="1647"/>
      <c r="M431" s="1654"/>
      <c r="N431" s="1798"/>
      <c r="O431" s="1798"/>
      <c r="P431" s="1798"/>
      <c r="Q431" s="1798"/>
      <c r="R431" s="1794"/>
      <c r="S431" s="1798"/>
      <c r="T431" s="1799"/>
    </row>
    <row r="432" spans="2:20" ht="15.75" hidden="1" x14ac:dyDescent="0.25">
      <c r="B432" s="1607"/>
      <c r="C432" s="1607"/>
      <c r="D432" s="1607"/>
      <c r="E432" s="1656"/>
      <c r="F432" s="1656"/>
      <c r="G432" s="1607"/>
      <c r="H432" s="1607"/>
      <c r="I432" s="1607"/>
      <c r="J432" s="1623"/>
      <c r="K432" s="1565"/>
      <c r="L432" s="1647" t="s">
        <v>1638</v>
      </c>
      <c r="M432" s="1654" t="s">
        <v>478</v>
      </c>
      <c r="N432" s="1616" t="e">
        <f>N422*N$419</f>
        <v>#N/A</v>
      </c>
      <c r="O432" s="1616" t="e">
        <f>O422*O$419</f>
        <v>#N/A</v>
      </c>
      <c r="P432" s="1616" t="e">
        <f>P422*P$419</f>
        <v>#N/A</v>
      </c>
      <c r="Q432" s="1616" t="e">
        <f t="shared" ref="Q432:T432" si="13">Q422*Q$419</f>
        <v>#N/A</v>
      </c>
      <c r="R432" s="1616" t="e">
        <f t="shared" si="13"/>
        <v>#N/A</v>
      </c>
      <c r="S432" s="1616" t="e">
        <f t="shared" si="13"/>
        <v>#N/A</v>
      </c>
      <c r="T432" s="1797" t="e">
        <f t="shared" si="13"/>
        <v>#N/A</v>
      </c>
    </row>
    <row r="433" spans="2:23" ht="15.75" hidden="1" x14ac:dyDescent="0.25">
      <c r="B433" s="1606" t="s">
        <v>434</v>
      </c>
      <c r="C433" s="1606" t="s">
        <v>386</v>
      </c>
      <c r="D433" s="1607"/>
      <c r="E433" s="1607"/>
      <c r="F433" s="1607"/>
      <c r="G433" s="1607"/>
      <c r="H433" s="1607"/>
      <c r="I433" s="1607"/>
      <c r="J433" s="1608" t="s">
        <v>435</v>
      </c>
      <c r="K433" s="1565"/>
      <c r="L433" s="1647"/>
      <c r="M433" s="1654"/>
      <c r="N433" s="1616"/>
      <c r="O433" s="1616"/>
      <c r="P433" s="1616"/>
      <c r="Q433" s="1616"/>
      <c r="R433" s="1616"/>
      <c r="S433" s="1616"/>
      <c r="T433" s="1797"/>
    </row>
    <row r="434" spans="2:23" ht="15.75" hidden="1" x14ac:dyDescent="0.25">
      <c r="B434" s="1607"/>
      <c r="C434" s="1607" t="s">
        <v>436</v>
      </c>
      <c r="D434" s="1607"/>
      <c r="E434" s="1607"/>
      <c r="F434" s="1607"/>
      <c r="G434" s="1607"/>
      <c r="H434" s="1607"/>
      <c r="I434" s="1607" t="s">
        <v>344</v>
      </c>
      <c r="J434" s="1608"/>
      <c r="K434" s="1565"/>
      <c r="L434" s="1647" t="s">
        <v>1639</v>
      </c>
      <c r="M434" s="1654" t="s">
        <v>478</v>
      </c>
      <c r="N434" s="1616" t="e">
        <f>N424*N$419</f>
        <v>#N/A</v>
      </c>
      <c r="O434" s="1616" t="e">
        <f>O424*O$419</f>
        <v>#N/A</v>
      </c>
      <c r="P434" s="1616" t="e">
        <f>P424*P$419</f>
        <v>#N/A</v>
      </c>
      <c r="Q434" s="1616" t="e">
        <f t="shared" ref="Q434:T434" si="14">Q424*Q$419</f>
        <v>#N/A</v>
      </c>
      <c r="R434" s="1616" t="e">
        <f t="shared" si="14"/>
        <v>#N/A</v>
      </c>
      <c r="S434" s="1616" t="e">
        <f t="shared" si="14"/>
        <v>#N/A</v>
      </c>
      <c r="T434" s="1797" t="e">
        <f t="shared" si="14"/>
        <v>#N/A</v>
      </c>
    </row>
    <row r="435" spans="2:23" ht="15.75" hidden="1" x14ac:dyDescent="0.25">
      <c r="B435" s="1607"/>
      <c r="C435" s="1607" t="s">
        <v>1640</v>
      </c>
      <c r="D435" s="1607"/>
      <c r="E435" s="1607"/>
      <c r="F435" s="1607"/>
      <c r="G435" s="1607"/>
      <c r="H435" s="1607"/>
      <c r="I435" s="1607" t="s">
        <v>352</v>
      </c>
      <c r="J435" s="1608"/>
      <c r="K435" s="1565"/>
      <c r="L435" s="1647"/>
      <c r="M435" s="1609"/>
      <c r="N435" s="1616"/>
      <c r="O435" s="1616"/>
      <c r="P435" s="1616"/>
      <c r="Q435" s="1616"/>
      <c r="R435" s="1616"/>
      <c r="S435" s="1616"/>
      <c r="T435" s="1797"/>
    </row>
    <row r="436" spans="2:23" ht="15.75" hidden="1" x14ac:dyDescent="0.25">
      <c r="B436" s="1607"/>
      <c r="C436" s="1607"/>
      <c r="D436" s="1607"/>
      <c r="E436" s="1607"/>
      <c r="F436" s="1607"/>
      <c r="G436" s="1607"/>
      <c r="H436" s="1607"/>
      <c r="I436" s="1607"/>
      <c r="J436" s="1608"/>
      <c r="K436" s="1565"/>
      <c r="L436" s="1647" t="s">
        <v>1641</v>
      </c>
      <c r="M436" s="1654" t="s">
        <v>478</v>
      </c>
      <c r="N436" s="1616" t="e">
        <f>N426*N$419</f>
        <v>#N/A</v>
      </c>
      <c r="O436" s="1616" t="e">
        <f>O426*O$419</f>
        <v>#N/A</v>
      </c>
      <c r="P436" s="1616" t="e">
        <f>P426*P$419</f>
        <v>#N/A</v>
      </c>
      <c r="Q436" s="1616" t="e">
        <f t="shared" ref="Q436:T436" si="15">Q426*Q$419</f>
        <v>#N/A</v>
      </c>
      <c r="R436" s="1616" t="e">
        <f t="shared" si="15"/>
        <v>#N/A</v>
      </c>
      <c r="S436" s="1616" t="e">
        <f t="shared" si="15"/>
        <v>#N/A</v>
      </c>
      <c r="T436" s="1797" t="e">
        <f t="shared" si="15"/>
        <v>#N/A</v>
      </c>
    </row>
    <row r="437" spans="2:23" ht="15.75" hidden="1" x14ac:dyDescent="0.25">
      <c r="B437" s="1607" t="s">
        <v>422</v>
      </c>
      <c r="C437" s="1615" t="s">
        <v>900</v>
      </c>
      <c r="D437" s="1613">
        <f>D419*0.01*44/28</f>
        <v>0</v>
      </c>
      <c r="E437" s="1717"/>
      <c r="F437" s="1607"/>
      <c r="G437" s="1607"/>
      <c r="H437" s="1607"/>
      <c r="I437" s="1641" t="s">
        <v>477</v>
      </c>
      <c r="J437" s="1608"/>
      <c r="K437" s="1565"/>
      <c r="L437" s="1647"/>
      <c r="M437" s="1609"/>
      <c r="N437" s="1616"/>
      <c r="O437" s="1616"/>
      <c r="P437" s="1616"/>
      <c r="Q437" s="1616"/>
      <c r="R437" s="1616"/>
      <c r="S437" s="1616"/>
      <c r="T437" s="1797"/>
    </row>
    <row r="438" spans="2:23" ht="16.5" hidden="1" thickBot="1" x14ac:dyDescent="0.3">
      <c r="B438" s="1607"/>
      <c r="C438" s="1615" t="s">
        <v>910</v>
      </c>
      <c r="D438" s="1613">
        <f>D420*0.01*44/28</f>
        <v>0</v>
      </c>
      <c r="E438" s="1788"/>
      <c r="F438" s="1607"/>
      <c r="G438" s="1607"/>
      <c r="H438" s="1607"/>
      <c r="I438" s="1641" t="s">
        <v>477</v>
      </c>
      <c r="J438" s="1608"/>
      <c r="K438" s="1565"/>
      <c r="L438" s="1657" t="s">
        <v>1642</v>
      </c>
      <c r="M438" s="1662" t="s">
        <v>478</v>
      </c>
      <c r="N438" s="1800" t="e">
        <f>N428*N$419</f>
        <v>#N/A</v>
      </c>
      <c r="O438" s="1800" t="e">
        <f>O428*O$419</f>
        <v>#N/A</v>
      </c>
      <c r="P438" s="1800" t="e">
        <f>P428*P$419</f>
        <v>#N/A</v>
      </c>
      <c r="Q438" s="1800" t="e">
        <f t="shared" ref="Q438:T438" si="16">Q428*Q$419</f>
        <v>#N/A</v>
      </c>
      <c r="R438" s="1800" t="e">
        <f t="shared" si="16"/>
        <v>#N/A</v>
      </c>
      <c r="S438" s="1800" t="e">
        <f t="shared" si="16"/>
        <v>#N/A</v>
      </c>
      <c r="T438" s="1801" t="e">
        <f t="shared" si="16"/>
        <v>#N/A</v>
      </c>
    </row>
    <row r="439" spans="2:23" ht="15.75" hidden="1" x14ac:dyDescent="0.25">
      <c r="B439" s="1607"/>
      <c r="C439" s="1615"/>
      <c r="D439" s="1613"/>
      <c r="E439" s="1609"/>
      <c r="F439" s="1607"/>
      <c r="G439" s="1607"/>
      <c r="H439" s="1607"/>
      <c r="I439" s="1641"/>
      <c r="J439" s="1608"/>
      <c r="K439" s="1565"/>
      <c r="L439" s="1565"/>
      <c r="M439" s="1565"/>
    </row>
    <row r="440" spans="2:23" ht="15.75" hidden="1" x14ac:dyDescent="0.25">
      <c r="B440" s="1607"/>
      <c r="C440" s="1615"/>
      <c r="D440" s="1613"/>
      <c r="E440" s="1609"/>
      <c r="F440" s="1607"/>
      <c r="G440" s="1607"/>
      <c r="H440" s="1607"/>
      <c r="I440" s="1641"/>
      <c r="J440" s="1608"/>
      <c r="K440" s="1565"/>
      <c r="L440" s="1565"/>
      <c r="M440" s="1565"/>
    </row>
    <row r="441" spans="2:23" ht="15.75" hidden="1" x14ac:dyDescent="0.25">
      <c r="B441" s="1607"/>
      <c r="C441" s="1615"/>
      <c r="D441" s="1609"/>
      <c r="E441" s="1609"/>
      <c r="F441" s="1607"/>
      <c r="G441" s="1607"/>
      <c r="H441" s="1607"/>
      <c r="I441" s="1607"/>
      <c r="J441" s="1608"/>
      <c r="K441" s="1565"/>
      <c r="L441" s="1565"/>
      <c r="M441" s="1565"/>
    </row>
    <row r="442" spans="2:23" ht="15.75" hidden="1" x14ac:dyDescent="0.25">
      <c r="B442" s="1607" t="s">
        <v>427</v>
      </c>
      <c r="C442" s="1610" t="s">
        <v>478</v>
      </c>
      <c r="D442" s="1611" t="e">
        <f>D427*0.01*44/28</f>
        <v>#DIV/0!</v>
      </c>
      <c r="E442" s="1611" t="e">
        <f>E427*0.01*44/28</f>
        <v>#N/A</v>
      </c>
      <c r="F442" s="1611" t="e">
        <f>F427*0.01*44/28</f>
        <v>#N/A</v>
      </c>
      <c r="G442" s="1611" t="e">
        <f>G427*0.01*44/28</f>
        <v>#N/A</v>
      </c>
      <c r="H442" s="1611" t="e">
        <f>H427*0.01*44/28</f>
        <v>#N/A</v>
      </c>
      <c r="I442" s="1641" t="s">
        <v>477</v>
      </c>
      <c r="J442" s="1608"/>
      <c r="K442" s="1565"/>
      <c r="L442" s="1565"/>
      <c r="M442" s="1565"/>
    </row>
    <row r="443" spans="2:23" ht="15.75" hidden="1" x14ac:dyDescent="0.25">
      <c r="B443" s="1607"/>
      <c r="C443" s="1612"/>
      <c r="D443" s="1611"/>
      <c r="E443" s="1607"/>
      <c r="F443" s="1607"/>
      <c r="G443" s="1607"/>
      <c r="H443" s="1607"/>
      <c r="I443" s="1607"/>
      <c r="J443" s="1608"/>
      <c r="K443" s="1565"/>
      <c r="L443" s="1565"/>
      <c r="M443" s="1565"/>
    </row>
    <row r="444" spans="2:23" ht="15.75" hidden="1" x14ac:dyDescent="0.25">
      <c r="B444" s="1612" t="s">
        <v>260</v>
      </c>
      <c r="C444" s="1610" t="s">
        <v>478</v>
      </c>
      <c r="D444" s="1611" t="e">
        <f>SUM(D437:D438)+SUM(D442:H442)</f>
        <v>#DIV/0!</v>
      </c>
      <c r="E444" s="1611"/>
      <c r="F444" s="1611"/>
      <c r="G444" s="1611"/>
      <c r="H444" s="1611"/>
      <c r="I444" s="1641" t="s">
        <v>477</v>
      </c>
      <c r="J444" s="1623"/>
      <c r="K444" s="1565"/>
      <c r="L444" s="1565"/>
      <c r="M444" s="1565"/>
    </row>
    <row r="445" spans="2:23" ht="15.75" hidden="1" x14ac:dyDescent="0.25">
      <c r="B445" s="1612"/>
      <c r="C445" s="1612"/>
      <c r="D445" s="1611"/>
      <c r="E445" s="1607"/>
      <c r="F445" s="1607"/>
      <c r="G445" s="1607"/>
      <c r="H445" s="1607"/>
      <c r="I445" s="1641"/>
      <c r="J445" s="1608"/>
      <c r="K445" s="1565"/>
      <c r="L445" s="1565"/>
      <c r="M445" s="1565"/>
      <c r="U445" s="1658"/>
      <c r="V445" s="1658"/>
      <c r="W445" s="1658"/>
    </row>
    <row r="446" spans="2:23" ht="15.75" hidden="1" x14ac:dyDescent="0.25">
      <c r="B446" s="1606" t="s">
        <v>300</v>
      </c>
      <c r="C446" s="1611" t="e">
        <f>SUM(D444:D444)</f>
        <v>#DIV/0!</v>
      </c>
      <c r="D446" s="1611"/>
      <c r="E446" s="1607"/>
      <c r="F446" s="1607"/>
      <c r="G446" s="1610"/>
      <c r="H446" s="1610"/>
      <c r="I446" s="1641" t="s">
        <v>336</v>
      </c>
      <c r="J446" s="1608"/>
      <c r="K446" s="1565"/>
      <c r="L446" s="1565"/>
      <c r="M446" s="1565"/>
      <c r="U446" s="1658"/>
    </row>
    <row r="447" spans="2:23" ht="15.75" hidden="1" x14ac:dyDescent="0.25">
      <c r="B447" s="1606" t="s">
        <v>437</v>
      </c>
      <c r="C447" s="1618" t="e">
        <f>C446*310</f>
        <v>#DIV/0!</v>
      </c>
      <c r="D447" s="1607"/>
      <c r="E447" s="1607"/>
      <c r="F447" s="1607"/>
      <c r="G447" s="1607"/>
      <c r="H447" s="1607"/>
      <c r="I447" s="1641" t="s">
        <v>302</v>
      </c>
      <c r="J447" s="1608"/>
      <c r="K447" s="1565"/>
      <c r="L447" s="1565"/>
      <c r="M447" s="1565"/>
      <c r="U447" s="1658"/>
    </row>
    <row r="448" spans="2:23" ht="15.75" hidden="1" x14ac:dyDescent="0.25">
      <c r="B448" s="1607"/>
      <c r="C448" s="1607"/>
      <c r="D448" s="1607"/>
      <c r="E448" s="1607"/>
      <c r="F448" s="1607"/>
      <c r="G448" s="1607"/>
      <c r="H448" s="1607"/>
      <c r="I448" s="1607"/>
      <c r="J448" s="1608"/>
      <c r="K448" s="1565"/>
      <c r="L448" s="1565"/>
      <c r="M448" s="1565"/>
      <c r="U448" s="1658"/>
    </row>
    <row r="449" spans="2:13" ht="15.75" hidden="1" x14ac:dyDescent="0.25">
      <c r="B449" s="1606" t="s">
        <v>438</v>
      </c>
      <c r="C449" s="1607"/>
      <c r="D449" s="1607"/>
      <c r="E449" s="1607"/>
      <c r="F449" s="1607"/>
      <c r="G449" s="1607"/>
      <c r="H449" s="1607"/>
      <c r="I449" s="1607"/>
      <c r="J449" s="1608"/>
      <c r="K449" s="1565"/>
      <c r="L449" s="1565"/>
      <c r="M449" s="1565"/>
    </row>
    <row r="450" spans="2:13" ht="15.75" hidden="1" x14ac:dyDescent="0.25">
      <c r="B450" s="1606" t="s">
        <v>439</v>
      </c>
      <c r="C450" s="1606" t="s">
        <v>440</v>
      </c>
      <c r="D450" s="1607"/>
      <c r="E450" s="1607"/>
      <c r="F450" s="1607"/>
      <c r="G450" s="1607"/>
      <c r="H450" s="1607"/>
      <c r="I450" s="1607"/>
      <c r="J450" s="1608" t="s">
        <v>441</v>
      </c>
      <c r="K450" s="1565"/>
      <c r="L450" s="1565"/>
      <c r="M450" s="1565"/>
    </row>
    <row r="451" spans="2:13" ht="15.75" hidden="1" x14ac:dyDescent="0.25">
      <c r="B451" s="1607"/>
      <c r="C451" s="1607" t="s">
        <v>442</v>
      </c>
      <c r="D451" s="1607"/>
      <c r="E451" s="1607"/>
      <c r="F451" s="1607"/>
      <c r="G451" s="1607"/>
      <c r="H451" s="1607"/>
      <c r="I451" s="1607" t="s">
        <v>344</v>
      </c>
      <c r="J451" s="1608"/>
      <c r="K451" s="1565"/>
      <c r="L451" s="1565"/>
      <c r="M451" s="1565"/>
    </row>
    <row r="452" spans="2:13" ht="15.75" hidden="1" x14ac:dyDescent="0.25">
      <c r="B452" s="1607"/>
      <c r="C452" s="1607" t="s">
        <v>443</v>
      </c>
      <c r="D452" s="1607" t="s">
        <v>1643</v>
      </c>
      <c r="E452" s="1607"/>
      <c r="F452" s="1607"/>
      <c r="G452" s="1607"/>
      <c r="H452" s="1607"/>
      <c r="I452" s="1607"/>
      <c r="J452" s="1608" t="s">
        <v>444</v>
      </c>
      <c r="K452" s="1565"/>
      <c r="L452" s="1565"/>
      <c r="M452" s="1565"/>
    </row>
    <row r="453" spans="2:13" ht="15.75" hidden="1" x14ac:dyDescent="0.25">
      <c r="B453" s="1607"/>
      <c r="C453" s="1607" t="s">
        <v>445</v>
      </c>
      <c r="D453" s="1641">
        <v>0.3</v>
      </c>
      <c r="E453" s="1607"/>
      <c r="F453" s="1607"/>
      <c r="G453" s="1607"/>
      <c r="H453" s="1607"/>
      <c r="I453" s="1607" t="s">
        <v>421</v>
      </c>
      <c r="J453" s="1608"/>
      <c r="K453" s="1605"/>
      <c r="L453" s="1565"/>
      <c r="M453" s="1565"/>
    </row>
    <row r="454" spans="2:13" ht="15.75" hidden="1" x14ac:dyDescent="0.25">
      <c r="B454" s="1607"/>
      <c r="C454" s="1607"/>
      <c r="D454" s="1607"/>
      <c r="E454" s="1607"/>
      <c r="F454" s="1607"/>
      <c r="G454" s="1607"/>
      <c r="H454" s="1607"/>
      <c r="I454" s="1607"/>
      <c r="J454" s="1608"/>
      <c r="K454" s="1565"/>
      <c r="L454" s="1565"/>
      <c r="M454" s="1565"/>
    </row>
    <row r="455" spans="2:13" ht="15.75" hidden="1" x14ac:dyDescent="0.25">
      <c r="B455" s="1607" t="s">
        <v>422</v>
      </c>
      <c r="C455" s="1615" t="s">
        <v>900</v>
      </c>
      <c r="D455" s="1613">
        <f>D321*0.3</f>
        <v>0</v>
      </c>
      <c r="E455" s="1613"/>
      <c r="F455" s="1607"/>
      <c r="G455" s="1607"/>
      <c r="H455" s="1607"/>
      <c r="I455" s="1607" t="s">
        <v>476</v>
      </c>
      <c r="J455" s="1608"/>
      <c r="K455" s="1565"/>
      <c r="L455" s="1565"/>
      <c r="M455" s="1565"/>
    </row>
    <row r="456" spans="2:13" ht="15.75" hidden="1" x14ac:dyDescent="0.25">
      <c r="B456" s="1607"/>
      <c r="C456" s="1615" t="s">
        <v>910</v>
      </c>
      <c r="D456" s="1613">
        <f>D322*0.3</f>
        <v>0</v>
      </c>
      <c r="E456" s="1609"/>
      <c r="F456" s="1607"/>
      <c r="G456" s="1607"/>
      <c r="H456" s="1607"/>
      <c r="I456" s="1607" t="s">
        <v>476</v>
      </c>
      <c r="J456" s="1608"/>
      <c r="K456" s="1565"/>
      <c r="L456" s="1565"/>
      <c r="M456" s="1565"/>
    </row>
    <row r="457" spans="2:13" ht="15.75" hidden="1" x14ac:dyDescent="0.25">
      <c r="B457" s="1607"/>
      <c r="C457" s="1615"/>
      <c r="D457" s="1613"/>
      <c r="E457" s="1609"/>
      <c r="F457" s="1607"/>
      <c r="G457" s="1607"/>
      <c r="H457" s="1607"/>
      <c r="I457" s="1607"/>
      <c r="J457" s="1608"/>
      <c r="K457" s="1565"/>
      <c r="L457" s="1565"/>
      <c r="M457" s="1565"/>
    </row>
    <row r="458" spans="2:13" ht="15.75" hidden="1" x14ac:dyDescent="0.25">
      <c r="B458" s="1607"/>
      <c r="C458" s="1615"/>
      <c r="D458" s="1613"/>
      <c r="E458" s="1609"/>
      <c r="F458" s="1607"/>
      <c r="G458" s="1607"/>
      <c r="H458" s="1607"/>
      <c r="I458" s="1607"/>
      <c r="J458" s="1608"/>
      <c r="K458" s="1565"/>
      <c r="L458" s="1634"/>
      <c r="M458" s="1634"/>
    </row>
    <row r="459" spans="2:13" ht="15.75" hidden="1" x14ac:dyDescent="0.25">
      <c r="B459" s="1607"/>
      <c r="C459" s="1607"/>
      <c r="D459" s="1607"/>
      <c r="E459" s="1607"/>
      <c r="F459" s="1607"/>
      <c r="G459" s="1607"/>
      <c r="H459" s="1607"/>
      <c r="I459" s="1607"/>
      <c r="J459" s="1608"/>
      <c r="K459" s="1565"/>
      <c r="L459" s="1634"/>
      <c r="M459" s="1634"/>
    </row>
    <row r="460" spans="2:13" ht="15.75" hidden="1" x14ac:dyDescent="0.25">
      <c r="B460" s="1606" t="s">
        <v>446</v>
      </c>
      <c r="C460" s="1606" t="s">
        <v>447</v>
      </c>
      <c r="D460" s="1607"/>
      <c r="E460" s="1607"/>
      <c r="F460" s="1607"/>
      <c r="G460" s="1607"/>
      <c r="H460" s="1607"/>
      <c r="I460" s="1607" t="s">
        <v>325</v>
      </c>
      <c r="J460" s="1608" t="s">
        <v>448</v>
      </c>
      <c r="K460" s="1565"/>
      <c r="L460" s="1565"/>
      <c r="M460" s="1565"/>
    </row>
    <row r="461" spans="2:13" ht="15.75" hidden="1" x14ac:dyDescent="0.25">
      <c r="B461" s="1607"/>
      <c r="C461" s="1607" t="s">
        <v>449</v>
      </c>
      <c r="D461" s="1607"/>
      <c r="E461" s="1607"/>
      <c r="F461" s="1607"/>
      <c r="G461" s="1607"/>
      <c r="H461" s="1607"/>
      <c r="I461" s="1607" t="s">
        <v>325</v>
      </c>
      <c r="J461" s="1608"/>
      <c r="K461" s="1565"/>
      <c r="L461" s="1565"/>
      <c r="M461" s="1565"/>
    </row>
    <row r="462" spans="2:13" ht="15.75" hidden="1" x14ac:dyDescent="0.25">
      <c r="B462" s="1607"/>
      <c r="C462" s="1607" t="s">
        <v>450</v>
      </c>
      <c r="D462" s="1607"/>
      <c r="E462" s="1607"/>
      <c r="F462" s="1607"/>
      <c r="G462" s="1607"/>
      <c r="H462" s="1607"/>
      <c r="I462" s="1607" t="s">
        <v>325</v>
      </c>
      <c r="J462" s="1608"/>
      <c r="K462" s="1565"/>
      <c r="L462" s="1565"/>
      <c r="M462" s="1565"/>
    </row>
    <row r="463" spans="2:13" ht="15.75" hidden="1" x14ac:dyDescent="0.25">
      <c r="B463" s="1607"/>
      <c r="C463" s="1607" t="s">
        <v>451</v>
      </c>
      <c r="D463" s="1607"/>
      <c r="E463" s="1607"/>
      <c r="F463" s="1607"/>
      <c r="G463" s="1607"/>
      <c r="H463" s="1607"/>
      <c r="I463" s="1607" t="s">
        <v>325</v>
      </c>
      <c r="J463" s="1608"/>
      <c r="K463" s="1565"/>
      <c r="L463" s="1565"/>
      <c r="M463" s="1565"/>
    </row>
    <row r="464" spans="2:13" ht="15.75" hidden="1" x14ac:dyDescent="0.25">
      <c r="B464" s="1607"/>
      <c r="C464" s="1607"/>
      <c r="D464" s="1607"/>
      <c r="E464" s="1607"/>
      <c r="F464" s="1607"/>
      <c r="G464" s="1607"/>
      <c r="H464" s="1607"/>
      <c r="I464" s="1607"/>
      <c r="J464" s="1608"/>
      <c r="K464" s="1565"/>
      <c r="L464" s="1565"/>
      <c r="M464" s="1565"/>
    </row>
    <row r="465" spans="2:11" ht="15.75" hidden="1" x14ac:dyDescent="0.25">
      <c r="B465" s="1607"/>
      <c r="C465" s="1610" t="s">
        <v>478</v>
      </c>
      <c r="D465" s="1659" t="e">
        <f>SUM(D356,D399,D395)*1*0.3</f>
        <v>#DIV/0!</v>
      </c>
      <c r="E465" s="1659" t="e">
        <f>SUM(E356,E399,E395)*1*0.3</f>
        <v>#N/A</v>
      </c>
      <c r="F465" s="1659" t="e">
        <f>SUM(F356,F399,F395)*1*0.3</f>
        <v>#N/A</v>
      </c>
      <c r="G465" s="1659" t="e">
        <f>SUM(G356,G399,G395)*1*0.3</f>
        <v>#N/A</v>
      </c>
      <c r="H465" s="1659" t="e">
        <f>SUM(H356,H399,H395)*1*0.3</f>
        <v>#N/A</v>
      </c>
      <c r="I465" s="1607" t="s">
        <v>325</v>
      </c>
      <c r="J465" s="1608"/>
      <c r="K465" s="1565"/>
    </row>
    <row r="466" spans="2:11" ht="15.75" hidden="1" x14ac:dyDescent="0.25">
      <c r="B466" s="1607"/>
      <c r="C466" s="1607"/>
      <c r="D466" s="1607"/>
      <c r="E466" s="1607"/>
      <c r="F466" s="1607"/>
      <c r="G466" s="1607"/>
      <c r="H466" s="1607"/>
      <c r="I466" s="1607"/>
      <c r="J466" s="1608"/>
      <c r="K466" s="1565"/>
    </row>
    <row r="467" spans="2:11" ht="15.75" hidden="1" x14ac:dyDescent="0.25">
      <c r="B467" s="1606" t="s">
        <v>452</v>
      </c>
      <c r="C467" s="1606" t="s">
        <v>386</v>
      </c>
      <c r="D467" s="1607"/>
      <c r="E467" s="1607"/>
      <c r="F467" s="1607"/>
      <c r="G467" s="1607"/>
      <c r="H467" s="1607"/>
      <c r="I467" s="1607"/>
      <c r="J467" s="1608" t="s">
        <v>453</v>
      </c>
      <c r="K467" s="1565"/>
    </row>
    <row r="468" spans="2:11" ht="15.75" hidden="1" x14ac:dyDescent="0.25">
      <c r="B468" s="1607"/>
      <c r="C468" s="1607" t="s">
        <v>454</v>
      </c>
      <c r="D468" s="1607"/>
      <c r="E468" s="1607"/>
      <c r="F468" s="1607"/>
      <c r="G468" s="1607"/>
      <c r="H468" s="1607"/>
      <c r="I468" s="1607" t="s">
        <v>344</v>
      </c>
      <c r="J468" s="1608"/>
      <c r="K468" s="1565"/>
    </row>
    <row r="469" spans="2:11" ht="15.75" hidden="1" x14ac:dyDescent="0.25">
      <c r="B469" s="1607"/>
      <c r="C469" s="1607" t="s">
        <v>1644</v>
      </c>
      <c r="D469" s="1607"/>
      <c r="E469" s="1607"/>
      <c r="F469" s="1607"/>
      <c r="G469" s="1607"/>
      <c r="H469" s="1607"/>
      <c r="I469" s="1607" t="s">
        <v>352</v>
      </c>
      <c r="J469" s="1608"/>
      <c r="K469" s="1565"/>
    </row>
    <row r="470" spans="2:11" ht="15.75" hidden="1" x14ac:dyDescent="0.25">
      <c r="B470" s="1607"/>
      <c r="C470" s="1607"/>
      <c r="D470" s="1607"/>
      <c r="E470" s="1607"/>
      <c r="F470" s="1607"/>
      <c r="G470" s="1607"/>
      <c r="H470" s="1607"/>
      <c r="I470" s="1607"/>
      <c r="J470" s="1608"/>
      <c r="K470" s="1565"/>
    </row>
    <row r="471" spans="2:11" ht="15.75" hidden="1" x14ac:dyDescent="0.25">
      <c r="B471" s="1607" t="s">
        <v>422</v>
      </c>
      <c r="C471" s="1615" t="s">
        <v>900</v>
      </c>
      <c r="D471" s="1613">
        <f>D455*0.0125*44/28</f>
        <v>0</v>
      </c>
      <c r="E471" s="1787"/>
      <c r="F471" s="1607"/>
      <c r="G471" s="1639"/>
      <c r="H471" s="1607"/>
      <c r="I471" s="1607" t="s">
        <v>477</v>
      </c>
      <c r="J471" s="1608"/>
      <c r="K471" s="1565"/>
    </row>
    <row r="472" spans="2:11" ht="15.75" hidden="1" x14ac:dyDescent="0.25">
      <c r="B472" s="1607"/>
      <c r="C472" s="1615" t="s">
        <v>910</v>
      </c>
      <c r="D472" s="1613">
        <f>D456*0.0125*44/28</f>
        <v>0</v>
      </c>
      <c r="E472" s="1609"/>
      <c r="F472" s="1607"/>
      <c r="G472" s="1639"/>
      <c r="H472" s="1607"/>
      <c r="I472" s="1607" t="s">
        <v>477</v>
      </c>
      <c r="J472" s="1608"/>
      <c r="K472" s="1565"/>
    </row>
    <row r="473" spans="2:11" ht="15.75" hidden="1" x14ac:dyDescent="0.25">
      <c r="B473" s="1607"/>
      <c r="C473" s="1615"/>
      <c r="D473" s="1613"/>
      <c r="E473" s="1609"/>
      <c r="F473" s="1607"/>
      <c r="G473" s="1639"/>
      <c r="H473" s="1607"/>
      <c r="I473" s="1607"/>
      <c r="J473" s="1608"/>
      <c r="K473" s="1565"/>
    </row>
    <row r="474" spans="2:11" ht="15.75" hidden="1" x14ac:dyDescent="0.25">
      <c r="B474" s="1607"/>
      <c r="C474" s="1615"/>
      <c r="D474" s="1613"/>
      <c r="E474" s="1609"/>
      <c r="F474" s="1607"/>
      <c r="G474" s="1639"/>
      <c r="H474" s="1607"/>
      <c r="I474" s="1607"/>
      <c r="J474" s="1608"/>
      <c r="K474" s="1565"/>
    </row>
    <row r="475" spans="2:11" ht="15.75" hidden="1" x14ac:dyDescent="0.25">
      <c r="B475" s="1607"/>
      <c r="C475" s="1607"/>
      <c r="D475" s="1607"/>
      <c r="E475" s="1607"/>
      <c r="F475" s="1607"/>
      <c r="G475" s="1607"/>
      <c r="H475" s="1607"/>
      <c r="I475" s="1607"/>
      <c r="J475" s="1608"/>
      <c r="K475" s="1565"/>
    </row>
    <row r="476" spans="2:11" ht="15.75" hidden="1" x14ac:dyDescent="0.25">
      <c r="B476" s="1607" t="s">
        <v>427</v>
      </c>
      <c r="C476" s="1610" t="s">
        <v>478</v>
      </c>
      <c r="D476" s="1611" t="e">
        <f>D465*0.0125*44/28</f>
        <v>#DIV/0!</v>
      </c>
      <c r="E476" s="1611" t="e">
        <f>E465*0.0125*44/28</f>
        <v>#N/A</v>
      </c>
      <c r="F476" s="1611" t="e">
        <f>F465*0.0125*44/28</f>
        <v>#N/A</v>
      </c>
      <c r="G476" s="1611" t="e">
        <f>G465*0.0125*44/28</f>
        <v>#N/A</v>
      </c>
      <c r="H476" s="1611" t="e">
        <f>H465*0.0125*44/28</f>
        <v>#N/A</v>
      </c>
      <c r="I476" s="1607" t="s">
        <v>335</v>
      </c>
      <c r="J476" s="1608"/>
      <c r="K476" s="1565"/>
    </row>
    <row r="477" spans="2:11" ht="15.75" hidden="1" x14ac:dyDescent="0.25">
      <c r="B477" s="1607"/>
      <c r="C477" s="1610"/>
      <c r="D477" s="1611"/>
      <c r="E477" s="1611"/>
      <c r="F477" s="1611"/>
      <c r="G477" s="1611"/>
      <c r="H477" s="1611"/>
      <c r="I477" s="1607"/>
      <c r="J477" s="1608"/>
      <c r="K477" s="1565"/>
    </row>
    <row r="478" spans="2:11" ht="15.75" hidden="1" x14ac:dyDescent="0.25">
      <c r="B478" s="1606" t="s">
        <v>260</v>
      </c>
      <c r="C478" s="1610" t="s">
        <v>478</v>
      </c>
      <c r="D478" s="1613" t="e">
        <f>SUM(D471:D472)+SUM(D476:H476)</f>
        <v>#DIV/0!</v>
      </c>
      <c r="E478" s="1613"/>
      <c r="F478" s="1611"/>
      <c r="G478" s="1611"/>
      <c r="H478" s="1611"/>
      <c r="I478" s="1607" t="s">
        <v>477</v>
      </c>
      <c r="J478" s="1608"/>
      <c r="K478" s="1565"/>
    </row>
    <row r="479" spans="2:11" ht="15.75" hidden="1" x14ac:dyDescent="0.25">
      <c r="B479" s="1606" t="s">
        <v>300</v>
      </c>
      <c r="C479" s="1660" t="e">
        <f>SUM(D478:D478)</f>
        <v>#DIV/0!</v>
      </c>
      <c r="D479" s="1611"/>
      <c r="E479" s="1611"/>
      <c r="F479" s="1611"/>
      <c r="G479" s="1611"/>
      <c r="H479" s="1611"/>
      <c r="I479" s="1607" t="s">
        <v>336</v>
      </c>
      <c r="J479" s="1608"/>
      <c r="K479" s="1565"/>
    </row>
    <row r="480" spans="2:11" ht="15.75" hidden="1" x14ac:dyDescent="0.25">
      <c r="B480" s="1606" t="s">
        <v>455</v>
      </c>
      <c r="C480" s="1618" t="e">
        <f>C479*310</f>
        <v>#DIV/0!</v>
      </c>
      <c r="D480" s="1622"/>
      <c r="E480" s="1607"/>
      <c r="F480" s="1607"/>
      <c r="G480" s="1607"/>
      <c r="H480" s="1607"/>
      <c r="I480" s="1607" t="s">
        <v>302</v>
      </c>
      <c r="J480" s="1608"/>
      <c r="K480" s="1565"/>
    </row>
    <row r="481" spans="1:50" ht="15.75" hidden="1" x14ac:dyDescent="0.25">
      <c r="B481" s="1606"/>
      <c r="C481" s="1618"/>
      <c r="D481" s="1622"/>
      <c r="E481" s="1607"/>
      <c r="F481" s="1607"/>
      <c r="G481" s="1607"/>
      <c r="H481" s="1607"/>
      <c r="I481" s="1607"/>
      <c r="J481" s="1608"/>
      <c r="K481" s="1565"/>
    </row>
    <row r="482" spans="1:50" ht="15.75" hidden="1" x14ac:dyDescent="0.25">
      <c r="B482" s="1607"/>
      <c r="C482" s="1607"/>
      <c r="D482" s="1607"/>
      <c r="E482" s="1607"/>
      <c r="F482" s="1607"/>
      <c r="G482" s="1607"/>
      <c r="H482" s="1607"/>
      <c r="I482" s="1607"/>
      <c r="J482" s="1608"/>
      <c r="K482" s="1565"/>
    </row>
    <row r="483" spans="1:50" ht="15.75" hidden="1" x14ac:dyDescent="0.25">
      <c r="B483" s="1612" t="s">
        <v>1645</v>
      </c>
      <c r="C483" s="1642" t="e">
        <f>C447+C480</f>
        <v>#DIV/0!</v>
      </c>
      <c r="D483" s="1609"/>
      <c r="E483" s="1609"/>
      <c r="F483" s="1609"/>
      <c r="G483" s="1609"/>
      <c r="H483" s="1609"/>
      <c r="I483" s="1609" t="s">
        <v>302</v>
      </c>
      <c r="J483" s="1661"/>
      <c r="K483" s="1565"/>
    </row>
    <row r="484" spans="1:50" ht="15.75" hidden="1" x14ac:dyDescent="0.25">
      <c r="B484" s="1912" t="s">
        <v>1645</v>
      </c>
      <c r="C484" s="1913" t="e">
        <f>C483*10^3</f>
        <v>#DIV/0!</v>
      </c>
      <c r="D484" s="1914"/>
      <c r="E484" s="1914"/>
      <c r="F484" s="1914"/>
      <c r="G484" s="1914"/>
      <c r="H484" s="1914"/>
      <c r="I484" s="1914" t="s">
        <v>303</v>
      </c>
      <c r="J484" s="1915"/>
      <c r="K484" s="1565"/>
    </row>
    <row r="485" spans="1:50" ht="15.75" hidden="1" x14ac:dyDescent="0.25">
      <c r="K485" s="1565"/>
    </row>
    <row r="486" spans="1:50" ht="18.75" hidden="1" x14ac:dyDescent="0.3">
      <c r="B486" s="1727"/>
      <c r="C486" s="1564"/>
      <c r="D486" s="1564"/>
      <c r="E486" s="1564"/>
      <c r="F486" s="1564"/>
      <c r="G486" s="1564"/>
      <c r="H486" s="1564"/>
      <c r="I486" s="1564"/>
      <c r="J486" s="1564"/>
      <c r="K486" s="1564"/>
    </row>
    <row r="487" spans="1:50" ht="18.75" hidden="1" x14ac:dyDescent="0.3">
      <c r="A487" s="1726" t="s">
        <v>595</v>
      </c>
      <c r="B487" s="1727"/>
      <c r="C487" s="1564"/>
      <c r="D487" s="1564"/>
      <c r="E487" s="1564"/>
      <c r="F487" s="1564"/>
      <c r="G487" s="1564"/>
      <c r="H487" s="1564"/>
      <c r="I487" s="1564"/>
      <c r="J487" s="1564"/>
      <c r="K487" s="1564"/>
      <c r="L487" s="1564"/>
      <c r="M487" s="1564"/>
      <c r="N487" s="1564"/>
      <c r="O487" s="1564"/>
      <c r="P487" s="1564"/>
      <c r="Q487" s="1564"/>
      <c r="R487" s="1564"/>
      <c r="S487" s="1564"/>
      <c r="T487" s="1564"/>
      <c r="AH487" s="1564"/>
      <c r="AI487" s="1564"/>
      <c r="AJ487" s="1564"/>
      <c r="AK487" s="1564"/>
      <c r="AL487" s="1564"/>
      <c r="AM487" s="1564"/>
      <c r="AN487" s="1564"/>
      <c r="AO487" s="1564"/>
      <c r="AP487" s="1564"/>
      <c r="AQ487" s="1564"/>
      <c r="AR487" s="1564"/>
      <c r="AS487" s="1564"/>
      <c r="AT487" s="1564"/>
      <c r="AU487" s="1564"/>
      <c r="AV487" s="1564"/>
      <c r="AW487" s="1564"/>
      <c r="AX487" s="1564"/>
    </row>
    <row r="488" spans="1:50" ht="18.75" hidden="1" x14ac:dyDescent="0.3">
      <c r="A488" s="1726"/>
      <c r="B488" s="1728" t="s">
        <v>596</v>
      </c>
      <c r="C488" s="1728">
        <v>0</v>
      </c>
      <c r="D488" s="1728">
        <f>C488+1</f>
        <v>1</v>
      </c>
      <c r="E488" s="1728">
        <f t="shared" ref="E488:AG488" si="17">D488+1</f>
        <v>2</v>
      </c>
      <c r="F488" s="1728">
        <f t="shared" si="17"/>
        <v>3</v>
      </c>
      <c r="G488" s="1728">
        <f t="shared" si="17"/>
        <v>4</v>
      </c>
      <c r="H488" s="1728">
        <f t="shared" si="17"/>
        <v>5</v>
      </c>
      <c r="I488" s="1728">
        <f t="shared" si="17"/>
        <v>6</v>
      </c>
      <c r="J488" s="1728">
        <f>I488+1</f>
        <v>7</v>
      </c>
      <c r="K488" s="1728">
        <f>J488+1</f>
        <v>8</v>
      </c>
      <c r="L488" s="1728">
        <f>K488+1</f>
        <v>9</v>
      </c>
      <c r="M488" s="1728">
        <f>L488+1</f>
        <v>10</v>
      </c>
      <c r="N488" s="1728">
        <f>M488+1</f>
        <v>11</v>
      </c>
      <c r="O488" s="1728">
        <f t="shared" si="17"/>
        <v>12</v>
      </c>
      <c r="P488" s="1728">
        <f t="shared" si="17"/>
        <v>13</v>
      </c>
      <c r="Q488" s="1728">
        <f>P488+1</f>
        <v>14</v>
      </c>
      <c r="R488" s="1728">
        <f t="shared" si="17"/>
        <v>15</v>
      </c>
      <c r="S488" s="1728">
        <f>R488+1</f>
        <v>16</v>
      </c>
      <c r="T488" s="1728">
        <f t="shared" si="17"/>
        <v>17</v>
      </c>
      <c r="U488" s="1728">
        <f>T488+1</f>
        <v>18</v>
      </c>
      <c r="V488" s="1728">
        <f t="shared" si="17"/>
        <v>19</v>
      </c>
      <c r="W488" s="1728">
        <f t="shared" si="17"/>
        <v>20</v>
      </c>
      <c r="X488" s="1728">
        <f t="shared" si="17"/>
        <v>21</v>
      </c>
      <c r="Y488" s="1728">
        <f t="shared" si="17"/>
        <v>22</v>
      </c>
      <c r="Z488" s="1728">
        <f t="shared" si="17"/>
        <v>23</v>
      </c>
      <c r="AA488" s="1728">
        <f t="shared" si="17"/>
        <v>24</v>
      </c>
      <c r="AB488" s="1728">
        <f t="shared" si="17"/>
        <v>25</v>
      </c>
      <c r="AC488" s="1728">
        <f t="shared" si="17"/>
        <v>26</v>
      </c>
      <c r="AD488" s="1728">
        <f t="shared" si="17"/>
        <v>27</v>
      </c>
      <c r="AE488" s="1728">
        <f t="shared" si="17"/>
        <v>28</v>
      </c>
      <c r="AF488" s="1728">
        <f t="shared" si="17"/>
        <v>29</v>
      </c>
      <c r="AG488" s="1728">
        <f t="shared" si="17"/>
        <v>30</v>
      </c>
      <c r="AH488" s="1564"/>
      <c r="AI488" s="1564"/>
      <c r="AJ488" s="1564"/>
      <c r="AK488" s="1564"/>
      <c r="AL488" s="1564"/>
      <c r="AM488" s="1564"/>
      <c r="AN488" s="1564"/>
      <c r="AO488" s="1564"/>
      <c r="AP488" s="1564"/>
      <c r="AQ488" s="1564"/>
      <c r="AR488" s="1564"/>
      <c r="AS488" s="1564"/>
      <c r="AT488" s="1564"/>
      <c r="AU488" s="1564"/>
      <c r="AV488" s="1564"/>
      <c r="AW488" s="1564"/>
      <c r="AX488" s="1564"/>
    </row>
    <row r="489" spans="1:50" ht="15.75" hidden="1" x14ac:dyDescent="0.25">
      <c r="A489" s="1564"/>
      <c r="B489" s="1729"/>
      <c r="C489" s="1729"/>
      <c r="D489" s="1729"/>
      <c r="E489" s="1729"/>
      <c r="F489" s="1729"/>
      <c r="G489" s="1729"/>
      <c r="H489" s="1729"/>
      <c r="I489" s="1729"/>
      <c r="J489" s="1729"/>
      <c r="K489" s="1729"/>
      <c r="L489" s="1729"/>
      <c r="M489" s="1729"/>
      <c r="N489" s="1729"/>
      <c r="O489" s="1729"/>
      <c r="P489" s="1729"/>
      <c r="Q489" s="1729"/>
      <c r="R489" s="1729"/>
      <c r="S489" s="1729"/>
      <c r="T489" s="1729"/>
      <c r="U489" s="1729"/>
      <c r="V489" s="1729"/>
      <c r="W489" s="1729"/>
      <c r="X489" s="1729"/>
      <c r="Y489" s="1729"/>
      <c r="Z489" s="1729"/>
      <c r="AA489" s="1729"/>
      <c r="AB489" s="1729"/>
      <c r="AC489" s="1729"/>
      <c r="AD489" s="1729"/>
      <c r="AE489" s="1729"/>
      <c r="AF489" s="1729"/>
      <c r="AG489" s="1729"/>
      <c r="AH489" s="1564"/>
      <c r="AI489" s="1564"/>
      <c r="AJ489" s="1564"/>
      <c r="AK489" s="1564"/>
      <c r="AL489" s="1564"/>
      <c r="AM489" s="1564"/>
      <c r="AN489" s="1564"/>
      <c r="AO489" s="1564"/>
      <c r="AP489" s="1564"/>
      <c r="AQ489" s="1564"/>
      <c r="AR489" s="1564"/>
      <c r="AS489" s="1564"/>
      <c r="AT489" s="1564"/>
      <c r="AU489" s="1564"/>
      <c r="AV489" s="1564"/>
      <c r="AW489" s="1564"/>
      <c r="AX489" s="1564"/>
    </row>
    <row r="490" spans="1:50" ht="15.75" hidden="1" x14ac:dyDescent="0.25">
      <c r="A490" s="1564"/>
      <c r="B490" s="1729" t="s">
        <v>597</v>
      </c>
      <c r="C490" s="1729">
        <v>0</v>
      </c>
      <c r="D490" s="1729">
        <v>2</v>
      </c>
      <c r="E490" s="1729">
        <v>5</v>
      </c>
      <c r="F490" s="1729">
        <v>19</v>
      </c>
      <c r="G490" s="1729">
        <v>41</v>
      </c>
      <c r="H490" s="1729">
        <v>68</v>
      </c>
      <c r="I490" s="1729">
        <v>98</v>
      </c>
      <c r="J490" s="1729">
        <v>128</v>
      </c>
      <c r="K490" s="1729">
        <v>159</v>
      </c>
      <c r="L490" s="1729">
        <v>188</v>
      </c>
      <c r="M490" s="1729">
        <v>217</v>
      </c>
      <c r="N490" s="1729">
        <v>244</v>
      </c>
      <c r="O490" s="1729">
        <v>269</v>
      </c>
      <c r="P490" s="1729">
        <v>293</v>
      </c>
      <c r="Q490" s="1729">
        <v>316</v>
      </c>
      <c r="R490" s="1729">
        <v>333</v>
      </c>
      <c r="S490" s="1729">
        <v>356</v>
      </c>
      <c r="T490" s="1729">
        <v>374</v>
      </c>
      <c r="U490" s="1729">
        <v>391</v>
      </c>
      <c r="V490" s="1729">
        <v>407</v>
      </c>
      <c r="W490" s="1729">
        <v>422</v>
      </c>
      <c r="X490" s="1729">
        <v>436</v>
      </c>
      <c r="Y490" s="1729">
        <v>449</v>
      </c>
      <c r="Z490" s="1729">
        <v>461</v>
      </c>
      <c r="AA490" s="1729">
        <v>472</v>
      </c>
      <c r="AB490" s="1729">
        <v>482</v>
      </c>
      <c r="AC490" s="1729">
        <v>492</v>
      </c>
      <c r="AD490" s="1729">
        <v>502</v>
      </c>
      <c r="AE490" s="1729">
        <v>510</v>
      </c>
      <c r="AF490" s="1729">
        <v>518</v>
      </c>
      <c r="AG490" s="1729">
        <v>526</v>
      </c>
      <c r="AH490" s="1564"/>
      <c r="AI490" s="1564"/>
      <c r="AJ490" s="1564"/>
      <c r="AK490" s="1564"/>
      <c r="AL490" s="1564"/>
      <c r="AM490" s="1564"/>
      <c r="AN490" s="1564"/>
      <c r="AO490" s="1564"/>
      <c r="AP490" s="1564"/>
      <c r="AQ490" s="1564"/>
      <c r="AR490" s="1564"/>
      <c r="AS490" s="1564"/>
      <c r="AT490" s="1564"/>
      <c r="AU490" s="1564"/>
      <c r="AV490" s="1564"/>
      <c r="AW490" s="1564"/>
      <c r="AX490" s="1564"/>
    </row>
    <row r="491" spans="1:50" ht="15.75" hidden="1" x14ac:dyDescent="0.25">
      <c r="A491" s="1564"/>
      <c r="B491" s="1729" t="s">
        <v>598</v>
      </c>
      <c r="C491" s="1729">
        <v>0</v>
      </c>
      <c r="D491" s="1729">
        <v>0</v>
      </c>
      <c r="E491" s="1729">
        <v>1</v>
      </c>
      <c r="F491" s="1729">
        <v>5</v>
      </c>
      <c r="G491" s="1729">
        <v>16</v>
      </c>
      <c r="H491" s="1729">
        <v>32</v>
      </c>
      <c r="I491" s="1729">
        <v>52</v>
      </c>
      <c r="J491" s="1729">
        <v>75</v>
      </c>
      <c r="K491" s="1729">
        <v>98</v>
      </c>
      <c r="L491" s="1729">
        <v>122</v>
      </c>
      <c r="M491" s="1729">
        <v>146</v>
      </c>
      <c r="N491" s="1729">
        <v>169</v>
      </c>
      <c r="O491" s="1729">
        <v>191</v>
      </c>
      <c r="P491" s="1729">
        <v>213</v>
      </c>
      <c r="Q491" s="1729">
        <v>234</v>
      </c>
      <c r="R491" s="1729">
        <v>254</v>
      </c>
      <c r="S491" s="1729">
        <v>272</v>
      </c>
      <c r="T491" s="1729">
        <v>290</v>
      </c>
      <c r="U491" s="1729">
        <v>306</v>
      </c>
      <c r="V491" s="1729">
        <v>322</v>
      </c>
      <c r="W491" s="1729">
        <v>337</v>
      </c>
      <c r="X491" s="1729">
        <v>351</v>
      </c>
      <c r="Y491" s="1729">
        <v>364</v>
      </c>
      <c r="Z491" s="1729">
        <v>377</v>
      </c>
      <c r="AA491" s="1729">
        <v>388</v>
      </c>
      <c r="AB491" s="1729">
        <v>399</v>
      </c>
      <c r="AC491" s="1729">
        <v>410</v>
      </c>
      <c r="AD491" s="1729">
        <v>420</v>
      </c>
      <c r="AE491" s="1729">
        <v>430</v>
      </c>
      <c r="AF491" s="1729">
        <v>439</v>
      </c>
      <c r="AG491" s="1729">
        <v>447</v>
      </c>
      <c r="AH491" s="1564"/>
      <c r="AI491" s="1564"/>
      <c r="AJ491" s="1564"/>
      <c r="AK491" s="1564"/>
      <c r="AL491" s="1564"/>
      <c r="AM491" s="1564"/>
      <c r="AN491" s="1564"/>
      <c r="AO491" s="1564"/>
      <c r="AP491" s="1564"/>
      <c r="AQ491" s="1564"/>
      <c r="AR491" s="1564"/>
      <c r="AS491" s="1564"/>
      <c r="AT491" s="1564"/>
      <c r="AU491" s="1564"/>
      <c r="AV491" s="1564"/>
      <c r="AW491" s="1564"/>
      <c r="AX491" s="1564"/>
    </row>
    <row r="492" spans="1:50" ht="15.75" hidden="1" x14ac:dyDescent="0.25">
      <c r="A492" s="1564"/>
      <c r="B492" s="1729" t="s">
        <v>599</v>
      </c>
      <c r="C492" s="1729">
        <v>0</v>
      </c>
      <c r="D492" s="1729">
        <v>0</v>
      </c>
      <c r="E492" s="1729">
        <v>1</v>
      </c>
      <c r="F492" s="1729">
        <v>5</v>
      </c>
      <c r="G492" s="1729">
        <v>10</v>
      </c>
      <c r="H492" s="1729">
        <v>19</v>
      </c>
      <c r="I492" s="1729">
        <v>29</v>
      </c>
      <c r="J492" s="1729">
        <v>41</v>
      </c>
      <c r="K492" s="1729">
        <v>54</v>
      </c>
      <c r="L492" s="1729">
        <v>68</v>
      </c>
      <c r="M492" s="1729">
        <v>83</v>
      </c>
      <c r="N492" s="1729">
        <v>99</v>
      </c>
      <c r="O492" s="1729">
        <v>115</v>
      </c>
      <c r="P492" s="1729">
        <v>131</v>
      </c>
      <c r="Q492" s="1729">
        <v>147</v>
      </c>
      <c r="R492" s="1729">
        <v>163</v>
      </c>
      <c r="S492" s="1729">
        <v>179</v>
      </c>
      <c r="T492" s="1729">
        <v>196</v>
      </c>
      <c r="U492" s="1729">
        <v>211</v>
      </c>
      <c r="V492" s="1729">
        <v>227</v>
      </c>
      <c r="W492" s="1729">
        <v>242</v>
      </c>
      <c r="X492" s="1729">
        <v>258</v>
      </c>
      <c r="Y492" s="1729">
        <v>273</v>
      </c>
      <c r="Z492" s="1729">
        <v>287</v>
      </c>
      <c r="AA492" s="1729">
        <v>301</v>
      </c>
      <c r="AB492" s="1729">
        <v>316</v>
      </c>
      <c r="AC492" s="1729">
        <v>329</v>
      </c>
      <c r="AD492" s="1729">
        <v>343</v>
      </c>
      <c r="AE492" s="1729">
        <v>356</v>
      </c>
      <c r="AF492" s="1729">
        <v>369</v>
      </c>
      <c r="AG492" s="1729">
        <v>382</v>
      </c>
      <c r="AH492" s="1564"/>
      <c r="AI492" s="1564"/>
      <c r="AJ492" s="1564"/>
      <c r="AK492" s="1564"/>
      <c r="AL492" s="1564"/>
      <c r="AM492" s="1564"/>
      <c r="AN492" s="1564"/>
      <c r="AO492" s="1564"/>
      <c r="AP492" s="1564"/>
      <c r="AQ492" s="1564"/>
      <c r="AR492" s="1564"/>
      <c r="AS492" s="1564"/>
      <c r="AT492" s="1564"/>
      <c r="AU492" s="1564"/>
      <c r="AV492" s="1564"/>
      <c r="AW492" s="1564"/>
      <c r="AX492" s="1564"/>
    </row>
    <row r="493" spans="1:50" ht="15.75" hidden="1" x14ac:dyDescent="0.25">
      <c r="A493" s="1564"/>
      <c r="B493" s="1729" t="s">
        <v>600</v>
      </c>
      <c r="C493" s="1729">
        <v>0</v>
      </c>
      <c r="D493" s="1729">
        <v>0</v>
      </c>
      <c r="E493" s="1729">
        <v>0</v>
      </c>
      <c r="F493" s="1729">
        <v>0</v>
      </c>
      <c r="G493" s="1729">
        <v>1</v>
      </c>
      <c r="H493" s="1729">
        <v>3</v>
      </c>
      <c r="I493" s="1729">
        <v>6</v>
      </c>
      <c r="J493" s="1729">
        <v>10</v>
      </c>
      <c r="K493" s="1729">
        <v>16</v>
      </c>
      <c r="L493" s="1729">
        <v>23</v>
      </c>
      <c r="M493" s="1729">
        <v>32</v>
      </c>
      <c r="N493" s="1729">
        <v>42</v>
      </c>
      <c r="O493" s="1729">
        <v>53</v>
      </c>
      <c r="P493" s="1729">
        <v>65</v>
      </c>
      <c r="Q493" s="1729">
        <v>78</v>
      </c>
      <c r="R493" s="1729">
        <v>91</v>
      </c>
      <c r="S493" s="1729">
        <v>104</v>
      </c>
      <c r="T493" s="1729">
        <v>118</v>
      </c>
      <c r="U493" s="1729">
        <v>132</v>
      </c>
      <c r="V493" s="1729">
        <v>146</v>
      </c>
      <c r="W493" s="1729">
        <v>159</v>
      </c>
      <c r="X493" s="1729">
        <v>173</v>
      </c>
      <c r="Y493" s="1729">
        <v>187</v>
      </c>
      <c r="Z493" s="1729">
        <v>201</v>
      </c>
      <c r="AA493" s="1729">
        <v>214</v>
      </c>
      <c r="AB493" s="1729">
        <v>228</v>
      </c>
      <c r="AC493" s="1729">
        <v>241</v>
      </c>
      <c r="AD493" s="1729">
        <v>254</v>
      </c>
      <c r="AE493" s="1729">
        <v>267</v>
      </c>
      <c r="AF493" s="1729">
        <v>279</v>
      </c>
      <c r="AG493" s="1729">
        <v>291</v>
      </c>
      <c r="AH493" s="1564"/>
      <c r="AI493" s="1564"/>
      <c r="AJ493" s="1564"/>
      <c r="AK493" s="1564"/>
      <c r="AL493" s="1564"/>
      <c r="AM493" s="1564"/>
      <c r="AN493" s="1564"/>
      <c r="AO493" s="1564"/>
      <c r="AP493" s="1564"/>
      <c r="AQ493" s="1564"/>
      <c r="AR493" s="1564"/>
      <c r="AS493" s="1564"/>
      <c r="AT493" s="1564"/>
      <c r="AU493" s="1564"/>
      <c r="AV493" s="1564"/>
      <c r="AW493" s="1564"/>
      <c r="AX493" s="1564"/>
    </row>
    <row r="494" spans="1:50" ht="15.75" hidden="1" x14ac:dyDescent="0.25">
      <c r="A494" s="1564"/>
      <c r="B494" s="1916" t="s">
        <v>601</v>
      </c>
      <c r="C494" s="1916">
        <v>0</v>
      </c>
      <c r="D494" s="1916">
        <v>0</v>
      </c>
      <c r="E494" s="1916">
        <v>0</v>
      </c>
      <c r="F494" s="1916">
        <v>0</v>
      </c>
      <c r="G494" s="1916">
        <v>1</v>
      </c>
      <c r="H494" s="1916">
        <v>2</v>
      </c>
      <c r="I494" s="1916">
        <v>4</v>
      </c>
      <c r="J494" s="1916">
        <v>7</v>
      </c>
      <c r="K494" s="1916">
        <v>11</v>
      </c>
      <c r="L494" s="1916">
        <v>16</v>
      </c>
      <c r="M494" s="1916">
        <v>21</v>
      </c>
      <c r="N494" s="1916">
        <v>28</v>
      </c>
      <c r="O494" s="1916">
        <v>35</v>
      </c>
      <c r="P494" s="1916">
        <v>43</v>
      </c>
      <c r="Q494" s="1916">
        <v>52</v>
      </c>
      <c r="R494" s="1916">
        <v>60</v>
      </c>
      <c r="S494" s="1916">
        <v>69</v>
      </c>
      <c r="T494" s="1916">
        <v>78</v>
      </c>
      <c r="U494" s="1916">
        <v>87</v>
      </c>
      <c r="V494" s="1916">
        <v>97</v>
      </c>
      <c r="W494" s="1916">
        <v>106</v>
      </c>
      <c r="X494" s="1916">
        <v>115</v>
      </c>
      <c r="Y494" s="1916">
        <v>124</v>
      </c>
      <c r="Z494" s="1916">
        <v>133</v>
      </c>
      <c r="AA494" s="1916">
        <v>142</v>
      </c>
      <c r="AB494" s="1916">
        <v>151</v>
      </c>
      <c r="AC494" s="1916">
        <v>160</v>
      </c>
      <c r="AD494" s="1916">
        <v>168</v>
      </c>
      <c r="AE494" s="1916">
        <v>177</v>
      </c>
      <c r="AF494" s="1916">
        <v>185</v>
      </c>
      <c r="AG494" s="1916">
        <v>193</v>
      </c>
      <c r="AH494" s="1564"/>
      <c r="AI494" s="1564"/>
      <c r="AJ494" s="1564"/>
      <c r="AK494" s="1564"/>
      <c r="AL494" s="1564"/>
      <c r="AM494" s="1564"/>
      <c r="AN494" s="1564"/>
      <c r="AO494" s="1564"/>
      <c r="AP494" s="1564"/>
      <c r="AQ494" s="1564"/>
      <c r="AR494" s="1564"/>
      <c r="AS494" s="1564"/>
      <c r="AT494" s="1564"/>
      <c r="AU494" s="1564"/>
      <c r="AV494" s="1564"/>
      <c r="AW494" s="1564"/>
      <c r="AX494" s="1564"/>
    </row>
    <row r="495" spans="1:50" ht="15.75" hidden="1" x14ac:dyDescent="0.25">
      <c r="A495" s="1564"/>
      <c r="B495" s="1564"/>
      <c r="C495" s="1564"/>
      <c r="D495" s="1564"/>
      <c r="E495" s="1564"/>
      <c r="F495" s="1564"/>
      <c r="G495" s="1564"/>
      <c r="H495" s="1564"/>
      <c r="I495" s="1564"/>
      <c r="J495" s="1564"/>
      <c r="K495" s="1564"/>
      <c r="L495" s="1564"/>
      <c r="M495" s="1564"/>
      <c r="N495" s="1564"/>
      <c r="O495" s="1564"/>
      <c r="P495" s="1564"/>
      <c r="Q495" s="1564"/>
      <c r="R495" s="1564"/>
      <c r="S495" s="1564"/>
      <c r="T495" s="1564"/>
      <c r="U495" s="1564"/>
      <c r="V495" s="1564"/>
      <c r="W495" s="1564"/>
      <c r="X495" s="1564"/>
      <c r="Y495" s="1564"/>
      <c r="Z495" s="1564"/>
      <c r="AA495" s="1564"/>
      <c r="AB495" s="1564"/>
      <c r="AC495" s="1564"/>
      <c r="AD495" s="1564"/>
      <c r="AE495" s="1564"/>
      <c r="AF495" s="1564"/>
      <c r="AG495" s="1564"/>
      <c r="AH495" s="1564"/>
      <c r="AI495" s="1564"/>
      <c r="AJ495" s="1564"/>
      <c r="AK495" s="1564"/>
      <c r="AL495" s="1564"/>
      <c r="AM495" s="1564"/>
      <c r="AN495" s="1564"/>
      <c r="AO495" s="1564"/>
      <c r="AP495" s="1564"/>
      <c r="AQ495" s="1564"/>
      <c r="AR495" s="1564"/>
      <c r="AS495" s="1564"/>
      <c r="AT495" s="1564"/>
      <c r="AU495" s="1564"/>
      <c r="AV495" s="1564"/>
      <c r="AW495" s="1564"/>
      <c r="AX495" s="1564"/>
    </row>
    <row r="496" spans="1:50" ht="15.75" hidden="1" x14ac:dyDescent="0.25">
      <c r="A496" s="1564"/>
      <c r="B496" s="1917"/>
      <c r="C496" s="1918" t="s">
        <v>602</v>
      </c>
      <c r="D496" s="1918" t="s">
        <v>603</v>
      </c>
      <c r="E496" s="1918" t="s">
        <v>604</v>
      </c>
      <c r="F496" s="1918" t="s">
        <v>605</v>
      </c>
      <c r="G496" s="1918" t="s">
        <v>606</v>
      </c>
      <c r="H496" s="1918" t="s">
        <v>603</v>
      </c>
      <c r="I496" s="1918" t="s">
        <v>604</v>
      </c>
      <c r="J496" s="1564"/>
      <c r="K496" s="1564"/>
      <c r="L496" s="1564"/>
      <c r="M496" s="1564"/>
      <c r="N496" s="1564"/>
      <c r="O496" s="1564"/>
      <c r="P496" s="1564"/>
      <c r="Q496" s="1564"/>
      <c r="R496" s="1564"/>
      <c r="S496" s="1564"/>
      <c r="T496" s="1564"/>
      <c r="U496" s="1564"/>
      <c r="V496" s="1564"/>
      <c r="W496" s="1564"/>
      <c r="X496" s="1564"/>
      <c r="Y496" s="1564"/>
      <c r="Z496" s="1564"/>
      <c r="AA496" s="1564"/>
      <c r="AB496" s="1564"/>
      <c r="AC496" s="1564"/>
      <c r="AD496" s="1564"/>
      <c r="AE496" s="1564"/>
      <c r="AF496" s="1564"/>
      <c r="AG496" s="1564"/>
      <c r="AH496" s="1564"/>
      <c r="AI496" s="1564"/>
      <c r="AJ496" s="1564"/>
      <c r="AK496" s="1564"/>
      <c r="AL496" s="1564"/>
      <c r="AM496" s="1564"/>
      <c r="AN496" s="1564"/>
      <c r="AO496" s="1564"/>
      <c r="AP496" s="1564"/>
      <c r="AQ496" s="1564"/>
      <c r="AR496" s="1564"/>
      <c r="AS496" s="1564"/>
      <c r="AT496" s="1564"/>
      <c r="AU496" s="1564"/>
      <c r="AV496" s="1564"/>
      <c r="AW496" s="1564"/>
      <c r="AX496" s="1564"/>
    </row>
    <row r="497" spans="1:50" ht="15.75" hidden="1" x14ac:dyDescent="0.25">
      <c r="A497" s="1564"/>
      <c r="B497" s="1919" t="s">
        <v>607</v>
      </c>
      <c r="C497" s="1920" t="s">
        <v>608</v>
      </c>
      <c r="D497" s="2226" t="s">
        <v>609</v>
      </c>
      <c r="E497" s="2226"/>
      <c r="F497" s="2226" t="s">
        <v>610</v>
      </c>
      <c r="G497" s="2226"/>
      <c r="H497" s="2226" t="s">
        <v>611</v>
      </c>
      <c r="I497" s="2226"/>
      <c r="J497" s="1564"/>
      <c r="K497" s="1564"/>
      <c r="L497" s="1564"/>
      <c r="M497" s="1564"/>
      <c r="N497" s="1564"/>
      <c r="O497" s="1564"/>
      <c r="P497" s="1564"/>
      <c r="Q497" s="1564"/>
      <c r="R497" s="1564"/>
      <c r="S497" s="1564"/>
      <c r="T497" s="1564"/>
      <c r="U497" s="1564"/>
      <c r="V497" s="1564"/>
      <c r="W497" s="1564"/>
      <c r="X497" s="1564"/>
      <c r="Y497" s="1564"/>
      <c r="Z497" s="1564"/>
      <c r="AA497" s="1564"/>
      <c r="AB497" s="1564"/>
      <c r="AC497" s="1564"/>
      <c r="AD497" s="1564"/>
      <c r="AE497" s="1564"/>
      <c r="AF497" s="1564"/>
      <c r="AG497" s="1564"/>
      <c r="AH497" s="1564"/>
      <c r="AI497" s="1564"/>
      <c r="AJ497" s="1564"/>
      <c r="AK497" s="1564"/>
      <c r="AL497" s="1564"/>
      <c r="AM497" s="1564"/>
      <c r="AN497" s="1564"/>
      <c r="AO497" s="1564"/>
      <c r="AP497" s="1564"/>
      <c r="AQ497" s="1564"/>
      <c r="AR497" s="1564"/>
      <c r="AS497" s="1564"/>
      <c r="AT497" s="1564"/>
      <c r="AU497" s="1564"/>
      <c r="AV497" s="1564"/>
      <c r="AW497" s="1564"/>
      <c r="AX497" s="1564"/>
    </row>
    <row r="498" spans="1:50" ht="15.75" hidden="1" x14ac:dyDescent="0.25">
      <c r="A498" s="1564">
        <v>1</v>
      </c>
      <c r="B498" s="1730" t="s">
        <v>771</v>
      </c>
      <c r="C498" s="1764">
        <v>0</v>
      </c>
      <c r="D498" s="1764">
        <v>0</v>
      </c>
      <c r="E498" s="1764">
        <v>0</v>
      </c>
      <c r="F498" s="1764">
        <v>0</v>
      </c>
      <c r="G498" s="1764">
        <v>0</v>
      </c>
      <c r="H498" s="1764">
        <v>0</v>
      </c>
      <c r="I498" s="1764">
        <v>0</v>
      </c>
      <c r="J498" s="1564"/>
      <c r="K498" s="1564"/>
      <c r="L498" s="1564"/>
      <c r="M498" s="1564"/>
      <c r="N498" s="1564"/>
      <c r="O498" s="1564"/>
      <c r="P498" s="1564"/>
      <c r="Q498" s="1564"/>
      <c r="R498" s="1564"/>
      <c r="S498" s="1564"/>
      <c r="T498" s="1564"/>
      <c r="U498" s="1564"/>
      <c r="V498" s="1564"/>
      <c r="W498" s="1564"/>
      <c r="X498" s="1564"/>
      <c r="Y498" s="1564"/>
      <c r="Z498" s="1564"/>
      <c r="AA498" s="1564"/>
      <c r="AB498" s="1564"/>
      <c r="AC498" s="1564"/>
      <c r="AD498" s="1564"/>
      <c r="AE498" s="1564"/>
      <c r="AF498" s="1564"/>
      <c r="AG498" s="1564"/>
      <c r="AH498" s="1564"/>
      <c r="AI498" s="1564"/>
      <c r="AJ498" s="1564"/>
      <c r="AK498" s="1564"/>
      <c r="AL498" s="1564"/>
      <c r="AM498" s="1564"/>
      <c r="AN498" s="1564"/>
      <c r="AO498" s="1564"/>
      <c r="AP498" s="1564"/>
      <c r="AQ498" s="1564"/>
      <c r="AR498" s="1564"/>
      <c r="AS498" s="1564"/>
      <c r="AT498" s="1564"/>
      <c r="AU498" s="1564"/>
      <c r="AV498" s="1564"/>
      <c r="AW498" s="1564"/>
      <c r="AX498" s="1564"/>
    </row>
    <row r="499" spans="1:50" ht="15.75" hidden="1" x14ac:dyDescent="0.25">
      <c r="A499" s="1564">
        <v>2</v>
      </c>
      <c r="B499" s="1730" t="s">
        <v>1375</v>
      </c>
      <c r="C499" s="1730">
        <v>600</v>
      </c>
      <c r="D499" s="1730">
        <v>15</v>
      </c>
      <c r="E499" s="1730">
        <v>30</v>
      </c>
      <c r="F499" s="1730">
        <v>0.43</v>
      </c>
      <c r="G499" s="1731">
        <v>0.5</v>
      </c>
      <c r="H499" s="1732">
        <f>D499*F499*G499*3.7</f>
        <v>11.932500000000001</v>
      </c>
      <c r="I499" s="1732">
        <f>E499*F499*G499*3.7</f>
        <v>23.865000000000002</v>
      </c>
      <c r="J499" s="1564"/>
      <c r="K499" s="1564"/>
      <c r="L499" s="1564"/>
      <c r="M499" s="1564"/>
      <c r="N499" s="1564"/>
      <c r="O499" s="1564"/>
      <c r="P499" s="1564"/>
      <c r="Q499" s="1564"/>
      <c r="R499" s="1564"/>
      <c r="S499" s="1564"/>
      <c r="T499" s="1564"/>
      <c r="U499" s="1564"/>
      <c r="V499" s="1564"/>
      <c r="W499" s="1564"/>
      <c r="X499" s="1564"/>
      <c r="Y499" s="1564"/>
      <c r="Z499" s="1564"/>
      <c r="AA499" s="1564"/>
      <c r="AB499" s="1564"/>
      <c r="AC499" s="1564"/>
      <c r="AD499" s="1564"/>
      <c r="AE499" s="1564"/>
      <c r="AF499" s="1564"/>
      <c r="AG499" s="1564"/>
      <c r="AH499" s="1564"/>
      <c r="AI499" s="1564"/>
      <c r="AJ499" s="1564"/>
      <c r="AK499" s="1564"/>
      <c r="AL499" s="1564"/>
      <c r="AM499" s="1564"/>
      <c r="AN499" s="1564"/>
      <c r="AO499" s="1564"/>
      <c r="AP499" s="1564"/>
      <c r="AQ499" s="1564"/>
      <c r="AR499" s="1564"/>
      <c r="AS499" s="1564"/>
      <c r="AT499" s="1564"/>
      <c r="AU499" s="1564"/>
      <c r="AV499" s="1564"/>
      <c r="AW499" s="1564"/>
      <c r="AX499" s="1564"/>
    </row>
    <row r="500" spans="1:50" ht="15.75" hidden="1" x14ac:dyDescent="0.25">
      <c r="A500" s="1564">
        <v>3</v>
      </c>
      <c r="B500" s="1729" t="s">
        <v>613</v>
      </c>
      <c r="C500" s="1729">
        <v>600</v>
      </c>
      <c r="D500" s="1729">
        <v>15</v>
      </c>
      <c r="E500" s="1729">
        <v>30</v>
      </c>
      <c r="F500" s="1729">
        <v>0.43</v>
      </c>
      <c r="G500" s="1733">
        <v>0.5</v>
      </c>
      <c r="H500" s="1734">
        <f>D500*F500*G500*3.7</f>
        <v>11.932500000000001</v>
      </c>
      <c r="I500" s="1734">
        <f>E500*F500*G500*3.7</f>
        <v>23.865000000000002</v>
      </c>
      <c r="J500" s="1564"/>
      <c r="K500" s="1564"/>
      <c r="L500" s="1564"/>
      <c r="M500" s="1564"/>
      <c r="N500" s="1564"/>
      <c r="O500" s="1564"/>
      <c r="P500" s="1564"/>
      <c r="Q500" s="1564"/>
      <c r="R500" s="1564"/>
      <c r="S500" s="1564"/>
      <c r="T500" s="1564"/>
      <c r="U500" s="1564"/>
      <c r="V500" s="1564"/>
      <c r="W500" s="1564"/>
      <c r="X500" s="1564"/>
      <c r="Y500" s="1564"/>
      <c r="Z500" s="1564"/>
      <c r="AA500" s="1564"/>
      <c r="AB500" s="1564"/>
      <c r="AC500" s="1564"/>
      <c r="AD500" s="1564"/>
      <c r="AE500" s="1564"/>
      <c r="AF500" s="1564"/>
      <c r="AG500" s="1564"/>
      <c r="AH500" s="1564"/>
      <c r="AI500" s="1564"/>
      <c r="AJ500" s="1564"/>
      <c r="AK500" s="1564"/>
      <c r="AL500" s="1564"/>
      <c r="AM500" s="1564"/>
      <c r="AN500" s="1564"/>
      <c r="AO500" s="1564"/>
      <c r="AP500" s="1564"/>
      <c r="AQ500" s="1564"/>
      <c r="AR500" s="1564"/>
      <c r="AS500" s="1564"/>
      <c r="AT500" s="1564"/>
      <c r="AU500" s="1564"/>
      <c r="AV500" s="1564"/>
      <c r="AW500" s="1564"/>
      <c r="AX500" s="1564"/>
    </row>
    <row r="501" spans="1:50" ht="15.75" hidden="1" x14ac:dyDescent="0.25">
      <c r="A501" s="1564">
        <v>4</v>
      </c>
      <c r="B501" s="1730" t="s">
        <v>614</v>
      </c>
      <c r="C501" s="1730">
        <f t="shared" ref="C501:I501" si="18">AVERAGE(C502:C505)</f>
        <v>775</v>
      </c>
      <c r="D501" s="1730">
        <f t="shared" si="18"/>
        <v>15</v>
      </c>
      <c r="E501" s="1730">
        <f t="shared" si="18"/>
        <v>32.5</v>
      </c>
      <c r="F501" s="1730">
        <f t="shared" si="18"/>
        <v>0.63</v>
      </c>
      <c r="G501" s="1730">
        <f t="shared" si="18"/>
        <v>0.5</v>
      </c>
      <c r="H501" s="1730">
        <f t="shared" si="18"/>
        <v>17.482499999999998</v>
      </c>
      <c r="I501" s="1730">
        <f t="shared" si="18"/>
        <v>37.878750000000004</v>
      </c>
      <c r="J501" s="1564"/>
      <c r="K501" s="1564"/>
      <c r="L501" s="1564"/>
      <c r="M501" s="1564"/>
      <c r="N501" s="1564"/>
      <c r="O501" s="1564"/>
      <c r="P501" s="1564"/>
      <c r="Q501" s="1564"/>
      <c r="R501" s="1564"/>
      <c r="S501" s="1564"/>
      <c r="T501" s="1564"/>
      <c r="U501" s="1564"/>
      <c r="V501" s="1564"/>
      <c r="W501" s="1564"/>
      <c r="X501" s="1564"/>
      <c r="Y501" s="1564"/>
      <c r="Z501" s="1564"/>
      <c r="AA501" s="1564"/>
      <c r="AB501" s="1564"/>
      <c r="AC501" s="1564"/>
      <c r="AD501" s="1564"/>
      <c r="AE501" s="1564"/>
      <c r="AF501" s="1564"/>
      <c r="AG501" s="1564"/>
      <c r="AH501" s="1564"/>
      <c r="AI501" s="1564"/>
      <c r="AJ501" s="1564"/>
      <c r="AK501" s="1564"/>
      <c r="AL501" s="1564"/>
      <c r="AM501" s="1564"/>
      <c r="AN501" s="1564"/>
      <c r="AO501" s="1564"/>
      <c r="AP501" s="1564"/>
      <c r="AQ501" s="1564"/>
      <c r="AR501" s="1564"/>
      <c r="AS501" s="1564"/>
      <c r="AT501" s="1564"/>
      <c r="AU501" s="1564"/>
      <c r="AV501" s="1564"/>
      <c r="AW501" s="1564"/>
      <c r="AX501" s="1564"/>
    </row>
    <row r="502" spans="1:50" ht="15.75" hidden="1" x14ac:dyDescent="0.25">
      <c r="A502" s="1564">
        <v>5</v>
      </c>
      <c r="B502" s="1729" t="s">
        <v>615</v>
      </c>
      <c r="C502" s="1729">
        <v>700</v>
      </c>
      <c r="D502" s="1729">
        <v>15</v>
      </c>
      <c r="E502" s="1729">
        <v>35</v>
      </c>
      <c r="F502" s="1729">
        <v>0.63</v>
      </c>
      <c r="G502" s="1733">
        <v>0.5</v>
      </c>
      <c r="H502" s="1734">
        <f>D502*F502*G502*3.7</f>
        <v>17.482499999999998</v>
      </c>
      <c r="I502" s="1734">
        <f>E502*F502*G502*3.7</f>
        <v>40.792500000000004</v>
      </c>
      <c r="J502" s="1564"/>
      <c r="K502" s="1564"/>
      <c r="L502" s="1564"/>
      <c r="M502" s="1564"/>
      <c r="N502" s="1564"/>
      <c r="O502" s="1564"/>
      <c r="P502" s="1564"/>
      <c r="Q502" s="1564"/>
      <c r="R502" s="1564"/>
      <c r="S502" s="1564"/>
      <c r="T502" s="1564"/>
      <c r="U502" s="1564"/>
      <c r="V502" s="1564"/>
      <c r="W502" s="1564"/>
      <c r="X502" s="1564"/>
      <c r="Y502" s="1564"/>
      <c r="Z502" s="1564"/>
      <c r="AA502" s="1564"/>
      <c r="AB502" s="1564"/>
      <c r="AC502" s="1564"/>
      <c r="AD502" s="1564"/>
      <c r="AE502" s="1564"/>
      <c r="AF502" s="1564"/>
      <c r="AG502" s="1564"/>
      <c r="AH502" s="1564"/>
      <c r="AI502" s="1564"/>
      <c r="AJ502" s="1564"/>
      <c r="AK502" s="1564"/>
      <c r="AL502" s="1564"/>
      <c r="AM502" s="1564"/>
      <c r="AN502" s="1564"/>
      <c r="AO502" s="1564"/>
      <c r="AP502" s="1564"/>
      <c r="AQ502" s="1564"/>
      <c r="AR502" s="1564"/>
      <c r="AS502" s="1564"/>
      <c r="AT502" s="1564"/>
      <c r="AU502" s="1564"/>
      <c r="AV502" s="1564"/>
      <c r="AW502" s="1564"/>
      <c r="AX502" s="1564"/>
    </row>
    <row r="503" spans="1:50" ht="15.75" hidden="1" x14ac:dyDescent="0.25">
      <c r="A503" s="1564">
        <v>6</v>
      </c>
      <c r="B503" s="1729" t="s">
        <v>616</v>
      </c>
      <c r="C503" s="1729">
        <v>800</v>
      </c>
      <c r="D503" s="1729">
        <v>15</v>
      </c>
      <c r="E503" s="1729">
        <v>35</v>
      </c>
      <c r="F503" s="1729">
        <v>0.63</v>
      </c>
      <c r="G503" s="1733">
        <v>0.5</v>
      </c>
      <c r="H503" s="1734">
        <f>D503*F503*G503*3.7</f>
        <v>17.482499999999998</v>
      </c>
      <c r="I503" s="1734">
        <f>E503*F503*G503*3.7</f>
        <v>40.792500000000004</v>
      </c>
      <c r="J503" s="1564"/>
      <c r="K503" s="1564"/>
      <c r="L503" s="1564"/>
      <c r="M503" s="1564"/>
      <c r="N503" s="1564"/>
      <c r="O503" s="1564"/>
      <c r="P503" s="1564"/>
      <c r="Q503" s="1564"/>
      <c r="R503" s="1564"/>
      <c r="S503" s="1564"/>
      <c r="T503" s="1564"/>
      <c r="U503" s="1564"/>
      <c r="V503" s="1564"/>
      <c r="W503" s="1564"/>
      <c r="X503" s="1564"/>
      <c r="Y503" s="1564"/>
      <c r="Z503" s="1564"/>
      <c r="AA503" s="1564"/>
      <c r="AB503" s="1564"/>
      <c r="AC503" s="1564"/>
      <c r="AD503" s="1564"/>
      <c r="AE503" s="1564"/>
      <c r="AF503" s="1564"/>
      <c r="AG503" s="1564"/>
      <c r="AH503" s="1564"/>
      <c r="AI503" s="1564"/>
      <c r="AJ503" s="1564"/>
      <c r="AK503" s="1564"/>
      <c r="AL503" s="1564"/>
      <c r="AM503" s="1564"/>
      <c r="AN503" s="1564"/>
      <c r="AO503" s="1564"/>
      <c r="AP503" s="1564"/>
      <c r="AQ503" s="1564"/>
      <c r="AR503" s="1564"/>
      <c r="AS503" s="1564"/>
      <c r="AT503" s="1564"/>
      <c r="AU503" s="1564"/>
      <c r="AV503" s="1564"/>
      <c r="AW503" s="1564"/>
      <c r="AX503" s="1564"/>
    </row>
    <row r="504" spans="1:50" ht="15.75" hidden="1" x14ac:dyDescent="0.25">
      <c r="A504" s="1564">
        <v>7</v>
      </c>
      <c r="B504" s="1729" t="s">
        <v>617</v>
      </c>
      <c r="C504" s="1729">
        <v>800</v>
      </c>
      <c r="D504" s="1729">
        <v>15</v>
      </c>
      <c r="E504" s="1729">
        <v>30</v>
      </c>
      <c r="F504" s="1729">
        <v>0.63</v>
      </c>
      <c r="G504" s="1733">
        <v>0.5</v>
      </c>
      <c r="H504" s="1734">
        <f>D504*F504*G504*3.7</f>
        <v>17.482499999999998</v>
      </c>
      <c r="I504" s="1734">
        <f>E504*F504*G504*3.7</f>
        <v>34.964999999999996</v>
      </c>
      <c r="J504" s="1564"/>
      <c r="K504" s="1564"/>
      <c r="L504" s="1564"/>
      <c r="M504" s="1564"/>
      <c r="N504" s="1564"/>
      <c r="O504" s="1564"/>
      <c r="P504" s="1564"/>
      <c r="Q504" s="1564"/>
      <c r="R504" s="1564"/>
      <c r="S504" s="1564"/>
      <c r="T504" s="1564"/>
      <c r="U504" s="1564"/>
      <c r="V504" s="1564"/>
      <c r="W504" s="1564"/>
      <c r="X504" s="1564"/>
      <c r="Y504" s="1564"/>
      <c r="Z504" s="1564"/>
      <c r="AA504" s="1564"/>
      <c r="AB504" s="1564"/>
      <c r="AC504" s="1564"/>
      <c r="AD504" s="1564"/>
      <c r="AE504" s="1564"/>
      <c r="AF504" s="1564"/>
      <c r="AG504" s="1564"/>
      <c r="AH504" s="1564"/>
      <c r="AI504" s="1564"/>
      <c r="AJ504" s="1564"/>
      <c r="AK504" s="1564"/>
      <c r="AL504" s="1564"/>
      <c r="AM504" s="1564"/>
      <c r="AN504" s="1564"/>
      <c r="AO504" s="1564"/>
      <c r="AP504" s="1564"/>
      <c r="AQ504" s="1564"/>
      <c r="AR504" s="1564"/>
      <c r="AS504" s="1564"/>
      <c r="AT504" s="1564"/>
      <c r="AU504" s="1564"/>
      <c r="AV504" s="1564"/>
      <c r="AW504" s="1564"/>
      <c r="AX504" s="1564"/>
    </row>
    <row r="505" spans="1:50" ht="15.75" hidden="1" x14ac:dyDescent="0.25">
      <c r="A505" s="1564">
        <v>8</v>
      </c>
      <c r="B505" s="1729" t="s">
        <v>618</v>
      </c>
      <c r="C505" s="1729">
        <v>800</v>
      </c>
      <c r="D505" s="1729">
        <v>15</v>
      </c>
      <c r="E505" s="1729">
        <v>30</v>
      </c>
      <c r="F505" s="1729">
        <v>0.63</v>
      </c>
      <c r="G505" s="1733">
        <v>0.5</v>
      </c>
      <c r="H505" s="1734">
        <f>D505*F505*G505*3.7</f>
        <v>17.482499999999998</v>
      </c>
      <c r="I505" s="1734">
        <f>E505*F505*G505*3.7</f>
        <v>34.964999999999996</v>
      </c>
      <c r="J505" s="1564"/>
      <c r="K505" s="1564"/>
      <c r="L505" s="1564"/>
      <c r="M505" s="1564"/>
      <c r="N505" s="1564"/>
      <c r="O505" s="1564"/>
      <c r="P505" s="1564"/>
      <c r="Q505" s="1564"/>
      <c r="R505" s="1564"/>
      <c r="S505" s="1564"/>
      <c r="T505" s="1564"/>
      <c r="U505" s="1564"/>
      <c r="V505" s="1564"/>
      <c r="W505" s="1564"/>
      <c r="X505" s="1564"/>
      <c r="Y505" s="1564"/>
      <c r="Z505" s="1564"/>
      <c r="AA505" s="1564"/>
      <c r="AB505" s="1564"/>
      <c r="AC505" s="1564"/>
      <c r="AD505" s="1564"/>
      <c r="AE505" s="1564"/>
      <c r="AF505" s="1564"/>
      <c r="AG505" s="1564"/>
      <c r="AH505" s="1564"/>
      <c r="AI505" s="1564"/>
      <c r="AJ505" s="1564"/>
      <c r="AK505" s="1564"/>
      <c r="AL505" s="1564"/>
      <c r="AM505" s="1564"/>
      <c r="AN505" s="1564"/>
      <c r="AO505" s="1564"/>
      <c r="AP505" s="1564"/>
      <c r="AQ505" s="1564"/>
      <c r="AR505" s="1564"/>
      <c r="AS505" s="1564"/>
      <c r="AT505" s="1564"/>
      <c r="AU505" s="1564"/>
      <c r="AV505" s="1564"/>
      <c r="AW505" s="1564"/>
      <c r="AX505" s="1564"/>
    </row>
    <row r="506" spans="1:50" ht="15.75" hidden="1" x14ac:dyDescent="0.25">
      <c r="A506" s="1564">
        <v>9</v>
      </c>
      <c r="B506" s="1729" t="s">
        <v>619</v>
      </c>
      <c r="C506" s="1729">
        <v>600</v>
      </c>
      <c r="D506" s="1729">
        <v>8</v>
      </c>
      <c r="E506" s="1729">
        <v>20</v>
      </c>
      <c r="F506" s="1729">
        <v>0.63</v>
      </c>
      <c r="G506" s="1733">
        <v>0.5</v>
      </c>
      <c r="H506" s="1734">
        <f>D506*F506*G506*3.7</f>
        <v>9.3239999999999998</v>
      </c>
      <c r="I506" s="1734">
        <f>E506*F506*G506*3.7</f>
        <v>23.31</v>
      </c>
      <c r="J506" s="1564"/>
      <c r="K506" s="1564"/>
      <c r="L506" s="1564"/>
      <c r="M506" s="1564"/>
      <c r="N506" s="1564"/>
      <c r="O506" s="1564"/>
      <c r="P506" s="1564"/>
      <c r="Q506" s="1564"/>
      <c r="R506" s="1564"/>
      <c r="S506" s="1564"/>
      <c r="T506" s="1564"/>
      <c r="U506" s="1564"/>
      <c r="V506" s="1564"/>
      <c r="W506" s="1564"/>
      <c r="X506" s="1564"/>
      <c r="Y506" s="1564"/>
      <c r="Z506" s="1564"/>
      <c r="AA506" s="1564"/>
      <c r="AB506" s="1564"/>
      <c r="AC506" s="1564"/>
      <c r="AD506" s="1564"/>
      <c r="AE506" s="1564"/>
      <c r="AF506" s="1564"/>
      <c r="AG506" s="1564"/>
      <c r="AH506" s="1564"/>
      <c r="AI506" s="1564"/>
      <c r="AJ506" s="1564"/>
      <c r="AK506" s="1564"/>
      <c r="AL506" s="1564"/>
      <c r="AM506" s="1564"/>
      <c r="AN506" s="1564"/>
      <c r="AO506" s="1564"/>
      <c r="AP506" s="1564"/>
      <c r="AQ506" s="1564"/>
      <c r="AR506" s="1564"/>
      <c r="AS506" s="1564"/>
      <c r="AT506" s="1564"/>
      <c r="AU506" s="1564"/>
      <c r="AV506" s="1564"/>
      <c r="AW506" s="1564"/>
      <c r="AX506" s="1564"/>
    </row>
    <row r="507" spans="1:50" ht="15.75" hidden="1" x14ac:dyDescent="0.25">
      <c r="A507" s="1564">
        <v>10</v>
      </c>
      <c r="B507" s="1730" t="s">
        <v>620</v>
      </c>
      <c r="C507" s="1730">
        <f t="shared" ref="C507:I507" si="19">AVERAGE(C508:C512)</f>
        <v>530</v>
      </c>
      <c r="D507" s="1730">
        <f t="shared" si="19"/>
        <v>3</v>
      </c>
      <c r="E507" s="1730">
        <f t="shared" si="19"/>
        <v>8.8000000000000007</v>
      </c>
      <c r="F507" s="1730">
        <f t="shared" si="19"/>
        <v>0.63</v>
      </c>
      <c r="G507" s="1730">
        <f t="shared" si="19"/>
        <v>0.5</v>
      </c>
      <c r="H507" s="1730">
        <f t="shared" si="19"/>
        <v>3.4964999999999997</v>
      </c>
      <c r="I507" s="1730">
        <f t="shared" si="19"/>
        <v>10.256399999999999</v>
      </c>
      <c r="J507" s="1564"/>
      <c r="K507" s="1564"/>
      <c r="L507" s="1564"/>
      <c r="M507" s="1564"/>
      <c r="N507" s="1564"/>
      <c r="O507" s="1564"/>
      <c r="P507" s="1564"/>
      <c r="Q507" s="1564"/>
      <c r="R507" s="1564"/>
      <c r="S507" s="1564"/>
      <c r="T507" s="1564"/>
      <c r="U507" s="1564"/>
      <c r="V507" s="1564"/>
      <c r="W507" s="1564"/>
      <c r="X507" s="1564"/>
      <c r="Y507" s="1564"/>
      <c r="Z507" s="1564"/>
      <c r="AA507" s="1564"/>
      <c r="AB507" s="1564"/>
      <c r="AC507" s="1564"/>
      <c r="AD507" s="1564"/>
      <c r="AE507" s="1564"/>
      <c r="AF507" s="1564"/>
      <c r="AG507" s="1564"/>
      <c r="AH507" s="1564"/>
      <c r="AI507" s="1564"/>
      <c r="AJ507" s="1564"/>
      <c r="AK507" s="1564"/>
      <c r="AL507" s="1564"/>
      <c r="AM507" s="1564"/>
      <c r="AN507" s="1564"/>
      <c r="AO507" s="1564"/>
      <c r="AP507" s="1564"/>
      <c r="AQ507" s="1564"/>
      <c r="AR507" s="1564"/>
      <c r="AS507" s="1564"/>
      <c r="AT507" s="1564"/>
      <c r="AU507" s="1564"/>
      <c r="AV507" s="1564"/>
      <c r="AW507" s="1564"/>
      <c r="AX507" s="1564"/>
    </row>
    <row r="508" spans="1:50" ht="15.75" hidden="1" x14ac:dyDescent="0.25">
      <c r="A508" s="1564">
        <v>11</v>
      </c>
      <c r="B508" s="1729" t="s">
        <v>621</v>
      </c>
      <c r="C508" s="1729">
        <v>750</v>
      </c>
      <c r="D508" s="1729">
        <v>4</v>
      </c>
      <c r="E508" s="1729">
        <v>10</v>
      </c>
      <c r="F508" s="1729">
        <v>0.63</v>
      </c>
      <c r="G508" s="1733">
        <v>0.5</v>
      </c>
      <c r="H508" s="1734">
        <f>D508*F508*G508*3.7</f>
        <v>4.6619999999999999</v>
      </c>
      <c r="I508" s="1734">
        <f>E508*F508*G508*3.7</f>
        <v>11.654999999999999</v>
      </c>
      <c r="J508" s="1564"/>
      <c r="K508" s="1564"/>
      <c r="L508" s="1564"/>
      <c r="M508" s="1564"/>
      <c r="N508" s="1564"/>
      <c r="O508" s="1564"/>
      <c r="P508" s="1564"/>
      <c r="Q508" s="1564"/>
      <c r="R508" s="1564"/>
      <c r="S508" s="1564"/>
      <c r="T508" s="1564"/>
      <c r="U508" s="1564"/>
      <c r="V508" s="1564"/>
      <c r="W508" s="1564"/>
      <c r="X508" s="1564"/>
      <c r="Y508" s="1564"/>
      <c r="Z508" s="1564"/>
      <c r="AA508" s="1564"/>
      <c r="AB508" s="1564"/>
      <c r="AC508" s="1564"/>
      <c r="AD508" s="1564"/>
      <c r="AE508" s="1564"/>
      <c r="AF508" s="1564"/>
      <c r="AG508" s="1564"/>
      <c r="AH508" s="1564"/>
      <c r="AI508" s="1564"/>
      <c r="AJ508" s="1564"/>
      <c r="AK508" s="1564"/>
      <c r="AL508" s="1564"/>
      <c r="AM508" s="1564"/>
      <c r="AN508" s="1564"/>
      <c r="AO508" s="1564"/>
      <c r="AP508" s="1564"/>
      <c r="AQ508" s="1564"/>
      <c r="AR508" s="1564"/>
      <c r="AS508" s="1564"/>
      <c r="AT508" s="1564"/>
      <c r="AU508" s="1564"/>
      <c r="AV508" s="1564"/>
      <c r="AW508" s="1564"/>
      <c r="AX508" s="1564"/>
    </row>
    <row r="509" spans="1:50" ht="15.75" hidden="1" x14ac:dyDescent="0.25">
      <c r="A509" s="1564">
        <v>12</v>
      </c>
      <c r="B509" s="1729" t="s">
        <v>622</v>
      </c>
      <c r="C509" s="1729">
        <v>500</v>
      </c>
      <c r="D509" s="1729">
        <v>5</v>
      </c>
      <c r="E509" s="1729">
        <v>10</v>
      </c>
      <c r="F509" s="1729">
        <v>0.63</v>
      </c>
      <c r="G509" s="1733">
        <v>0.5</v>
      </c>
      <c r="H509" s="1734">
        <f>D509*F509*G509*3.7</f>
        <v>5.8274999999999997</v>
      </c>
      <c r="I509" s="1734">
        <f>E509*F509*G509*3.7</f>
        <v>11.654999999999999</v>
      </c>
      <c r="J509" s="1564"/>
      <c r="K509" s="1564"/>
      <c r="L509" s="1564"/>
      <c r="M509" s="1564"/>
      <c r="N509" s="1564"/>
      <c r="O509" s="1564"/>
      <c r="P509" s="1564"/>
      <c r="Q509" s="1564"/>
      <c r="R509" s="1564"/>
      <c r="S509" s="1564"/>
      <c r="T509" s="1564"/>
      <c r="U509" s="1564"/>
      <c r="V509" s="1564"/>
      <c r="W509" s="1564"/>
      <c r="X509" s="1564"/>
      <c r="Y509" s="1564"/>
      <c r="Z509" s="1564"/>
      <c r="AA509" s="1564"/>
      <c r="AB509" s="1564"/>
      <c r="AC509" s="1564"/>
      <c r="AD509" s="1564"/>
      <c r="AE509" s="1564"/>
      <c r="AF509" s="1564"/>
      <c r="AG509" s="1564"/>
      <c r="AH509" s="1564"/>
      <c r="AI509" s="1564"/>
      <c r="AJ509" s="1564"/>
      <c r="AK509" s="1564"/>
      <c r="AL509" s="1564"/>
      <c r="AM509" s="1564"/>
      <c r="AN509" s="1564"/>
      <c r="AO509" s="1564"/>
      <c r="AP509" s="1564"/>
      <c r="AQ509" s="1564"/>
      <c r="AR509" s="1564"/>
      <c r="AS509" s="1564"/>
      <c r="AT509" s="1564"/>
      <c r="AU509" s="1564"/>
      <c r="AV509" s="1564"/>
      <c r="AW509" s="1564"/>
      <c r="AX509" s="1564"/>
    </row>
    <row r="510" spans="1:50" ht="15.75" hidden="1" x14ac:dyDescent="0.25">
      <c r="A510" s="1564">
        <v>13</v>
      </c>
      <c r="B510" s="1729" t="s">
        <v>623</v>
      </c>
      <c r="C510" s="1729">
        <v>500</v>
      </c>
      <c r="D510" s="1729">
        <v>2</v>
      </c>
      <c r="E510" s="1729">
        <v>8</v>
      </c>
      <c r="F510" s="1729">
        <v>0.63</v>
      </c>
      <c r="G510" s="1733">
        <v>0.5</v>
      </c>
      <c r="H510" s="1734">
        <f>D510*F510*G510*3.7</f>
        <v>2.331</v>
      </c>
      <c r="I510" s="1734">
        <f>E510*F510*G510*3.7</f>
        <v>9.3239999999999998</v>
      </c>
      <c r="J510" s="1564"/>
      <c r="K510" s="1564"/>
      <c r="L510" s="1564"/>
      <c r="M510" s="1564"/>
      <c r="N510" s="1564"/>
      <c r="O510" s="1564"/>
      <c r="P510" s="1564"/>
      <c r="Q510" s="1564"/>
      <c r="R510" s="1564"/>
      <c r="S510" s="1564"/>
      <c r="T510" s="1564"/>
      <c r="U510" s="1564"/>
      <c r="V510" s="1564"/>
      <c r="W510" s="1564"/>
      <c r="X510" s="1564"/>
      <c r="Y510" s="1564"/>
      <c r="Z510" s="1564"/>
      <c r="AA510" s="1564"/>
      <c r="AB510" s="1564"/>
      <c r="AC510" s="1564"/>
      <c r="AD510" s="1564"/>
      <c r="AE510" s="1564"/>
      <c r="AF510" s="1564"/>
      <c r="AG510" s="1564"/>
      <c r="AH510" s="1564"/>
      <c r="AI510" s="1564"/>
      <c r="AJ510" s="1564"/>
      <c r="AK510" s="1564"/>
      <c r="AL510" s="1564"/>
      <c r="AM510" s="1564"/>
      <c r="AN510" s="1564"/>
      <c r="AO510" s="1564"/>
      <c r="AP510" s="1564"/>
      <c r="AQ510" s="1564"/>
      <c r="AR510" s="1564"/>
      <c r="AS510" s="1564"/>
      <c r="AT510" s="1564"/>
      <c r="AU510" s="1564"/>
      <c r="AV510" s="1564"/>
      <c r="AW510" s="1564"/>
      <c r="AX510" s="1564"/>
    </row>
    <row r="511" spans="1:50" ht="15.75" hidden="1" x14ac:dyDescent="0.25">
      <c r="A511" s="1564">
        <v>14</v>
      </c>
      <c r="B511" s="1729" t="s">
        <v>624</v>
      </c>
      <c r="C511" s="1729">
        <v>400</v>
      </c>
      <c r="D511" s="1729">
        <v>2</v>
      </c>
      <c r="E511" s="1729">
        <v>8</v>
      </c>
      <c r="F511" s="1729">
        <v>0.63</v>
      </c>
      <c r="G511" s="1733">
        <v>0.5</v>
      </c>
      <c r="H511" s="1734">
        <f>D511*F511*G511*3.7</f>
        <v>2.331</v>
      </c>
      <c r="I511" s="1734">
        <f>E511*F511*G511*3.7</f>
        <v>9.3239999999999998</v>
      </c>
      <c r="J511" s="1564"/>
      <c r="K511" s="1564"/>
      <c r="L511" s="1564"/>
      <c r="M511" s="1564"/>
      <c r="N511" s="1564"/>
      <c r="O511" s="1564"/>
      <c r="P511" s="1564"/>
      <c r="Q511" s="1564"/>
      <c r="R511" s="1564"/>
      <c r="S511" s="1564"/>
      <c r="T511" s="1564"/>
      <c r="U511" s="1564"/>
      <c r="V511" s="1564"/>
      <c r="W511" s="1564"/>
      <c r="X511" s="1564"/>
      <c r="Y511" s="1564"/>
      <c r="Z511" s="1564"/>
      <c r="AA511" s="1564"/>
      <c r="AB511" s="1564"/>
      <c r="AC511" s="1564"/>
      <c r="AD511" s="1564"/>
      <c r="AE511" s="1564"/>
      <c r="AF511" s="1564"/>
      <c r="AG511" s="1564"/>
      <c r="AH511" s="1564"/>
      <c r="AI511" s="1564"/>
      <c r="AJ511" s="1564"/>
      <c r="AK511" s="1564"/>
      <c r="AL511" s="1564"/>
      <c r="AM511" s="1564"/>
      <c r="AN511" s="1564"/>
      <c r="AO511" s="1564"/>
      <c r="AP511" s="1564"/>
      <c r="AQ511" s="1564"/>
      <c r="AR511" s="1564"/>
      <c r="AS511" s="1564"/>
      <c r="AT511" s="1564"/>
      <c r="AU511" s="1564"/>
      <c r="AV511" s="1564"/>
      <c r="AW511" s="1564"/>
      <c r="AX511" s="1564"/>
    </row>
    <row r="512" spans="1:50" ht="15.75" hidden="1" x14ac:dyDescent="0.25">
      <c r="A512" s="1560">
        <v>15</v>
      </c>
      <c r="B512" s="1729" t="s">
        <v>625</v>
      </c>
      <c r="C512" s="1729">
        <v>500</v>
      </c>
      <c r="D512" s="1729">
        <v>2</v>
      </c>
      <c r="E512" s="1729">
        <v>8</v>
      </c>
      <c r="F512" s="1729">
        <v>0.63</v>
      </c>
      <c r="G512" s="1733">
        <v>0.5</v>
      </c>
      <c r="H512" s="1734">
        <f>D512*F512*G512*3.7</f>
        <v>2.331</v>
      </c>
      <c r="I512" s="1734">
        <f>E512*F512*G512*3.7</f>
        <v>9.3239999999999998</v>
      </c>
      <c r="J512" s="1564"/>
      <c r="K512" s="1564"/>
      <c r="L512" s="1564"/>
      <c r="M512" s="1564"/>
      <c r="N512" s="1564"/>
      <c r="O512" s="1564"/>
      <c r="P512" s="1564"/>
      <c r="Q512" s="1564"/>
      <c r="R512" s="1564"/>
      <c r="S512" s="1564"/>
      <c r="T512" s="1564"/>
      <c r="U512" s="1564"/>
      <c r="V512" s="1564"/>
      <c r="W512" s="1564"/>
      <c r="X512" s="1564"/>
      <c r="Y512" s="1564"/>
      <c r="Z512" s="1564"/>
      <c r="AA512" s="1564"/>
      <c r="AB512" s="1564"/>
      <c r="AC512" s="1564"/>
      <c r="AD512" s="1564"/>
      <c r="AE512" s="1564"/>
      <c r="AF512" s="1564"/>
      <c r="AG512" s="1564"/>
      <c r="AH512" s="1564"/>
      <c r="AI512" s="1564"/>
      <c r="AJ512" s="1564"/>
      <c r="AK512" s="1564"/>
      <c r="AL512" s="1564"/>
      <c r="AM512" s="1564"/>
      <c r="AN512" s="1564"/>
      <c r="AO512" s="1564"/>
      <c r="AP512" s="1564"/>
      <c r="AQ512" s="1564"/>
      <c r="AR512" s="1564"/>
      <c r="AS512" s="1564"/>
      <c r="AT512" s="1564"/>
      <c r="AU512" s="1564"/>
      <c r="AV512" s="1564"/>
      <c r="AW512" s="1564"/>
      <c r="AX512" s="1564"/>
    </row>
    <row r="513" spans="1:50" ht="15.75" hidden="1" x14ac:dyDescent="0.25">
      <c r="A513" s="1564" t="s">
        <v>265</v>
      </c>
      <c r="B513" s="1729" t="e">
        <f>VLOOKUP($C$67,$B$498:$I$512,1,FALSE)</f>
        <v>#N/A</v>
      </c>
      <c r="C513" s="1729" t="e">
        <f>VLOOKUP($C$67,$B$498:$I$512,2,FALSE)</f>
        <v>#N/A</v>
      </c>
      <c r="D513" s="1729" t="e">
        <f>VLOOKUP($C$67,$B$498:$I$512,3,FALSE)</f>
        <v>#N/A</v>
      </c>
      <c r="E513" s="1729" t="e">
        <f>VLOOKUP($C$67,$B$498:$I$512,4,FALSE)</f>
        <v>#N/A</v>
      </c>
      <c r="F513" s="1729" t="e">
        <f>VLOOKUP($C$67,$B$498:$I$512,5,FALSE)</f>
        <v>#N/A</v>
      </c>
      <c r="G513" s="1729" t="e">
        <f>VLOOKUP($C$67,$B$498:$I$512,6,FALSE)</f>
        <v>#N/A</v>
      </c>
      <c r="H513" s="1729" t="e">
        <f>VLOOKUP($C$67,$B$498:$I$512,7,FALSE)</f>
        <v>#N/A</v>
      </c>
      <c r="I513" s="1729" t="e">
        <f>VLOOKUP($C$67,$B$498:$I$512,8,FALSE)</f>
        <v>#N/A</v>
      </c>
      <c r="J513" s="1564"/>
      <c r="K513" s="1564"/>
      <c r="L513" s="1564"/>
      <c r="M513" s="1564"/>
      <c r="N513" s="1564"/>
      <c r="O513" s="1564"/>
      <c r="P513" s="1564"/>
      <c r="Q513" s="1564"/>
      <c r="R513" s="1564"/>
      <c r="S513" s="1564"/>
      <c r="T513" s="1564"/>
      <c r="U513" s="1564"/>
      <c r="V513" s="1564"/>
      <c r="W513" s="1564"/>
      <c r="X513" s="1564"/>
      <c r="Y513" s="1564"/>
      <c r="Z513" s="1564"/>
      <c r="AA513" s="1564"/>
      <c r="AB513" s="1564"/>
      <c r="AC513" s="1564"/>
      <c r="AD513" s="1564"/>
      <c r="AE513" s="1564"/>
      <c r="AF513" s="1564"/>
      <c r="AG513" s="1564"/>
      <c r="AH513" s="1564"/>
      <c r="AI513" s="1564"/>
      <c r="AJ513" s="1564"/>
      <c r="AK513" s="1564"/>
      <c r="AL513" s="1564"/>
      <c r="AM513" s="1564"/>
      <c r="AN513" s="1564"/>
      <c r="AO513" s="1564"/>
      <c r="AP513" s="1564"/>
      <c r="AQ513" s="1564"/>
      <c r="AR513" s="1564"/>
      <c r="AS513" s="1564"/>
      <c r="AT513" s="1564"/>
      <c r="AU513" s="1564"/>
      <c r="AV513" s="1564"/>
      <c r="AW513" s="1564"/>
      <c r="AX513" s="1564"/>
    </row>
    <row r="514" spans="1:50" ht="15.75" hidden="1" x14ac:dyDescent="0.25">
      <c r="A514" s="1564"/>
      <c r="B514" s="1729"/>
      <c r="C514" s="1729"/>
      <c r="D514" s="1729"/>
      <c r="E514" s="1729"/>
      <c r="F514" s="1729"/>
      <c r="G514" s="1729"/>
      <c r="H514" s="1729"/>
      <c r="I514" s="1729"/>
      <c r="J514" s="1564"/>
      <c r="K514" s="1564"/>
      <c r="L514" s="1564"/>
      <c r="M514" s="1564"/>
      <c r="N514" s="1564"/>
      <c r="O514" s="1564"/>
      <c r="P514" s="1564"/>
      <c r="Q514" s="1564"/>
      <c r="R514" s="1564"/>
      <c r="S514" s="1564"/>
      <c r="T514" s="1564"/>
      <c r="U514" s="1564"/>
      <c r="V514" s="1564"/>
      <c r="W514" s="1564"/>
      <c r="X514" s="1564"/>
      <c r="Y514" s="1564"/>
      <c r="Z514" s="1564"/>
      <c r="AA514" s="1564"/>
      <c r="AB514" s="1564"/>
      <c r="AC514" s="1564"/>
      <c r="AD514" s="1564"/>
      <c r="AE514" s="1564"/>
      <c r="AF514" s="1564"/>
      <c r="AG514" s="1564"/>
      <c r="AH514" s="1564"/>
      <c r="AI514" s="1564"/>
      <c r="AJ514" s="1564"/>
      <c r="AK514" s="1564"/>
      <c r="AL514" s="1564"/>
      <c r="AM514" s="1564"/>
      <c r="AN514" s="1564"/>
      <c r="AO514" s="1564"/>
      <c r="AP514" s="1564"/>
      <c r="AQ514" s="1564"/>
      <c r="AR514" s="1564"/>
      <c r="AS514" s="1564"/>
      <c r="AT514" s="1564"/>
      <c r="AU514" s="1564"/>
      <c r="AV514" s="1564"/>
      <c r="AW514" s="1564"/>
      <c r="AX514" s="1564"/>
    </row>
    <row r="515" spans="1:50" ht="15.75" hidden="1" x14ac:dyDescent="0.25">
      <c r="B515" s="1729" t="s">
        <v>626</v>
      </c>
      <c r="C515" s="1729" t="s">
        <v>611</v>
      </c>
      <c r="D515" s="1729"/>
      <c r="E515" s="2114" t="s">
        <v>456</v>
      </c>
      <c r="F515" s="2114"/>
      <c r="G515" s="1775" t="s">
        <v>1159</v>
      </c>
      <c r="H515" s="1729">
        <f>S184</f>
        <v>1</v>
      </c>
      <c r="I515" s="1729"/>
      <c r="J515" s="1564"/>
      <c r="K515" s="1564"/>
      <c r="L515" s="1564"/>
      <c r="M515" s="1564"/>
      <c r="N515" s="1564"/>
      <c r="O515" s="1564"/>
      <c r="P515" s="1564"/>
      <c r="Q515" s="1564"/>
      <c r="R515" s="1564"/>
      <c r="S515" s="1564"/>
      <c r="T515" s="1564"/>
      <c r="U515" s="1564"/>
      <c r="V515" s="1564"/>
      <c r="W515" s="1564"/>
      <c r="X515" s="1564"/>
      <c r="Y515" s="1564"/>
      <c r="Z515" s="1564"/>
      <c r="AA515" s="1564"/>
      <c r="AB515" s="1564"/>
      <c r="AC515" s="1564"/>
      <c r="AD515" s="1564"/>
      <c r="AE515" s="1564"/>
      <c r="AF515" s="1564"/>
      <c r="AG515" s="1564"/>
      <c r="AH515" s="1564"/>
      <c r="AI515" s="1564"/>
      <c r="AJ515" s="1564"/>
      <c r="AK515" s="1564"/>
      <c r="AL515" s="1564"/>
      <c r="AM515" s="1564"/>
      <c r="AN515" s="1564"/>
      <c r="AO515" s="1564"/>
      <c r="AP515" s="1564"/>
      <c r="AQ515" s="1564"/>
      <c r="AR515" s="1564"/>
      <c r="AS515" s="1564"/>
      <c r="AT515" s="1564"/>
      <c r="AU515" s="1564"/>
      <c r="AV515" s="1564"/>
      <c r="AW515" s="1564"/>
      <c r="AX515" s="1564"/>
    </row>
    <row r="516" spans="1:50" ht="15.75" hidden="1" x14ac:dyDescent="0.25">
      <c r="A516" s="1564">
        <v>1</v>
      </c>
      <c r="B516" s="1729" t="s">
        <v>627</v>
      </c>
      <c r="C516" s="1735" t="e">
        <f>IF(B519="High (&gt;700)",F516,FALSE)</f>
        <v>#N/A</v>
      </c>
      <c r="D516" s="1729"/>
      <c r="E516" s="1729" t="e">
        <f>H513</f>
        <v>#N/A</v>
      </c>
      <c r="F516" s="1729" t="e">
        <f>I513</f>
        <v>#N/A</v>
      </c>
      <c r="G516" s="1775"/>
      <c r="H516" s="1729"/>
      <c r="I516" s="1729"/>
      <c r="J516" s="1564"/>
      <c r="K516" s="1564"/>
      <c r="L516" s="1564"/>
      <c r="M516" s="1564"/>
      <c r="N516" s="1564"/>
      <c r="O516" s="1564"/>
      <c r="P516" s="1564"/>
      <c r="Q516" s="1564"/>
      <c r="R516" s="1564"/>
      <c r="S516" s="1564"/>
      <c r="T516" s="1564"/>
      <c r="U516" s="1564"/>
      <c r="V516" s="1564"/>
      <c r="W516" s="1564"/>
      <c r="X516" s="1564"/>
      <c r="Y516" s="1564"/>
      <c r="Z516" s="1564"/>
      <c r="AA516" s="1564"/>
      <c r="AB516" s="1564"/>
      <c r="AC516" s="1564"/>
      <c r="AD516" s="1564"/>
      <c r="AE516" s="1564"/>
      <c r="AF516" s="1564"/>
      <c r="AG516" s="1564"/>
      <c r="AH516" s="1564"/>
      <c r="AI516" s="1564"/>
      <c r="AJ516" s="1564"/>
      <c r="AK516" s="1564"/>
      <c r="AL516" s="1564"/>
      <c r="AM516" s="1564"/>
      <c r="AN516" s="1564"/>
      <c r="AO516" s="1564"/>
      <c r="AP516" s="1564"/>
      <c r="AQ516" s="1564"/>
      <c r="AR516" s="1564"/>
      <c r="AS516" s="1564"/>
      <c r="AT516" s="1564"/>
      <c r="AU516" s="1564"/>
      <c r="AV516" s="1564"/>
      <c r="AW516" s="1564"/>
      <c r="AX516" s="1564"/>
    </row>
    <row r="517" spans="1:50" ht="15.75" hidden="1" x14ac:dyDescent="0.25">
      <c r="A517" s="1564">
        <v>2</v>
      </c>
      <c r="B517" s="1729" t="s">
        <v>628</v>
      </c>
      <c r="C517" s="1729" t="e">
        <f>IF(B519="Med (500 - 700)",AVERAGE(E516:F516),FALSE)</f>
        <v>#N/A</v>
      </c>
      <c r="D517" s="1729"/>
      <c r="E517" s="1729"/>
      <c r="F517" s="1729"/>
      <c r="G517" s="1775" t="s">
        <v>1005</v>
      </c>
      <c r="H517" s="1729">
        <f>D65</f>
        <v>0</v>
      </c>
      <c r="I517" s="1729"/>
      <c r="J517" s="1564"/>
      <c r="K517" s="1564"/>
      <c r="L517" s="1564"/>
      <c r="M517" s="1564"/>
      <c r="N517" s="1564"/>
      <c r="O517" s="1564"/>
      <c r="P517" s="1564"/>
      <c r="Q517" s="1564"/>
      <c r="R517" s="1564"/>
      <c r="S517" s="1564"/>
      <c r="T517" s="1564"/>
      <c r="U517" s="1564"/>
      <c r="V517" s="1564"/>
      <c r="W517" s="1564"/>
      <c r="X517" s="1564"/>
      <c r="Y517" s="1564"/>
      <c r="Z517" s="1564"/>
      <c r="AA517" s="1564"/>
      <c r="AB517" s="1564"/>
      <c r="AC517" s="1564"/>
      <c r="AD517" s="1564"/>
      <c r="AE517" s="1564"/>
      <c r="AF517" s="1564"/>
      <c r="AG517" s="1564"/>
      <c r="AH517" s="1564"/>
      <c r="AI517" s="1564"/>
      <c r="AJ517" s="1564"/>
      <c r="AK517" s="1564"/>
      <c r="AL517" s="1564"/>
      <c r="AM517" s="1564"/>
      <c r="AN517" s="1564"/>
      <c r="AO517" s="1564"/>
      <c r="AP517" s="1564"/>
      <c r="AQ517" s="1564"/>
      <c r="AR517" s="1564"/>
      <c r="AS517" s="1564"/>
      <c r="AT517" s="1564"/>
      <c r="AU517" s="1564"/>
      <c r="AV517" s="1564"/>
      <c r="AW517" s="1564"/>
      <c r="AX517" s="1564"/>
    </row>
    <row r="518" spans="1:50" ht="15.75" hidden="1" x14ac:dyDescent="0.25">
      <c r="A518" s="1564">
        <v>3</v>
      </c>
      <c r="B518" s="1729" t="s">
        <v>629</v>
      </c>
      <c r="C518" s="1729" t="e">
        <f>IF(B519="Low (&lt;500)",E516,FALSE)</f>
        <v>#N/A</v>
      </c>
      <c r="D518" s="1729"/>
      <c r="E518" s="1729"/>
      <c r="F518" s="1729"/>
      <c r="G518" s="1729"/>
      <c r="H518" s="1729"/>
      <c r="I518" s="1729"/>
      <c r="J518" s="1564"/>
      <c r="K518" s="1564"/>
      <c r="L518" s="1564"/>
      <c r="M518" s="1564"/>
      <c r="N518" s="1564"/>
      <c r="O518" s="1564"/>
      <c r="P518" s="1564"/>
      <c r="Q518" s="1564"/>
      <c r="R518" s="1564"/>
      <c r="S518" s="1564"/>
      <c r="T518" s="1564"/>
      <c r="U518" s="1564"/>
      <c r="V518" s="1564"/>
      <c r="W518" s="1564"/>
      <c r="X518" s="1564"/>
      <c r="Y518" s="1564"/>
      <c r="Z518" s="1564"/>
      <c r="AA518" s="1564"/>
      <c r="AB518" s="1564"/>
      <c r="AC518" s="1564"/>
      <c r="AD518" s="1564"/>
      <c r="AE518" s="1564"/>
      <c r="AF518" s="1564"/>
      <c r="AG518" s="1564"/>
      <c r="AH518" s="1564"/>
      <c r="AI518" s="1564"/>
      <c r="AJ518" s="1564"/>
      <c r="AK518" s="1564"/>
      <c r="AL518" s="1564"/>
      <c r="AM518" s="1564"/>
      <c r="AN518" s="1564"/>
      <c r="AO518" s="1564"/>
      <c r="AP518" s="1564"/>
      <c r="AQ518" s="1564"/>
      <c r="AR518" s="1564"/>
      <c r="AS518" s="1564"/>
      <c r="AT518" s="1564"/>
      <c r="AU518" s="1564"/>
      <c r="AV518" s="1564"/>
      <c r="AW518" s="1564"/>
      <c r="AX518" s="1564"/>
    </row>
    <row r="519" spans="1:50" ht="15.75" hidden="1" x14ac:dyDescent="0.25">
      <c r="A519" s="1564" t="s">
        <v>265</v>
      </c>
      <c r="B519" s="1921" t="e">
        <f>VLOOKUP($H$67,B516:B518,1,FALSE)</f>
        <v>#N/A</v>
      </c>
      <c r="C519" s="1921"/>
      <c r="D519" s="1921"/>
      <c r="E519" s="1922" t="s">
        <v>888</v>
      </c>
      <c r="F519" s="1921"/>
      <c r="G519" s="1919">
        <f>IF(H515=1,0,IF(H515=3,AVERAGE(C516:C518),H517))</f>
        <v>0</v>
      </c>
      <c r="H519" s="1921"/>
      <c r="I519" s="1921"/>
      <c r="J519" s="1564"/>
      <c r="K519" s="1564"/>
      <c r="L519" s="1564"/>
      <c r="M519" s="1564"/>
      <c r="N519" s="1564"/>
      <c r="O519" s="1564"/>
      <c r="P519" s="1564"/>
      <c r="Q519" s="1564"/>
      <c r="R519" s="1564"/>
      <c r="S519" s="1564"/>
      <c r="T519" s="1564"/>
      <c r="U519" s="1564"/>
      <c r="V519" s="1564"/>
      <c r="W519" s="1564"/>
      <c r="X519" s="1564"/>
      <c r="Y519" s="1564"/>
      <c r="Z519" s="1564"/>
      <c r="AA519" s="1564"/>
      <c r="AB519" s="1564"/>
      <c r="AC519" s="1564"/>
      <c r="AD519" s="1564"/>
      <c r="AE519" s="1564"/>
      <c r="AF519" s="1564"/>
      <c r="AG519" s="1564"/>
      <c r="AH519" s="1564"/>
      <c r="AI519" s="1564"/>
      <c r="AJ519" s="1564"/>
      <c r="AK519" s="1564"/>
      <c r="AL519" s="1564"/>
      <c r="AM519" s="1564"/>
      <c r="AN519" s="1564"/>
      <c r="AO519" s="1564"/>
      <c r="AP519" s="1564"/>
      <c r="AQ519" s="1564"/>
      <c r="AR519" s="1564"/>
      <c r="AS519" s="1564"/>
      <c r="AT519" s="1564"/>
      <c r="AU519" s="1564"/>
      <c r="AV519" s="1564"/>
      <c r="AW519" s="1564"/>
      <c r="AX519" s="1564"/>
    </row>
    <row r="520" spans="1:50" ht="15.75" hidden="1" x14ac:dyDescent="0.25">
      <c r="A520" s="1564"/>
      <c r="B520" s="1736"/>
      <c r="C520" s="1564"/>
      <c r="D520" s="1564"/>
      <c r="E520" s="1564"/>
      <c r="F520" s="1564"/>
      <c r="G520" s="1564"/>
      <c r="H520" s="1564"/>
      <c r="I520" s="1564"/>
      <c r="J520" s="1564"/>
      <c r="K520" s="1564"/>
      <c r="L520" s="1564"/>
      <c r="M520" s="1564"/>
      <c r="N520" s="1564"/>
      <c r="O520" s="1564"/>
      <c r="P520" s="1564"/>
      <c r="Q520" s="1564"/>
      <c r="R520" s="1564"/>
      <c r="S520" s="1564"/>
      <c r="T520" s="1564"/>
      <c r="U520" s="1564"/>
      <c r="V520" s="1564"/>
      <c r="W520" s="1564"/>
      <c r="X520" s="1564"/>
      <c r="Y520" s="1564"/>
      <c r="Z520" s="1564"/>
      <c r="AA520" s="1564"/>
      <c r="AB520" s="1564"/>
      <c r="AC520" s="1564"/>
      <c r="AD520" s="1564"/>
      <c r="AE520" s="1564"/>
      <c r="AF520" s="1564"/>
      <c r="AG520" s="1564"/>
      <c r="AH520" s="1564"/>
      <c r="AI520" s="1564"/>
      <c r="AJ520" s="1564"/>
      <c r="AK520" s="1564"/>
      <c r="AL520" s="1564"/>
      <c r="AM520" s="1564"/>
      <c r="AN520" s="1564"/>
      <c r="AO520" s="1564"/>
      <c r="AP520" s="1564"/>
      <c r="AQ520" s="1564"/>
      <c r="AR520" s="1564"/>
      <c r="AS520" s="1564"/>
      <c r="AT520" s="1564"/>
      <c r="AU520" s="1564"/>
      <c r="AV520" s="1564"/>
      <c r="AW520" s="1564"/>
      <c r="AX520" s="1564"/>
    </row>
    <row r="521" spans="1:50" ht="15.75" hidden="1" x14ac:dyDescent="0.25">
      <c r="A521" s="1565"/>
      <c r="B521" s="1564"/>
      <c r="C521" s="1564"/>
      <c r="D521" s="1564"/>
      <c r="E521" s="1564"/>
      <c r="F521" s="1564"/>
      <c r="G521" s="1564"/>
      <c r="H521" s="1564"/>
      <c r="I521" s="1564"/>
      <c r="J521" s="1564"/>
      <c r="K521" s="1564"/>
      <c r="L521" s="1564"/>
      <c r="M521" s="1564"/>
      <c r="N521" s="1564"/>
      <c r="O521" s="1564"/>
      <c r="P521" s="1564"/>
      <c r="Q521" s="1564"/>
      <c r="R521" s="1564"/>
      <c r="S521" s="1564"/>
      <c r="T521" s="1564"/>
      <c r="U521" s="1564"/>
      <c r="V521" s="1564"/>
      <c r="W521" s="1564"/>
      <c r="X521" s="1564"/>
      <c r="Y521" s="1564"/>
      <c r="Z521" s="1564"/>
      <c r="AA521" s="1564"/>
      <c r="AB521" s="1564"/>
      <c r="AC521" s="1564"/>
      <c r="AD521" s="1564"/>
      <c r="AE521" s="1564"/>
      <c r="AF521" s="1564"/>
      <c r="AG521" s="1564"/>
      <c r="AH521" s="1564"/>
      <c r="AI521" s="1564"/>
      <c r="AJ521" s="1564"/>
      <c r="AK521" s="1564"/>
      <c r="AL521" s="1564"/>
      <c r="AM521" s="1564"/>
      <c r="AN521" s="1564"/>
      <c r="AO521" s="1564"/>
      <c r="AP521" s="1564"/>
      <c r="AQ521" s="1564"/>
      <c r="AR521" s="1564"/>
      <c r="AS521" s="1564"/>
      <c r="AT521" s="1564"/>
      <c r="AU521" s="1564"/>
      <c r="AV521" s="1564"/>
      <c r="AW521" s="1564"/>
      <c r="AX521" s="1564"/>
    </row>
    <row r="522" spans="1:50" ht="18.75" hidden="1" x14ac:dyDescent="0.3">
      <c r="A522" s="1624"/>
      <c r="B522" s="1737" t="s">
        <v>630</v>
      </c>
      <c r="C522" s="1565"/>
      <c r="D522" s="1565"/>
      <c r="E522" s="1565"/>
      <c r="F522" s="1565"/>
      <c r="G522" s="1565"/>
      <c r="H522" s="1565"/>
      <c r="I522" s="1564"/>
      <c r="J522" s="1564"/>
      <c r="K522" s="1564"/>
      <c r="L522" s="1564"/>
      <c r="M522" s="1564"/>
      <c r="N522" s="1564"/>
      <c r="O522" s="1564"/>
      <c r="P522" s="1564"/>
      <c r="Q522" s="1564"/>
      <c r="R522" s="1564"/>
      <c r="S522" s="1564"/>
      <c r="T522" s="1564"/>
      <c r="U522" s="1564"/>
      <c r="V522" s="1564"/>
      <c r="W522" s="1564"/>
      <c r="X522" s="1564"/>
      <c r="Y522" s="1564"/>
      <c r="Z522" s="1564"/>
      <c r="AA522" s="1564"/>
      <c r="AB522" s="1564"/>
      <c r="AC522" s="1564"/>
      <c r="AD522" s="1564"/>
      <c r="AE522" s="1564"/>
      <c r="AF522" s="1564"/>
      <c r="AG522" s="1564"/>
      <c r="AH522" s="1564"/>
      <c r="AI522" s="1564"/>
      <c r="AJ522" s="1564"/>
      <c r="AK522" s="1564"/>
      <c r="AL522" s="1564"/>
      <c r="AM522" s="1564"/>
      <c r="AN522" s="1564"/>
      <c r="AO522" s="1564"/>
      <c r="AP522" s="1564"/>
      <c r="AQ522" s="1564"/>
      <c r="AR522" s="1564"/>
      <c r="AS522" s="1564"/>
      <c r="AT522" s="1564"/>
      <c r="AU522" s="1564"/>
      <c r="AV522" s="1564"/>
      <c r="AW522" s="1564"/>
      <c r="AX522" s="1564"/>
    </row>
    <row r="523" spans="1:50" ht="15.75" hidden="1" x14ac:dyDescent="0.25">
      <c r="A523" s="1624"/>
      <c r="B523" s="1565"/>
      <c r="C523" s="1565"/>
      <c r="D523" s="1565"/>
      <c r="E523" s="1565"/>
      <c r="F523" s="1565"/>
      <c r="G523" s="1565"/>
      <c r="H523" s="1565"/>
      <c r="I523" s="1564"/>
      <c r="J523" s="1564"/>
      <c r="K523" s="1564"/>
      <c r="L523" s="1564"/>
      <c r="M523" s="1564"/>
      <c r="N523" s="1564"/>
      <c r="O523" s="1564"/>
      <c r="P523" s="1564"/>
      <c r="Q523" s="1564"/>
      <c r="R523" s="1564"/>
      <c r="S523" s="1564"/>
      <c r="T523" s="1564"/>
      <c r="U523" s="1564"/>
      <c r="V523" s="1564"/>
      <c r="W523" s="1564"/>
      <c r="X523" s="1564"/>
      <c r="Y523" s="1564"/>
      <c r="Z523" s="1564"/>
      <c r="AA523" s="1564"/>
      <c r="AB523" s="1564"/>
      <c r="AC523" s="1564"/>
      <c r="AD523" s="1564"/>
      <c r="AE523" s="1564"/>
      <c r="AF523" s="1564"/>
      <c r="AG523" s="1564"/>
      <c r="AH523" s="1564"/>
      <c r="AI523" s="1564"/>
      <c r="AJ523" s="1564"/>
      <c r="AK523" s="1564"/>
      <c r="AL523" s="1564"/>
      <c r="AM523" s="1564"/>
      <c r="AN523" s="1564"/>
      <c r="AO523" s="1564"/>
      <c r="AP523" s="1564"/>
      <c r="AQ523" s="1564"/>
      <c r="AR523" s="1564"/>
      <c r="AS523" s="1564"/>
      <c r="AT523" s="1564"/>
      <c r="AU523" s="1564"/>
      <c r="AV523" s="1564"/>
      <c r="AW523" s="1564"/>
      <c r="AX523" s="1564"/>
    </row>
    <row r="524" spans="1:50" ht="15.75" hidden="1" x14ac:dyDescent="0.25">
      <c r="A524" s="1624"/>
      <c r="B524" s="1738" t="s">
        <v>282</v>
      </c>
      <c r="C524" s="1739"/>
      <c r="D524" s="1739"/>
      <c r="E524" s="1739"/>
      <c r="F524" s="1738" t="s">
        <v>252</v>
      </c>
      <c r="G524" s="1739"/>
      <c r="H524" s="1738"/>
      <c r="I524" s="1564"/>
      <c r="AH524" s="1564"/>
      <c r="AI524" s="1564"/>
      <c r="AJ524" s="1564"/>
      <c r="AK524" s="1564"/>
      <c r="AL524" s="1564"/>
      <c r="AM524" s="1564"/>
      <c r="AN524" s="1564"/>
      <c r="AO524" s="1564"/>
      <c r="AP524" s="1564"/>
      <c r="AQ524" s="1564"/>
      <c r="AR524" s="1564"/>
      <c r="AS524" s="1564"/>
      <c r="AT524" s="1564"/>
      <c r="AU524" s="1564"/>
      <c r="AV524" s="1564"/>
      <c r="AW524" s="1564"/>
      <c r="AX524" s="1564"/>
    </row>
    <row r="525" spans="1:50" ht="15.75" hidden="1" x14ac:dyDescent="0.25">
      <c r="A525" s="1624"/>
      <c r="B525" s="1740" t="s">
        <v>631</v>
      </c>
      <c r="C525" s="1740">
        <f>C54/1</f>
        <v>0</v>
      </c>
      <c r="D525" s="1740"/>
      <c r="E525" s="1740"/>
      <c r="F525" s="1740" t="s">
        <v>632</v>
      </c>
      <c r="G525" s="1740"/>
      <c r="H525" s="1740"/>
    </row>
    <row r="526" spans="1:50" ht="15.75" hidden="1" x14ac:dyDescent="0.25">
      <c r="A526" s="1624"/>
      <c r="B526" s="1740" t="s">
        <v>633</v>
      </c>
      <c r="C526" s="1740">
        <v>38.6</v>
      </c>
      <c r="D526" s="1740"/>
      <c r="E526" s="1740"/>
      <c r="F526" s="1740" t="s">
        <v>634</v>
      </c>
      <c r="G526" s="1740"/>
      <c r="H526" s="1740"/>
    </row>
    <row r="527" spans="1:50" ht="15.75" hidden="1" x14ac:dyDescent="0.25">
      <c r="A527" s="1624"/>
      <c r="B527" s="1740" t="s">
        <v>635</v>
      </c>
      <c r="C527" s="1740">
        <v>99</v>
      </c>
      <c r="D527" s="1740"/>
      <c r="E527" s="1740"/>
      <c r="F527" s="1740" t="s">
        <v>259</v>
      </c>
      <c r="G527" s="1740"/>
      <c r="H527" s="1740"/>
    </row>
    <row r="528" spans="1:50" ht="15.75" hidden="1" x14ac:dyDescent="0.25">
      <c r="A528" s="1624"/>
      <c r="B528" s="1740" t="s">
        <v>636</v>
      </c>
      <c r="C528" s="1740">
        <v>69.900000000000006</v>
      </c>
      <c r="D528" s="1740"/>
      <c r="E528" s="1740"/>
      <c r="F528" s="1740" t="s">
        <v>637</v>
      </c>
      <c r="G528" s="1740"/>
      <c r="H528" s="1740"/>
    </row>
    <row r="529" spans="1:8" ht="15.75" hidden="1" x14ac:dyDescent="0.25">
      <c r="A529" s="1624"/>
      <c r="B529" s="1740" t="s">
        <v>638</v>
      </c>
      <c r="C529" s="1740">
        <f>C53</f>
        <v>0</v>
      </c>
      <c r="D529" s="1740"/>
      <c r="E529" s="1740"/>
      <c r="F529" s="1740" t="s">
        <v>639</v>
      </c>
      <c r="G529" s="1740"/>
      <c r="H529" s="1740"/>
    </row>
    <row r="530" spans="1:8" ht="15.75" hidden="1" x14ac:dyDescent="0.25">
      <c r="A530" s="1624"/>
      <c r="B530" s="1740" t="s">
        <v>640</v>
      </c>
      <c r="C530" s="1740" t="e">
        <f>E568</f>
        <v>#N/A</v>
      </c>
      <c r="D530" s="1740"/>
      <c r="E530" s="1740"/>
      <c r="F530" s="1741" t="s">
        <v>641</v>
      </c>
      <c r="G530" s="1740"/>
      <c r="H530" s="1740"/>
    </row>
    <row r="531" spans="1:8" ht="15.75" hidden="1" x14ac:dyDescent="0.25">
      <c r="A531" s="1624"/>
      <c r="B531" s="1923"/>
      <c r="C531" s="1923"/>
      <c r="D531" s="1923"/>
      <c r="E531" s="1923"/>
      <c r="F531" s="1923"/>
      <c r="G531" s="1923"/>
      <c r="H531" s="1740"/>
    </row>
    <row r="532" spans="1:8" ht="15.75" hidden="1" x14ac:dyDescent="0.25">
      <c r="A532" s="1624"/>
      <c r="B532" s="1924"/>
      <c r="C532" s="1924"/>
      <c r="D532" s="1924"/>
      <c r="E532" s="1924"/>
      <c r="F532" s="1924"/>
      <c r="G532" s="1924"/>
      <c r="H532" s="1740"/>
    </row>
    <row r="533" spans="1:8" ht="15.75" hidden="1" x14ac:dyDescent="0.25">
      <c r="A533" s="1624"/>
      <c r="B533" s="1742" t="s">
        <v>642</v>
      </c>
      <c r="C533" s="1742" t="s">
        <v>643</v>
      </c>
      <c r="D533" s="1740"/>
      <c r="E533" s="1740"/>
      <c r="F533" s="1740"/>
      <c r="G533" s="1740"/>
      <c r="H533" s="1740"/>
    </row>
    <row r="534" spans="1:8" ht="15.75" hidden="1" x14ac:dyDescent="0.25">
      <c r="A534" s="1624"/>
      <c r="B534" s="1742"/>
      <c r="C534" s="1740" t="s">
        <v>644</v>
      </c>
      <c r="D534" s="1740"/>
      <c r="E534" s="1740"/>
      <c r="F534" s="1740"/>
      <c r="G534" s="1740"/>
      <c r="H534" s="1740"/>
    </row>
    <row r="535" spans="1:8" ht="15.75" hidden="1" x14ac:dyDescent="0.25">
      <c r="A535" s="1624"/>
      <c r="B535" s="1742"/>
      <c r="C535" s="1740" t="s">
        <v>645</v>
      </c>
      <c r="D535" s="1740"/>
      <c r="E535" s="1740"/>
      <c r="F535" s="1740"/>
      <c r="G535" s="1740"/>
      <c r="H535" s="1740"/>
    </row>
    <row r="536" spans="1:8" ht="15.75" hidden="1" x14ac:dyDescent="0.25">
      <c r="A536" s="1624"/>
      <c r="B536" s="1742"/>
      <c r="C536" s="1740" t="s">
        <v>646</v>
      </c>
      <c r="D536" s="1740"/>
      <c r="E536" s="1740"/>
      <c r="F536" s="1740"/>
      <c r="G536" s="1740"/>
      <c r="H536" s="1740"/>
    </row>
    <row r="537" spans="1:8" ht="15.75" hidden="1" x14ac:dyDescent="0.25">
      <c r="A537" s="1624"/>
      <c r="B537" s="1742"/>
      <c r="C537" s="1740" t="s">
        <v>351</v>
      </c>
      <c r="D537" s="1740"/>
      <c r="E537" s="1740"/>
      <c r="F537" s="1740"/>
      <c r="G537" s="1740"/>
      <c r="H537" s="1740"/>
    </row>
    <row r="538" spans="1:8" ht="15.75" hidden="1" x14ac:dyDescent="0.25">
      <c r="A538" s="1624"/>
      <c r="B538" s="1742"/>
      <c r="C538" s="1740"/>
      <c r="D538" s="1740"/>
      <c r="E538" s="1740"/>
      <c r="F538" s="1740"/>
      <c r="G538" s="1740"/>
      <c r="H538" s="1740"/>
    </row>
    <row r="539" spans="1:8" ht="15.75" hidden="1" x14ac:dyDescent="0.25">
      <c r="A539" s="1624"/>
      <c r="B539" s="1740"/>
      <c r="C539" s="1743">
        <f>$C$525*$C$526*$C$527%*$C$528*10^-6</f>
        <v>0</v>
      </c>
      <c r="D539" s="1740"/>
      <c r="E539" s="1740"/>
      <c r="F539" s="1740" t="s">
        <v>647</v>
      </c>
      <c r="G539" s="1740"/>
      <c r="H539" s="1740"/>
    </row>
    <row r="540" spans="1:8" ht="15.75" hidden="1" x14ac:dyDescent="0.25">
      <c r="A540" s="1624"/>
      <c r="B540" s="1740"/>
      <c r="C540" s="1740"/>
      <c r="D540" s="1740"/>
      <c r="E540" s="1740"/>
      <c r="F540" s="1740"/>
      <c r="G540" s="1740"/>
      <c r="H540" s="1740"/>
    </row>
    <row r="541" spans="1:8" ht="15.75" hidden="1" x14ac:dyDescent="0.25">
      <c r="A541" s="1624"/>
      <c r="B541" s="1744" t="s">
        <v>648</v>
      </c>
      <c r="C541" s="1739"/>
      <c r="D541" s="1739"/>
      <c r="E541" s="1739"/>
      <c r="F541" s="1739" t="s">
        <v>649</v>
      </c>
      <c r="G541" s="1739"/>
      <c r="H541" s="1745"/>
    </row>
    <row r="542" spans="1:8" ht="15.75" hidden="1" x14ac:dyDescent="0.25">
      <c r="A542" s="1624"/>
      <c r="B542" s="1746"/>
      <c r="C542" s="1747" t="s">
        <v>650</v>
      </c>
      <c r="D542" s="1747" t="s">
        <v>651</v>
      </c>
      <c r="E542" s="1747" t="s">
        <v>652</v>
      </c>
      <c r="F542" s="1747" t="s">
        <v>653</v>
      </c>
      <c r="G542" s="1747" t="s">
        <v>654</v>
      </c>
      <c r="H542" s="1748" t="s">
        <v>655</v>
      </c>
    </row>
    <row r="543" spans="1:8" ht="15.75" hidden="1" x14ac:dyDescent="0.25">
      <c r="A543" s="1624"/>
      <c r="B543" s="1749"/>
      <c r="C543" s="1925">
        <v>0.01</v>
      </c>
      <c r="D543" s="1925">
        <v>2E-3</v>
      </c>
      <c r="E543" s="1925">
        <v>1.36</v>
      </c>
      <c r="F543" s="1925">
        <v>0.54100000000000004</v>
      </c>
      <c r="G543" s="1925">
        <v>0.189</v>
      </c>
      <c r="H543" s="1750">
        <v>0.11600000000000001</v>
      </c>
    </row>
    <row r="544" spans="1:8" ht="15.75" hidden="1" x14ac:dyDescent="0.25">
      <c r="A544" s="1624"/>
      <c r="B544" s="1741"/>
      <c r="C544" s="1747"/>
      <c r="D544" s="1747"/>
      <c r="E544" s="1747"/>
      <c r="F544" s="1747"/>
      <c r="G544" s="1747"/>
      <c r="H544" s="1747"/>
    </row>
    <row r="545" spans="1:8" ht="15.75" hidden="1" x14ac:dyDescent="0.25">
      <c r="A545" s="1565"/>
      <c r="B545" s="1742" t="s">
        <v>656</v>
      </c>
      <c r="C545" s="1740"/>
      <c r="D545" s="1740"/>
      <c r="E545" s="1740"/>
      <c r="F545" s="1740" t="s">
        <v>657</v>
      </c>
      <c r="G545" s="1740"/>
      <c r="H545" s="1740"/>
    </row>
    <row r="546" spans="1:8" ht="15.75" hidden="1" x14ac:dyDescent="0.25">
      <c r="A546" s="1565"/>
      <c r="B546" s="1740"/>
      <c r="C546" s="1751">
        <f t="shared" ref="C546:H546" si="20">$C$525*$C$526*$C$527%*C543*10^-6</f>
        <v>0</v>
      </c>
      <c r="D546" s="1751">
        <f t="shared" si="20"/>
        <v>0</v>
      </c>
      <c r="E546" s="1751">
        <f t="shared" si="20"/>
        <v>0</v>
      </c>
      <c r="F546" s="1751">
        <f t="shared" si="20"/>
        <v>0</v>
      </c>
      <c r="G546" s="1751">
        <f t="shared" si="20"/>
        <v>0</v>
      </c>
      <c r="H546" s="1751">
        <f t="shared" si="20"/>
        <v>0</v>
      </c>
    </row>
    <row r="547" spans="1:8" ht="15.75" hidden="1" x14ac:dyDescent="0.25">
      <c r="A547" s="1565"/>
      <c r="B547" s="1742" t="s">
        <v>658</v>
      </c>
      <c r="C547" s="1743">
        <f>C539+C546+D546+E546+F546+G546+H546</f>
        <v>0</v>
      </c>
      <c r="D547" s="1751"/>
      <c r="E547" s="1751"/>
      <c r="F547" s="1751" t="s">
        <v>657</v>
      </c>
      <c r="G547" s="1751"/>
      <c r="H547" s="1751"/>
    </row>
    <row r="548" spans="1:8" ht="15.75" hidden="1" x14ac:dyDescent="0.25">
      <c r="A548" s="1565"/>
      <c r="B548" s="1742" t="s">
        <v>940</v>
      </c>
      <c r="C548" s="1743">
        <f>C525/1000*0.611</f>
        <v>0</v>
      </c>
      <c r="D548" s="1751"/>
      <c r="E548" s="1751"/>
      <c r="F548" s="1751"/>
      <c r="G548" s="1751"/>
      <c r="H548" s="1751"/>
    </row>
    <row r="549" spans="1:8" ht="15.75" hidden="1" x14ac:dyDescent="0.25">
      <c r="A549" s="1565"/>
      <c r="B549" s="1740"/>
      <c r="C549" s="1751"/>
      <c r="D549" s="1751"/>
      <c r="E549" s="1751"/>
      <c r="F549" s="1751"/>
      <c r="G549" s="1751"/>
      <c r="H549" s="1751"/>
    </row>
    <row r="550" spans="1:8" ht="15.75" hidden="1" x14ac:dyDescent="0.25">
      <c r="A550" s="1565"/>
      <c r="B550" s="1742" t="s">
        <v>659</v>
      </c>
      <c r="C550" s="1752" t="s">
        <v>660</v>
      </c>
      <c r="D550" s="1751"/>
      <c r="E550" s="1751"/>
      <c r="F550" s="1751"/>
      <c r="G550" s="1753"/>
      <c r="H550" s="1753"/>
    </row>
    <row r="551" spans="1:8" ht="15.75" hidden="1" x14ac:dyDescent="0.25">
      <c r="A551" s="1565"/>
      <c r="B551" s="1740"/>
      <c r="C551" s="1751" t="s">
        <v>661</v>
      </c>
      <c r="D551" s="1751"/>
      <c r="E551" s="1751"/>
      <c r="F551" s="1751"/>
      <c r="G551" s="1753"/>
      <c r="H551" s="1753"/>
    </row>
    <row r="552" spans="1:8" ht="15.75" hidden="1" x14ac:dyDescent="0.25">
      <c r="A552" s="1565"/>
      <c r="B552" s="1740"/>
      <c r="C552" s="1751" t="s">
        <v>662</v>
      </c>
      <c r="D552" s="1751"/>
      <c r="E552" s="1751"/>
      <c r="F552" s="1751"/>
      <c r="G552" s="1753"/>
      <c r="H552" s="1753"/>
    </row>
    <row r="553" spans="1:8" ht="15.75" hidden="1" x14ac:dyDescent="0.25">
      <c r="A553" s="1565"/>
      <c r="B553" s="1740"/>
      <c r="C553" s="1751"/>
      <c r="D553" s="1751"/>
      <c r="E553" s="1751"/>
      <c r="F553" s="1751"/>
      <c r="G553" s="1753"/>
      <c r="H553" s="1753"/>
    </row>
    <row r="554" spans="1:8" ht="15.75" hidden="1" x14ac:dyDescent="0.25">
      <c r="A554" s="1565"/>
      <c r="B554" s="1740"/>
      <c r="C554" s="1743" t="e">
        <f>C529*C530</f>
        <v>#N/A</v>
      </c>
      <c r="D554" s="1751"/>
      <c r="E554" s="1754"/>
      <c r="F554" s="1751" t="s">
        <v>657</v>
      </c>
      <c r="G554" s="1754"/>
      <c r="H554" s="1753"/>
    </row>
    <row r="555" spans="1:8" ht="15.75" hidden="1" x14ac:dyDescent="0.25">
      <c r="A555" s="1565"/>
      <c r="B555" s="1740"/>
      <c r="C555" s="1743"/>
      <c r="D555" s="1751"/>
      <c r="E555" s="1754"/>
      <c r="F555" s="1751"/>
      <c r="G555" s="1754"/>
      <c r="H555" s="1753"/>
    </row>
    <row r="556" spans="1:8" ht="15.75" hidden="1" x14ac:dyDescent="0.25">
      <c r="A556" s="1565"/>
      <c r="B556" s="1742" t="s">
        <v>663</v>
      </c>
      <c r="C556" s="1743" t="e">
        <f>C547+C554</f>
        <v>#N/A</v>
      </c>
      <c r="D556" s="1751"/>
      <c r="E556" s="1754"/>
      <c r="F556" s="1751" t="s">
        <v>657</v>
      </c>
      <c r="G556" s="1754"/>
      <c r="H556" s="1753"/>
    </row>
    <row r="557" spans="1:8" ht="15.75" hidden="1" x14ac:dyDescent="0.25">
      <c r="A557" s="1565"/>
      <c r="B557" s="1740"/>
      <c r="C557" s="1751"/>
      <c r="D557" s="1751"/>
      <c r="E557" s="1751"/>
      <c r="F557" s="1751"/>
      <c r="G557" s="1753"/>
      <c r="H557" s="1753"/>
    </row>
    <row r="558" spans="1:8" ht="15.75" hidden="1" x14ac:dyDescent="0.25">
      <c r="A558" s="1565"/>
      <c r="B558" s="1755" t="s">
        <v>664</v>
      </c>
      <c r="C558" s="1739"/>
      <c r="D558" s="1739"/>
      <c r="E558" s="1745"/>
      <c r="F558" s="1751"/>
      <c r="G558" s="1753"/>
      <c r="H558" s="1753"/>
    </row>
    <row r="559" spans="1:8" ht="15.75" hidden="1" x14ac:dyDescent="0.25">
      <c r="B559" s="1756" t="s">
        <v>665</v>
      </c>
      <c r="C559" s="1926" t="s">
        <v>666</v>
      </c>
      <c r="D559" s="1926" t="s">
        <v>667</v>
      </c>
      <c r="E559" s="1757" t="s">
        <v>668</v>
      </c>
      <c r="F559" s="1751"/>
      <c r="G559" s="1753"/>
      <c r="H559" s="1753"/>
    </row>
    <row r="560" spans="1:8" ht="15.75" hidden="1" x14ac:dyDescent="0.25">
      <c r="A560" s="1565">
        <v>1</v>
      </c>
      <c r="B560" s="1758" t="s">
        <v>669</v>
      </c>
      <c r="C560" s="1759">
        <v>30</v>
      </c>
      <c r="D560" s="1759">
        <v>1000</v>
      </c>
      <c r="E560" s="1760">
        <f>D560*10^-6</f>
        <v>1E-3</v>
      </c>
      <c r="F560" s="1751"/>
      <c r="G560" s="2109"/>
      <c r="H560" s="2110"/>
    </row>
    <row r="561" spans="1:8" ht="15.75" hidden="1" x14ac:dyDescent="0.25">
      <c r="A561" s="1565">
        <v>2</v>
      </c>
      <c r="B561" s="1758" t="s">
        <v>670</v>
      </c>
      <c r="C561" s="1759">
        <v>25</v>
      </c>
      <c r="D561" s="1759">
        <v>1400</v>
      </c>
      <c r="E561" s="1760">
        <f>D561*10^-6</f>
        <v>1.4E-3</v>
      </c>
      <c r="F561" s="1751"/>
      <c r="G561" s="1753"/>
      <c r="H561" s="1753"/>
    </row>
    <row r="562" spans="1:8" ht="15.75" hidden="1" x14ac:dyDescent="0.25">
      <c r="A562" s="1565">
        <v>3</v>
      </c>
      <c r="B562" s="1758" t="s">
        <v>769</v>
      </c>
      <c r="C562" s="1759">
        <v>30</v>
      </c>
      <c r="D562" s="1759">
        <v>1080</v>
      </c>
      <c r="E562" s="1760">
        <f t="shared" ref="E562:E567" si="21">D562*10^-6</f>
        <v>1.08E-3</v>
      </c>
      <c r="F562" s="1751"/>
      <c r="G562" s="1753"/>
      <c r="H562" s="1753"/>
    </row>
    <row r="563" spans="1:8" ht="15.75" hidden="1" x14ac:dyDescent="0.25">
      <c r="A563" s="1565">
        <v>4</v>
      </c>
      <c r="B563" s="1758" t="s">
        <v>671</v>
      </c>
      <c r="C563" s="1761">
        <v>5.9</v>
      </c>
      <c r="D563" s="1761">
        <v>510</v>
      </c>
      <c r="E563" s="1762">
        <f t="shared" si="21"/>
        <v>5.0999999999999993E-4</v>
      </c>
      <c r="F563" s="1751"/>
      <c r="G563" s="1753"/>
      <c r="H563" s="1753"/>
    </row>
    <row r="564" spans="1:8" ht="15.75" hidden="1" x14ac:dyDescent="0.25">
      <c r="A564" s="1565">
        <v>5</v>
      </c>
      <c r="B564" s="1758" t="s">
        <v>672</v>
      </c>
      <c r="C564" s="1761">
        <v>37.549999999999997</v>
      </c>
      <c r="D564" s="1761">
        <v>494</v>
      </c>
      <c r="E564" s="1762">
        <f t="shared" si="21"/>
        <v>4.9399999999999997E-4</v>
      </c>
      <c r="F564" s="1751"/>
      <c r="G564" s="1753"/>
      <c r="H564" s="1753"/>
    </row>
    <row r="565" spans="1:8" ht="15.75" hidden="1" x14ac:dyDescent="0.25">
      <c r="A565" s="1565">
        <v>6</v>
      </c>
      <c r="B565" s="1758" t="s">
        <v>673</v>
      </c>
      <c r="C565" s="1761">
        <v>37</v>
      </c>
      <c r="D565" s="1761">
        <v>681</v>
      </c>
      <c r="E565" s="1762">
        <f t="shared" si="21"/>
        <v>6.8099999999999996E-4</v>
      </c>
      <c r="F565" s="1751"/>
      <c r="G565" s="1753"/>
      <c r="H565" s="1753"/>
    </row>
    <row r="566" spans="1:8" ht="15.75" hidden="1" x14ac:dyDescent="0.25">
      <c r="A566" s="1565">
        <v>7</v>
      </c>
      <c r="B566" s="1758" t="s">
        <v>674</v>
      </c>
      <c r="C566" s="1761">
        <v>83.8</v>
      </c>
      <c r="D566" s="1761">
        <v>314</v>
      </c>
      <c r="E566" s="1762">
        <f t="shared" si="21"/>
        <v>3.1399999999999999E-4</v>
      </c>
      <c r="F566" s="1751"/>
      <c r="G566" s="1753"/>
      <c r="H566" s="1753"/>
    </row>
    <row r="567" spans="1:8" ht="15.75" hidden="1" x14ac:dyDescent="0.25">
      <c r="A567" s="1565">
        <v>8</v>
      </c>
      <c r="B567" s="1758" t="s">
        <v>675</v>
      </c>
      <c r="C567" s="1741"/>
      <c r="D567" s="1761">
        <v>0</v>
      </c>
      <c r="E567" s="1762">
        <f t="shared" si="21"/>
        <v>0</v>
      </c>
      <c r="F567" s="1753"/>
      <c r="G567" s="1753"/>
      <c r="H567" s="1753"/>
    </row>
    <row r="568" spans="1:8" ht="15.75" hidden="1" x14ac:dyDescent="0.25">
      <c r="A568" s="1560" t="s">
        <v>265</v>
      </c>
      <c r="B568" s="1927" t="e">
        <f>VLOOKUP($G$53,$B$560:$E$567,1,FALSE)</f>
        <v>#N/A</v>
      </c>
      <c r="C568" s="1927" t="e">
        <f>VLOOKUP($G$53,$B$560:$E$567,2,FALSE)</f>
        <v>#N/A</v>
      </c>
      <c r="D568" s="1927" t="e">
        <f>VLOOKUP($G$53,$B$560:$E$567,3,FALSE)</f>
        <v>#N/A</v>
      </c>
      <c r="E568" s="1763" t="e">
        <f>VLOOKUP($G$53,$B$560:$E$567,4,FALSE)</f>
        <v>#N/A</v>
      </c>
      <c r="F568" s="1928"/>
      <c r="G568" s="1928"/>
      <c r="H568" s="1928"/>
    </row>
    <row r="569" spans="1:8" hidden="1" x14ac:dyDescent="0.25"/>
    <row r="570" spans="1:8" hidden="1" x14ac:dyDescent="0.25"/>
    <row r="571" spans="1:8" ht="18.75" hidden="1" x14ac:dyDescent="0.3">
      <c r="B571" s="1873" t="s">
        <v>930</v>
      </c>
    </row>
    <row r="572" spans="1:8" hidden="1" x14ac:dyDescent="0.25"/>
    <row r="573" spans="1:8" ht="15.75" hidden="1" x14ac:dyDescent="0.25">
      <c r="B573" s="1785" t="s">
        <v>923</v>
      </c>
      <c r="C573" s="1785" t="s">
        <v>932</v>
      </c>
      <c r="D573" s="1785" t="s">
        <v>355</v>
      </c>
      <c r="E573" s="1785" t="s">
        <v>925</v>
      </c>
    </row>
    <row r="574" spans="1:8" ht="15.75" hidden="1" x14ac:dyDescent="0.25">
      <c r="B574" s="1785" t="s">
        <v>924</v>
      </c>
      <c r="C574" s="1785">
        <f>C56</f>
        <v>0</v>
      </c>
      <c r="D574" s="1785">
        <v>0.25</v>
      </c>
      <c r="E574" s="1785">
        <f>C574*D574</f>
        <v>0</v>
      </c>
    </row>
    <row r="575" spans="1:8" ht="15.75" hidden="1" x14ac:dyDescent="0.25">
      <c r="B575" s="1785" t="s">
        <v>926</v>
      </c>
      <c r="C575" s="1785">
        <f>G56</f>
        <v>0</v>
      </c>
      <c r="D575" s="1785">
        <v>0.2</v>
      </c>
      <c r="E575" s="1785">
        <f t="shared" ref="E575:E579" si="22">C575*D575</f>
        <v>0</v>
      </c>
    </row>
    <row r="576" spans="1:8" ht="15.75" hidden="1" x14ac:dyDescent="0.25">
      <c r="B576" s="1785" t="s">
        <v>927</v>
      </c>
      <c r="C576" s="1785">
        <f>C58</f>
        <v>0</v>
      </c>
      <c r="D576" s="1785">
        <v>0.25</v>
      </c>
      <c r="E576" s="1785">
        <f t="shared" si="22"/>
        <v>0</v>
      </c>
    </row>
    <row r="577" spans="2:5" ht="15.75" hidden="1" x14ac:dyDescent="0.25">
      <c r="B577" s="1785" t="s">
        <v>928</v>
      </c>
      <c r="C577" s="1785">
        <f>G58</f>
        <v>0</v>
      </c>
      <c r="D577" s="1785">
        <v>0.25</v>
      </c>
      <c r="E577" s="1785">
        <f t="shared" si="22"/>
        <v>0</v>
      </c>
    </row>
    <row r="578" spans="2:5" ht="15.75" hidden="1" x14ac:dyDescent="0.25">
      <c r="B578" s="1785" t="s">
        <v>929</v>
      </c>
      <c r="C578" s="1785">
        <f>C60</f>
        <v>0</v>
      </c>
      <c r="D578" s="1785">
        <v>0.3</v>
      </c>
      <c r="E578" s="1785">
        <f t="shared" si="22"/>
        <v>0</v>
      </c>
    </row>
    <row r="579" spans="2:5" ht="15.75" hidden="1" x14ac:dyDescent="0.25">
      <c r="B579" s="1785" t="s">
        <v>904</v>
      </c>
      <c r="C579" s="1785">
        <f>G60</f>
        <v>0</v>
      </c>
      <c r="D579" s="1785">
        <v>0</v>
      </c>
      <c r="E579" s="1785">
        <f t="shared" si="22"/>
        <v>0</v>
      </c>
    </row>
    <row r="580" spans="2:5" ht="15.75" hidden="1" x14ac:dyDescent="0.25">
      <c r="B580" s="1785" t="s">
        <v>260</v>
      </c>
      <c r="C580" s="1785"/>
      <c r="D580" s="1785"/>
      <c r="E580" s="1785">
        <f>SUM(E574:E579)</f>
        <v>0</v>
      </c>
    </row>
    <row r="581" spans="2:5" ht="15.75" hidden="1" x14ac:dyDescent="0.25">
      <c r="B581" s="1785"/>
      <c r="C581" s="1785"/>
      <c r="D581" s="1785"/>
      <c r="E581" s="1785"/>
    </row>
    <row r="582" spans="2:5" ht="15.75" hidden="1" x14ac:dyDescent="0.25">
      <c r="B582" s="1785" t="s">
        <v>933</v>
      </c>
      <c r="C582" s="1785">
        <f>(SUM(D321:D322)*10^3)</f>
        <v>0</v>
      </c>
      <c r="D582" s="1785">
        <v>0.89100000000000001</v>
      </c>
      <c r="E582" s="1880">
        <f>C582/0.46*D582</f>
        <v>0</v>
      </c>
    </row>
    <row r="583" spans="2:5" ht="15.75" hidden="1" x14ac:dyDescent="0.25">
      <c r="B583" s="1785" t="s">
        <v>934</v>
      </c>
      <c r="C583" s="1785">
        <f>IF($T$177="1",((E49*$C$49)+(E50*$C$50))/1000,(E49+E50))</f>
        <v>0</v>
      </c>
      <c r="D583" s="1785">
        <v>0.83399999999999996</v>
      </c>
      <c r="E583" s="1880">
        <f>C583/0.18*D583</f>
        <v>0</v>
      </c>
    </row>
    <row r="584" spans="2:5" ht="15.75" hidden="1" x14ac:dyDescent="0.25">
      <c r="B584" s="1785" t="s">
        <v>935</v>
      </c>
      <c r="C584" s="1785">
        <f>IF($T$177="1",((F49*$C$49)+(F50*$C$50))/1000,(F49+F50))</f>
        <v>0</v>
      </c>
      <c r="D584" s="1785">
        <v>0.13100000000000001</v>
      </c>
      <c r="E584" s="1880">
        <f>C584/0.5*D584</f>
        <v>0</v>
      </c>
    </row>
    <row r="585" spans="2:5" ht="15.75" hidden="1" x14ac:dyDescent="0.25">
      <c r="B585" s="1785" t="s">
        <v>936</v>
      </c>
      <c r="C585" s="1785">
        <f>IF($T$177="1",((G49*$C$49)+(G50*$C$50))/1000,(G49+G50))</f>
        <v>0</v>
      </c>
      <c r="D585" s="1785">
        <v>0.83399999999999996</v>
      </c>
      <c r="E585" s="1880">
        <f>IF(C585&gt;C583,(C585/0.18*D585),(C585/0.02*D585))</f>
        <v>0</v>
      </c>
    </row>
    <row r="586" spans="2:5" ht="15.75" hidden="1" x14ac:dyDescent="0.25">
      <c r="B586" s="1785" t="s">
        <v>931</v>
      </c>
      <c r="C586" s="1785">
        <f>IF($T$177="1",((H49*$C$49)+(H50*$C$50))/1000,(H49+H50))</f>
        <v>0</v>
      </c>
      <c r="D586" s="1785">
        <v>1.9E-2</v>
      </c>
      <c r="E586" s="1880">
        <f t="shared" ref="E586" si="23">C586/0.46*D586</f>
        <v>0</v>
      </c>
    </row>
    <row r="587" spans="2:5" ht="15.75" hidden="1" x14ac:dyDescent="0.25">
      <c r="B587" s="1785" t="s">
        <v>260</v>
      </c>
      <c r="C587" s="1785"/>
      <c r="D587" s="1785"/>
      <c r="E587" s="1880">
        <f>IF(E583&gt;E585,E583,E585)+E582+E584+E586</f>
        <v>0</v>
      </c>
    </row>
    <row r="588" spans="2:5" hidden="1" x14ac:dyDescent="0.25"/>
    <row r="589" spans="2:5" hidden="1" x14ac:dyDescent="0.25"/>
    <row r="590" spans="2:5" hidden="1" x14ac:dyDescent="0.25"/>
    <row r="591" spans="2:5" hidden="1" x14ac:dyDescent="0.25"/>
    <row r="592" spans="2:5" hidden="1" x14ac:dyDescent="0.25"/>
    <row r="593" hidden="1" x14ac:dyDescent="0.25"/>
    <row r="594" hidden="1" x14ac:dyDescent="0.25"/>
    <row r="595" hidden="1" x14ac:dyDescent="0.25"/>
    <row r="596" hidden="1" x14ac:dyDescent="0.25"/>
    <row r="597" hidden="1" x14ac:dyDescent="0.25"/>
    <row r="598" hidden="1" x14ac:dyDescent="0.25"/>
    <row r="599" hidden="1" x14ac:dyDescent="0.25"/>
  </sheetData>
  <sheetProtection algorithmName="SHA-512" hashValue="tFRprYwDkVXsIwnYrW1zTfrfsLtDUBy2iBhu99C/4rFFb047t7QG75/XQnCBO8dKLkNJUwIAA9Z5F2AA7YU6eA==" saltValue="dnNZmwdMxd1rd0odvM4N1w==" spinCount="100000" sheet="1" objects="1" scenarios="1"/>
  <mergeCells count="66">
    <mergeCell ref="E515:F515"/>
    <mergeCell ref="G560:H560"/>
    <mergeCell ref="H100:H101"/>
    <mergeCell ref="I100:I101"/>
    <mergeCell ref="J100:J101"/>
    <mergeCell ref="K100:K101"/>
    <mergeCell ref="D497:E497"/>
    <mergeCell ref="F497:G497"/>
    <mergeCell ref="H497:I497"/>
    <mergeCell ref="F96:G96"/>
    <mergeCell ref="B100:C100"/>
    <mergeCell ref="D100:D101"/>
    <mergeCell ref="E100:E101"/>
    <mergeCell ref="F100:F101"/>
    <mergeCell ref="G100:G101"/>
    <mergeCell ref="C67:D67"/>
    <mergeCell ref="C70:E70"/>
    <mergeCell ref="F70:G70"/>
    <mergeCell ref="B71:B72"/>
    <mergeCell ref="B76:I78"/>
    <mergeCell ref="F91:G91"/>
    <mergeCell ref="E56:F56"/>
    <mergeCell ref="G56:H56"/>
    <mergeCell ref="E58:F58"/>
    <mergeCell ref="G58:H58"/>
    <mergeCell ref="G60:H60"/>
    <mergeCell ref="C63:D63"/>
    <mergeCell ref="C41:D41"/>
    <mergeCell ref="G41:I41"/>
    <mergeCell ref="E42:F42"/>
    <mergeCell ref="H42:I43"/>
    <mergeCell ref="E53:F53"/>
    <mergeCell ref="G53:H53"/>
    <mergeCell ref="B35:B36"/>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D30:E30"/>
    <mergeCell ref="F30:G30"/>
    <mergeCell ref="H30:I30"/>
    <mergeCell ref="B2:H5"/>
    <mergeCell ref="D10:F10"/>
    <mergeCell ref="D12:F12"/>
    <mergeCell ref="F14:G14"/>
    <mergeCell ref="D24:E24"/>
    <mergeCell ref="F24:G24"/>
    <mergeCell ref="F26:G26"/>
    <mergeCell ref="F28:G28"/>
    <mergeCell ref="D29:E29"/>
    <mergeCell ref="F29:G29"/>
    <mergeCell ref="H29:I29"/>
  </mergeCells>
  <conditionalFormatting sqref="J122">
    <cfRule type="cellIs" dxfId="3" priority="2" operator="greaterThan">
      <formula>0</formula>
    </cfRule>
    <cfRule type="cellIs" dxfId="2" priority="4" operator="lessThan">
      <formula>0</formula>
    </cfRule>
  </conditionalFormatting>
  <conditionalFormatting sqref="J123">
    <cfRule type="cellIs" dxfId="1" priority="1" operator="greaterThan">
      <formula>0</formula>
    </cfRule>
    <cfRule type="cellIs" dxfId="0" priority="3" operator="lessThan">
      <formula>0</formula>
    </cfRule>
  </conditionalFormatting>
  <dataValidations count="12">
    <dataValidation type="decimal" allowBlank="1" showInputMessage="1" showErrorMessage="1" sqref="D30:I35" xr:uid="{00000000-0002-0000-0A00-000000000000}">
      <formula1>0</formula1>
      <formula2>30</formula2>
    </dataValidation>
    <dataValidation type="list" allowBlank="1" showInputMessage="1" showErrorMessage="1" sqref="D24:E24" xr:uid="{00000000-0002-0000-0A00-000001000000}">
      <formula1>Milk.production</formula1>
    </dataValidation>
    <dataValidation type="list" allowBlank="1" showInputMessage="1" showErrorMessage="1" sqref="C63:D63 C67:D67" xr:uid="{00000000-0002-0000-0A00-000002000000}">
      <formula1>Tree_Sequestration</formula1>
    </dataValidation>
    <dataValidation type="list" allowBlank="1" showInputMessage="1" showErrorMessage="1" sqref="F96" xr:uid="{00000000-0002-0000-0A00-000003000000}">
      <formula1>Heifer_Feedpad_Waste</formula1>
    </dataValidation>
    <dataValidation type="list" allowBlank="1" showInputMessage="1" showErrorMessage="1" sqref="F91 AL185:AL188" xr:uid="{00000000-0002-0000-0A00-000004000000}">
      <formula1>Milker_Feedpad_Waste</formula1>
    </dataValidation>
    <dataValidation type="list" allowBlank="1" showInputMessage="1" showErrorMessage="1" sqref="G87" xr:uid="{00000000-0002-0000-0A00-000005000000}">
      <formula1>Pre_treament</formula1>
    </dataValidation>
    <dataValidation type="list" allowBlank="1" showInputMessage="1" showErrorMessage="1" sqref="F70:G70" xr:uid="{00000000-0002-0000-0A00-000006000000}">
      <formula1>Waste.Management</formula1>
    </dataValidation>
    <dataValidation type="list" allowBlank="1" showInputMessage="1" showErrorMessage="1" sqref="H67" xr:uid="{00000000-0002-0000-0A00-000007000000}">
      <formula1>Rainfall</formula1>
    </dataValidation>
    <dataValidation type="list" allowBlank="1" showInputMessage="1" showErrorMessage="1" sqref="G53" xr:uid="{00000000-0002-0000-0A00-000008000000}">
      <formula1>Electricity</formula1>
    </dataValidation>
    <dataValidation type="list" allowBlank="1" showInputMessage="1" showErrorMessage="1" sqref="E42" xr:uid="{00000000-0002-0000-0A00-000009000000}">
      <formula1>Fertiliser</formula1>
    </dataValidation>
    <dataValidation type="whole" allowBlank="1" showInputMessage="1" showErrorMessage="1" sqref="G83:G84" xr:uid="{00000000-0002-0000-0A00-00000A000000}">
      <formula1>0</formula1>
      <formula2>100</formula2>
    </dataValidation>
    <dataValidation type="decimal" allowBlank="1" showInputMessage="1" showErrorMessage="1" sqref="G81:H81 G89:H89 G94:H94" xr:uid="{00000000-0002-0000-0A00-00000B000000}">
      <formula1>0</formula1>
      <formula2>24</formula2>
    </dataValidation>
  </dataValidations>
  <hyperlinks>
    <hyperlink ref="H42:I43" location="'Fertiliser rates'!A1" display="Click here to work out fertiliser rates" xr:uid="{00000000-0004-0000-0A00-000000000000}"/>
    <hyperlink ref="B35:B36" location="'Feed quality table'!A1" display="Click here for help regarding feed quality" xr:uid="{00000000-0004-0000-0A00-000001000000}"/>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IW300"/>
  <sheetViews>
    <sheetView zoomScale="70" zoomScaleNormal="70" workbookViewId="0">
      <selection activeCell="C21" sqref="C21"/>
    </sheetView>
  </sheetViews>
  <sheetFormatPr defaultColWidth="16.7109375" defaultRowHeight="15" x14ac:dyDescent="0.25"/>
  <cols>
    <col min="1" max="1" width="3.28515625" style="18" customWidth="1"/>
    <col min="2" max="2" width="83.85546875" style="18" customWidth="1"/>
    <col min="3" max="3" width="25.7109375" style="18" customWidth="1"/>
    <col min="4" max="4" width="46" style="18" customWidth="1"/>
    <col min="5" max="8" width="16.7109375" style="18"/>
    <col min="9" max="45" width="16.7109375" style="559"/>
    <col min="46" max="16384" width="16.7109375" style="18"/>
  </cols>
  <sheetData>
    <row r="1" spans="1:45" x14ac:dyDescent="0.25">
      <c r="A1" s="17"/>
    </row>
    <row r="2" spans="1:45" x14ac:dyDescent="0.25">
      <c r="A2" s="17"/>
    </row>
    <row r="3" spans="1:45" x14ac:dyDescent="0.25">
      <c r="A3" s="17"/>
    </row>
    <row r="4" spans="1:45" x14ac:dyDescent="0.25">
      <c r="A4" s="17"/>
    </row>
    <row r="5" spans="1:45" x14ac:dyDescent="0.25">
      <c r="A5" s="17"/>
    </row>
    <row r="6" spans="1:45" x14ac:dyDescent="0.25">
      <c r="A6" s="17"/>
    </row>
    <row r="7" spans="1:45" x14ac:dyDescent="0.25">
      <c r="A7" s="17"/>
    </row>
    <row r="8" spans="1:45" x14ac:dyDescent="0.25">
      <c r="A8" s="17"/>
    </row>
    <row r="9" spans="1:45" x14ac:dyDescent="0.25">
      <c r="A9" s="559"/>
    </row>
    <row r="10" spans="1:45" x14ac:dyDescent="0.25">
      <c r="A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299"/>
      <c r="AO10" s="1299"/>
      <c r="AP10" s="1299"/>
      <c r="AQ10" s="1299"/>
      <c r="AR10" s="1299"/>
      <c r="AS10" s="1299"/>
    </row>
    <row r="11" spans="1:45" ht="20.100000000000001" customHeight="1" x14ac:dyDescent="0.25">
      <c r="A11" s="17"/>
      <c r="B11" s="670" t="s">
        <v>1049</v>
      </c>
      <c r="C11" s="669"/>
    </row>
    <row r="12" spans="1:45" ht="20.100000000000001" customHeight="1" x14ac:dyDescent="0.25">
      <c r="A12" s="559"/>
      <c r="B12" s="203" t="s">
        <v>744</v>
      </c>
      <c r="C12" s="171">
        <f>'Baseline farm'!D17</f>
        <v>0</v>
      </c>
    </row>
    <row r="13" spans="1:45" ht="20.100000000000001" customHeight="1" x14ac:dyDescent="0.25">
      <c r="A13" s="17"/>
      <c r="B13" s="203" t="s">
        <v>465</v>
      </c>
      <c r="C13" s="7">
        <f>'Baseline farm'!D19</f>
        <v>0</v>
      </c>
    </row>
    <row r="14" spans="1:45" ht="20.100000000000001" hidden="1" customHeight="1" x14ac:dyDescent="0.25">
      <c r="A14" s="17"/>
      <c r="B14" s="203" t="s">
        <v>15</v>
      </c>
      <c r="C14" s="8">
        <v>0</v>
      </c>
    </row>
    <row r="15" spans="1:45" ht="20.100000000000001" customHeight="1" x14ac:dyDescent="0.25">
      <c r="A15" s="17"/>
      <c r="B15" s="203" t="s">
        <v>466</v>
      </c>
      <c r="C15" s="8" t="e">
        <f>'Baseline farm'!H28</f>
        <v>#DIV/0!</v>
      </c>
    </row>
    <row r="16" spans="1:45" ht="20.100000000000001" customHeight="1" x14ac:dyDescent="0.25">
      <c r="A16" s="17"/>
      <c r="B16" s="203" t="s">
        <v>515</v>
      </c>
      <c r="C16" s="7">
        <f>'Baseline farm'!D28</f>
        <v>0</v>
      </c>
    </row>
    <row r="17" spans="1:257" ht="20.100000000000001" customHeight="1" x14ac:dyDescent="0.25">
      <c r="A17" s="17"/>
      <c r="B17" s="203" t="s">
        <v>803</v>
      </c>
      <c r="C17" s="8" t="e">
        <f>'Baseline farm'!F36</f>
        <v>#DIV/0!</v>
      </c>
    </row>
    <row r="18" spans="1:257" ht="20.100000000000001" customHeight="1" x14ac:dyDescent="0.25">
      <c r="A18" s="559"/>
      <c r="B18" s="671" t="s">
        <v>1050</v>
      </c>
      <c r="C18" s="375"/>
    </row>
    <row r="19" spans="1:257" ht="20.100000000000001" customHeight="1" x14ac:dyDescent="0.25">
      <c r="A19" s="17"/>
      <c r="B19" s="205" t="s">
        <v>701</v>
      </c>
      <c r="C19" s="844">
        <f>C58/10</f>
        <v>25</v>
      </c>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row>
    <row r="20" spans="1:257" s="17" customFormat="1" ht="5.0999999999999996" customHeight="1" x14ac:dyDescent="0.25">
      <c r="B20" s="205"/>
      <c r="C20" s="342"/>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row>
    <row r="21" spans="1:257" ht="20.100000000000001" customHeight="1" x14ac:dyDescent="0.25">
      <c r="A21" s="17"/>
      <c r="B21" s="205" t="s">
        <v>1714</v>
      </c>
      <c r="C21" s="845">
        <f>C59/10</f>
        <v>15</v>
      </c>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row>
    <row r="22" spans="1:257" s="17" customFormat="1" ht="5.0999999999999996" customHeight="1" x14ac:dyDescent="0.25">
      <c r="B22" s="205"/>
      <c r="C22" s="206"/>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ht="20.100000000000001" customHeight="1" x14ac:dyDescent="0.25">
      <c r="A23" s="17"/>
      <c r="B23" s="205" t="s">
        <v>56</v>
      </c>
      <c r="C23" s="844">
        <f>C60/10</f>
        <v>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s="17" customFormat="1" ht="5.0999999999999996" customHeight="1" x14ac:dyDescent="0.25">
      <c r="B24" s="205"/>
      <c r="C24" s="341"/>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ht="20.100000000000001" customHeight="1" x14ac:dyDescent="0.25">
      <c r="A25" s="17"/>
      <c r="B25" s="205" t="s">
        <v>885</v>
      </c>
      <c r="C25" s="846">
        <f>C61/1</f>
        <v>365</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row>
    <row r="26" spans="1:257" s="17" customFormat="1" ht="5.0999999999999996" customHeight="1" x14ac:dyDescent="0.25">
      <c r="B26" s="205"/>
      <c r="C26" s="343"/>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row>
    <row r="27" spans="1:257" ht="20.100000000000001" customHeight="1" x14ac:dyDescent="0.25">
      <c r="A27" s="17"/>
      <c r="B27" s="205" t="s">
        <v>128</v>
      </c>
      <c r="C27" s="845">
        <f>C62/100</f>
        <v>0.5</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row>
    <row r="28" spans="1:257" s="17" customFormat="1" ht="5.0999999999999996" customHeight="1" x14ac:dyDescent="0.25">
      <c r="B28" s="205"/>
      <c r="C28" s="206"/>
      <c r="I28" s="559"/>
      <c r="J28" s="559"/>
      <c r="K28" s="559"/>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row>
    <row r="29" spans="1:257" ht="20.100000000000001" customHeight="1" x14ac:dyDescent="0.25">
      <c r="A29" s="17"/>
      <c r="B29" s="205" t="s">
        <v>72</v>
      </c>
      <c r="C29" s="845">
        <f>C63/100</f>
        <v>20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row>
    <row r="30" spans="1:257" ht="5.0999999999999996" customHeight="1" x14ac:dyDescent="0.25">
      <c r="A30" s="17"/>
      <c r="B30" s="205"/>
      <c r="C30" s="206"/>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row>
    <row r="31" spans="1:257" ht="20.100000000000001" customHeight="1" x14ac:dyDescent="0.25">
      <c r="A31" s="17"/>
      <c r="B31" s="672" t="s">
        <v>1051</v>
      </c>
      <c r="C31" s="673"/>
    </row>
    <row r="32" spans="1:257" ht="20.100000000000001" customHeight="1" x14ac:dyDescent="0.25">
      <c r="A32" s="559"/>
      <c r="B32" s="207" t="s">
        <v>830</v>
      </c>
      <c r="C32" s="10" t="e">
        <f>C140*C12*C25</f>
        <v>#DIV/0!</v>
      </c>
    </row>
    <row r="33" spans="1:8" ht="20.100000000000001" customHeight="1" x14ac:dyDescent="0.25">
      <c r="A33" s="17"/>
      <c r="B33" s="208" t="s">
        <v>1052</v>
      </c>
      <c r="C33" s="11"/>
    </row>
    <row r="34" spans="1:8" ht="20.100000000000001" customHeight="1" x14ac:dyDescent="0.25">
      <c r="A34" s="17"/>
      <c r="B34" s="523" t="s">
        <v>89</v>
      </c>
      <c r="C34" s="524" t="e">
        <f>(C103-C134)</f>
        <v>#DIV/0!</v>
      </c>
    </row>
    <row r="35" spans="1:8" ht="20.100000000000001" customHeight="1" x14ac:dyDescent="0.25">
      <c r="A35" s="17"/>
      <c r="B35" s="523" t="s">
        <v>494</v>
      </c>
      <c r="C35" s="524">
        <v>0</v>
      </c>
    </row>
    <row r="36" spans="1:8" ht="20.100000000000001" customHeight="1" x14ac:dyDescent="0.25">
      <c r="A36" s="17"/>
      <c r="B36" s="523" t="s">
        <v>495</v>
      </c>
      <c r="C36" s="524">
        <v>0</v>
      </c>
    </row>
    <row r="37" spans="1:8" ht="20.100000000000001" customHeight="1" x14ac:dyDescent="0.25">
      <c r="A37" s="17"/>
      <c r="B37" s="523" t="s">
        <v>217</v>
      </c>
      <c r="C37" s="524">
        <v>0</v>
      </c>
    </row>
    <row r="38" spans="1:8" ht="20.100000000000001" customHeight="1" x14ac:dyDescent="0.25">
      <c r="A38" s="17"/>
      <c r="B38" s="523" t="s">
        <v>218</v>
      </c>
      <c r="C38" s="524" t="e">
        <f>SUM(C34:C37)</f>
        <v>#DIV/0!</v>
      </c>
    </row>
    <row r="39" spans="1:8" ht="20.100000000000001" customHeight="1" x14ac:dyDescent="0.25">
      <c r="A39" s="17"/>
      <c r="B39" s="525" t="s">
        <v>1047</v>
      </c>
      <c r="C39" s="526" t="e">
        <f>C34*C29</f>
        <v>#DIV/0!</v>
      </c>
    </row>
    <row r="40" spans="1:8" ht="20.100000000000001" customHeight="1" x14ac:dyDescent="0.25">
      <c r="A40" s="17"/>
      <c r="B40" s="525" t="s">
        <v>1048</v>
      </c>
      <c r="C40" s="526">
        <f>C21*C12</f>
        <v>0</v>
      </c>
    </row>
    <row r="41" spans="1:8" ht="20.100000000000001" customHeight="1" x14ac:dyDescent="0.25">
      <c r="A41" s="17"/>
      <c r="B41" s="525" t="s">
        <v>20</v>
      </c>
      <c r="C41" s="527" t="e">
        <f>IF(C39&gt;1,C39-C40,C40*-1)</f>
        <v>#DIV/0!</v>
      </c>
    </row>
    <row r="42" spans="1:8" ht="20.100000000000001" customHeight="1" x14ac:dyDescent="0.25">
      <c r="A42" s="17"/>
      <c r="B42" s="525" t="s">
        <v>95</v>
      </c>
      <c r="C42" s="526" t="e">
        <f>C27*C25*C12*C140</f>
        <v>#DIV/0!</v>
      </c>
    </row>
    <row r="43" spans="1:8" ht="20.100000000000001" customHeight="1" x14ac:dyDescent="0.25">
      <c r="A43" s="17"/>
      <c r="B43" s="525" t="s">
        <v>18</v>
      </c>
      <c r="C43" s="526" t="e">
        <f>IF(C39&gt;1,C39-C40+C42,C42-C40)</f>
        <v>#DIV/0!</v>
      </c>
    </row>
    <row r="44" spans="1:8" ht="20.100000000000001" customHeight="1" x14ac:dyDescent="0.25">
      <c r="A44" s="17"/>
      <c r="B44" s="525" t="s">
        <v>1053</v>
      </c>
      <c r="C44" s="528" t="e">
        <f>C72</f>
        <v>#DIV/0!</v>
      </c>
    </row>
    <row r="45" spans="1:8" ht="20.100000000000001" customHeight="1" x14ac:dyDescent="0.25">
      <c r="A45" s="17"/>
      <c r="B45" s="529" t="s">
        <v>1237</v>
      </c>
      <c r="C45" s="530" t="e">
        <f>C153</f>
        <v>#DIV/0!</v>
      </c>
    </row>
    <row r="46" spans="1:8" ht="20.100000000000001" customHeight="1" x14ac:dyDescent="0.25">
      <c r="A46" s="17"/>
      <c r="B46" s="525" t="s">
        <v>1054</v>
      </c>
      <c r="C46" s="531" t="e">
        <f>C157</f>
        <v>#DIV/0!</v>
      </c>
    </row>
    <row r="47" spans="1:8" ht="20.100000000000001" customHeight="1" x14ac:dyDescent="0.25">
      <c r="A47" s="17"/>
      <c r="B47" s="532" t="s">
        <v>235</v>
      </c>
      <c r="C47" s="533" t="e">
        <f>C46+C42-C40</f>
        <v>#DIV/0!</v>
      </c>
    </row>
    <row r="48" spans="1:8" ht="20.100000000000001" customHeight="1" x14ac:dyDescent="0.25">
      <c r="A48" s="17"/>
      <c r="B48" s="17"/>
      <c r="C48" s="17"/>
      <c r="D48" s="17"/>
      <c r="E48" s="17"/>
      <c r="F48" s="17"/>
      <c r="G48" s="17"/>
      <c r="H48" s="17"/>
    </row>
    <row r="49" spans="2:6" s="559" customFormat="1" x14ac:dyDescent="0.25">
      <c r="B49" s="169"/>
      <c r="C49" s="170"/>
    </row>
    <row r="50" spans="2:6" s="559" customFormat="1" x14ac:dyDescent="0.25">
      <c r="B50" s="169"/>
      <c r="C50" s="170"/>
    </row>
    <row r="51" spans="2:6" s="559" customFormat="1" x14ac:dyDescent="0.25">
      <c r="B51" s="169"/>
      <c r="C51" s="170"/>
      <c r="D51"/>
    </row>
    <row r="52" spans="2:6" s="559" customFormat="1" x14ac:dyDescent="0.25">
      <c r="B52" s="169"/>
      <c r="C52" s="170"/>
    </row>
    <row r="53" spans="2:6" s="559" customFormat="1" x14ac:dyDescent="0.25">
      <c r="B53" s="169"/>
      <c r="C53" s="170"/>
    </row>
    <row r="54" spans="2:6" s="559" customFormat="1" x14ac:dyDescent="0.25">
      <c r="B54" s="169"/>
      <c r="C54" s="170"/>
    </row>
    <row r="55" spans="2:6" ht="23.25" hidden="1" x14ac:dyDescent="0.35">
      <c r="B55" s="26"/>
      <c r="C55" s="25"/>
      <c r="F55" s="496"/>
    </row>
    <row r="56" spans="2:6" ht="23.25" hidden="1" x14ac:dyDescent="0.35">
      <c r="B56" s="26"/>
      <c r="C56" s="25"/>
      <c r="F56" s="492"/>
    </row>
    <row r="57" spans="2:6" hidden="1" x14ac:dyDescent="0.25">
      <c r="B57" s="27" t="s">
        <v>166</v>
      </c>
      <c r="C57" s="28"/>
      <c r="D57" s="29"/>
    </row>
    <row r="58" spans="2:6" hidden="1" x14ac:dyDescent="0.25">
      <c r="B58" s="24" t="s">
        <v>124</v>
      </c>
      <c r="C58" s="30">
        <v>250</v>
      </c>
      <c r="D58" s="48"/>
    </row>
    <row r="59" spans="2:6" hidden="1" x14ac:dyDescent="0.25">
      <c r="B59" s="24" t="s">
        <v>125</v>
      </c>
      <c r="C59" s="30">
        <v>150</v>
      </c>
      <c r="D59" s="29"/>
    </row>
    <row r="60" spans="2:6" hidden="1" x14ac:dyDescent="0.25">
      <c r="B60" s="24" t="s">
        <v>56</v>
      </c>
      <c r="C60" s="30">
        <v>0</v>
      </c>
      <c r="D60" s="29"/>
    </row>
    <row r="61" spans="2:6" hidden="1" x14ac:dyDescent="0.25">
      <c r="B61" s="24" t="s">
        <v>746</v>
      </c>
      <c r="C61" s="30">
        <v>365</v>
      </c>
      <c r="D61" s="29"/>
    </row>
    <row r="62" spans="2:6" hidden="1" x14ac:dyDescent="0.25">
      <c r="B62" s="24" t="s">
        <v>117</v>
      </c>
      <c r="C62" s="31">
        <v>50</v>
      </c>
      <c r="D62" s="29"/>
    </row>
    <row r="63" spans="2:6" hidden="1" x14ac:dyDescent="0.25">
      <c r="B63" s="24" t="s">
        <v>118</v>
      </c>
      <c r="C63" s="31">
        <v>2000</v>
      </c>
      <c r="D63" s="29"/>
    </row>
    <row r="64" spans="2:6" hidden="1" x14ac:dyDescent="0.25">
      <c r="B64" s="24"/>
      <c r="C64" s="31"/>
      <c r="D64" s="29"/>
    </row>
    <row r="65" spans="2:4" ht="15.75" hidden="1" x14ac:dyDescent="0.25">
      <c r="B65" s="27" t="s">
        <v>152</v>
      </c>
      <c r="C65" s="200" t="s">
        <v>702</v>
      </c>
      <c r="D65" s="201" t="s">
        <v>703</v>
      </c>
    </row>
    <row r="66" spans="2:4" hidden="1" x14ac:dyDescent="0.25">
      <c r="B66" s="24" t="s">
        <v>119</v>
      </c>
      <c r="C66" s="32" t="e">
        <f>C39</f>
        <v>#DIV/0!</v>
      </c>
      <c r="D66" s="33" t="e">
        <f>C46</f>
        <v>#DIV/0!</v>
      </c>
    </row>
    <row r="67" spans="2:4" hidden="1" x14ac:dyDescent="0.25">
      <c r="B67" s="24" t="s">
        <v>120</v>
      </c>
      <c r="C67" s="32">
        <f>C40</f>
        <v>0</v>
      </c>
      <c r="D67" s="33">
        <f>C67</f>
        <v>0</v>
      </c>
    </row>
    <row r="68" spans="2:4" hidden="1" x14ac:dyDescent="0.25">
      <c r="B68" s="24" t="s">
        <v>121</v>
      </c>
      <c r="C68" s="32" t="e">
        <f>C42</f>
        <v>#DIV/0!</v>
      </c>
      <c r="D68" s="33" t="e">
        <f>C68</f>
        <v>#DIV/0!</v>
      </c>
    </row>
    <row r="69" spans="2:4" hidden="1" x14ac:dyDescent="0.25">
      <c r="B69" s="24" t="s">
        <v>24</v>
      </c>
      <c r="C69" s="32" t="e">
        <f>C43</f>
        <v>#DIV/0!</v>
      </c>
      <c r="D69" s="34" t="e">
        <f>C47</f>
        <v>#DIV/0!</v>
      </c>
    </row>
    <row r="70" spans="2:4" hidden="1" x14ac:dyDescent="0.25">
      <c r="B70" s="24"/>
      <c r="C70" s="32"/>
      <c r="D70" s="34"/>
    </row>
    <row r="71" spans="2:4" hidden="1" x14ac:dyDescent="0.25">
      <c r="B71" s="24" t="s">
        <v>805</v>
      </c>
      <c r="C71" s="32" t="e">
        <f>C12*C15*C16</f>
        <v>#DIV/0!</v>
      </c>
      <c r="D71" s="34" t="s">
        <v>806</v>
      </c>
    </row>
    <row r="72" spans="2:4" hidden="1" x14ac:dyDescent="0.25">
      <c r="B72" s="24" t="s">
        <v>112</v>
      </c>
      <c r="C72" s="35" t="e">
        <f>C69/C73</f>
        <v>#DIV/0!</v>
      </c>
      <c r="D72" s="29"/>
    </row>
    <row r="73" spans="2:4" hidden="1" x14ac:dyDescent="0.25">
      <c r="B73" s="24" t="s">
        <v>109</v>
      </c>
      <c r="C73" s="36" t="e">
        <f>C71*C27</f>
        <v>#DIV/0!</v>
      </c>
      <c r="D73" s="29"/>
    </row>
    <row r="74" spans="2:4" hidden="1" x14ac:dyDescent="0.25">
      <c r="B74" s="29"/>
      <c r="C74" s="37"/>
      <c r="D74" s="29"/>
    </row>
    <row r="75" spans="2:4" hidden="1" x14ac:dyDescent="0.25">
      <c r="B75" s="27" t="s">
        <v>170</v>
      </c>
      <c r="C75" s="37"/>
      <c r="D75" s="29"/>
    </row>
    <row r="76" spans="2:4" hidden="1" x14ac:dyDescent="0.25">
      <c r="B76" s="24" t="s">
        <v>0</v>
      </c>
      <c r="C76" s="38"/>
      <c r="D76" s="29"/>
    </row>
    <row r="77" spans="2:4" hidden="1" x14ac:dyDescent="0.25">
      <c r="B77" s="24" t="s">
        <v>1</v>
      </c>
      <c r="C77" s="39" t="s">
        <v>167</v>
      </c>
      <c r="D77" s="29"/>
    </row>
    <row r="78" spans="2:4" hidden="1" x14ac:dyDescent="0.25">
      <c r="B78" s="24" t="s">
        <v>1</v>
      </c>
      <c r="C78" s="40" t="e">
        <f>(1.185+(0.00454*C13)-(0.0000026*(C13)^2)+((0.315*C14)))^2*1.1+C82</f>
        <v>#DIV/0!</v>
      </c>
      <c r="D78" s="29"/>
    </row>
    <row r="79" spans="2:4" hidden="1" x14ac:dyDescent="0.25">
      <c r="B79" s="24"/>
      <c r="C79" s="38"/>
      <c r="D79" s="29"/>
    </row>
    <row r="80" spans="2:4" hidden="1" x14ac:dyDescent="0.25">
      <c r="B80" s="24" t="s">
        <v>2</v>
      </c>
      <c r="C80" s="39" t="s">
        <v>1572</v>
      </c>
      <c r="D80" s="29"/>
    </row>
    <row r="81" spans="2:4" hidden="1" x14ac:dyDescent="0.25">
      <c r="B81" s="41" t="s">
        <v>3</v>
      </c>
      <c r="C81" s="38"/>
      <c r="D81" s="29"/>
    </row>
    <row r="82" spans="2:4" hidden="1" x14ac:dyDescent="0.25">
      <c r="B82" s="24"/>
      <c r="C82" s="42" t="e">
        <f>((C15*1.03*C16/365)*3.054)/0.6/((0.00795*C17)-0.0014)/18.4</f>
        <v>#DIV/0!</v>
      </c>
      <c r="D82" s="29"/>
    </row>
    <row r="83" spans="2:4" hidden="1" x14ac:dyDescent="0.25">
      <c r="B83" s="24"/>
      <c r="C83" s="38"/>
      <c r="D83" s="29"/>
    </row>
    <row r="84" spans="2:4" hidden="1" x14ac:dyDescent="0.25">
      <c r="B84" s="24" t="s">
        <v>4</v>
      </c>
      <c r="C84" s="39" t="s">
        <v>5</v>
      </c>
      <c r="D84" s="29"/>
    </row>
    <row r="85" spans="2:4" hidden="1" x14ac:dyDescent="0.25">
      <c r="B85" s="24"/>
      <c r="C85" s="38"/>
      <c r="D85" s="29"/>
    </row>
    <row r="86" spans="2:4" hidden="1" x14ac:dyDescent="0.25">
      <c r="B86" s="24"/>
      <c r="C86" s="42" t="e">
        <f>(C78*18.4)</f>
        <v>#DIV/0!</v>
      </c>
      <c r="D86" s="29"/>
    </row>
    <row r="87" spans="2:4" hidden="1" x14ac:dyDescent="0.25">
      <c r="B87" s="24"/>
      <c r="C87" s="38"/>
      <c r="D87" s="29"/>
    </row>
    <row r="88" spans="2:4" hidden="1" x14ac:dyDescent="0.25">
      <c r="B88" s="24" t="s">
        <v>6</v>
      </c>
      <c r="C88" s="39" t="s">
        <v>7</v>
      </c>
      <c r="D88" s="29"/>
    </row>
    <row r="89" spans="2:4" hidden="1" x14ac:dyDescent="0.25">
      <c r="B89" s="24"/>
      <c r="C89" s="40" t="e">
        <f>C78/(1.185+(0.00454*C13)-(0.0000026*(C13)^2)+(0.315*0))^2</f>
        <v>#DIV/0!</v>
      </c>
      <c r="D89" s="29"/>
    </row>
    <row r="90" spans="2:4" hidden="1" x14ac:dyDescent="0.25">
      <c r="B90" s="24"/>
      <c r="C90" s="38"/>
      <c r="D90" s="29"/>
    </row>
    <row r="91" spans="2:4" hidden="1" x14ac:dyDescent="0.25">
      <c r="B91" s="24" t="s">
        <v>8</v>
      </c>
      <c r="C91" s="39" t="s">
        <v>9</v>
      </c>
      <c r="D91" s="29"/>
    </row>
    <row r="92" spans="2:4" hidden="1" x14ac:dyDescent="0.25">
      <c r="B92" s="24" t="s">
        <v>169</v>
      </c>
      <c r="C92" s="38"/>
      <c r="D92" s="29"/>
    </row>
    <row r="93" spans="2:4" hidden="1" x14ac:dyDescent="0.25">
      <c r="B93" s="24"/>
      <c r="C93" s="42" t="e">
        <f>1.3+(0.112*C17)+C89*(2.37-(0.05*C17))</f>
        <v>#DIV/0!</v>
      </c>
      <c r="D93" s="29"/>
    </row>
    <row r="94" spans="2:4" hidden="1" x14ac:dyDescent="0.25">
      <c r="B94" s="24"/>
      <c r="C94" s="38"/>
      <c r="D94" s="29"/>
    </row>
    <row r="95" spans="2:4" hidden="1" x14ac:dyDescent="0.25">
      <c r="B95" s="24" t="s">
        <v>10</v>
      </c>
      <c r="C95" s="39" t="s">
        <v>1532</v>
      </c>
      <c r="D95" s="29"/>
    </row>
    <row r="96" spans="2:4" hidden="1" x14ac:dyDescent="0.25">
      <c r="B96" s="24"/>
      <c r="C96" s="38"/>
      <c r="D96" s="29"/>
    </row>
    <row r="97" spans="2:13" hidden="1" x14ac:dyDescent="0.25">
      <c r="B97" s="27" t="s">
        <v>11</v>
      </c>
      <c r="C97" s="43" t="e">
        <f>21.5*C78/1000</f>
        <v>#DIV/0!</v>
      </c>
      <c r="D97" s="29"/>
    </row>
    <row r="98" spans="2:13" hidden="1" x14ac:dyDescent="0.25">
      <c r="B98" s="29"/>
      <c r="C98" s="209"/>
      <c r="D98" s="29"/>
    </row>
    <row r="99" spans="2:13" hidden="1" x14ac:dyDescent="0.25">
      <c r="B99" s="27"/>
      <c r="C99" s="24"/>
      <c r="D99" s="29"/>
    </row>
    <row r="100" spans="2:13" hidden="1" x14ac:dyDescent="0.25">
      <c r="B100" s="24"/>
      <c r="C100" s="24"/>
      <c r="D100" s="29"/>
    </row>
    <row r="101" spans="2:13" hidden="1" x14ac:dyDescent="0.25">
      <c r="B101" s="24" t="s">
        <v>12</v>
      </c>
      <c r="C101" s="32">
        <f>C12</f>
        <v>0</v>
      </c>
      <c r="D101" s="29"/>
    </row>
    <row r="102" spans="2:13" hidden="1" x14ac:dyDescent="0.25">
      <c r="B102" s="24" t="s">
        <v>57</v>
      </c>
      <c r="C102" s="44" t="e">
        <f>C97*C101*365</f>
        <v>#DIV/0!</v>
      </c>
      <c r="D102" s="29" t="s">
        <v>831</v>
      </c>
    </row>
    <row r="103" spans="2:13" hidden="1" x14ac:dyDescent="0.25">
      <c r="B103" s="27" t="s">
        <v>14</v>
      </c>
      <c r="C103" s="45" t="e">
        <f>C102*25/1000</f>
        <v>#DIV/0!</v>
      </c>
      <c r="D103" s="29" t="s">
        <v>1533</v>
      </c>
    </row>
    <row r="104" spans="2:13" hidden="1" x14ac:dyDescent="0.25">
      <c r="B104" s="29"/>
      <c r="C104" s="29"/>
      <c r="D104" s="46"/>
    </row>
    <row r="105" spans="2:13" hidden="1" x14ac:dyDescent="0.25">
      <c r="B105" s="29"/>
      <c r="C105" s="29"/>
      <c r="D105" s="29"/>
    </row>
    <row r="106" spans="2:13" hidden="1" x14ac:dyDescent="0.25">
      <c r="B106" s="210" t="s">
        <v>171</v>
      </c>
      <c r="C106" s="29"/>
      <c r="D106" s="29"/>
      <c r="K106" s="643"/>
      <c r="L106" s="643"/>
      <c r="M106" s="643"/>
    </row>
    <row r="107" spans="2:13" hidden="1" x14ac:dyDescent="0.25">
      <c r="B107" s="24" t="s">
        <v>0</v>
      </c>
      <c r="C107" s="24"/>
      <c r="D107" s="29"/>
      <c r="K107" s="643"/>
      <c r="L107" s="643"/>
      <c r="M107" s="643"/>
    </row>
    <row r="108" spans="2:13" hidden="1" x14ac:dyDescent="0.25">
      <c r="B108" s="24" t="s">
        <v>1</v>
      </c>
      <c r="C108" s="211" t="s">
        <v>167</v>
      </c>
      <c r="D108" s="29"/>
      <c r="K108" s="643"/>
      <c r="L108" s="643"/>
      <c r="M108" s="643"/>
    </row>
    <row r="109" spans="2:13" hidden="1" x14ac:dyDescent="0.25">
      <c r="B109" s="24" t="s">
        <v>1</v>
      </c>
      <c r="C109" s="40" t="e">
        <f>C78</f>
        <v>#DIV/0!</v>
      </c>
      <c r="D109" s="29"/>
      <c r="K109" s="643"/>
      <c r="L109" s="643"/>
      <c r="M109" s="643"/>
    </row>
    <row r="110" spans="2:13" hidden="1" x14ac:dyDescent="0.25">
      <c r="B110" s="24"/>
      <c r="C110" s="24"/>
      <c r="D110" s="29"/>
    </row>
    <row r="111" spans="2:13" hidden="1" x14ac:dyDescent="0.25">
      <c r="B111" s="24" t="s">
        <v>2</v>
      </c>
      <c r="C111" s="211" t="s">
        <v>168</v>
      </c>
      <c r="D111" s="29"/>
    </row>
    <row r="112" spans="2:13" hidden="1" x14ac:dyDescent="0.25">
      <c r="B112" s="41" t="s">
        <v>3</v>
      </c>
      <c r="C112" s="24"/>
      <c r="D112" s="29"/>
    </row>
    <row r="113" spans="2:7" hidden="1" x14ac:dyDescent="0.25">
      <c r="B113" s="24"/>
      <c r="C113" s="42" t="e">
        <f>C82</f>
        <v>#DIV/0!</v>
      </c>
      <c r="D113" s="29"/>
    </row>
    <row r="114" spans="2:7" hidden="1" x14ac:dyDescent="0.25">
      <c r="B114" s="24"/>
      <c r="C114" s="24"/>
      <c r="D114" s="29"/>
    </row>
    <row r="115" spans="2:7" hidden="1" x14ac:dyDescent="0.25">
      <c r="B115" s="24" t="s">
        <v>4</v>
      </c>
      <c r="C115" s="211" t="s">
        <v>5</v>
      </c>
      <c r="D115" s="29"/>
    </row>
    <row r="116" spans="2:7" hidden="1" x14ac:dyDescent="0.25">
      <c r="B116" s="24"/>
      <c r="C116" s="24"/>
      <c r="D116" s="29"/>
    </row>
    <row r="117" spans="2:7" hidden="1" x14ac:dyDescent="0.25">
      <c r="B117" s="24"/>
      <c r="C117" s="42" t="e">
        <f>C86</f>
        <v>#DIV/0!</v>
      </c>
      <c r="D117" s="52"/>
    </row>
    <row r="118" spans="2:7" hidden="1" x14ac:dyDescent="0.25">
      <c r="B118" s="24"/>
      <c r="C118" s="24"/>
      <c r="D118" s="29"/>
    </row>
    <row r="119" spans="2:7" hidden="1" x14ac:dyDescent="0.25">
      <c r="B119" s="24" t="s">
        <v>6</v>
      </c>
      <c r="C119" s="211" t="s">
        <v>7</v>
      </c>
      <c r="D119" s="29"/>
    </row>
    <row r="120" spans="2:7" hidden="1" x14ac:dyDescent="0.25">
      <c r="B120" s="24"/>
      <c r="C120" s="40" t="e">
        <f>C89</f>
        <v>#DIV/0!</v>
      </c>
      <c r="D120" s="29"/>
      <c r="F120" s="213"/>
    </row>
    <row r="121" spans="2:7" hidden="1" x14ac:dyDescent="0.25">
      <c r="B121" s="24"/>
      <c r="C121" s="24"/>
      <c r="D121" s="29"/>
    </row>
    <row r="122" spans="2:7" hidden="1" x14ac:dyDescent="0.25">
      <c r="B122" s="24" t="s">
        <v>8</v>
      </c>
      <c r="C122" s="211" t="s">
        <v>9</v>
      </c>
      <c r="D122" s="29"/>
    </row>
    <row r="123" spans="2:7" hidden="1" x14ac:dyDescent="0.25">
      <c r="B123" s="24" t="s">
        <v>169</v>
      </c>
      <c r="C123" s="24"/>
      <c r="D123" s="29"/>
    </row>
    <row r="124" spans="2:7" hidden="1" x14ac:dyDescent="0.25">
      <c r="B124" s="24"/>
      <c r="C124" s="42" t="e">
        <f>((C93*(100-C19)/100*C25/365))+((C93*(365-C25)/365))</f>
        <v>#DIV/0!</v>
      </c>
      <c r="D124" s="29"/>
      <c r="E124" s="212"/>
      <c r="F124" s="213"/>
    </row>
    <row r="125" spans="2:7" hidden="1" x14ac:dyDescent="0.25">
      <c r="B125" s="24"/>
      <c r="C125" s="24"/>
      <c r="D125" s="29"/>
      <c r="E125" s="212"/>
      <c r="G125" s="213"/>
    </row>
    <row r="126" spans="2:7" hidden="1" x14ac:dyDescent="0.25">
      <c r="B126" s="24" t="s">
        <v>10</v>
      </c>
      <c r="C126" s="39" t="s">
        <v>1532</v>
      </c>
      <c r="D126" s="29"/>
    </row>
    <row r="127" spans="2:7" hidden="1" x14ac:dyDescent="0.25">
      <c r="B127" s="24"/>
      <c r="C127" s="24"/>
      <c r="D127" s="29"/>
    </row>
    <row r="128" spans="2:7" hidden="1" x14ac:dyDescent="0.25">
      <c r="B128" s="27" t="s">
        <v>11</v>
      </c>
      <c r="C128" s="43" t="e">
        <f>21.5*C109/1000*(100-C19)%</f>
        <v>#DIV/0!</v>
      </c>
      <c r="D128" s="40" t="s">
        <v>1535</v>
      </c>
    </row>
    <row r="129" spans="2:45" hidden="1" x14ac:dyDescent="0.25">
      <c r="B129" s="29"/>
      <c r="C129" s="46"/>
      <c r="D129" s="29"/>
    </row>
    <row r="130" spans="2:45" hidden="1" x14ac:dyDescent="0.25">
      <c r="B130" s="27"/>
      <c r="C130" s="24"/>
      <c r="D130" s="29"/>
    </row>
    <row r="131" spans="2:45" hidden="1" x14ac:dyDescent="0.25">
      <c r="B131" s="24"/>
      <c r="C131" s="24"/>
      <c r="D131" s="29"/>
    </row>
    <row r="132" spans="2:45" hidden="1" x14ac:dyDescent="0.25">
      <c r="B132" s="24" t="s">
        <v>12</v>
      </c>
      <c r="C132" s="32">
        <f>C12</f>
        <v>0</v>
      </c>
      <c r="D132" s="29"/>
    </row>
    <row r="133" spans="2:45" hidden="1" x14ac:dyDescent="0.25">
      <c r="B133" s="24" t="s">
        <v>57</v>
      </c>
      <c r="C133" s="44" t="e">
        <f>C128*C132*365</f>
        <v>#DIV/0!</v>
      </c>
      <c r="D133" s="29" t="s">
        <v>1534</v>
      </c>
    </row>
    <row r="134" spans="2:45" hidden="1" x14ac:dyDescent="0.25">
      <c r="B134" s="27" t="s">
        <v>14</v>
      </c>
      <c r="C134" s="45" t="e">
        <f>(((C133*25/1000)*C25/365)+((C102*25/1000)*(365-C25)/365))</f>
        <v>#DIV/0!</v>
      </c>
      <c r="D134" s="29" t="s">
        <v>1533</v>
      </c>
      <c r="E134" s="214"/>
    </row>
    <row r="135" spans="2:45" hidden="1" x14ac:dyDescent="0.25">
      <c r="B135" s="29"/>
      <c r="C135" s="29"/>
      <c r="D135" s="46"/>
    </row>
    <row r="136" spans="2:45" hidden="1" x14ac:dyDescent="0.25">
      <c r="B136" s="29"/>
      <c r="C136" s="29"/>
      <c r="D136" s="46"/>
    </row>
    <row r="137" spans="2:45" hidden="1" x14ac:dyDescent="0.25">
      <c r="B137" s="48" t="s">
        <v>175</v>
      </c>
      <c r="C137" s="29"/>
      <c r="D137" s="46"/>
    </row>
    <row r="138" spans="2:45" hidden="1" x14ac:dyDescent="0.25">
      <c r="B138" s="24" t="s">
        <v>843</v>
      </c>
      <c r="C138" s="49" t="e">
        <f>(C93-C124)/100*C117*C23/100</f>
        <v>#DIV/0!</v>
      </c>
      <c r="D138" s="29" t="s">
        <v>153</v>
      </c>
    </row>
    <row r="139" spans="2:45" hidden="1" x14ac:dyDescent="0.25">
      <c r="B139" s="24" t="s">
        <v>58</v>
      </c>
      <c r="C139" s="50">
        <v>5.5</v>
      </c>
      <c r="D139" s="29" t="s">
        <v>146</v>
      </c>
    </row>
    <row r="140" spans="2:45" hidden="1" x14ac:dyDescent="0.25">
      <c r="B140" s="24" t="s">
        <v>59</v>
      </c>
      <c r="C140" s="49" t="e">
        <f>C138/C139</f>
        <v>#DIV/0!</v>
      </c>
      <c r="D140" s="29" t="s">
        <v>227</v>
      </c>
    </row>
    <row r="141" spans="2:45" hidden="1" x14ac:dyDescent="0.25">
      <c r="B141" s="24" t="s">
        <v>835</v>
      </c>
      <c r="C141" s="49" t="e">
        <f>(C140*C25*C12)*(0.02534+(0.1226*'Baseline farm'!P172)+(0.0776*'Baseline farm'!P173))</f>
        <v>#DIV/0!</v>
      </c>
      <c r="D141" s="29"/>
    </row>
    <row r="142" spans="2:45" hidden="1" x14ac:dyDescent="0.25">
      <c r="B142" s="24"/>
      <c r="C142" s="49"/>
      <c r="D142" s="29"/>
    </row>
    <row r="143" spans="2:45" hidden="1" x14ac:dyDescent="0.25">
      <c r="B143" s="48" t="s">
        <v>836</v>
      </c>
      <c r="C143" s="49"/>
      <c r="D143" s="29"/>
      <c r="E143" s="212"/>
    </row>
    <row r="144" spans="2:45" s="329" customFormat="1" hidden="1" x14ac:dyDescent="0.25">
      <c r="B144" s="24" t="s">
        <v>213</v>
      </c>
      <c r="C144" s="50" t="e">
        <f>C103</f>
        <v>#DIV/0!</v>
      </c>
      <c r="D144" s="29"/>
      <c r="I144" s="646"/>
      <c r="J144" s="646"/>
      <c r="K144" s="646"/>
      <c r="L144" s="646"/>
      <c r="M144" s="646"/>
      <c r="N144" s="646"/>
      <c r="O144" s="646"/>
      <c r="P144" s="646"/>
      <c r="Q144" s="646"/>
      <c r="R144" s="646"/>
      <c r="S144" s="646"/>
      <c r="T144" s="646"/>
      <c r="U144" s="646"/>
      <c r="V144" s="646"/>
      <c r="W144" s="646"/>
      <c r="X144" s="646"/>
      <c r="Y144" s="646"/>
      <c r="Z144" s="646"/>
      <c r="AA144" s="646"/>
      <c r="AB144" s="646"/>
      <c r="AC144" s="646"/>
      <c r="AD144" s="646"/>
      <c r="AE144" s="646"/>
      <c r="AF144" s="646"/>
      <c r="AG144" s="646"/>
      <c r="AH144" s="646"/>
      <c r="AI144" s="646"/>
      <c r="AJ144" s="646"/>
      <c r="AK144" s="646"/>
      <c r="AL144" s="646"/>
      <c r="AM144" s="646"/>
      <c r="AN144" s="646"/>
      <c r="AO144" s="646"/>
      <c r="AP144" s="646"/>
      <c r="AQ144" s="646"/>
      <c r="AR144" s="646"/>
      <c r="AS144" s="646"/>
    </row>
    <row r="145" spans="2:45" s="329" customFormat="1" hidden="1" x14ac:dyDescent="0.25">
      <c r="B145" s="24" t="s">
        <v>837</v>
      </c>
      <c r="C145" s="515">
        <f>'Baseline farm'!P176</f>
        <v>0</v>
      </c>
      <c r="D145" s="29"/>
      <c r="I145" s="646"/>
      <c r="J145" s="646"/>
      <c r="K145" s="646"/>
      <c r="L145" s="646"/>
      <c r="M145" s="646"/>
      <c r="N145" s="646"/>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6"/>
      <c r="AJ145" s="646"/>
      <c r="AK145" s="646"/>
      <c r="AL145" s="646"/>
      <c r="AM145" s="646"/>
      <c r="AN145" s="646"/>
      <c r="AO145" s="646"/>
      <c r="AP145" s="646"/>
      <c r="AQ145" s="646"/>
      <c r="AR145" s="646"/>
      <c r="AS145" s="646"/>
    </row>
    <row r="146" spans="2:45" s="329" customFormat="1" hidden="1" x14ac:dyDescent="0.25">
      <c r="B146" s="24" t="s">
        <v>214</v>
      </c>
      <c r="C146" s="49" t="e">
        <f>C144*1000/C145</f>
        <v>#DIV/0!</v>
      </c>
      <c r="D146" s="29"/>
      <c r="I146" s="646"/>
      <c r="J146" s="646"/>
      <c r="K146" s="646"/>
      <c r="L146" s="646"/>
      <c r="M146" s="646"/>
      <c r="N146" s="646"/>
      <c r="O146" s="646"/>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row>
    <row r="147" spans="2:45" s="329" customFormat="1" hidden="1" x14ac:dyDescent="0.25">
      <c r="B147" s="24" t="s">
        <v>215</v>
      </c>
      <c r="C147" s="50" t="e">
        <f>C134</f>
        <v>#DIV/0!</v>
      </c>
      <c r="D147" s="29"/>
      <c r="I147" s="646"/>
      <c r="J147" s="646"/>
      <c r="K147" s="646"/>
      <c r="L147" s="646"/>
      <c r="M147" s="646"/>
      <c r="N147" s="646"/>
      <c r="O147" s="646"/>
      <c r="P147" s="646"/>
      <c r="Q147" s="646"/>
      <c r="R147" s="646"/>
      <c r="S147" s="646"/>
      <c r="T147" s="646"/>
      <c r="U147" s="646"/>
      <c r="V147" s="646"/>
      <c r="W147" s="646"/>
      <c r="X147" s="646"/>
      <c r="Y147" s="646"/>
      <c r="Z147" s="646"/>
      <c r="AA147" s="646"/>
      <c r="AB147" s="646"/>
      <c r="AC147" s="646"/>
      <c r="AD147" s="646"/>
      <c r="AE147" s="646"/>
      <c r="AF147" s="646"/>
      <c r="AG147" s="646"/>
      <c r="AH147" s="646"/>
      <c r="AI147" s="646"/>
      <c r="AJ147" s="646"/>
      <c r="AK147" s="646"/>
      <c r="AL147" s="646"/>
      <c r="AM147" s="646"/>
      <c r="AN147" s="646"/>
      <c r="AO147" s="646"/>
      <c r="AP147" s="646"/>
      <c r="AQ147" s="646"/>
      <c r="AR147" s="646"/>
      <c r="AS147" s="646"/>
    </row>
    <row r="148" spans="2:45" s="329" customFormat="1" hidden="1" x14ac:dyDescent="0.25">
      <c r="B148" s="24" t="s">
        <v>838</v>
      </c>
      <c r="C148" s="515" t="e">
        <f>C145+C141</f>
        <v>#DIV/0!</v>
      </c>
      <c r="D148" s="29"/>
      <c r="I148" s="646"/>
      <c r="J148" s="646"/>
      <c r="K148" s="646"/>
      <c r="L148" s="646"/>
      <c r="M148" s="646"/>
      <c r="N148" s="646"/>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646"/>
      <c r="AM148" s="646"/>
      <c r="AN148" s="646"/>
      <c r="AO148" s="646"/>
      <c r="AP148" s="646"/>
      <c r="AQ148" s="646"/>
      <c r="AR148" s="646"/>
      <c r="AS148" s="646"/>
    </row>
    <row r="149" spans="2:45" s="329" customFormat="1" hidden="1" x14ac:dyDescent="0.25">
      <c r="B149" s="24" t="s">
        <v>839</v>
      </c>
      <c r="C149" s="49" t="e">
        <f>C147*1000/C148</f>
        <v>#DIV/0!</v>
      </c>
      <c r="D149" s="29"/>
      <c r="I149" s="646"/>
      <c r="J149" s="646"/>
      <c r="K149" s="646"/>
      <c r="L149" s="646"/>
      <c r="M149" s="646"/>
      <c r="N149" s="646"/>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646"/>
      <c r="AM149" s="646"/>
      <c r="AN149" s="646"/>
      <c r="AO149" s="646"/>
      <c r="AP149" s="646"/>
      <c r="AQ149" s="646"/>
      <c r="AR149" s="646"/>
      <c r="AS149" s="646"/>
    </row>
    <row r="150" spans="2:45" s="329" customFormat="1" hidden="1" x14ac:dyDescent="0.25">
      <c r="B150" s="24" t="s">
        <v>840</v>
      </c>
      <c r="C150" s="49" t="e">
        <f>C146-C149</f>
        <v>#DIV/0!</v>
      </c>
      <c r="D150" s="29"/>
      <c r="I150" s="646"/>
      <c r="J150" s="646"/>
      <c r="K150" s="646"/>
      <c r="L150" s="646"/>
      <c r="M150" s="646"/>
      <c r="N150" s="646"/>
      <c r="O150" s="646"/>
      <c r="P150" s="646"/>
      <c r="Q150" s="646"/>
      <c r="R150" s="646"/>
      <c r="S150" s="646"/>
      <c r="T150" s="646"/>
      <c r="U150" s="646"/>
      <c r="V150" s="646"/>
      <c r="W150" s="646"/>
      <c r="X150" s="646"/>
      <c r="Y150" s="646"/>
      <c r="Z150" s="646"/>
      <c r="AA150" s="646"/>
      <c r="AB150" s="646"/>
      <c r="AC150" s="646"/>
      <c r="AD150" s="646"/>
      <c r="AE150" s="646"/>
      <c r="AF150" s="646"/>
      <c r="AG150" s="646"/>
      <c r="AH150" s="646"/>
      <c r="AI150" s="646"/>
      <c r="AJ150" s="646"/>
      <c r="AK150" s="646"/>
      <c r="AL150" s="646"/>
      <c r="AM150" s="646"/>
      <c r="AN150" s="646"/>
      <c r="AO150" s="646"/>
      <c r="AP150" s="646"/>
      <c r="AQ150" s="646"/>
      <c r="AR150" s="646"/>
      <c r="AS150" s="646"/>
    </row>
    <row r="151" spans="2:45" s="329" customFormat="1" hidden="1" x14ac:dyDescent="0.25">
      <c r="B151" s="24"/>
      <c r="C151" s="49"/>
      <c r="D151" s="29"/>
      <c r="I151" s="646"/>
      <c r="J151" s="646"/>
      <c r="K151" s="646"/>
      <c r="L151" s="646"/>
      <c r="M151" s="646"/>
      <c r="N151" s="646"/>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646"/>
      <c r="AL151" s="646"/>
      <c r="AM151" s="646"/>
      <c r="AN151" s="646"/>
      <c r="AO151" s="646"/>
      <c r="AP151" s="646"/>
      <c r="AQ151" s="646"/>
      <c r="AR151" s="646"/>
      <c r="AS151" s="646"/>
    </row>
    <row r="152" spans="2:45" s="29" customFormat="1" ht="15" hidden="1" customHeight="1" x14ac:dyDescent="0.2">
      <c r="B152" s="27" t="s">
        <v>219</v>
      </c>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row>
    <row r="153" spans="2:45" s="29" customFormat="1" ht="15" hidden="1" customHeight="1" x14ac:dyDescent="0.2">
      <c r="B153" s="24" t="s">
        <v>840</v>
      </c>
      <c r="C153" s="49" t="e">
        <f>C150</f>
        <v>#DIV/0!</v>
      </c>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row>
    <row r="154" spans="2:45" s="29" customFormat="1" ht="15" hidden="1" customHeight="1" x14ac:dyDescent="0.2">
      <c r="B154" s="29" t="s">
        <v>841</v>
      </c>
      <c r="C154" s="515" t="e">
        <f>C148</f>
        <v>#DIV/0!</v>
      </c>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row>
    <row r="155" spans="2:45" s="29" customFormat="1" ht="15" hidden="1" customHeight="1" x14ac:dyDescent="0.2">
      <c r="B155" s="29" t="s">
        <v>842</v>
      </c>
      <c r="C155" s="515" t="e">
        <f>C154*C153</f>
        <v>#DIV/0!</v>
      </c>
      <c r="D155" s="52"/>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row>
    <row r="156" spans="2:45" s="29" customFormat="1" ht="15" hidden="1" customHeight="1" x14ac:dyDescent="0.2">
      <c r="B156" s="29" t="s">
        <v>226</v>
      </c>
      <c r="C156" s="53">
        <f>C29</f>
        <v>20</v>
      </c>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row>
    <row r="157" spans="2:45" s="29" customFormat="1" ht="15" hidden="1" customHeight="1" x14ac:dyDescent="0.2">
      <c r="B157" s="29" t="s">
        <v>228</v>
      </c>
      <c r="C157" s="54" t="e">
        <f>C155/1000*C156</f>
        <v>#DIV/0!</v>
      </c>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row>
    <row r="158" spans="2:45" hidden="1" x14ac:dyDescent="0.25"/>
    <row r="159" spans="2:45" hidden="1" x14ac:dyDescent="0.25"/>
    <row r="160" spans="2:45" s="559" customFormat="1" x14ac:dyDescent="0.25">
      <c r="C160" s="645"/>
    </row>
    <row r="161" spans="3:3" s="559" customFormat="1" x14ac:dyDescent="0.25">
      <c r="C161" s="647"/>
    </row>
    <row r="162" spans="3:3" s="559" customFormat="1" x14ac:dyDescent="0.25"/>
    <row r="163" spans="3:3" s="559" customFormat="1" x14ac:dyDescent="0.25"/>
    <row r="164" spans="3:3" s="559" customFormat="1" x14ac:dyDescent="0.25"/>
    <row r="165" spans="3:3" s="559" customFormat="1" x14ac:dyDescent="0.25">
      <c r="C165" s="641"/>
    </row>
    <row r="166" spans="3:3" s="559" customFormat="1" x14ac:dyDescent="0.25"/>
    <row r="167" spans="3:3" s="559" customFormat="1" x14ac:dyDescent="0.25"/>
    <row r="168" spans="3:3" s="559" customFormat="1" x14ac:dyDescent="0.25"/>
    <row r="169" spans="3:3" s="559" customFormat="1" x14ac:dyDescent="0.25"/>
    <row r="170" spans="3:3" s="559" customFormat="1" x14ac:dyDescent="0.25"/>
    <row r="171" spans="3:3" s="559" customFormat="1" x14ac:dyDescent="0.25"/>
    <row r="172" spans="3:3" s="559" customFormat="1" x14ac:dyDescent="0.25"/>
    <row r="173" spans="3:3" s="559" customFormat="1" x14ac:dyDescent="0.25"/>
    <row r="174" spans="3:3" s="559" customFormat="1" x14ac:dyDescent="0.25"/>
    <row r="175" spans="3:3" s="559" customFormat="1" x14ac:dyDescent="0.25"/>
    <row r="176" spans="3:3" s="559" customFormat="1" x14ac:dyDescent="0.25"/>
    <row r="177" s="559" customFormat="1" x14ac:dyDescent="0.25"/>
    <row r="178" s="559" customFormat="1" x14ac:dyDescent="0.25"/>
    <row r="179" s="559" customFormat="1" x14ac:dyDescent="0.25"/>
    <row r="180" s="559" customFormat="1" x14ac:dyDescent="0.25"/>
    <row r="181" s="559" customFormat="1" x14ac:dyDescent="0.25"/>
    <row r="182" s="559" customFormat="1" x14ac:dyDescent="0.25"/>
    <row r="183" s="559" customFormat="1" x14ac:dyDescent="0.25"/>
    <row r="184" s="559" customFormat="1" x14ac:dyDescent="0.25"/>
    <row r="185" s="559" customFormat="1" x14ac:dyDescent="0.25"/>
    <row r="186" s="559" customFormat="1" x14ac:dyDescent="0.25"/>
    <row r="187" s="559" customFormat="1" x14ac:dyDescent="0.25"/>
    <row r="188" s="559" customFormat="1" x14ac:dyDescent="0.25"/>
    <row r="189" s="559" customFormat="1" x14ac:dyDescent="0.25"/>
    <row r="190" s="559" customFormat="1" x14ac:dyDescent="0.25"/>
    <row r="191" s="559" customFormat="1" x14ac:dyDescent="0.25"/>
    <row r="192" s="559" customFormat="1" x14ac:dyDescent="0.25"/>
    <row r="193" s="559" customFormat="1" x14ac:dyDescent="0.25"/>
    <row r="194" s="559" customFormat="1" x14ac:dyDescent="0.25"/>
    <row r="195" s="559" customFormat="1" x14ac:dyDescent="0.25"/>
    <row r="196" s="559" customFormat="1" x14ac:dyDescent="0.25"/>
    <row r="197" s="559" customFormat="1" x14ac:dyDescent="0.25"/>
    <row r="198" s="559" customFormat="1" x14ac:dyDescent="0.25"/>
    <row r="199" s="559" customFormat="1" x14ac:dyDescent="0.25"/>
    <row r="200" s="559" customFormat="1" x14ac:dyDescent="0.25"/>
    <row r="201" s="559" customFormat="1" x14ac:dyDescent="0.25"/>
    <row r="202" s="559" customFormat="1" x14ac:dyDescent="0.25"/>
    <row r="203" s="559" customFormat="1" x14ac:dyDescent="0.25"/>
    <row r="204" s="559" customFormat="1" x14ac:dyDescent="0.25"/>
    <row r="205" s="559" customFormat="1" x14ac:dyDescent="0.25"/>
    <row r="206" s="559" customFormat="1" x14ac:dyDescent="0.25"/>
    <row r="207" s="559" customFormat="1" x14ac:dyDescent="0.25"/>
    <row r="208" s="559" customFormat="1" x14ac:dyDescent="0.25"/>
    <row r="209" s="559" customFormat="1" x14ac:dyDescent="0.25"/>
    <row r="210" s="559" customFormat="1" x14ac:dyDescent="0.25"/>
    <row r="211" s="559" customFormat="1" x14ac:dyDescent="0.25"/>
    <row r="212" s="559" customFormat="1" x14ac:dyDescent="0.25"/>
    <row r="213" s="559" customFormat="1" x14ac:dyDescent="0.25"/>
    <row r="214" s="559" customFormat="1" x14ac:dyDescent="0.25"/>
    <row r="215" s="559" customFormat="1" x14ac:dyDescent="0.25"/>
    <row r="216" s="559" customFormat="1" x14ac:dyDescent="0.25"/>
    <row r="217" s="559" customFormat="1" x14ac:dyDescent="0.25"/>
    <row r="218" s="559" customFormat="1" x14ac:dyDescent="0.25"/>
    <row r="219" s="559" customFormat="1" x14ac:dyDescent="0.25"/>
    <row r="220" s="559" customFormat="1" x14ac:dyDescent="0.25"/>
    <row r="221" s="559" customFormat="1" x14ac:dyDescent="0.25"/>
    <row r="222" s="559" customFormat="1" x14ac:dyDescent="0.25"/>
    <row r="223" s="559" customFormat="1" x14ac:dyDescent="0.25"/>
    <row r="224" s="559" customFormat="1" x14ac:dyDescent="0.25"/>
    <row r="225" s="559" customFormat="1" x14ac:dyDescent="0.25"/>
    <row r="226" s="559" customFormat="1" x14ac:dyDescent="0.25"/>
    <row r="227" s="559" customFormat="1" x14ac:dyDescent="0.25"/>
    <row r="228" s="559" customFormat="1" x14ac:dyDescent="0.25"/>
    <row r="229" s="559" customFormat="1" x14ac:dyDescent="0.25"/>
    <row r="230" s="559" customFormat="1" x14ac:dyDescent="0.25"/>
    <row r="231" s="559" customFormat="1" x14ac:dyDescent="0.25"/>
    <row r="232" s="559" customFormat="1" x14ac:dyDescent="0.25"/>
    <row r="233" s="559" customFormat="1" x14ac:dyDescent="0.25"/>
    <row r="234" s="559" customFormat="1" x14ac:dyDescent="0.25"/>
    <row r="235" s="559" customFormat="1" x14ac:dyDescent="0.25"/>
    <row r="236" s="559" customFormat="1" x14ac:dyDescent="0.25"/>
    <row r="237" s="559" customFormat="1" x14ac:dyDescent="0.25"/>
    <row r="238" s="559" customFormat="1" x14ac:dyDescent="0.25"/>
    <row r="239" s="559" customFormat="1" x14ac:dyDescent="0.25"/>
    <row r="240" s="559" customFormat="1" x14ac:dyDescent="0.25"/>
    <row r="241" s="559" customFormat="1" x14ac:dyDescent="0.25"/>
    <row r="242" s="559" customFormat="1" x14ac:dyDescent="0.25"/>
    <row r="243" s="559" customFormat="1" x14ac:dyDescent="0.25"/>
    <row r="244" s="559" customFormat="1" x14ac:dyDescent="0.25"/>
    <row r="245" s="559" customFormat="1" x14ac:dyDescent="0.25"/>
    <row r="246" s="559" customFormat="1" x14ac:dyDescent="0.25"/>
    <row r="247" s="559" customFormat="1" x14ac:dyDescent="0.25"/>
    <row r="248" s="559" customFormat="1" x14ac:dyDescent="0.25"/>
    <row r="249" s="559" customFormat="1" x14ac:dyDescent="0.25"/>
    <row r="250" s="559" customFormat="1" x14ac:dyDescent="0.25"/>
    <row r="251" s="559" customFormat="1" x14ac:dyDescent="0.25"/>
    <row r="252" s="559" customFormat="1" x14ac:dyDescent="0.25"/>
    <row r="253" s="559" customFormat="1" x14ac:dyDescent="0.25"/>
    <row r="254" s="559" customFormat="1" x14ac:dyDescent="0.25"/>
    <row r="255" s="559" customFormat="1" x14ac:dyDescent="0.25"/>
    <row r="256" s="559" customFormat="1" x14ac:dyDescent="0.25"/>
    <row r="257" s="559" customFormat="1" x14ac:dyDescent="0.25"/>
    <row r="258" s="559" customFormat="1" x14ac:dyDescent="0.25"/>
    <row r="259" s="559" customFormat="1" x14ac:dyDescent="0.25"/>
    <row r="260" s="559" customFormat="1" x14ac:dyDescent="0.25"/>
    <row r="261" s="559" customFormat="1" x14ac:dyDescent="0.25"/>
    <row r="262" s="559" customFormat="1" x14ac:dyDescent="0.25"/>
    <row r="263" s="559" customFormat="1" x14ac:dyDescent="0.25"/>
    <row r="264" s="559" customFormat="1" x14ac:dyDescent="0.25"/>
    <row r="265" s="559" customFormat="1" x14ac:dyDescent="0.25"/>
    <row r="266" s="559" customFormat="1" x14ac:dyDescent="0.25"/>
    <row r="267" s="559" customFormat="1" x14ac:dyDescent="0.25"/>
    <row r="268" s="559" customFormat="1" x14ac:dyDescent="0.25"/>
    <row r="269" s="559" customFormat="1" x14ac:dyDescent="0.25"/>
    <row r="270" s="559" customFormat="1" x14ac:dyDescent="0.25"/>
    <row r="271" s="559" customFormat="1" x14ac:dyDescent="0.25"/>
    <row r="272" s="559" customFormat="1" x14ac:dyDescent="0.25"/>
    <row r="273" s="559" customFormat="1" x14ac:dyDescent="0.25"/>
    <row r="274" s="559" customFormat="1" x14ac:dyDescent="0.25"/>
    <row r="275" s="559" customFormat="1" x14ac:dyDescent="0.25"/>
    <row r="276" s="559" customFormat="1" x14ac:dyDescent="0.25"/>
    <row r="277" s="559" customFormat="1" x14ac:dyDescent="0.25"/>
    <row r="278" s="559" customFormat="1" x14ac:dyDescent="0.25"/>
    <row r="279" s="559" customFormat="1" x14ac:dyDescent="0.25"/>
    <row r="280" s="559" customFormat="1" x14ac:dyDescent="0.25"/>
    <row r="281" s="559" customFormat="1" x14ac:dyDescent="0.25"/>
    <row r="282" s="559" customFormat="1" x14ac:dyDescent="0.25"/>
    <row r="283" s="559" customFormat="1" x14ac:dyDescent="0.25"/>
    <row r="284" s="559" customFormat="1" x14ac:dyDescent="0.25"/>
    <row r="285" s="559" customFormat="1" x14ac:dyDescent="0.25"/>
    <row r="286" s="559" customFormat="1" x14ac:dyDescent="0.25"/>
    <row r="287" s="559" customFormat="1" x14ac:dyDescent="0.25"/>
    <row r="288" s="559" customFormat="1" x14ac:dyDescent="0.25"/>
    <row r="289" s="559" customFormat="1" x14ac:dyDescent="0.25"/>
    <row r="290" s="559" customFormat="1" x14ac:dyDescent="0.25"/>
    <row r="291" s="559" customFormat="1" x14ac:dyDescent="0.25"/>
    <row r="292" s="559" customFormat="1" x14ac:dyDescent="0.25"/>
    <row r="293" s="559" customFormat="1" x14ac:dyDescent="0.25"/>
    <row r="294" s="559" customFormat="1" x14ac:dyDescent="0.25"/>
    <row r="295" s="559" customFormat="1" x14ac:dyDescent="0.25"/>
    <row r="296" s="559" customFormat="1" x14ac:dyDescent="0.25"/>
    <row r="297" s="559" customFormat="1" x14ac:dyDescent="0.25"/>
    <row r="298" s="559" customFormat="1" x14ac:dyDescent="0.25"/>
    <row r="299" s="559" customFormat="1" x14ac:dyDescent="0.25"/>
    <row r="300" s="559" customFormat="1" x14ac:dyDescent="0.25"/>
  </sheetData>
  <sheetProtection algorithmName="SHA-512" hashValue="Czplo/4omGuHqenB+uKK3SZXNkwCWx4FAVFO6W26PG8OR67EbfsNvK3qCGv0+Whz+9npWmEGaYrbZXB+NO6chQ==" saltValue="WL/QQfSatmpOwxV5dlDM6A=="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4" r:id="rId4" name="Spinner 26">
              <controlPr defaultSize="0" autoPict="0">
                <anchor moveWithCells="1" sizeWithCells="1">
                  <from>
                    <xdr:col>2</xdr:col>
                    <xdr:colOff>1200150</xdr:colOff>
                    <xdr:row>18</xdr:row>
                    <xdr:rowOff>47625</xdr:rowOff>
                  </from>
                  <to>
                    <xdr:col>2</xdr:col>
                    <xdr:colOff>1543050</xdr:colOff>
                    <xdr:row>18</xdr:row>
                    <xdr:rowOff>228600</xdr:rowOff>
                  </to>
                </anchor>
              </controlPr>
            </control>
          </mc:Choice>
        </mc:AlternateContent>
        <mc:AlternateContent xmlns:mc="http://schemas.openxmlformats.org/markup-compatibility/2006">
          <mc:Choice Requires="x14">
            <control shapeId="2075" r:id="rId5" name="Spinner 27">
              <controlPr defaultSize="0" autoPict="0">
                <anchor moveWithCells="1" sizeWithCells="1">
                  <from>
                    <xdr:col>2</xdr:col>
                    <xdr:colOff>1200150</xdr:colOff>
                    <xdr:row>20</xdr:row>
                    <xdr:rowOff>47625</xdr:rowOff>
                  </from>
                  <to>
                    <xdr:col>2</xdr:col>
                    <xdr:colOff>1543050</xdr:colOff>
                    <xdr:row>20</xdr:row>
                    <xdr:rowOff>228600</xdr:rowOff>
                  </to>
                </anchor>
              </controlPr>
            </control>
          </mc:Choice>
        </mc:AlternateContent>
        <mc:AlternateContent xmlns:mc="http://schemas.openxmlformats.org/markup-compatibility/2006">
          <mc:Choice Requires="x14">
            <control shapeId="2076" r:id="rId6" name="Spinner 28">
              <controlPr defaultSize="0" autoPict="0">
                <anchor moveWithCells="1" sizeWithCells="1">
                  <from>
                    <xdr:col>2</xdr:col>
                    <xdr:colOff>1200150</xdr:colOff>
                    <xdr:row>22</xdr:row>
                    <xdr:rowOff>47625</xdr:rowOff>
                  </from>
                  <to>
                    <xdr:col>2</xdr:col>
                    <xdr:colOff>1543050</xdr:colOff>
                    <xdr:row>22</xdr:row>
                    <xdr:rowOff>228600</xdr:rowOff>
                  </to>
                </anchor>
              </controlPr>
            </control>
          </mc:Choice>
        </mc:AlternateContent>
        <mc:AlternateContent xmlns:mc="http://schemas.openxmlformats.org/markup-compatibility/2006">
          <mc:Choice Requires="x14">
            <control shapeId="2077" r:id="rId7" name="Spinner 29">
              <controlPr defaultSize="0" autoPict="0">
                <anchor moveWithCells="1" sizeWithCells="1">
                  <from>
                    <xdr:col>2</xdr:col>
                    <xdr:colOff>1200150</xdr:colOff>
                    <xdr:row>26</xdr:row>
                    <xdr:rowOff>47625</xdr:rowOff>
                  </from>
                  <to>
                    <xdr:col>2</xdr:col>
                    <xdr:colOff>1543050</xdr:colOff>
                    <xdr:row>26</xdr:row>
                    <xdr:rowOff>228600</xdr:rowOff>
                  </to>
                </anchor>
              </controlPr>
            </control>
          </mc:Choice>
        </mc:AlternateContent>
        <mc:AlternateContent xmlns:mc="http://schemas.openxmlformats.org/markup-compatibility/2006">
          <mc:Choice Requires="x14">
            <control shapeId="2078" r:id="rId8" name="Spinner 30">
              <controlPr defaultSize="0" autoPict="0">
                <anchor moveWithCells="1" sizeWithCells="1">
                  <from>
                    <xdr:col>2</xdr:col>
                    <xdr:colOff>1200150</xdr:colOff>
                    <xdr:row>28</xdr:row>
                    <xdr:rowOff>47625</xdr:rowOff>
                  </from>
                  <to>
                    <xdr:col>2</xdr:col>
                    <xdr:colOff>1543050</xdr:colOff>
                    <xdr:row>28</xdr:row>
                    <xdr:rowOff>228600</xdr:rowOff>
                  </to>
                </anchor>
              </controlPr>
            </control>
          </mc:Choice>
        </mc:AlternateContent>
        <mc:AlternateContent xmlns:mc="http://schemas.openxmlformats.org/markup-compatibility/2006">
          <mc:Choice Requires="x14">
            <control shapeId="2081" r:id="rId9" name="Spinner 33">
              <controlPr defaultSize="0" autoPict="0">
                <anchor moveWithCells="1" sizeWithCells="1">
                  <from>
                    <xdr:col>2</xdr:col>
                    <xdr:colOff>1200150</xdr:colOff>
                    <xdr:row>24</xdr:row>
                    <xdr:rowOff>47625</xdr:rowOff>
                  </from>
                  <to>
                    <xdr:col>2</xdr:col>
                    <xdr:colOff>1543050</xdr:colOff>
                    <xdr:row>24</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XFD1531"/>
  <sheetViews>
    <sheetView zoomScale="70" zoomScaleNormal="70" workbookViewId="0"/>
  </sheetViews>
  <sheetFormatPr defaultColWidth="16.7109375" defaultRowHeight="15" x14ac:dyDescent="0.25"/>
  <cols>
    <col min="1" max="1" width="3.28515625" style="18" customWidth="1"/>
    <col min="2" max="2" width="93" style="18" customWidth="1"/>
    <col min="3" max="3" width="25.7109375" style="18" customWidth="1"/>
    <col min="4" max="4" width="46" style="18" customWidth="1"/>
    <col min="5" max="5" width="16.7109375" style="18"/>
    <col min="6" max="6" width="21.42578125" style="18" bestFit="1" customWidth="1"/>
    <col min="7" max="8" width="16.7109375" style="18"/>
    <col min="9" max="36" width="16.7109375" style="559"/>
    <col min="37" max="16384" width="16.7109375" style="18"/>
  </cols>
  <sheetData>
    <row r="1" spans="1:3" x14ac:dyDescent="0.25">
      <c r="A1" s="17"/>
    </row>
    <row r="2" spans="1:3" x14ac:dyDescent="0.25">
      <c r="A2" s="17"/>
      <c r="C2" s="18">
        <v>754</v>
      </c>
    </row>
    <row r="3" spans="1:3" x14ac:dyDescent="0.25">
      <c r="A3" s="17"/>
    </row>
    <row r="4" spans="1:3" x14ac:dyDescent="0.25">
      <c r="A4" s="17"/>
    </row>
    <row r="5" spans="1:3" x14ac:dyDescent="0.25">
      <c r="A5" s="17"/>
    </row>
    <row r="6" spans="1:3" x14ac:dyDescent="0.25">
      <c r="A6" s="17"/>
    </row>
    <row r="7" spans="1:3" x14ac:dyDescent="0.25">
      <c r="A7" s="17"/>
    </row>
    <row r="8" spans="1:3" x14ac:dyDescent="0.25">
      <c r="A8" s="17"/>
    </row>
    <row r="9" spans="1:3" x14ac:dyDescent="0.25">
      <c r="A9" s="559"/>
    </row>
    <row r="10" spans="1:3" x14ac:dyDescent="0.25">
      <c r="A10" s="559"/>
    </row>
    <row r="11" spans="1:3" x14ac:dyDescent="0.25">
      <c r="A11" s="559"/>
    </row>
    <row r="12" spans="1:3" ht="20.100000000000001" customHeight="1" x14ac:dyDescent="0.25">
      <c r="A12" s="17"/>
      <c r="B12" s="670" t="s">
        <v>1049</v>
      </c>
      <c r="C12" s="669"/>
    </row>
    <row r="13" spans="1:3" ht="20.100000000000001" customHeight="1" x14ac:dyDescent="0.25">
      <c r="A13" s="559"/>
      <c r="B13" s="203" t="s">
        <v>744</v>
      </c>
      <c r="C13" s="171">
        <f>'Baseline farm'!D17</f>
        <v>0</v>
      </c>
    </row>
    <row r="14" spans="1:3" ht="20.100000000000001" customHeight="1" x14ac:dyDescent="0.25">
      <c r="A14" s="17"/>
      <c r="B14" s="203" t="s">
        <v>465</v>
      </c>
      <c r="C14" s="7">
        <f>'Baseline farm'!D19</f>
        <v>0</v>
      </c>
    </row>
    <row r="15" spans="1:3" ht="20.100000000000001" hidden="1" customHeight="1" x14ac:dyDescent="0.25">
      <c r="A15" s="17"/>
      <c r="B15" s="203" t="s">
        <v>15</v>
      </c>
      <c r="C15" s="8">
        <v>0</v>
      </c>
    </row>
    <row r="16" spans="1:3" ht="20.100000000000001" customHeight="1" x14ac:dyDescent="0.25">
      <c r="A16" s="17"/>
      <c r="B16" s="203" t="s">
        <v>496</v>
      </c>
      <c r="C16" s="8" t="e">
        <f>'Baseline farm'!H28</f>
        <v>#DIV/0!</v>
      </c>
    </row>
    <row r="17" spans="1:3" ht="20.100000000000001" customHeight="1" x14ac:dyDescent="0.25">
      <c r="A17" s="17"/>
      <c r="B17" s="203" t="s">
        <v>515</v>
      </c>
      <c r="C17" s="7">
        <f>'Baseline farm'!D28</f>
        <v>0</v>
      </c>
    </row>
    <row r="18" spans="1:3" ht="20.100000000000001" customHeight="1" x14ac:dyDescent="0.25">
      <c r="A18" s="17"/>
      <c r="B18" s="303" t="s">
        <v>497</v>
      </c>
      <c r="C18" s="8" t="e">
        <f>'Baseline farm'!F36</f>
        <v>#DIV/0!</v>
      </c>
    </row>
    <row r="19" spans="1:3" ht="20.100000000000001" customHeight="1" x14ac:dyDescent="0.25">
      <c r="A19" s="17"/>
      <c r="B19" s="304" t="s">
        <v>498</v>
      </c>
      <c r="C19" s="146" t="e">
        <f>'Baseline farm'!H36</f>
        <v>#DIV/0!</v>
      </c>
    </row>
    <row r="20" spans="1:3" ht="20.100000000000001" customHeight="1" x14ac:dyDescent="0.25">
      <c r="A20" s="17"/>
      <c r="B20" s="671" t="s">
        <v>1050</v>
      </c>
      <c r="C20" s="375"/>
    </row>
    <row r="21" spans="1:3" ht="20.100000000000001" customHeight="1" x14ac:dyDescent="0.25">
      <c r="A21" s="17"/>
      <c r="B21" s="305" t="s">
        <v>60</v>
      </c>
      <c r="C21" s="847">
        <f>C78/10</f>
        <v>3.1</v>
      </c>
    </row>
    <row r="22" spans="1:3" ht="4.5" customHeight="1" x14ac:dyDescent="0.25">
      <c r="A22" s="17"/>
      <c r="B22" s="305"/>
      <c r="C22" s="344"/>
    </row>
    <row r="23" spans="1:3" ht="20.100000000000001" hidden="1" customHeight="1" x14ac:dyDescent="0.25">
      <c r="A23" s="17"/>
      <c r="B23" s="305" t="s">
        <v>101</v>
      </c>
      <c r="C23" s="345" t="e">
        <f>#REF!</f>
        <v>#REF!</v>
      </c>
    </row>
    <row r="24" spans="1:3" ht="4.5" hidden="1" customHeight="1" x14ac:dyDescent="0.25">
      <c r="A24" s="17"/>
      <c r="B24" s="305"/>
      <c r="C24" s="345"/>
    </row>
    <row r="25" spans="1:3" ht="20.100000000000001" customHeight="1" x14ac:dyDescent="0.25">
      <c r="A25" s="17"/>
      <c r="B25" s="305" t="s">
        <v>61</v>
      </c>
      <c r="C25" s="847">
        <f>C86/10</f>
        <v>4</v>
      </c>
    </row>
    <row r="26" spans="1:3" ht="5.0999999999999996" customHeight="1" x14ac:dyDescent="0.25">
      <c r="A26" s="17"/>
      <c r="B26" s="305"/>
      <c r="C26" s="344"/>
    </row>
    <row r="27" spans="1:3" ht="20.100000000000001" customHeight="1" x14ac:dyDescent="0.25">
      <c r="A27" s="17"/>
      <c r="B27" s="305" t="s">
        <v>63</v>
      </c>
      <c r="C27" s="847">
        <f>C80/10</f>
        <v>75</v>
      </c>
    </row>
    <row r="28" spans="1:3" ht="4.5" customHeight="1" x14ac:dyDescent="0.25">
      <c r="A28" s="17"/>
      <c r="B28" s="305"/>
      <c r="C28" s="344"/>
    </row>
    <row r="29" spans="1:3" ht="20.100000000000001" customHeight="1" x14ac:dyDescent="0.25">
      <c r="A29" s="17"/>
      <c r="B29" s="305" t="s">
        <v>467</v>
      </c>
      <c r="C29" s="848">
        <f>C81/10</f>
        <v>20</v>
      </c>
    </row>
    <row r="30" spans="1:3" ht="5.0999999999999996" customHeight="1" x14ac:dyDescent="0.25">
      <c r="A30" s="17"/>
      <c r="B30" s="305"/>
      <c r="C30" s="344"/>
    </row>
    <row r="31" spans="1:3" ht="20.100000000000001" customHeight="1" x14ac:dyDescent="0.25">
      <c r="A31" s="17"/>
      <c r="B31" s="305" t="s">
        <v>116</v>
      </c>
      <c r="C31" s="847">
        <f>C79/10</f>
        <v>2.2000000000000002</v>
      </c>
    </row>
    <row r="32" spans="1:3" ht="5.0999999999999996" customHeight="1" x14ac:dyDescent="0.25">
      <c r="A32" s="17"/>
      <c r="B32" s="305"/>
      <c r="C32" s="344"/>
    </row>
    <row r="33" spans="1:11" ht="20.100000000000001" customHeight="1" x14ac:dyDescent="0.25">
      <c r="A33" s="17"/>
      <c r="B33" s="305" t="s">
        <v>62</v>
      </c>
      <c r="C33" s="849">
        <f>C82/1</f>
        <v>250</v>
      </c>
      <c r="K33" s="648"/>
    </row>
    <row r="34" spans="1:11" ht="5.0999999999999996" customHeight="1" x14ac:dyDescent="0.25">
      <c r="A34" s="17"/>
      <c r="B34" s="305"/>
      <c r="C34" s="344"/>
      <c r="K34" s="648"/>
    </row>
    <row r="35" spans="1:11" ht="20.100000000000001" customHeight="1" x14ac:dyDescent="0.25">
      <c r="A35" s="17"/>
      <c r="B35" s="305" t="s">
        <v>114</v>
      </c>
      <c r="C35" s="847">
        <f>C87/10</f>
        <v>73</v>
      </c>
    </row>
    <row r="36" spans="1:11" ht="5.0999999999999996" customHeight="1" x14ac:dyDescent="0.25">
      <c r="A36" s="17"/>
      <c r="B36" s="305"/>
      <c r="C36" s="344"/>
    </row>
    <row r="37" spans="1:11" ht="19.5" customHeight="1" x14ac:dyDescent="0.25">
      <c r="A37" s="17"/>
      <c r="B37" s="305" t="s">
        <v>113</v>
      </c>
      <c r="C37" s="847">
        <f>C88/10</f>
        <v>20</v>
      </c>
    </row>
    <row r="38" spans="1:11" ht="5.0999999999999996" customHeight="1" x14ac:dyDescent="0.25">
      <c r="A38" s="17"/>
      <c r="B38" s="305"/>
      <c r="C38" s="344"/>
    </row>
    <row r="39" spans="1:11" ht="20.100000000000001" customHeight="1" x14ac:dyDescent="0.25">
      <c r="A39" s="17"/>
      <c r="B39" s="305" t="s">
        <v>115</v>
      </c>
      <c r="C39" s="847">
        <f>C89/10</f>
        <v>18</v>
      </c>
    </row>
    <row r="40" spans="1:11" ht="5.0999999999999996" customHeight="1" x14ac:dyDescent="0.25">
      <c r="A40" s="17"/>
      <c r="B40" s="305"/>
      <c r="C40" s="344"/>
    </row>
    <row r="41" spans="1:11" ht="20.100000000000001" customHeight="1" x14ac:dyDescent="0.25">
      <c r="A41" s="17"/>
      <c r="B41" s="305" t="s">
        <v>64</v>
      </c>
      <c r="C41" s="849">
        <f>C90/1</f>
        <v>250</v>
      </c>
    </row>
    <row r="42" spans="1:11" ht="5.0999999999999996" customHeight="1" x14ac:dyDescent="0.25">
      <c r="A42" s="17"/>
      <c r="B42" s="305"/>
      <c r="C42" s="344"/>
    </row>
    <row r="43" spans="1:11" ht="20.100000000000001" customHeight="1" x14ac:dyDescent="0.25">
      <c r="A43" s="17"/>
      <c r="B43" s="305" t="s">
        <v>65</v>
      </c>
      <c r="C43" s="849">
        <f>C91/1</f>
        <v>90</v>
      </c>
    </row>
    <row r="44" spans="1:11" ht="5.0999999999999996" customHeight="1" x14ac:dyDescent="0.25">
      <c r="A44" s="17"/>
      <c r="B44" s="305"/>
      <c r="C44" s="344"/>
    </row>
    <row r="45" spans="1:11" ht="20.100000000000001" customHeight="1" x14ac:dyDescent="0.25">
      <c r="A45" s="17"/>
      <c r="B45" s="205" t="s">
        <v>128</v>
      </c>
      <c r="C45" s="850">
        <f>$C$83/1000</f>
        <v>0.4</v>
      </c>
    </row>
    <row r="46" spans="1:11" ht="5.0999999999999996" customHeight="1" x14ac:dyDescent="0.25">
      <c r="A46" s="17"/>
      <c r="B46" s="205"/>
      <c r="C46" s="346"/>
    </row>
    <row r="47" spans="1:11" ht="20.100000000000001" customHeight="1" x14ac:dyDescent="0.25">
      <c r="A47" s="17"/>
      <c r="B47" s="205" t="s">
        <v>129</v>
      </c>
      <c r="C47" s="850">
        <f>$C$84/1000</f>
        <v>0.42499999999999999</v>
      </c>
    </row>
    <row r="48" spans="1:11" ht="5.0999999999999996" customHeight="1" x14ac:dyDescent="0.25">
      <c r="A48" s="17"/>
      <c r="B48" s="205"/>
      <c r="C48" s="346"/>
    </row>
    <row r="49" spans="1:3" ht="20.100000000000001" customHeight="1" x14ac:dyDescent="0.25">
      <c r="A49" s="17"/>
      <c r="B49" s="205" t="s">
        <v>72</v>
      </c>
      <c r="C49" s="851">
        <f>C85/100</f>
        <v>6.5</v>
      </c>
    </row>
    <row r="50" spans="1:3" ht="5.0999999999999996" customHeight="1" x14ac:dyDescent="0.25">
      <c r="A50" s="17"/>
      <c r="B50" s="205"/>
      <c r="C50" s="347"/>
    </row>
    <row r="51" spans="1:3" ht="20.100000000000001" customHeight="1" x14ac:dyDescent="0.25">
      <c r="A51" s="17"/>
      <c r="B51" s="672" t="s">
        <v>1051</v>
      </c>
      <c r="C51" s="673"/>
    </row>
    <row r="52" spans="1:3" ht="20.100000000000001" customHeight="1" x14ac:dyDescent="0.25">
      <c r="A52" s="559"/>
      <c r="B52" s="312" t="s">
        <v>801</v>
      </c>
      <c r="C52" s="674" t="e">
        <f>IF(C179&gt;7,"TOO HIGH",C179)</f>
        <v>#DIV/0!</v>
      </c>
    </row>
    <row r="53" spans="1:3" ht="20.100000000000001" customHeight="1" x14ac:dyDescent="0.25">
      <c r="A53" s="17"/>
      <c r="B53" s="207" t="s">
        <v>17</v>
      </c>
      <c r="C53" s="10" t="e">
        <f>IF(C52="TOO HIGH",0,C173)</f>
        <v>#DIV/0!</v>
      </c>
    </row>
    <row r="54" spans="1:3" ht="20.100000000000001" customHeight="1" x14ac:dyDescent="0.25">
      <c r="A54" s="17"/>
      <c r="B54" s="208" t="s">
        <v>1052</v>
      </c>
      <c r="C54" s="11"/>
    </row>
    <row r="55" spans="1:3" ht="20.100000000000001" customHeight="1" x14ac:dyDescent="0.25">
      <c r="A55" s="17"/>
      <c r="B55" s="523" t="s">
        <v>89</v>
      </c>
      <c r="C55" s="524" t="e">
        <f>D438</f>
        <v>#DIV/0!</v>
      </c>
    </row>
    <row r="56" spans="1:3" ht="20.100000000000001" customHeight="1" x14ac:dyDescent="0.25">
      <c r="A56" s="17"/>
      <c r="B56" s="523" t="s">
        <v>494</v>
      </c>
      <c r="C56" s="524" t="e">
        <f>D439</f>
        <v>#DIV/0!</v>
      </c>
    </row>
    <row r="57" spans="1:3" ht="20.100000000000001" customHeight="1" x14ac:dyDescent="0.25">
      <c r="A57" s="17"/>
      <c r="B57" s="523" t="s">
        <v>495</v>
      </c>
      <c r="C57" s="524" t="e">
        <f>D440</f>
        <v>#DIV/0!</v>
      </c>
    </row>
    <row r="58" spans="1:3" ht="20.100000000000001" customHeight="1" x14ac:dyDescent="0.25">
      <c r="A58" s="17"/>
      <c r="B58" s="523" t="s">
        <v>217</v>
      </c>
      <c r="C58" s="524">
        <f>D441</f>
        <v>0</v>
      </c>
    </row>
    <row r="59" spans="1:3" ht="20.100000000000001" customHeight="1" x14ac:dyDescent="0.25">
      <c r="A59" s="17"/>
      <c r="B59" s="523" t="s">
        <v>218</v>
      </c>
      <c r="C59" s="524" t="e">
        <f>D443</f>
        <v>#DIV/0!</v>
      </c>
    </row>
    <row r="60" spans="1:3" ht="20.100000000000001" customHeight="1" x14ac:dyDescent="0.25">
      <c r="A60" s="17"/>
      <c r="B60" s="525" t="s">
        <v>1047</v>
      </c>
      <c r="C60" s="526" t="e">
        <f>IF(C59&gt;0.1,C59*C49,0)</f>
        <v>#DIV/0!</v>
      </c>
    </row>
    <row r="61" spans="1:3" ht="20.100000000000001" customHeight="1" x14ac:dyDescent="0.25">
      <c r="A61" s="17"/>
      <c r="B61" s="525" t="s">
        <v>1048</v>
      </c>
      <c r="C61" s="526">
        <f>(C43*C25*C13/1000*(C41-C33))</f>
        <v>0</v>
      </c>
    </row>
    <row r="62" spans="1:3" ht="20.100000000000001" customHeight="1" x14ac:dyDescent="0.25">
      <c r="A62" s="17"/>
      <c r="B62" s="525" t="s">
        <v>20</v>
      </c>
      <c r="C62" s="527" t="e">
        <f>IF(C60&gt;1,C60-C61,C61*-1)</f>
        <v>#DIV/0!</v>
      </c>
    </row>
    <row r="63" spans="1:3" ht="20.100000000000001" customHeight="1" x14ac:dyDescent="0.25">
      <c r="A63" s="17"/>
      <c r="B63" s="525" t="s">
        <v>95</v>
      </c>
      <c r="C63" s="526" t="e">
        <f>(C53*C47)</f>
        <v>#DIV/0!</v>
      </c>
    </row>
    <row r="64" spans="1:3" ht="20.100000000000001" customHeight="1" x14ac:dyDescent="0.25">
      <c r="A64" s="17"/>
      <c r="B64" s="525" t="s">
        <v>18</v>
      </c>
      <c r="C64" s="526" t="e">
        <f>IF(C60&gt;1,C60-C61+C63,C63-C61)</f>
        <v>#DIV/0!</v>
      </c>
    </row>
    <row r="65" spans="1:8" ht="20.100000000000001" customHeight="1" x14ac:dyDescent="0.25">
      <c r="A65" s="17"/>
      <c r="B65" s="525" t="s">
        <v>1053</v>
      </c>
      <c r="C65" s="534" t="e">
        <f>C100</f>
        <v>#DIV/0!</v>
      </c>
    </row>
    <row r="66" spans="1:8" ht="20.100000000000001" customHeight="1" x14ac:dyDescent="0.25">
      <c r="A66" s="17"/>
      <c r="B66" s="529" t="s">
        <v>1237</v>
      </c>
      <c r="C66" s="530" t="e">
        <f>C190</f>
        <v>#DIV/0!</v>
      </c>
    </row>
    <row r="67" spans="1:8" ht="20.100000000000001" customHeight="1" x14ac:dyDescent="0.25">
      <c r="A67" s="17"/>
      <c r="B67" s="525" t="s">
        <v>1054</v>
      </c>
      <c r="C67" s="531" t="e">
        <f>C200</f>
        <v>#DIV/0!</v>
      </c>
      <c r="D67" s="17"/>
      <c r="E67" s="17"/>
      <c r="F67" s="17"/>
      <c r="G67" s="17"/>
      <c r="H67" s="17"/>
    </row>
    <row r="68" spans="1:8" ht="19.899999999999999" customHeight="1" x14ac:dyDescent="0.25">
      <c r="B68" s="532" t="s">
        <v>235</v>
      </c>
      <c r="C68" s="533" t="e">
        <f>C67+C63-C61</f>
        <v>#DIV/0!</v>
      </c>
    </row>
    <row r="69" spans="1:8" s="559" customFormat="1" x14ac:dyDescent="0.25">
      <c r="B69" s="169"/>
      <c r="C69" s="170"/>
    </row>
    <row r="70" spans="1:8" s="559" customFormat="1" x14ac:dyDescent="0.25">
      <c r="B70" s="169"/>
      <c r="C70" s="170"/>
    </row>
    <row r="71" spans="1:8" s="559" customFormat="1" x14ac:dyDescent="0.25">
      <c r="B71" s="169"/>
      <c r="C71" s="170"/>
    </row>
    <row r="72" spans="1:8" s="559" customFormat="1" x14ac:dyDescent="0.25">
      <c r="B72" s="169"/>
      <c r="C72" s="170"/>
    </row>
    <row r="73" spans="1:8" s="559" customFormat="1" ht="30.75" x14ac:dyDescent="0.45">
      <c r="B73" s="659"/>
      <c r="C73" s="170"/>
    </row>
    <row r="74" spans="1:8" s="559" customFormat="1" ht="30.75" x14ac:dyDescent="0.45">
      <c r="B74" s="659"/>
      <c r="C74" s="170"/>
    </row>
    <row r="75" spans="1:8" s="559" customFormat="1" ht="30.75" x14ac:dyDescent="0.45">
      <c r="B75" s="659"/>
      <c r="C75" s="170"/>
    </row>
    <row r="76" spans="1:8" s="559" customFormat="1" ht="30.75" x14ac:dyDescent="0.45">
      <c r="B76" s="659"/>
      <c r="C76" s="170"/>
      <c r="D76" s="760"/>
    </row>
    <row r="77" spans="1:8" hidden="1" x14ac:dyDescent="0.25">
      <c r="B77" s="27" t="s">
        <v>166</v>
      </c>
      <c r="C77" s="28"/>
      <c r="D77" s="29"/>
      <c r="E77" s="29"/>
    </row>
    <row r="78" spans="1:8" hidden="1" x14ac:dyDescent="0.25">
      <c r="B78" s="24" t="s">
        <v>122</v>
      </c>
      <c r="C78" s="28">
        <v>31</v>
      </c>
      <c r="D78" s="29"/>
      <c r="E78" s="29"/>
    </row>
    <row r="79" spans="1:8" hidden="1" x14ac:dyDescent="0.25">
      <c r="B79" s="29" t="s">
        <v>126</v>
      </c>
      <c r="C79" s="28">
        <v>22</v>
      </c>
      <c r="D79" s="29"/>
      <c r="E79" s="29"/>
    </row>
    <row r="80" spans="1:8" hidden="1" x14ac:dyDescent="0.25">
      <c r="B80" s="29" t="s">
        <v>747</v>
      </c>
      <c r="C80" s="28">
        <v>750</v>
      </c>
      <c r="D80" s="29"/>
      <c r="E80" s="29"/>
    </row>
    <row r="81" spans="2:5" hidden="1" x14ac:dyDescent="0.25">
      <c r="B81" s="29" t="s">
        <v>748</v>
      </c>
      <c r="C81" s="28">
        <v>200</v>
      </c>
      <c r="D81" s="29"/>
      <c r="E81" s="29"/>
    </row>
    <row r="82" spans="2:5" hidden="1" x14ac:dyDescent="0.25">
      <c r="B82" s="29" t="s">
        <v>749</v>
      </c>
      <c r="C82" s="28">
        <v>250</v>
      </c>
      <c r="D82" s="29"/>
      <c r="E82" s="29"/>
    </row>
    <row r="83" spans="2:5" hidden="1" x14ac:dyDescent="0.25">
      <c r="B83" s="24" t="s">
        <v>130</v>
      </c>
      <c r="C83" s="52">
        <v>400</v>
      </c>
      <c r="D83" s="29"/>
      <c r="E83" s="29"/>
    </row>
    <row r="84" spans="2:5" hidden="1" x14ac:dyDescent="0.25">
      <c r="B84" s="24" t="s">
        <v>131</v>
      </c>
      <c r="C84" s="52">
        <v>425</v>
      </c>
      <c r="D84" s="29"/>
      <c r="E84" s="29"/>
    </row>
    <row r="85" spans="2:5" hidden="1" x14ac:dyDescent="0.25">
      <c r="B85" s="24" t="s">
        <v>118</v>
      </c>
      <c r="C85" s="52">
        <v>650</v>
      </c>
      <c r="D85" s="29"/>
      <c r="E85" s="29"/>
    </row>
    <row r="86" spans="2:5" hidden="1" x14ac:dyDescent="0.25">
      <c r="B86" s="24" t="s">
        <v>123</v>
      </c>
      <c r="C86" s="52">
        <v>40</v>
      </c>
      <c r="D86" s="29"/>
      <c r="E86" s="29"/>
    </row>
    <row r="87" spans="2:5" hidden="1" x14ac:dyDescent="0.25">
      <c r="B87" s="24" t="s">
        <v>127</v>
      </c>
      <c r="C87" s="52">
        <v>730</v>
      </c>
      <c r="D87" s="29"/>
      <c r="E87" s="29"/>
    </row>
    <row r="88" spans="2:5" hidden="1" x14ac:dyDescent="0.25">
      <c r="B88" s="24" t="s">
        <v>173</v>
      </c>
      <c r="C88" s="52">
        <v>200</v>
      </c>
      <c r="D88" s="29"/>
      <c r="E88" s="29"/>
    </row>
    <row r="89" spans="2:5" hidden="1" x14ac:dyDescent="0.25">
      <c r="B89" s="24" t="s">
        <v>174</v>
      </c>
      <c r="C89" s="28">
        <v>180</v>
      </c>
      <c r="D89" s="29"/>
      <c r="E89" s="29"/>
    </row>
    <row r="90" spans="2:5" hidden="1" x14ac:dyDescent="0.25">
      <c r="B90" s="29" t="s">
        <v>750</v>
      </c>
      <c r="C90" s="29">
        <v>250</v>
      </c>
      <c r="D90" s="29"/>
      <c r="E90" s="29"/>
    </row>
    <row r="91" spans="2:5" hidden="1" x14ac:dyDescent="0.25">
      <c r="B91" s="29" t="s">
        <v>751</v>
      </c>
      <c r="C91" s="29">
        <v>90</v>
      </c>
      <c r="D91" s="29"/>
      <c r="E91" s="29"/>
    </row>
    <row r="92" spans="2:5" hidden="1" x14ac:dyDescent="0.25">
      <c r="B92" s="24"/>
      <c r="C92" s="52"/>
      <c r="D92" s="29"/>
      <c r="E92" s="29"/>
    </row>
    <row r="93" spans="2:5" ht="15.75" hidden="1" x14ac:dyDescent="0.25">
      <c r="B93" s="27" t="s">
        <v>152</v>
      </c>
      <c r="C93" s="200" t="s">
        <v>702</v>
      </c>
      <c r="D93" s="201" t="s">
        <v>703</v>
      </c>
      <c r="E93" s="29"/>
    </row>
    <row r="94" spans="2:5" hidden="1" x14ac:dyDescent="0.25">
      <c r="B94" s="24" t="s">
        <v>1541</v>
      </c>
      <c r="C94" s="156" t="e">
        <f>IF(C52&gt;7,0,C60)</f>
        <v>#DIV/0!</v>
      </c>
      <c r="D94" s="36" t="e">
        <f>IF(C52&gt;7,0,C67)</f>
        <v>#DIV/0!</v>
      </c>
      <c r="E94" s="29"/>
    </row>
    <row r="95" spans="2:5" hidden="1" x14ac:dyDescent="0.25">
      <c r="B95" s="24" t="s">
        <v>22</v>
      </c>
      <c r="C95" s="156" t="e">
        <f>IF(C52&gt;7,0,C61)</f>
        <v>#DIV/0!</v>
      </c>
      <c r="D95" s="36" t="e">
        <f>C95</f>
        <v>#DIV/0!</v>
      </c>
      <c r="E95" s="29"/>
    </row>
    <row r="96" spans="2:5" hidden="1" x14ac:dyDescent="0.25">
      <c r="B96" s="24" t="s">
        <v>23</v>
      </c>
      <c r="C96" s="156" t="e">
        <f>IF(C52&gt;7,0,C63)</f>
        <v>#DIV/0!</v>
      </c>
      <c r="D96" s="36" t="e">
        <f>C96</f>
        <v>#DIV/0!</v>
      </c>
      <c r="E96" s="29"/>
    </row>
    <row r="97" spans="2:36" hidden="1" x14ac:dyDescent="0.25">
      <c r="B97" s="24" t="s">
        <v>24</v>
      </c>
      <c r="C97" s="156" t="e">
        <f>IF(C52&gt;7,0,C64)</f>
        <v>#DIV/0!</v>
      </c>
      <c r="D97" s="156" t="e">
        <f>IF(C52&gt;7,0,C68)</f>
        <v>#DIV/0!</v>
      </c>
      <c r="E97" s="29"/>
    </row>
    <row r="98" spans="2:36" hidden="1" x14ac:dyDescent="0.25">
      <c r="B98" s="24"/>
      <c r="C98" s="156"/>
      <c r="D98" s="156"/>
      <c r="E98" s="29"/>
    </row>
    <row r="99" spans="2:36" hidden="1" x14ac:dyDescent="0.25">
      <c r="B99" s="24"/>
      <c r="C99" s="156"/>
      <c r="D99" s="156"/>
      <c r="E99" s="29"/>
    </row>
    <row r="100" spans="2:36" hidden="1" x14ac:dyDescent="0.25">
      <c r="B100" s="24" t="s">
        <v>1542</v>
      </c>
      <c r="C100" s="35" t="e">
        <f>C97/C101</f>
        <v>#DIV/0!</v>
      </c>
      <c r="D100" s="29"/>
      <c r="E100" s="29"/>
    </row>
    <row r="101" spans="2:36" hidden="1" x14ac:dyDescent="0.25">
      <c r="B101" s="24" t="s">
        <v>109</v>
      </c>
      <c r="C101" s="495" t="e">
        <f>C13*C16*C17*C45</f>
        <v>#DIV/0!</v>
      </c>
      <c r="D101" s="52"/>
      <c r="E101" s="29"/>
    </row>
    <row r="102" spans="2:36" hidden="1" x14ac:dyDescent="0.25">
      <c r="B102" s="29"/>
      <c r="C102" s="29"/>
      <c r="D102" s="29"/>
      <c r="E102" s="29"/>
    </row>
    <row r="103" spans="2:36" hidden="1" x14ac:dyDescent="0.25">
      <c r="B103" s="24"/>
      <c r="C103" s="52"/>
      <c r="D103" s="29"/>
      <c r="E103" s="29"/>
      <c r="F103" s="157"/>
      <c r="G103" s="157"/>
    </row>
    <row r="104" spans="2:36" hidden="1" x14ac:dyDescent="0.25">
      <c r="B104" s="27" t="s">
        <v>170</v>
      </c>
      <c r="C104" s="29"/>
      <c r="D104" s="29"/>
      <c r="E104" s="29"/>
      <c r="F104" s="157"/>
      <c r="G104" s="157"/>
    </row>
    <row r="105" spans="2:36" hidden="1" x14ac:dyDescent="0.25">
      <c r="B105" s="27" t="s">
        <v>1543</v>
      </c>
      <c r="C105" s="158"/>
      <c r="D105" s="29"/>
      <c r="E105" s="37"/>
      <c r="F105" s="157"/>
    </row>
    <row r="106" spans="2:36" s="329" customFormat="1" hidden="1" x14ac:dyDescent="0.25">
      <c r="B106" s="24" t="s">
        <v>809</v>
      </c>
      <c r="C106" s="37" t="e">
        <f>'Baseline farm'!D189-'Baseline farm'!D193</f>
        <v>#DIV/0!</v>
      </c>
      <c r="D106" s="29"/>
      <c r="E106" s="494"/>
      <c r="F106" s="493"/>
      <c r="I106" s="646"/>
      <c r="J106" s="646"/>
      <c r="K106" s="646"/>
      <c r="L106" s="646"/>
      <c r="M106" s="646"/>
      <c r="N106" s="646"/>
      <c r="O106" s="646"/>
      <c r="P106" s="646"/>
      <c r="Q106" s="646"/>
      <c r="R106" s="646"/>
      <c r="S106" s="646"/>
      <c r="T106" s="646"/>
      <c r="U106" s="646"/>
      <c r="V106" s="646"/>
      <c r="W106" s="646"/>
      <c r="X106" s="646"/>
      <c r="Y106" s="646"/>
      <c r="Z106" s="646"/>
      <c r="AA106" s="646"/>
      <c r="AB106" s="646"/>
      <c r="AC106" s="646"/>
      <c r="AD106" s="646"/>
      <c r="AE106" s="646"/>
      <c r="AF106" s="646"/>
      <c r="AG106" s="646"/>
      <c r="AH106" s="646"/>
      <c r="AI106" s="646"/>
      <c r="AJ106" s="646"/>
    </row>
    <row r="107" spans="2:36" s="329" customFormat="1" hidden="1" x14ac:dyDescent="0.25">
      <c r="B107" s="24"/>
      <c r="C107" s="37"/>
      <c r="D107" s="29"/>
      <c r="E107" s="37"/>
      <c r="F107" s="493"/>
      <c r="I107" s="646"/>
      <c r="J107" s="646"/>
      <c r="K107" s="646"/>
      <c r="L107" s="646"/>
      <c r="M107" s="646"/>
      <c r="N107" s="646"/>
      <c r="O107" s="646"/>
      <c r="P107" s="646"/>
      <c r="Q107" s="646"/>
      <c r="R107" s="646"/>
      <c r="S107" s="646"/>
      <c r="T107" s="646"/>
      <c r="U107" s="646"/>
      <c r="V107" s="646"/>
      <c r="W107" s="646"/>
      <c r="X107" s="646"/>
      <c r="Y107" s="646"/>
      <c r="Z107" s="646"/>
      <c r="AA107" s="646"/>
      <c r="AB107" s="646"/>
      <c r="AC107" s="646"/>
      <c r="AD107" s="646"/>
      <c r="AE107" s="646"/>
      <c r="AF107" s="646"/>
      <c r="AG107" s="646"/>
      <c r="AH107" s="646"/>
      <c r="AI107" s="646"/>
      <c r="AJ107" s="646"/>
    </row>
    <row r="108" spans="2:36" s="329" customFormat="1" hidden="1" x14ac:dyDescent="0.25">
      <c r="B108" s="24" t="s">
        <v>810</v>
      </c>
      <c r="C108" s="37" t="e">
        <f>'Baseline farm'!D193</f>
        <v>#DIV/0!</v>
      </c>
      <c r="D108" s="29"/>
      <c r="E108" s="37"/>
      <c r="F108" s="493"/>
      <c r="I108" s="646"/>
      <c r="J108" s="646"/>
      <c r="K108" s="646"/>
      <c r="L108" s="646"/>
      <c r="M108" s="646"/>
      <c r="N108" s="646"/>
      <c r="O108" s="646"/>
      <c r="P108" s="646"/>
      <c r="Q108" s="646"/>
      <c r="R108" s="646"/>
      <c r="S108" s="646"/>
      <c r="T108" s="646"/>
      <c r="U108" s="646"/>
      <c r="V108" s="646"/>
      <c r="W108" s="646"/>
      <c r="X108" s="646"/>
      <c r="Y108" s="646"/>
      <c r="Z108" s="646"/>
      <c r="AA108" s="646"/>
      <c r="AB108" s="646"/>
      <c r="AC108" s="646"/>
      <c r="AD108" s="646"/>
      <c r="AE108" s="646"/>
      <c r="AF108" s="646"/>
      <c r="AG108" s="646"/>
      <c r="AH108" s="646"/>
      <c r="AI108" s="646"/>
      <c r="AJ108" s="646"/>
    </row>
    <row r="109" spans="2:36" s="329" customFormat="1" hidden="1" x14ac:dyDescent="0.25">
      <c r="B109" s="24"/>
      <c r="C109" s="37"/>
      <c r="D109" s="29"/>
      <c r="E109" s="37"/>
      <c r="F109" s="493"/>
      <c r="I109" s="646"/>
      <c r="J109" s="646"/>
      <c r="K109" s="646"/>
      <c r="L109" s="646"/>
      <c r="M109" s="646"/>
      <c r="N109" s="646"/>
      <c r="O109" s="646"/>
      <c r="P109" s="646"/>
      <c r="Q109" s="646"/>
      <c r="R109" s="646"/>
      <c r="S109" s="646"/>
      <c r="T109" s="646"/>
      <c r="U109" s="646"/>
      <c r="V109" s="646"/>
      <c r="W109" s="646"/>
      <c r="X109" s="646"/>
      <c r="Y109" s="646"/>
      <c r="Z109" s="646"/>
      <c r="AA109" s="646"/>
      <c r="AB109" s="646"/>
      <c r="AC109" s="646"/>
      <c r="AD109" s="646"/>
      <c r="AE109" s="646"/>
      <c r="AF109" s="646"/>
      <c r="AG109" s="646"/>
      <c r="AH109" s="646"/>
      <c r="AI109" s="646"/>
      <c r="AJ109" s="646"/>
    </row>
    <row r="110" spans="2:36" hidden="1" x14ac:dyDescent="0.25">
      <c r="B110" s="24" t="s">
        <v>713</v>
      </c>
      <c r="C110" s="37" t="e">
        <f>C106+C108</f>
        <v>#DIV/0!</v>
      </c>
      <c r="D110" s="29"/>
      <c r="E110" s="37"/>
      <c r="F110" s="157"/>
    </row>
    <row r="111" spans="2:36" hidden="1" x14ac:dyDescent="0.25">
      <c r="B111" s="27"/>
      <c r="C111" s="158"/>
      <c r="D111" s="29"/>
      <c r="E111" s="37"/>
      <c r="F111" s="157"/>
    </row>
    <row r="112" spans="2:36" hidden="1" x14ac:dyDescent="0.25">
      <c r="B112" s="24" t="s">
        <v>714</v>
      </c>
      <c r="C112" s="37">
        <f>24.51-(0.0788*C114)</f>
        <v>22.116056</v>
      </c>
      <c r="D112" s="29" t="s">
        <v>815</v>
      </c>
      <c r="E112" s="37"/>
      <c r="F112" s="157"/>
    </row>
    <row r="113" spans="1:16384" hidden="1" x14ac:dyDescent="0.25">
      <c r="B113" s="27"/>
      <c r="C113" s="158"/>
      <c r="D113" s="29"/>
      <c r="E113" s="37"/>
      <c r="F113" s="157"/>
    </row>
    <row r="114" spans="1:16384" hidden="1" x14ac:dyDescent="0.25">
      <c r="B114" s="24" t="s">
        <v>808</v>
      </c>
      <c r="C114" s="37">
        <f>(C21*10)*0.98</f>
        <v>30.38</v>
      </c>
      <c r="D114" s="29" t="s">
        <v>717</v>
      </c>
      <c r="E114" s="37"/>
      <c r="F114" s="157"/>
    </row>
    <row r="115" spans="1:16384" hidden="1" x14ac:dyDescent="0.25">
      <c r="B115" s="27"/>
      <c r="C115" s="158"/>
      <c r="D115" s="29"/>
      <c r="E115" s="37"/>
      <c r="F115" s="157"/>
    </row>
    <row r="116" spans="1:16384" hidden="1" x14ac:dyDescent="0.25">
      <c r="B116" s="24" t="s">
        <v>718</v>
      </c>
      <c r="C116" s="43" t="e">
        <f>C112*C110/1000</f>
        <v>#DIV/0!</v>
      </c>
      <c r="D116" s="29" t="s">
        <v>719</v>
      </c>
      <c r="E116" s="159"/>
      <c r="F116" s="157"/>
    </row>
    <row r="117" spans="1:16384" hidden="1" x14ac:dyDescent="0.25">
      <c r="B117" s="46"/>
      <c r="C117" s="159"/>
      <c r="D117" s="29"/>
      <c r="E117" s="37"/>
      <c r="F117" s="157"/>
    </row>
    <row r="118" spans="1:16384" hidden="1" x14ac:dyDescent="0.25">
      <c r="B118" s="24" t="s">
        <v>12</v>
      </c>
      <c r="C118" s="32">
        <f>C13</f>
        <v>0</v>
      </c>
      <c r="D118" s="29"/>
      <c r="E118" s="44"/>
      <c r="F118" s="157"/>
    </row>
    <row r="119" spans="1:16384" hidden="1" x14ac:dyDescent="0.25">
      <c r="B119" s="24" t="s">
        <v>13</v>
      </c>
      <c r="C119" s="44" t="e">
        <f>C116*C118*365</f>
        <v>#DIV/0!</v>
      </c>
      <c r="D119" s="29" t="s">
        <v>831</v>
      </c>
      <c r="E119" s="45"/>
      <c r="F119" s="157"/>
    </row>
    <row r="120" spans="1:16384" hidden="1" x14ac:dyDescent="0.25">
      <c r="B120" s="27" t="s">
        <v>14</v>
      </c>
      <c r="C120" s="45" t="e">
        <f>C119*25/1000</f>
        <v>#DIV/0!</v>
      </c>
      <c r="D120" s="29" t="s">
        <v>1533</v>
      </c>
      <c r="E120" s="37"/>
      <c r="F120" s="45"/>
    </row>
    <row r="121" spans="1:16384" hidden="1" x14ac:dyDescent="0.25">
      <c r="B121" s="24"/>
      <c r="C121" s="45"/>
      <c r="D121" s="29"/>
      <c r="E121" s="37"/>
      <c r="F121" s="157"/>
    </row>
    <row r="122" spans="1:16384" hidden="1" x14ac:dyDescent="0.25">
      <c r="B122" s="29"/>
      <c r="C122" s="160"/>
      <c r="D122" s="29"/>
      <c r="E122" s="37"/>
      <c r="F122" s="157"/>
    </row>
    <row r="123" spans="1:16384" hidden="1" x14ac:dyDescent="0.25">
      <c r="B123" s="210"/>
      <c r="C123" s="160"/>
      <c r="D123" s="29"/>
      <c r="E123" s="37"/>
      <c r="F123" s="157"/>
    </row>
    <row r="124" spans="1:16384" hidden="1" x14ac:dyDescent="0.25">
      <c r="B124" s="210"/>
      <c r="C124" s="46"/>
      <c r="D124" s="29"/>
      <c r="E124" s="37"/>
      <c r="F124" s="157"/>
    </row>
    <row r="125" spans="1:16384" hidden="1" x14ac:dyDescent="0.25">
      <c r="B125" s="48" t="s">
        <v>171</v>
      </c>
      <c r="C125" s="37"/>
      <c r="D125" s="29"/>
      <c r="E125" s="161"/>
      <c r="F125" s="217"/>
    </row>
    <row r="126" spans="1:16384" hidden="1" x14ac:dyDescent="0.25">
      <c r="B126" s="27" t="s">
        <v>480</v>
      </c>
      <c r="C126" s="37"/>
      <c r="D126" s="29"/>
      <c r="E126" s="37"/>
      <c r="F126" s="157"/>
      <c r="K126" s="643"/>
      <c r="L126" s="643"/>
      <c r="M126" s="643"/>
    </row>
    <row r="127" spans="1:16384" hidden="1" x14ac:dyDescent="0.25">
      <c r="A127" s="24"/>
      <c r="B127" s="24" t="s">
        <v>811</v>
      </c>
      <c r="C127" s="38" t="e">
        <f>C106</f>
        <v>#DIV/0!</v>
      </c>
      <c r="D127" s="211" t="s">
        <v>1076</v>
      </c>
      <c r="E127" s="24"/>
      <c r="F127" s="211"/>
      <c r="G127" s="24"/>
      <c r="H127" s="211"/>
      <c r="I127" s="169"/>
      <c r="J127" s="644"/>
      <c r="K127" s="169"/>
      <c r="L127" s="644"/>
      <c r="M127" s="169"/>
      <c r="N127" s="644"/>
      <c r="O127" s="169"/>
      <c r="P127" s="644"/>
      <c r="Q127" s="169"/>
      <c r="R127" s="644"/>
      <c r="S127" s="169"/>
      <c r="T127" s="644"/>
      <c r="U127" s="169"/>
      <c r="V127" s="644"/>
      <c r="W127" s="169"/>
      <c r="X127" s="644"/>
      <c r="Y127" s="169"/>
      <c r="Z127" s="644"/>
      <c r="AA127" s="169"/>
      <c r="AB127" s="644"/>
      <c r="AC127" s="169"/>
      <c r="AD127" s="644"/>
      <c r="AE127" s="169"/>
      <c r="AF127" s="644"/>
      <c r="AG127" s="169"/>
      <c r="AH127" s="644"/>
      <c r="AI127" s="169"/>
      <c r="AJ127" s="644"/>
      <c r="AK127" s="24"/>
      <c r="AL127" s="211"/>
      <c r="AM127" s="24"/>
      <c r="AN127" s="211"/>
      <c r="AO127" s="24"/>
      <c r="AP127" s="211"/>
      <c r="AQ127" s="24"/>
      <c r="AR127" s="211"/>
      <c r="AS127" s="24"/>
      <c r="AT127" s="211"/>
      <c r="AU127" s="24"/>
      <c r="AV127" s="211"/>
      <c r="AW127" s="24"/>
      <c r="AX127" s="211"/>
      <c r="AY127" s="24"/>
      <c r="AZ127" s="211"/>
      <c r="BA127" s="24"/>
      <c r="BB127" s="211"/>
      <c r="BC127" s="24"/>
      <c r="BD127" s="211"/>
      <c r="BE127" s="24"/>
      <c r="BF127" s="211"/>
      <c r="BG127" s="24"/>
      <c r="BH127" s="211"/>
      <c r="BI127" s="24"/>
      <c r="BJ127" s="211"/>
      <c r="BK127" s="24"/>
      <c r="BL127" s="211"/>
      <c r="BM127" s="24"/>
      <c r="BN127" s="211"/>
      <c r="BO127" s="24"/>
      <c r="BP127" s="211"/>
      <c r="BQ127" s="24"/>
      <c r="BR127" s="211"/>
      <c r="BS127" s="24"/>
      <c r="BT127" s="211"/>
      <c r="BU127" s="24"/>
      <c r="BV127" s="211"/>
      <c r="BW127" s="24"/>
      <c r="BX127" s="211"/>
      <c r="BY127" s="24"/>
      <c r="BZ127" s="211"/>
      <c r="CA127" s="24"/>
      <c r="CB127" s="211"/>
      <c r="CC127" s="24"/>
      <c r="CD127" s="211"/>
      <c r="CE127" s="24"/>
      <c r="CF127" s="211"/>
      <c r="CG127" s="24"/>
      <c r="CH127" s="211"/>
      <c r="CI127" s="24"/>
      <c r="CJ127" s="211"/>
      <c r="CK127" s="24"/>
      <c r="CL127" s="211"/>
      <c r="CM127" s="24"/>
      <c r="CN127" s="211"/>
      <c r="CO127" s="24"/>
      <c r="CP127" s="211"/>
      <c r="CQ127" s="24"/>
      <c r="CR127" s="211"/>
      <c r="CS127" s="24"/>
      <c r="CT127" s="211"/>
      <c r="CU127" s="24"/>
      <c r="CV127" s="211"/>
      <c r="CW127" s="24"/>
      <c r="CX127" s="211"/>
      <c r="CY127" s="24"/>
      <c r="CZ127" s="211"/>
      <c r="DA127" s="24"/>
      <c r="DB127" s="211"/>
      <c r="DC127" s="24"/>
      <c r="DD127" s="211"/>
      <c r="DE127" s="24"/>
      <c r="DF127" s="211"/>
      <c r="DG127" s="24"/>
      <c r="DH127" s="211"/>
      <c r="DI127" s="24"/>
      <c r="DJ127" s="211"/>
      <c r="DK127" s="24"/>
      <c r="DL127" s="211"/>
      <c r="DM127" s="24"/>
      <c r="DN127" s="211"/>
      <c r="DO127" s="24"/>
      <c r="DP127" s="211"/>
      <c r="DQ127" s="24"/>
      <c r="DR127" s="211"/>
      <c r="DS127" s="24"/>
      <c r="DT127" s="211"/>
      <c r="DU127" s="24"/>
      <c r="DV127" s="211"/>
      <c r="DW127" s="24"/>
      <c r="DX127" s="211"/>
      <c r="DY127" s="24"/>
      <c r="DZ127" s="211"/>
      <c r="EA127" s="24"/>
      <c r="EB127" s="211"/>
      <c r="EC127" s="24"/>
      <c r="ED127" s="211"/>
      <c r="EE127" s="24"/>
      <c r="EF127" s="211"/>
      <c r="EG127" s="24"/>
      <c r="EH127" s="211"/>
      <c r="EI127" s="24"/>
      <c r="EJ127" s="211"/>
      <c r="EK127" s="24"/>
      <c r="EL127" s="211"/>
      <c r="EM127" s="24"/>
      <c r="EN127" s="211"/>
      <c r="EO127" s="24"/>
      <c r="EP127" s="211"/>
      <c r="EQ127" s="24"/>
      <c r="ER127" s="211"/>
      <c r="ES127" s="24"/>
      <c r="ET127" s="211"/>
      <c r="EU127" s="24"/>
      <c r="EV127" s="211"/>
      <c r="EW127" s="24"/>
      <c r="EX127" s="211"/>
      <c r="EY127" s="24"/>
      <c r="EZ127" s="211"/>
      <c r="FA127" s="24"/>
      <c r="FB127" s="211"/>
      <c r="FC127" s="24"/>
      <c r="FD127" s="211"/>
      <c r="FE127" s="24"/>
      <c r="FF127" s="211"/>
      <c r="FG127" s="24"/>
      <c r="FH127" s="211"/>
      <c r="FI127" s="24"/>
      <c r="FJ127" s="211"/>
      <c r="FK127" s="24"/>
      <c r="FL127" s="211"/>
      <c r="FM127" s="24"/>
      <c r="FN127" s="211"/>
      <c r="FO127" s="24"/>
      <c r="FP127" s="211"/>
      <c r="FQ127" s="24"/>
      <c r="FR127" s="211"/>
      <c r="FS127" s="24"/>
      <c r="FT127" s="211"/>
      <c r="FU127" s="24"/>
      <c r="FV127" s="211"/>
      <c r="FW127" s="24"/>
      <c r="FX127" s="211"/>
      <c r="FY127" s="24"/>
      <c r="FZ127" s="211"/>
      <c r="GA127" s="24"/>
      <c r="GB127" s="211"/>
      <c r="GC127" s="24"/>
      <c r="GD127" s="211"/>
      <c r="GE127" s="24"/>
      <c r="GF127" s="211"/>
      <c r="GG127" s="24"/>
      <c r="GH127" s="211"/>
      <c r="GI127" s="24"/>
      <c r="GJ127" s="211"/>
      <c r="GK127" s="24"/>
      <c r="GL127" s="211"/>
      <c r="GM127" s="24"/>
      <c r="GN127" s="211"/>
      <c r="GO127" s="24"/>
      <c r="GP127" s="211"/>
      <c r="GQ127" s="24"/>
      <c r="GR127" s="211"/>
      <c r="GS127" s="24"/>
      <c r="GT127" s="211"/>
      <c r="GU127" s="24"/>
      <c r="GV127" s="211"/>
      <c r="GW127" s="24"/>
      <c r="GX127" s="211"/>
      <c r="GY127" s="24"/>
      <c r="GZ127" s="211"/>
      <c r="HA127" s="24"/>
      <c r="HB127" s="211"/>
      <c r="HC127" s="24"/>
      <c r="HD127" s="211"/>
      <c r="HE127" s="24"/>
      <c r="HF127" s="211"/>
      <c r="HG127" s="24"/>
      <c r="HH127" s="211"/>
      <c r="HI127" s="24"/>
      <c r="HJ127" s="211"/>
      <c r="HK127" s="24"/>
      <c r="HL127" s="211"/>
      <c r="HM127" s="24"/>
      <c r="HN127" s="211"/>
      <c r="HO127" s="24"/>
      <c r="HP127" s="211"/>
      <c r="HQ127" s="24"/>
      <c r="HR127" s="211"/>
      <c r="HS127" s="24"/>
      <c r="HT127" s="211"/>
      <c r="HU127" s="24"/>
      <c r="HV127" s="211"/>
      <c r="HW127" s="24"/>
      <c r="HX127" s="211"/>
      <c r="HY127" s="24"/>
      <c r="HZ127" s="211"/>
      <c r="IA127" s="24"/>
      <c r="IB127" s="211"/>
      <c r="IC127" s="24"/>
      <c r="ID127" s="211"/>
      <c r="IE127" s="24"/>
      <c r="IF127" s="211"/>
      <c r="IG127" s="24"/>
      <c r="IH127" s="211"/>
      <c r="II127" s="24"/>
      <c r="IJ127" s="211"/>
      <c r="IK127" s="24"/>
      <c r="IL127" s="211"/>
      <c r="IM127" s="24"/>
      <c r="IN127" s="211"/>
      <c r="IO127" s="24"/>
      <c r="IP127" s="211"/>
      <c r="IQ127" s="24"/>
      <c r="IR127" s="211"/>
      <c r="IS127" s="24"/>
      <c r="IT127" s="211"/>
      <c r="IU127" s="24"/>
      <c r="IV127" s="211"/>
      <c r="IW127" s="24"/>
      <c r="IX127" s="211"/>
      <c r="IY127" s="24"/>
      <c r="IZ127" s="211"/>
      <c r="JA127" s="24"/>
      <c r="JB127" s="211"/>
      <c r="JC127" s="24"/>
      <c r="JD127" s="211"/>
      <c r="JE127" s="24"/>
      <c r="JF127" s="211"/>
      <c r="JG127" s="24"/>
      <c r="JH127" s="211"/>
      <c r="JI127" s="24"/>
      <c r="JJ127" s="211"/>
      <c r="JK127" s="24"/>
      <c r="JL127" s="211"/>
      <c r="JM127" s="24"/>
      <c r="JN127" s="211"/>
      <c r="JO127" s="24"/>
      <c r="JP127" s="211"/>
      <c r="JQ127" s="24"/>
      <c r="JR127" s="211"/>
      <c r="JS127" s="24"/>
      <c r="JT127" s="211"/>
      <c r="JU127" s="24"/>
      <c r="JV127" s="211"/>
      <c r="JW127" s="24"/>
      <c r="JX127" s="211"/>
      <c r="JY127" s="24"/>
      <c r="JZ127" s="211"/>
      <c r="KA127" s="24"/>
      <c r="KB127" s="211"/>
      <c r="KC127" s="24"/>
      <c r="KD127" s="211"/>
      <c r="KE127" s="24"/>
      <c r="KF127" s="211"/>
      <c r="KG127" s="24"/>
      <c r="KH127" s="211"/>
      <c r="KI127" s="24"/>
      <c r="KJ127" s="211"/>
      <c r="KK127" s="24"/>
      <c r="KL127" s="211"/>
      <c r="KM127" s="24"/>
      <c r="KN127" s="211"/>
      <c r="KO127" s="24"/>
      <c r="KP127" s="211"/>
      <c r="KQ127" s="24"/>
      <c r="KR127" s="211"/>
      <c r="KS127" s="24"/>
      <c r="KT127" s="211"/>
      <c r="KU127" s="24"/>
      <c r="KV127" s="211"/>
      <c r="KW127" s="24"/>
      <c r="KX127" s="211"/>
      <c r="KY127" s="24"/>
      <c r="KZ127" s="211"/>
      <c r="LA127" s="24"/>
      <c r="LB127" s="211"/>
      <c r="LC127" s="24"/>
      <c r="LD127" s="211"/>
      <c r="LE127" s="24"/>
      <c r="LF127" s="211"/>
      <c r="LG127" s="24"/>
      <c r="LH127" s="211"/>
      <c r="LI127" s="24"/>
      <c r="LJ127" s="211"/>
      <c r="LK127" s="24"/>
      <c r="LL127" s="211"/>
      <c r="LM127" s="24"/>
      <c r="LN127" s="211"/>
      <c r="LO127" s="24"/>
      <c r="LP127" s="211"/>
      <c r="LQ127" s="24"/>
      <c r="LR127" s="211"/>
      <c r="LS127" s="24"/>
      <c r="LT127" s="211"/>
      <c r="LU127" s="24"/>
      <c r="LV127" s="211"/>
      <c r="LW127" s="24"/>
      <c r="LX127" s="211"/>
      <c r="LY127" s="24"/>
      <c r="LZ127" s="211"/>
      <c r="MA127" s="24"/>
      <c r="MB127" s="211"/>
      <c r="MC127" s="24"/>
      <c r="MD127" s="211"/>
      <c r="ME127" s="24"/>
      <c r="MF127" s="211"/>
      <c r="MG127" s="24"/>
      <c r="MH127" s="211"/>
      <c r="MI127" s="24"/>
      <c r="MJ127" s="211"/>
      <c r="MK127" s="24"/>
      <c r="ML127" s="211"/>
      <c r="MM127" s="24"/>
      <c r="MN127" s="211"/>
      <c r="MO127" s="24"/>
      <c r="MP127" s="211"/>
      <c r="MQ127" s="24"/>
      <c r="MR127" s="211"/>
      <c r="MS127" s="24"/>
      <c r="MT127" s="211"/>
      <c r="MU127" s="24"/>
      <c r="MV127" s="211"/>
      <c r="MW127" s="24"/>
      <c r="MX127" s="211"/>
      <c r="MY127" s="24"/>
      <c r="MZ127" s="211"/>
      <c r="NA127" s="24"/>
      <c r="NB127" s="211"/>
      <c r="NC127" s="24"/>
      <c r="ND127" s="211"/>
      <c r="NE127" s="24"/>
      <c r="NF127" s="211"/>
      <c r="NG127" s="24"/>
      <c r="NH127" s="211"/>
      <c r="NI127" s="24"/>
      <c r="NJ127" s="211"/>
      <c r="NK127" s="24"/>
      <c r="NL127" s="211"/>
      <c r="NM127" s="24"/>
      <c r="NN127" s="211"/>
      <c r="NO127" s="24"/>
      <c r="NP127" s="211"/>
      <c r="NQ127" s="24"/>
      <c r="NR127" s="211"/>
      <c r="NS127" s="24"/>
      <c r="NT127" s="211"/>
      <c r="NU127" s="24"/>
      <c r="NV127" s="211"/>
      <c r="NW127" s="24"/>
      <c r="NX127" s="211"/>
      <c r="NY127" s="24"/>
      <c r="NZ127" s="211"/>
      <c r="OA127" s="24"/>
      <c r="OB127" s="211"/>
      <c r="OC127" s="24"/>
      <c r="OD127" s="211"/>
      <c r="OE127" s="24"/>
      <c r="OF127" s="211"/>
      <c r="OG127" s="24"/>
      <c r="OH127" s="211"/>
      <c r="OI127" s="24"/>
      <c r="OJ127" s="211"/>
      <c r="OK127" s="24"/>
      <c r="OL127" s="211"/>
      <c r="OM127" s="24"/>
      <c r="ON127" s="211"/>
      <c r="OO127" s="24"/>
      <c r="OP127" s="211"/>
      <c r="OQ127" s="24"/>
      <c r="OR127" s="211"/>
      <c r="OS127" s="24"/>
      <c r="OT127" s="211"/>
      <c r="OU127" s="24"/>
      <c r="OV127" s="211"/>
      <c r="OW127" s="24"/>
      <c r="OX127" s="211"/>
      <c r="OY127" s="24"/>
      <c r="OZ127" s="211"/>
      <c r="PA127" s="24"/>
      <c r="PB127" s="211"/>
      <c r="PC127" s="24"/>
      <c r="PD127" s="211"/>
      <c r="PE127" s="24"/>
      <c r="PF127" s="211"/>
      <c r="PG127" s="24"/>
      <c r="PH127" s="211"/>
      <c r="PI127" s="24"/>
      <c r="PJ127" s="211"/>
      <c r="PK127" s="24"/>
      <c r="PL127" s="211"/>
      <c r="PM127" s="24"/>
      <c r="PN127" s="211"/>
      <c r="PO127" s="24"/>
      <c r="PP127" s="211"/>
      <c r="PQ127" s="24"/>
      <c r="PR127" s="211"/>
      <c r="PS127" s="24"/>
      <c r="PT127" s="211"/>
      <c r="PU127" s="24"/>
      <c r="PV127" s="211"/>
      <c r="PW127" s="24"/>
      <c r="PX127" s="211"/>
      <c r="PY127" s="24"/>
      <c r="PZ127" s="211"/>
      <c r="QA127" s="24"/>
      <c r="QB127" s="211"/>
      <c r="QC127" s="24"/>
      <c r="QD127" s="211"/>
      <c r="QE127" s="24"/>
      <c r="QF127" s="211"/>
      <c r="QG127" s="24"/>
      <c r="QH127" s="211"/>
      <c r="QI127" s="24"/>
      <c r="QJ127" s="211"/>
      <c r="QK127" s="24"/>
      <c r="QL127" s="211"/>
      <c r="QM127" s="24"/>
      <c r="QN127" s="211"/>
      <c r="QO127" s="24"/>
      <c r="QP127" s="211"/>
      <c r="QQ127" s="24"/>
      <c r="QR127" s="211"/>
      <c r="QS127" s="24"/>
      <c r="QT127" s="211"/>
      <c r="QU127" s="24"/>
      <c r="QV127" s="211"/>
      <c r="QW127" s="24"/>
      <c r="QX127" s="211"/>
      <c r="QY127" s="24"/>
      <c r="QZ127" s="211"/>
      <c r="RA127" s="24"/>
      <c r="RB127" s="211"/>
      <c r="RC127" s="24"/>
      <c r="RD127" s="211"/>
      <c r="RE127" s="24"/>
      <c r="RF127" s="211"/>
      <c r="RG127" s="24"/>
      <c r="RH127" s="211"/>
      <c r="RI127" s="24"/>
      <c r="RJ127" s="211"/>
      <c r="RK127" s="24"/>
      <c r="RL127" s="211"/>
      <c r="RM127" s="24"/>
      <c r="RN127" s="211"/>
      <c r="RO127" s="24"/>
      <c r="RP127" s="211"/>
      <c r="RQ127" s="24"/>
      <c r="RR127" s="211"/>
      <c r="RS127" s="24"/>
      <c r="RT127" s="211"/>
      <c r="RU127" s="24"/>
      <c r="RV127" s="211"/>
      <c r="RW127" s="24"/>
      <c r="RX127" s="211"/>
      <c r="RY127" s="24"/>
      <c r="RZ127" s="211"/>
      <c r="SA127" s="24"/>
      <c r="SB127" s="211"/>
      <c r="SC127" s="24"/>
      <c r="SD127" s="211"/>
      <c r="SE127" s="24"/>
      <c r="SF127" s="211"/>
      <c r="SG127" s="24"/>
      <c r="SH127" s="211"/>
      <c r="SI127" s="24"/>
      <c r="SJ127" s="211"/>
      <c r="SK127" s="24"/>
      <c r="SL127" s="211"/>
      <c r="SM127" s="24"/>
      <c r="SN127" s="211"/>
      <c r="SO127" s="24"/>
      <c r="SP127" s="211"/>
      <c r="SQ127" s="24"/>
      <c r="SR127" s="211"/>
      <c r="SS127" s="24"/>
      <c r="ST127" s="211"/>
      <c r="SU127" s="24"/>
      <c r="SV127" s="211"/>
      <c r="SW127" s="24"/>
      <c r="SX127" s="211"/>
      <c r="SY127" s="24"/>
      <c r="SZ127" s="211"/>
      <c r="TA127" s="24"/>
      <c r="TB127" s="211"/>
      <c r="TC127" s="24"/>
      <c r="TD127" s="211"/>
      <c r="TE127" s="24"/>
      <c r="TF127" s="211"/>
      <c r="TG127" s="24"/>
      <c r="TH127" s="211"/>
      <c r="TI127" s="24"/>
      <c r="TJ127" s="211"/>
      <c r="TK127" s="24"/>
      <c r="TL127" s="211"/>
      <c r="TM127" s="24"/>
      <c r="TN127" s="211"/>
      <c r="TO127" s="24"/>
      <c r="TP127" s="211"/>
      <c r="TQ127" s="24"/>
      <c r="TR127" s="211"/>
      <c r="TS127" s="24"/>
      <c r="TT127" s="211"/>
      <c r="TU127" s="24"/>
      <c r="TV127" s="211"/>
      <c r="TW127" s="24"/>
      <c r="TX127" s="211"/>
      <c r="TY127" s="24"/>
      <c r="TZ127" s="211"/>
      <c r="UA127" s="24"/>
      <c r="UB127" s="211"/>
      <c r="UC127" s="24"/>
      <c r="UD127" s="211"/>
      <c r="UE127" s="24"/>
      <c r="UF127" s="211"/>
      <c r="UG127" s="24"/>
      <c r="UH127" s="211"/>
      <c r="UI127" s="24"/>
      <c r="UJ127" s="211"/>
      <c r="UK127" s="24"/>
      <c r="UL127" s="211"/>
      <c r="UM127" s="24"/>
      <c r="UN127" s="211"/>
      <c r="UO127" s="24"/>
      <c r="UP127" s="211"/>
      <c r="UQ127" s="24"/>
      <c r="UR127" s="211"/>
      <c r="US127" s="24"/>
      <c r="UT127" s="211"/>
      <c r="UU127" s="24"/>
      <c r="UV127" s="211"/>
      <c r="UW127" s="24"/>
      <c r="UX127" s="211"/>
      <c r="UY127" s="24"/>
      <c r="UZ127" s="211"/>
      <c r="VA127" s="24"/>
      <c r="VB127" s="211"/>
      <c r="VC127" s="24"/>
      <c r="VD127" s="211"/>
      <c r="VE127" s="24"/>
      <c r="VF127" s="211"/>
      <c r="VG127" s="24"/>
      <c r="VH127" s="211"/>
      <c r="VI127" s="24"/>
      <c r="VJ127" s="211"/>
      <c r="VK127" s="24"/>
      <c r="VL127" s="211"/>
      <c r="VM127" s="24"/>
      <c r="VN127" s="211"/>
      <c r="VO127" s="24"/>
      <c r="VP127" s="211"/>
      <c r="VQ127" s="24"/>
      <c r="VR127" s="211"/>
      <c r="VS127" s="24"/>
      <c r="VT127" s="211"/>
      <c r="VU127" s="24"/>
      <c r="VV127" s="211"/>
      <c r="VW127" s="24"/>
      <c r="VX127" s="211"/>
      <c r="VY127" s="24"/>
      <c r="VZ127" s="211"/>
      <c r="WA127" s="24"/>
      <c r="WB127" s="211"/>
      <c r="WC127" s="24"/>
      <c r="WD127" s="211"/>
      <c r="WE127" s="24"/>
      <c r="WF127" s="211"/>
      <c r="WG127" s="24"/>
      <c r="WH127" s="211"/>
      <c r="WI127" s="24"/>
      <c r="WJ127" s="211"/>
      <c r="WK127" s="24"/>
      <c r="WL127" s="211"/>
      <c r="WM127" s="24"/>
      <c r="WN127" s="211"/>
      <c r="WO127" s="24"/>
      <c r="WP127" s="211"/>
      <c r="WQ127" s="24"/>
      <c r="WR127" s="211"/>
      <c r="WS127" s="24"/>
      <c r="WT127" s="211"/>
      <c r="WU127" s="24"/>
      <c r="WV127" s="211"/>
      <c r="WW127" s="24"/>
      <c r="WX127" s="211"/>
      <c r="WY127" s="24"/>
      <c r="WZ127" s="211"/>
      <c r="XA127" s="24"/>
      <c r="XB127" s="211"/>
      <c r="XC127" s="24"/>
      <c r="XD127" s="211"/>
      <c r="XE127" s="24"/>
      <c r="XF127" s="211"/>
      <c r="XG127" s="24"/>
      <c r="XH127" s="211"/>
      <c r="XI127" s="24"/>
      <c r="XJ127" s="211"/>
      <c r="XK127" s="24"/>
      <c r="XL127" s="211"/>
      <c r="XM127" s="24"/>
      <c r="XN127" s="211"/>
      <c r="XO127" s="24"/>
      <c r="XP127" s="211"/>
      <c r="XQ127" s="24"/>
      <c r="XR127" s="211"/>
      <c r="XS127" s="24"/>
      <c r="XT127" s="211"/>
      <c r="XU127" s="24"/>
      <c r="XV127" s="211"/>
      <c r="XW127" s="24"/>
      <c r="XX127" s="211"/>
      <c r="XY127" s="24"/>
      <c r="XZ127" s="211"/>
      <c r="YA127" s="24"/>
      <c r="YB127" s="211"/>
      <c r="YC127" s="24"/>
      <c r="YD127" s="211"/>
      <c r="YE127" s="24"/>
      <c r="YF127" s="211"/>
      <c r="YG127" s="24"/>
      <c r="YH127" s="211"/>
      <c r="YI127" s="24"/>
      <c r="YJ127" s="211"/>
      <c r="YK127" s="24"/>
      <c r="YL127" s="211"/>
      <c r="YM127" s="24"/>
      <c r="YN127" s="211"/>
      <c r="YO127" s="24"/>
      <c r="YP127" s="211"/>
      <c r="YQ127" s="24"/>
      <c r="YR127" s="211"/>
      <c r="YS127" s="24"/>
      <c r="YT127" s="211"/>
      <c r="YU127" s="24"/>
      <c r="YV127" s="211"/>
      <c r="YW127" s="24"/>
      <c r="YX127" s="211"/>
      <c r="YY127" s="24"/>
      <c r="YZ127" s="211"/>
      <c r="ZA127" s="24"/>
      <c r="ZB127" s="211"/>
      <c r="ZC127" s="24"/>
      <c r="ZD127" s="211"/>
      <c r="ZE127" s="24"/>
      <c r="ZF127" s="211"/>
      <c r="ZG127" s="24"/>
      <c r="ZH127" s="211"/>
      <c r="ZI127" s="24"/>
      <c r="ZJ127" s="211"/>
      <c r="ZK127" s="24"/>
      <c r="ZL127" s="211"/>
      <c r="ZM127" s="24"/>
      <c r="ZN127" s="211"/>
      <c r="ZO127" s="24"/>
      <c r="ZP127" s="211"/>
      <c r="ZQ127" s="24"/>
      <c r="ZR127" s="211"/>
      <c r="ZS127" s="24"/>
      <c r="ZT127" s="211"/>
      <c r="ZU127" s="24"/>
      <c r="ZV127" s="211"/>
      <c r="ZW127" s="24"/>
      <c r="ZX127" s="211"/>
      <c r="ZY127" s="24"/>
      <c r="ZZ127" s="211"/>
      <c r="AAA127" s="24"/>
      <c r="AAB127" s="211"/>
      <c r="AAC127" s="24"/>
      <c r="AAD127" s="211"/>
      <c r="AAE127" s="24"/>
      <c r="AAF127" s="211"/>
      <c r="AAG127" s="24"/>
      <c r="AAH127" s="211"/>
      <c r="AAI127" s="24"/>
      <c r="AAJ127" s="211"/>
      <c r="AAK127" s="24"/>
      <c r="AAL127" s="211"/>
      <c r="AAM127" s="24"/>
      <c r="AAN127" s="211"/>
      <c r="AAO127" s="24"/>
      <c r="AAP127" s="211"/>
      <c r="AAQ127" s="24"/>
      <c r="AAR127" s="211"/>
      <c r="AAS127" s="24"/>
      <c r="AAT127" s="211"/>
      <c r="AAU127" s="24"/>
      <c r="AAV127" s="211"/>
      <c r="AAW127" s="24"/>
      <c r="AAX127" s="211"/>
      <c r="AAY127" s="24"/>
      <c r="AAZ127" s="211"/>
      <c r="ABA127" s="24"/>
      <c r="ABB127" s="211"/>
      <c r="ABC127" s="24"/>
      <c r="ABD127" s="211"/>
      <c r="ABE127" s="24"/>
      <c r="ABF127" s="211"/>
      <c r="ABG127" s="24"/>
      <c r="ABH127" s="211"/>
      <c r="ABI127" s="24"/>
      <c r="ABJ127" s="211"/>
      <c r="ABK127" s="24"/>
      <c r="ABL127" s="211"/>
      <c r="ABM127" s="24"/>
      <c r="ABN127" s="211"/>
      <c r="ABO127" s="24"/>
      <c r="ABP127" s="211"/>
      <c r="ABQ127" s="24"/>
      <c r="ABR127" s="211"/>
      <c r="ABS127" s="24"/>
      <c r="ABT127" s="211"/>
      <c r="ABU127" s="24"/>
      <c r="ABV127" s="211"/>
      <c r="ABW127" s="24"/>
      <c r="ABX127" s="211"/>
      <c r="ABY127" s="24"/>
      <c r="ABZ127" s="211"/>
      <c r="ACA127" s="24"/>
      <c r="ACB127" s="211"/>
      <c r="ACC127" s="24"/>
      <c r="ACD127" s="211"/>
      <c r="ACE127" s="24"/>
      <c r="ACF127" s="211"/>
      <c r="ACG127" s="24"/>
      <c r="ACH127" s="211"/>
      <c r="ACI127" s="24"/>
      <c r="ACJ127" s="211"/>
      <c r="ACK127" s="24"/>
      <c r="ACL127" s="211"/>
      <c r="ACM127" s="24"/>
      <c r="ACN127" s="211"/>
      <c r="ACO127" s="24"/>
      <c r="ACP127" s="211"/>
      <c r="ACQ127" s="24"/>
      <c r="ACR127" s="211"/>
      <c r="ACS127" s="24"/>
      <c r="ACT127" s="211"/>
      <c r="ACU127" s="24"/>
      <c r="ACV127" s="211"/>
      <c r="ACW127" s="24"/>
      <c r="ACX127" s="211"/>
      <c r="ACY127" s="24"/>
      <c r="ACZ127" s="211"/>
      <c r="ADA127" s="24"/>
      <c r="ADB127" s="211"/>
      <c r="ADC127" s="24"/>
      <c r="ADD127" s="211"/>
      <c r="ADE127" s="24"/>
      <c r="ADF127" s="211"/>
      <c r="ADG127" s="24"/>
      <c r="ADH127" s="211"/>
      <c r="ADI127" s="24"/>
      <c r="ADJ127" s="211"/>
      <c r="ADK127" s="24"/>
      <c r="ADL127" s="211"/>
      <c r="ADM127" s="24"/>
      <c r="ADN127" s="211"/>
      <c r="ADO127" s="24"/>
      <c r="ADP127" s="211"/>
      <c r="ADQ127" s="24"/>
      <c r="ADR127" s="211"/>
      <c r="ADS127" s="24"/>
      <c r="ADT127" s="211"/>
      <c r="ADU127" s="24"/>
      <c r="ADV127" s="211"/>
      <c r="ADW127" s="24"/>
      <c r="ADX127" s="211"/>
      <c r="ADY127" s="24"/>
      <c r="ADZ127" s="211"/>
      <c r="AEA127" s="24"/>
      <c r="AEB127" s="211"/>
      <c r="AEC127" s="24"/>
      <c r="AED127" s="211"/>
      <c r="AEE127" s="24"/>
      <c r="AEF127" s="211"/>
      <c r="AEG127" s="24"/>
      <c r="AEH127" s="211"/>
      <c r="AEI127" s="24"/>
      <c r="AEJ127" s="211"/>
      <c r="AEK127" s="24"/>
      <c r="AEL127" s="211"/>
      <c r="AEM127" s="24"/>
      <c r="AEN127" s="211"/>
      <c r="AEO127" s="24"/>
      <c r="AEP127" s="211"/>
      <c r="AEQ127" s="24"/>
      <c r="AER127" s="211"/>
      <c r="AES127" s="24"/>
      <c r="AET127" s="211"/>
      <c r="AEU127" s="24"/>
      <c r="AEV127" s="211"/>
      <c r="AEW127" s="24"/>
      <c r="AEX127" s="211"/>
      <c r="AEY127" s="24"/>
      <c r="AEZ127" s="211"/>
      <c r="AFA127" s="24"/>
      <c r="AFB127" s="211"/>
      <c r="AFC127" s="24"/>
      <c r="AFD127" s="211"/>
      <c r="AFE127" s="24"/>
      <c r="AFF127" s="211"/>
      <c r="AFG127" s="24"/>
      <c r="AFH127" s="211"/>
      <c r="AFI127" s="24"/>
      <c r="AFJ127" s="211"/>
      <c r="AFK127" s="24"/>
      <c r="AFL127" s="211"/>
      <c r="AFM127" s="24"/>
      <c r="AFN127" s="211"/>
      <c r="AFO127" s="24"/>
      <c r="AFP127" s="211"/>
      <c r="AFQ127" s="24"/>
      <c r="AFR127" s="211"/>
      <c r="AFS127" s="24"/>
      <c r="AFT127" s="211"/>
      <c r="AFU127" s="24"/>
      <c r="AFV127" s="211"/>
      <c r="AFW127" s="24"/>
      <c r="AFX127" s="211"/>
      <c r="AFY127" s="24"/>
      <c r="AFZ127" s="211"/>
      <c r="AGA127" s="24"/>
      <c r="AGB127" s="211"/>
      <c r="AGC127" s="24"/>
      <c r="AGD127" s="211"/>
      <c r="AGE127" s="24"/>
      <c r="AGF127" s="211"/>
      <c r="AGG127" s="24"/>
      <c r="AGH127" s="211"/>
      <c r="AGI127" s="24"/>
      <c r="AGJ127" s="211"/>
      <c r="AGK127" s="24"/>
      <c r="AGL127" s="211"/>
      <c r="AGM127" s="24"/>
      <c r="AGN127" s="211"/>
      <c r="AGO127" s="24"/>
      <c r="AGP127" s="211"/>
      <c r="AGQ127" s="24"/>
      <c r="AGR127" s="211"/>
      <c r="AGS127" s="24"/>
      <c r="AGT127" s="211"/>
      <c r="AGU127" s="24"/>
      <c r="AGV127" s="211"/>
      <c r="AGW127" s="24"/>
      <c r="AGX127" s="211"/>
      <c r="AGY127" s="24"/>
      <c r="AGZ127" s="211"/>
      <c r="AHA127" s="24"/>
      <c r="AHB127" s="211"/>
      <c r="AHC127" s="24"/>
      <c r="AHD127" s="211"/>
      <c r="AHE127" s="24"/>
      <c r="AHF127" s="211"/>
      <c r="AHG127" s="24"/>
      <c r="AHH127" s="211"/>
      <c r="AHI127" s="24"/>
      <c r="AHJ127" s="211"/>
      <c r="AHK127" s="24"/>
      <c r="AHL127" s="211"/>
      <c r="AHM127" s="24"/>
      <c r="AHN127" s="211"/>
      <c r="AHO127" s="24"/>
      <c r="AHP127" s="211"/>
      <c r="AHQ127" s="24"/>
      <c r="AHR127" s="211"/>
      <c r="AHS127" s="24"/>
      <c r="AHT127" s="211"/>
      <c r="AHU127" s="24"/>
      <c r="AHV127" s="211"/>
      <c r="AHW127" s="24"/>
      <c r="AHX127" s="211"/>
      <c r="AHY127" s="24"/>
      <c r="AHZ127" s="211"/>
      <c r="AIA127" s="24"/>
      <c r="AIB127" s="211"/>
      <c r="AIC127" s="24"/>
      <c r="AID127" s="211"/>
      <c r="AIE127" s="24"/>
      <c r="AIF127" s="211"/>
      <c r="AIG127" s="24"/>
      <c r="AIH127" s="211"/>
      <c r="AII127" s="24"/>
      <c r="AIJ127" s="211"/>
      <c r="AIK127" s="24"/>
      <c r="AIL127" s="211"/>
      <c r="AIM127" s="24"/>
      <c r="AIN127" s="211"/>
      <c r="AIO127" s="24"/>
      <c r="AIP127" s="211"/>
      <c r="AIQ127" s="24"/>
      <c r="AIR127" s="211"/>
      <c r="AIS127" s="24"/>
      <c r="AIT127" s="211"/>
      <c r="AIU127" s="24"/>
      <c r="AIV127" s="211"/>
      <c r="AIW127" s="24"/>
      <c r="AIX127" s="211"/>
      <c r="AIY127" s="24"/>
      <c r="AIZ127" s="211"/>
      <c r="AJA127" s="24"/>
      <c r="AJB127" s="211"/>
      <c r="AJC127" s="24"/>
      <c r="AJD127" s="211"/>
      <c r="AJE127" s="24"/>
      <c r="AJF127" s="211"/>
      <c r="AJG127" s="24"/>
      <c r="AJH127" s="211"/>
      <c r="AJI127" s="24"/>
      <c r="AJJ127" s="211"/>
      <c r="AJK127" s="24"/>
      <c r="AJL127" s="211"/>
      <c r="AJM127" s="24"/>
      <c r="AJN127" s="211"/>
      <c r="AJO127" s="24"/>
      <c r="AJP127" s="211"/>
      <c r="AJQ127" s="24"/>
      <c r="AJR127" s="211"/>
      <c r="AJS127" s="24"/>
      <c r="AJT127" s="211"/>
      <c r="AJU127" s="24"/>
      <c r="AJV127" s="211"/>
      <c r="AJW127" s="24"/>
      <c r="AJX127" s="211"/>
      <c r="AJY127" s="24"/>
      <c r="AJZ127" s="211"/>
      <c r="AKA127" s="24"/>
      <c r="AKB127" s="211"/>
      <c r="AKC127" s="24"/>
      <c r="AKD127" s="211"/>
      <c r="AKE127" s="24"/>
      <c r="AKF127" s="211"/>
      <c r="AKG127" s="24"/>
      <c r="AKH127" s="211"/>
      <c r="AKI127" s="24"/>
      <c r="AKJ127" s="211"/>
      <c r="AKK127" s="24"/>
      <c r="AKL127" s="211"/>
      <c r="AKM127" s="24"/>
      <c r="AKN127" s="211"/>
      <c r="AKO127" s="24"/>
      <c r="AKP127" s="211"/>
      <c r="AKQ127" s="24"/>
      <c r="AKR127" s="211"/>
      <c r="AKS127" s="24"/>
      <c r="AKT127" s="211"/>
      <c r="AKU127" s="24"/>
      <c r="AKV127" s="211"/>
      <c r="AKW127" s="24"/>
      <c r="AKX127" s="211"/>
      <c r="AKY127" s="24"/>
      <c r="AKZ127" s="211"/>
      <c r="ALA127" s="24"/>
      <c r="ALB127" s="211"/>
      <c r="ALC127" s="24"/>
      <c r="ALD127" s="211"/>
      <c r="ALE127" s="24"/>
      <c r="ALF127" s="211"/>
      <c r="ALG127" s="24"/>
      <c r="ALH127" s="211"/>
      <c r="ALI127" s="24"/>
      <c r="ALJ127" s="211"/>
      <c r="ALK127" s="24"/>
      <c r="ALL127" s="211"/>
      <c r="ALM127" s="24"/>
      <c r="ALN127" s="211"/>
      <c r="ALO127" s="24"/>
      <c r="ALP127" s="211"/>
      <c r="ALQ127" s="24"/>
      <c r="ALR127" s="211"/>
      <c r="ALS127" s="24"/>
      <c r="ALT127" s="211"/>
      <c r="ALU127" s="24"/>
      <c r="ALV127" s="211"/>
      <c r="ALW127" s="24"/>
      <c r="ALX127" s="211"/>
      <c r="ALY127" s="24"/>
      <c r="ALZ127" s="211"/>
      <c r="AMA127" s="24"/>
      <c r="AMB127" s="211"/>
      <c r="AMC127" s="24"/>
      <c r="AMD127" s="211"/>
      <c r="AME127" s="24"/>
      <c r="AMF127" s="211"/>
      <c r="AMG127" s="24"/>
      <c r="AMH127" s="211"/>
      <c r="AMI127" s="24"/>
      <c r="AMJ127" s="211"/>
      <c r="AMK127" s="24"/>
      <c r="AML127" s="211"/>
      <c r="AMM127" s="24"/>
      <c r="AMN127" s="211"/>
      <c r="AMO127" s="24"/>
      <c r="AMP127" s="211"/>
      <c r="AMQ127" s="24"/>
      <c r="AMR127" s="211"/>
      <c r="AMS127" s="24"/>
      <c r="AMT127" s="211"/>
      <c r="AMU127" s="24"/>
      <c r="AMV127" s="211"/>
      <c r="AMW127" s="24"/>
      <c r="AMX127" s="211"/>
      <c r="AMY127" s="24"/>
      <c r="AMZ127" s="211"/>
      <c r="ANA127" s="24"/>
      <c r="ANB127" s="211"/>
      <c r="ANC127" s="24"/>
      <c r="AND127" s="211"/>
      <c r="ANE127" s="24"/>
      <c r="ANF127" s="211"/>
      <c r="ANG127" s="24"/>
      <c r="ANH127" s="211"/>
      <c r="ANI127" s="24"/>
      <c r="ANJ127" s="211"/>
      <c r="ANK127" s="24"/>
      <c r="ANL127" s="211"/>
      <c r="ANM127" s="24"/>
      <c r="ANN127" s="211"/>
      <c r="ANO127" s="24"/>
      <c r="ANP127" s="211"/>
      <c r="ANQ127" s="24"/>
      <c r="ANR127" s="211"/>
      <c r="ANS127" s="24"/>
      <c r="ANT127" s="211"/>
      <c r="ANU127" s="24"/>
      <c r="ANV127" s="211"/>
      <c r="ANW127" s="24"/>
      <c r="ANX127" s="211"/>
      <c r="ANY127" s="24"/>
      <c r="ANZ127" s="211"/>
      <c r="AOA127" s="24"/>
      <c r="AOB127" s="211"/>
      <c r="AOC127" s="24"/>
      <c r="AOD127" s="211"/>
      <c r="AOE127" s="24"/>
      <c r="AOF127" s="211"/>
      <c r="AOG127" s="24"/>
      <c r="AOH127" s="211"/>
      <c r="AOI127" s="24"/>
      <c r="AOJ127" s="211"/>
      <c r="AOK127" s="24"/>
      <c r="AOL127" s="211"/>
      <c r="AOM127" s="24"/>
      <c r="AON127" s="211"/>
      <c r="AOO127" s="24"/>
      <c r="AOP127" s="211"/>
      <c r="AOQ127" s="24"/>
      <c r="AOR127" s="211"/>
      <c r="AOS127" s="24"/>
      <c r="AOT127" s="211"/>
      <c r="AOU127" s="24"/>
      <c r="AOV127" s="211"/>
      <c r="AOW127" s="24"/>
      <c r="AOX127" s="211"/>
      <c r="AOY127" s="24"/>
      <c r="AOZ127" s="211"/>
      <c r="APA127" s="24"/>
      <c r="APB127" s="211"/>
      <c r="APC127" s="24"/>
      <c r="APD127" s="211"/>
      <c r="APE127" s="24"/>
      <c r="APF127" s="211"/>
      <c r="APG127" s="24"/>
      <c r="APH127" s="211"/>
      <c r="API127" s="24"/>
      <c r="APJ127" s="211"/>
      <c r="APK127" s="24"/>
      <c r="APL127" s="211"/>
      <c r="APM127" s="24"/>
      <c r="APN127" s="211"/>
      <c r="APO127" s="24"/>
      <c r="APP127" s="211"/>
      <c r="APQ127" s="24"/>
      <c r="APR127" s="211"/>
      <c r="APS127" s="24"/>
      <c r="APT127" s="211"/>
      <c r="APU127" s="24"/>
      <c r="APV127" s="211"/>
      <c r="APW127" s="24"/>
      <c r="APX127" s="211"/>
      <c r="APY127" s="24"/>
      <c r="APZ127" s="211"/>
      <c r="AQA127" s="24"/>
      <c r="AQB127" s="211"/>
      <c r="AQC127" s="24"/>
      <c r="AQD127" s="211"/>
      <c r="AQE127" s="24"/>
      <c r="AQF127" s="211"/>
      <c r="AQG127" s="24"/>
      <c r="AQH127" s="211"/>
      <c r="AQI127" s="24"/>
      <c r="AQJ127" s="211"/>
      <c r="AQK127" s="24"/>
      <c r="AQL127" s="211"/>
      <c r="AQM127" s="24"/>
      <c r="AQN127" s="211"/>
      <c r="AQO127" s="24"/>
      <c r="AQP127" s="211"/>
      <c r="AQQ127" s="24"/>
      <c r="AQR127" s="211"/>
      <c r="AQS127" s="24"/>
      <c r="AQT127" s="211"/>
      <c r="AQU127" s="24"/>
      <c r="AQV127" s="211"/>
      <c r="AQW127" s="24"/>
      <c r="AQX127" s="211"/>
      <c r="AQY127" s="24"/>
      <c r="AQZ127" s="211"/>
      <c r="ARA127" s="24"/>
      <c r="ARB127" s="211"/>
      <c r="ARC127" s="24"/>
      <c r="ARD127" s="211"/>
      <c r="ARE127" s="24"/>
      <c r="ARF127" s="211"/>
      <c r="ARG127" s="24"/>
      <c r="ARH127" s="211"/>
      <c r="ARI127" s="24"/>
      <c r="ARJ127" s="211"/>
      <c r="ARK127" s="24"/>
      <c r="ARL127" s="211"/>
      <c r="ARM127" s="24"/>
      <c r="ARN127" s="211"/>
      <c r="ARO127" s="24"/>
      <c r="ARP127" s="211"/>
      <c r="ARQ127" s="24"/>
      <c r="ARR127" s="211"/>
      <c r="ARS127" s="24"/>
      <c r="ART127" s="211"/>
      <c r="ARU127" s="24"/>
      <c r="ARV127" s="211"/>
      <c r="ARW127" s="24"/>
      <c r="ARX127" s="211"/>
      <c r="ARY127" s="24"/>
      <c r="ARZ127" s="211"/>
      <c r="ASA127" s="24"/>
      <c r="ASB127" s="211"/>
      <c r="ASC127" s="24"/>
      <c r="ASD127" s="211"/>
      <c r="ASE127" s="24"/>
      <c r="ASF127" s="211"/>
      <c r="ASG127" s="24"/>
      <c r="ASH127" s="211"/>
      <c r="ASI127" s="24"/>
      <c r="ASJ127" s="211"/>
      <c r="ASK127" s="24"/>
      <c r="ASL127" s="211"/>
      <c r="ASM127" s="24"/>
      <c r="ASN127" s="211"/>
      <c r="ASO127" s="24"/>
      <c r="ASP127" s="211"/>
      <c r="ASQ127" s="24"/>
      <c r="ASR127" s="211"/>
      <c r="ASS127" s="24"/>
      <c r="AST127" s="211"/>
      <c r="ASU127" s="24"/>
      <c r="ASV127" s="211"/>
      <c r="ASW127" s="24"/>
      <c r="ASX127" s="211"/>
      <c r="ASY127" s="24"/>
      <c r="ASZ127" s="211"/>
      <c r="ATA127" s="24"/>
      <c r="ATB127" s="211"/>
      <c r="ATC127" s="24"/>
      <c r="ATD127" s="211"/>
      <c r="ATE127" s="24"/>
      <c r="ATF127" s="211"/>
      <c r="ATG127" s="24"/>
      <c r="ATH127" s="211"/>
      <c r="ATI127" s="24"/>
      <c r="ATJ127" s="211"/>
      <c r="ATK127" s="24"/>
      <c r="ATL127" s="211"/>
      <c r="ATM127" s="24"/>
      <c r="ATN127" s="211"/>
      <c r="ATO127" s="24"/>
      <c r="ATP127" s="211"/>
      <c r="ATQ127" s="24"/>
      <c r="ATR127" s="211"/>
      <c r="ATS127" s="24"/>
      <c r="ATT127" s="211"/>
      <c r="ATU127" s="24"/>
      <c r="ATV127" s="211"/>
      <c r="ATW127" s="24"/>
      <c r="ATX127" s="211"/>
      <c r="ATY127" s="24"/>
      <c r="ATZ127" s="211"/>
      <c r="AUA127" s="24"/>
      <c r="AUB127" s="211"/>
      <c r="AUC127" s="24"/>
      <c r="AUD127" s="211"/>
      <c r="AUE127" s="24"/>
      <c r="AUF127" s="211"/>
      <c r="AUG127" s="24"/>
      <c r="AUH127" s="211"/>
      <c r="AUI127" s="24"/>
      <c r="AUJ127" s="211"/>
      <c r="AUK127" s="24"/>
      <c r="AUL127" s="211"/>
      <c r="AUM127" s="24"/>
      <c r="AUN127" s="211"/>
      <c r="AUO127" s="24"/>
      <c r="AUP127" s="211"/>
      <c r="AUQ127" s="24"/>
      <c r="AUR127" s="211"/>
      <c r="AUS127" s="24"/>
      <c r="AUT127" s="211"/>
      <c r="AUU127" s="24"/>
      <c r="AUV127" s="211"/>
      <c r="AUW127" s="24"/>
      <c r="AUX127" s="211"/>
      <c r="AUY127" s="24"/>
      <c r="AUZ127" s="211"/>
      <c r="AVA127" s="24"/>
      <c r="AVB127" s="211"/>
      <c r="AVC127" s="24"/>
      <c r="AVD127" s="211"/>
      <c r="AVE127" s="24"/>
      <c r="AVF127" s="211"/>
      <c r="AVG127" s="24"/>
      <c r="AVH127" s="211"/>
      <c r="AVI127" s="24"/>
      <c r="AVJ127" s="211"/>
      <c r="AVK127" s="24"/>
      <c r="AVL127" s="211"/>
      <c r="AVM127" s="24"/>
      <c r="AVN127" s="211"/>
      <c r="AVO127" s="24"/>
      <c r="AVP127" s="211"/>
      <c r="AVQ127" s="24"/>
      <c r="AVR127" s="211"/>
      <c r="AVS127" s="24"/>
      <c r="AVT127" s="211"/>
      <c r="AVU127" s="24"/>
      <c r="AVV127" s="211"/>
      <c r="AVW127" s="24"/>
      <c r="AVX127" s="211"/>
      <c r="AVY127" s="24"/>
      <c r="AVZ127" s="211"/>
      <c r="AWA127" s="24"/>
      <c r="AWB127" s="211"/>
      <c r="AWC127" s="24"/>
      <c r="AWD127" s="211"/>
      <c r="AWE127" s="24"/>
      <c r="AWF127" s="211"/>
      <c r="AWG127" s="24"/>
      <c r="AWH127" s="211"/>
      <c r="AWI127" s="24"/>
      <c r="AWJ127" s="211"/>
      <c r="AWK127" s="24"/>
      <c r="AWL127" s="211"/>
      <c r="AWM127" s="24"/>
      <c r="AWN127" s="211"/>
      <c r="AWO127" s="24"/>
      <c r="AWP127" s="211"/>
      <c r="AWQ127" s="24"/>
      <c r="AWR127" s="211"/>
      <c r="AWS127" s="24"/>
      <c r="AWT127" s="211"/>
      <c r="AWU127" s="24"/>
      <c r="AWV127" s="211"/>
      <c r="AWW127" s="24"/>
      <c r="AWX127" s="211"/>
      <c r="AWY127" s="24"/>
      <c r="AWZ127" s="211"/>
      <c r="AXA127" s="24"/>
      <c r="AXB127" s="211"/>
      <c r="AXC127" s="24"/>
      <c r="AXD127" s="211"/>
      <c r="AXE127" s="24"/>
      <c r="AXF127" s="211"/>
      <c r="AXG127" s="24"/>
      <c r="AXH127" s="211"/>
      <c r="AXI127" s="24"/>
      <c r="AXJ127" s="211"/>
      <c r="AXK127" s="24"/>
      <c r="AXL127" s="211"/>
      <c r="AXM127" s="24"/>
      <c r="AXN127" s="211"/>
      <c r="AXO127" s="24"/>
      <c r="AXP127" s="211"/>
      <c r="AXQ127" s="24"/>
      <c r="AXR127" s="211"/>
      <c r="AXS127" s="24"/>
      <c r="AXT127" s="211"/>
      <c r="AXU127" s="24"/>
      <c r="AXV127" s="211"/>
      <c r="AXW127" s="24"/>
      <c r="AXX127" s="211"/>
      <c r="AXY127" s="24"/>
      <c r="AXZ127" s="211"/>
      <c r="AYA127" s="24"/>
      <c r="AYB127" s="211"/>
      <c r="AYC127" s="24"/>
      <c r="AYD127" s="211"/>
      <c r="AYE127" s="24"/>
      <c r="AYF127" s="211"/>
      <c r="AYG127" s="24"/>
      <c r="AYH127" s="211"/>
      <c r="AYI127" s="24"/>
      <c r="AYJ127" s="211"/>
      <c r="AYK127" s="24"/>
      <c r="AYL127" s="211"/>
      <c r="AYM127" s="24"/>
      <c r="AYN127" s="211"/>
      <c r="AYO127" s="24"/>
      <c r="AYP127" s="211"/>
      <c r="AYQ127" s="24"/>
      <c r="AYR127" s="211"/>
      <c r="AYS127" s="24"/>
      <c r="AYT127" s="211"/>
      <c r="AYU127" s="24"/>
      <c r="AYV127" s="211"/>
      <c r="AYW127" s="24"/>
      <c r="AYX127" s="211"/>
      <c r="AYY127" s="24"/>
      <c r="AYZ127" s="211"/>
      <c r="AZA127" s="24"/>
      <c r="AZB127" s="211"/>
      <c r="AZC127" s="24"/>
      <c r="AZD127" s="211"/>
      <c r="AZE127" s="24"/>
      <c r="AZF127" s="211"/>
      <c r="AZG127" s="24"/>
      <c r="AZH127" s="211"/>
      <c r="AZI127" s="24"/>
      <c r="AZJ127" s="211"/>
      <c r="AZK127" s="24"/>
      <c r="AZL127" s="211"/>
      <c r="AZM127" s="24"/>
      <c r="AZN127" s="211"/>
      <c r="AZO127" s="24"/>
      <c r="AZP127" s="211"/>
      <c r="AZQ127" s="24"/>
      <c r="AZR127" s="211"/>
      <c r="AZS127" s="24"/>
      <c r="AZT127" s="211"/>
      <c r="AZU127" s="24"/>
      <c r="AZV127" s="211"/>
      <c r="AZW127" s="24"/>
      <c r="AZX127" s="211"/>
      <c r="AZY127" s="24"/>
      <c r="AZZ127" s="211"/>
      <c r="BAA127" s="24"/>
      <c r="BAB127" s="211"/>
      <c r="BAC127" s="24"/>
      <c r="BAD127" s="211"/>
      <c r="BAE127" s="24"/>
      <c r="BAF127" s="211"/>
      <c r="BAG127" s="24"/>
      <c r="BAH127" s="211"/>
      <c r="BAI127" s="24"/>
      <c r="BAJ127" s="211"/>
      <c r="BAK127" s="24"/>
      <c r="BAL127" s="211"/>
      <c r="BAM127" s="24"/>
      <c r="BAN127" s="211"/>
      <c r="BAO127" s="24"/>
      <c r="BAP127" s="211"/>
      <c r="BAQ127" s="24"/>
      <c r="BAR127" s="211"/>
      <c r="BAS127" s="24"/>
      <c r="BAT127" s="211"/>
      <c r="BAU127" s="24"/>
      <c r="BAV127" s="211"/>
      <c r="BAW127" s="24"/>
      <c r="BAX127" s="211"/>
      <c r="BAY127" s="24"/>
      <c r="BAZ127" s="211"/>
      <c r="BBA127" s="24"/>
      <c r="BBB127" s="211"/>
      <c r="BBC127" s="24"/>
      <c r="BBD127" s="211"/>
      <c r="BBE127" s="24"/>
      <c r="BBF127" s="211"/>
      <c r="BBG127" s="24"/>
      <c r="BBH127" s="211"/>
      <c r="BBI127" s="24"/>
      <c r="BBJ127" s="211"/>
      <c r="BBK127" s="24"/>
      <c r="BBL127" s="211"/>
      <c r="BBM127" s="24"/>
      <c r="BBN127" s="211"/>
      <c r="BBO127" s="24"/>
      <c r="BBP127" s="211"/>
      <c r="BBQ127" s="24"/>
      <c r="BBR127" s="211"/>
      <c r="BBS127" s="24"/>
      <c r="BBT127" s="211"/>
      <c r="BBU127" s="24"/>
      <c r="BBV127" s="211"/>
      <c r="BBW127" s="24"/>
      <c r="BBX127" s="211"/>
      <c r="BBY127" s="24"/>
      <c r="BBZ127" s="211"/>
      <c r="BCA127" s="24"/>
      <c r="BCB127" s="211"/>
      <c r="BCC127" s="24"/>
      <c r="BCD127" s="211"/>
      <c r="BCE127" s="24"/>
      <c r="BCF127" s="211"/>
      <c r="BCG127" s="24"/>
      <c r="BCH127" s="211"/>
      <c r="BCI127" s="24"/>
      <c r="BCJ127" s="211"/>
      <c r="BCK127" s="24"/>
      <c r="BCL127" s="211"/>
      <c r="BCM127" s="24"/>
      <c r="BCN127" s="211"/>
      <c r="BCO127" s="24"/>
      <c r="BCP127" s="211"/>
      <c r="BCQ127" s="24"/>
      <c r="BCR127" s="211"/>
      <c r="BCS127" s="24"/>
      <c r="BCT127" s="211"/>
      <c r="BCU127" s="24"/>
      <c r="BCV127" s="211"/>
      <c r="BCW127" s="24"/>
      <c r="BCX127" s="211"/>
      <c r="BCY127" s="24"/>
      <c r="BCZ127" s="211"/>
      <c r="BDA127" s="24"/>
      <c r="BDB127" s="211"/>
      <c r="BDC127" s="24"/>
      <c r="BDD127" s="211"/>
      <c r="BDE127" s="24"/>
      <c r="BDF127" s="211"/>
      <c r="BDG127" s="24"/>
      <c r="BDH127" s="211"/>
      <c r="BDI127" s="24"/>
      <c r="BDJ127" s="211"/>
      <c r="BDK127" s="24"/>
      <c r="BDL127" s="211"/>
      <c r="BDM127" s="24"/>
      <c r="BDN127" s="211"/>
      <c r="BDO127" s="24"/>
      <c r="BDP127" s="211"/>
      <c r="BDQ127" s="24"/>
      <c r="BDR127" s="211"/>
      <c r="BDS127" s="24"/>
      <c r="BDT127" s="211"/>
      <c r="BDU127" s="24"/>
      <c r="BDV127" s="211"/>
      <c r="BDW127" s="24"/>
      <c r="BDX127" s="211"/>
      <c r="BDY127" s="24"/>
      <c r="BDZ127" s="211"/>
      <c r="BEA127" s="24"/>
      <c r="BEB127" s="211"/>
      <c r="BEC127" s="24"/>
      <c r="BED127" s="211"/>
      <c r="BEE127" s="24"/>
      <c r="BEF127" s="211"/>
      <c r="BEG127" s="24"/>
      <c r="BEH127" s="211"/>
      <c r="BEI127" s="24"/>
      <c r="BEJ127" s="211"/>
      <c r="BEK127" s="24"/>
      <c r="BEL127" s="211"/>
      <c r="BEM127" s="24"/>
      <c r="BEN127" s="211"/>
      <c r="BEO127" s="24"/>
      <c r="BEP127" s="211"/>
      <c r="BEQ127" s="24"/>
      <c r="BER127" s="211"/>
      <c r="BES127" s="24"/>
      <c r="BET127" s="211"/>
      <c r="BEU127" s="24"/>
      <c r="BEV127" s="211"/>
      <c r="BEW127" s="24"/>
      <c r="BEX127" s="211"/>
      <c r="BEY127" s="24"/>
      <c r="BEZ127" s="211"/>
      <c r="BFA127" s="24"/>
      <c r="BFB127" s="211"/>
      <c r="BFC127" s="24"/>
      <c r="BFD127" s="211"/>
      <c r="BFE127" s="24"/>
      <c r="BFF127" s="211"/>
      <c r="BFG127" s="24"/>
      <c r="BFH127" s="211"/>
      <c r="BFI127" s="24"/>
      <c r="BFJ127" s="211"/>
      <c r="BFK127" s="24"/>
      <c r="BFL127" s="211"/>
      <c r="BFM127" s="24"/>
      <c r="BFN127" s="211"/>
      <c r="BFO127" s="24"/>
      <c r="BFP127" s="211"/>
      <c r="BFQ127" s="24"/>
      <c r="BFR127" s="211"/>
      <c r="BFS127" s="24"/>
      <c r="BFT127" s="211"/>
      <c r="BFU127" s="24"/>
      <c r="BFV127" s="211"/>
      <c r="BFW127" s="24"/>
      <c r="BFX127" s="211"/>
      <c r="BFY127" s="24"/>
      <c r="BFZ127" s="211"/>
      <c r="BGA127" s="24"/>
      <c r="BGB127" s="211"/>
      <c r="BGC127" s="24"/>
      <c r="BGD127" s="211"/>
      <c r="BGE127" s="24"/>
      <c r="BGF127" s="211"/>
      <c r="BGG127" s="24"/>
      <c r="BGH127" s="211"/>
      <c r="BGI127" s="24"/>
      <c r="BGJ127" s="211"/>
      <c r="BGK127" s="24"/>
      <c r="BGL127" s="211"/>
      <c r="BGM127" s="24"/>
      <c r="BGN127" s="211"/>
      <c r="BGO127" s="24"/>
      <c r="BGP127" s="211"/>
      <c r="BGQ127" s="24"/>
      <c r="BGR127" s="211"/>
      <c r="BGS127" s="24"/>
      <c r="BGT127" s="211"/>
      <c r="BGU127" s="24"/>
      <c r="BGV127" s="211"/>
      <c r="BGW127" s="24"/>
      <c r="BGX127" s="211"/>
      <c r="BGY127" s="24"/>
      <c r="BGZ127" s="211"/>
      <c r="BHA127" s="24"/>
      <c r="BHB127" s="211"/>
      <c r="BHC127" s="24"/>
      <c r="BHD127" s="211"/>
      <c r="BHE127" s="24"/>
      <c r="BHF127" s="211"/>
      <c r="BHG127" s="24"/>
      <c r="BHH127" s="211"/>
      <c r="BHI127" s="24"/>
      <c r="BHJ127" s="211"/>
      <c r="BHK127" s="24"/>
      <c r="BHL127" s="211"/>
      <c r="BHM127" s="24"/>
      <c r="BHN127" s="211"/>
      <c r="BHO127" s="24"/>
      <c r="BHP127" s="211"/>
      <c r="BHQ127" s="24"/>
      <c r="BHR127" s="211"/>
      <c r="BHS127" s="24"/>
      <c r="BHT127" s="211"/>
      <c r="BHU127" s="24"/>
      <c r="BHV127" s="211"/>
      <c r="BHW127" s="24"/>
      <c r="BHX127" s="211"/>
      <c r="BHY127" s="24"/>
      <c r="BHZ127" s="211"/>
      <c r="BIA127" s="24"/>
      <c r="BIB127" s="211"/>
      <c r="BIC127" s="24"/>
      <c r="BID127" s="211"/>
      <c r="BIE127" s="24"/>
      <c r="BIF127" s="211"/>
      <c r="BIG127" s="24"/>
      <c r="BIH127" s="211"/>
      <c r="BII127" s="24"/>
      <c r="BIJ127" s="211"/>
      <c r="BIK127" s="24"/>
      <c r="BIL127" s="211"/>
      <c r="BIM127" s="24"/>
      <c r="BIN127" s="211"/>
      <c r="BIO127" s="24"/>
      <c r="BIP127" s="211"/>
      <c r="BIQ127" s="24"/>
      <c r="BIR127" s="211"/>
      <c r="BIS127" s="24"/>
      <c r="BIT127" s="211"/>
      <c r="BIU127" s="24"/>
      <c r="BIV127" s="211"/>
      <c r="BIW127" s="24"/>
      <c r="BIX127" s="211"/>
      <c r="BIY127" s="24"/>
      <c r="BIZ127" s="211"/>
      <c r="BJA127" s="24"/>
      <c r="BJB127" s="211"/>
      <c r="BJC127" s="24"/>
      <c r="BJD127" s="211"/>
      <c r="BJE127" s="24"/>
      <c r="BJF127" s="211"/>
      <c r="BJG127" s="24"/>
      <c r="BJH127" s="211"/>
      <c r="BJI127" s="24"/>
      <c r="BJJ127" s="211"/>
      <c r="BJK127" s="24"/>
      <c r="BJL127" s="211"/>
      <c r="BJM127" s="24"/>
      <c r="BJN127" s="211"/>
      <c r="BJO127" s="24"/>
      <c r="BJP127" s="211"/>
      <c r="BJQ127" s="24"/>
      <c r="BJR127" s="211"/>
      <c r="BJS127" s="24"/>
      <c r="BJT127" s="211"/>
      <c r="BJU127" s="24"/>
      <c r="BJV127" s="211"/>
      <c r="BJW127" s="24"/>
      <c r="BJX127" s="211"/>
      <c r="BJY127" s="24"/>
      <c r="BJZ127" s="211"/>
      <c r="BKA127" s="24"/>
      <c r="BKB127" s="211"/>
      <c r="BKC127" s="24"/>
      <c r="BKD127" s="211"/>
      <c r="BKE127" s="24"/>
      <c r="BKF127" s="211"/>
      <c r="BKG127" s="24"/>
      <c r="BKH127" s="211"/>
      <c r="BKI127" s="24"/>
      <c r="BKJ127" s="211"/>
      <c r="BKK127" s="24"/>
      <c r="BKL127" s="211"/>
      <c r="BKM127" s="24"/>
      <c r="BKN127" s="211"/>
      <c r="BKO127" s="24"/>
      <c r="BKP127" s="211"/>
      <c r="BKQ127" s="24"/>
      <c r="BKR127" s="211"/>
      <c r="BKS127" s="24"/>
      <c r="BKT127" s="211"/>
      <c r="BKU127" s="24"/>
      <c r="BKV127" s="211"/>
      <c r="BKW127" s="24"/>
      <c r="BKX127" s="211"/>
      <c r="BKY127" s="24"/>
      <c r="BKZ127" s="211"/>
      <c r="BLA127" s="24"/>
      <c r="BLB127" s="211"/>
      <c r="BLC127" s="24"/>
      <c r="BLD127" s="211"/>
      <c r="BLE127" s="24"/>
      <c r="BLF127" s="211"/>
      <c r="BLG127" s="24"/>
      <c r="BLH127" s="211"/>
      <c r="BLI127" s="24"/>
      <c r="BLJ127" s="211"/>
      <c r="BLK127" s="24"/>
      <c r="BLL127" s="211"/>
      <c r="BLM127" s="24"/>
      <c r="BLN127" s="211"/>
      <c r="BLO127" s="24"/>
      <c r="BLP127" s="211"/>
      <c r="BLQ127" s="24"/>
      <c r="BLR127" s="211"/>
      <c r="BLS127" s="24"/>
      <c r="BLT127" s="211"/>
      <c r="BLU127" s="24"/>
      <c r="BLV127" s="211"/>
      <c r="BLW127" s="24"/>
      <c r="BLX127" s="211"/>
      <c r="BLY127" s="24"/>
      <c r="BLZ127" s="211"/>
      <c r="BMA127" s="24"/>
      <c r="BMB127" s="211"/>
      <c r="BMC127" s="24"/>
      <c r="BMD127" s="211"/>
      <c r="BME127" s="24"/>
      <c r="BMF127" s="211"/>
      <c r="BMG127" s="24"/>
      <c r="BMH127" s="211"/>
      <c r="BMI127" s="24"/>
      <c r="BMJ127" s="211"/>
      <c r="BMK127" s="24"/>
      <c r="BML127" s="211"/>
      <c r="BMM127" s="24"/>
      <c r="BMN127" s="211"/>
      <c r="BMO127" s="24"/>
      <c r="BMP127" s="211"/>
      <c r="BMQ127" s="24"/>
      <c r="BMR127" s="211"/>
      <c r="BMS127" s="24"/>
      <c r="BMT127" s="211"/>
      <c r="BMU127" s="24"/>
      <c r="BMV127" s="211"/>
      <c r="BMW127" s="24"/>
      <c r="BMX127" s="211"/>
      <c r="BMY127" s="24"/>
      <c r="BMZ127" s="211"/>
      <c r="BNA127" s="24"/>
      <c r="BNB127" s="211"/>
      <c r="BNC127" s="24"/>
      <c r="BND127" s="211"/>
      <c r="BNE127" s="24"/>
      <c r="BNF127" s="211"/>
      <c r="BNG127" s="24"/>
      <c r="BNH127" s="211"/>
      <c r="BNI127" s="24"/>
      <c r="BNJ127" s="211"/>
      <c r="BNK127" s="24"/>
      <c r="BNL127" s="211"/>
      <c r="BNM127" s="24"/>
      <c r="BNN127" s="211"/>
      <c r="BNO127" s="24"/>
      <c r="BNP127" s="211"/>
      <c r="BNQ127" s="24"/>
      <c r="BNR127" s="211"/>
      <c r="BNS127" s="24"/>
      <c r="BNT127" s="211"/>
      <c r="BNU127" s="24"/>
      <c r="BNV127" s="211"/>
      <c r="BNW127" s="24"/>
      <c r="BNX127" s="211"/>
      <c r="BNY127" s="24"/>
      <c r="BNZ127" s="211"/>
      <c r="BOA127" s="24"/>
      <c r="BOB127" s="211"/>
      <c r="BOC127" s="24"/>
      <c r="BOD127" s="211"/>
      <c r="BOE127" s="24"/>
      <c r="BOF127" s="211"/>
      <c r="BOG127" s="24"/>
      <c r="BOH127" s="211"/>
      <c r="BOI127" s="24"/>
      <c r="BOJ127" s="211"/>
      <c r="BOK127" s="24"/>
      <c r="BOL127" s="211"/>
      <c r="BOM127" s="24"/>
      <c r="BON127" s="211"/>
      <c r="BOO127" s="24"/>
      <c r="BOP127" s="211"/>
      <c r="BOQ127" s="24"/>
      <c r="BOR127" s="211"/>
      <c r="BOS127" s="24"/>
      <c r="BOT127" s="211"/>
      <c r="BOU127" s="24"/>
      <c r="BOV127" s="211"/>
      <c r="BOW127" s="24"/>
      <c r="BOX127" s="211"/>
      <c r="BOY127" s="24"/>
      <c r="BOZ127" s="211"/>
      <c r="BPA127" s="24"/>
      <c r="BPB127" s="211"/>
      <c r="BPC127" s="24"/>
      <c r="BPD127" s="211"/>
      <c r="BPE127" s="24"/>
      <c r="BPF127" s="211"/>
      <c r="BPG127" s="24"/>
      <c r="BPH127" s="211"/>
      <c r="BPI127" s="24"/>
      <c r="BPJ127" s="211"/>
      <c r="BPK127" s="24"/>
      <c r="BPL127" s="211"/>
      <c r="BPM127" s="24"/>
      <c r="BPN127" s="211"/>
      <c r="BPO127" s="24"/>
      <c r="BPP127" s="211"/>
      <c r="BPQ127" s="24"/>
      <c r="BPR127" s="211"/>
      <c r="BPS127" s="24"/>
      <c r="BPT127" s="211"/>
      <c r="BPU127" s="24"/>
      <c r="BPV127" s="211"/>
      <c r="BPW127" s="24"/>
      <c r="BPX127" s="211"/>
      <c r="BPY127" s="24"/>
      <c r="BPZ127" s="211"/>
      <c r="BQA127" s="24"/>
      <c r="BQB127" s="211"/>
      <c r="BQC127" s="24"/>
      <c r="BQD127" s="211"/>
      <c r="BQE127" s="24"/>
      <c r="BQF127" s="211"/>
      <c r="BQG127" s="24"/>
      <c r="BQH127" s="211"/>
      <c r="BQI127" s="24"/>
      <c r="BQJ127" s="211"/>
      <c r="BQK127" s="24"/>
      <c r="BQL127" s="211"/>
      <c r="BQM127" s="24"/>
      <c r="BQN127" s="211"/>
      <c r="BQO127" s="24"/>
      <c r="BQP127" s="211"/>
      <c r="BQQ127" s="24"/>
      <c r="BQR127" s="211"/>
      <c r="BQS127" s="24"/>
      <c r="BQT127" s="211"/>
      <c r="BQU127" s="24"/>
      <c r="BQV127" s="211"/>
      <c r="BQW127" s="24"/>
      <c r="BQX127" s="211"/>
      <c r="BQY127" s="24"/>
      <c r="BQZ127" s="211"/>
      <c r="BRA127" s="24"/>
      <c r="BRB127" s="211"/>
      <c r="BRC127" s="24"/>
      <c r="BRD127" s="211"/>
      <c r="BRE127" s="24"/>
      <c r="BRF127" s="211"/>
      <c r="BRG127" s="24"/>
      <c r="BRH127" s="211"/>
      <c r="BRI127" s="24"/>
      <c r="BRJ127" s="211"/>
      <c r="BRK127" s="24"/>
      <c r="BRL127" s="211"/>
      <c r="BRM127" s="24"/>
      <c r="BRN127" s="211"/>
      <c r="BRO127" s="24"/>
      <c r="BRP127" s="211"/>
      <c r="BRQ127" s="24"/>
      <c r="BRR127" s="211"/>
      <c r="BRS127" s="24"/>
      <c r="BRT127" s="211"/>
      <c r="BRU127" s="24"/>
      <c r="BRV127" s="211"/>
      <c r="BRW127" s="24"/>
      <c r="BRX127" s="211"/>
      <c r="BRY127" s="24"/>
      <c r="BRZ127" s="211"/>
      <c r="BSA127" s="24"/>
      <c r="BSB127" s="211"/>
      <c r="BSC127" s="24"/>
      <c r="BSD127" s="211"/>
      <c r="BSE127" s="24"/>
      <c r="BSF127" s="211"/>
      <c r="BSG127" s="24"/>
      <c r="BSH127" s="211"/>
      <c r="BSI127" s="24"/>
      <c r="BSJ127" s="211"/>
      <c r="BSK127" s="24"/>
      <c r="BSL127" s="211"/>
      <c r="BSM127" s="24"/>
      <c r="BSN127" s="211"/>
      <c r="BSO127" s="24"/>
      <c r="BSP127" s="211"/>
      <c r="BSQ127" s="24"/>
      <c r="BSR127" s="211"/>
      <c r="BSS127" s="24"/>
      <c r="BST127" s="211"/>
      <c r="BSU127" s="24"/>
      <c r="BSV127" s="211"/>
      <c r="BSW127" s="24"/>
      <c r="BSX127" s="211"/>
      <c r="BSY127" s="24"/>
      <c r="BSZ127" s="211"/>
      <c r="BTA127" s="24"/>
      <c r="BTB127" s="211"/>
      <c r="BTC127" s="24"/>
      <c r="BTD127" s="211"/>
      <c r="BTE127" s="24"/>
      <c r="BTF127" s="211"/>
      <c r="BTG127" s="24"/>
      <c r="BTH127" s="211"/>
      <c r="BTI127" s="24"/>
      <c r="BTJ127" s="211"/>
      <c r="BTK127" s="24"/>
      <c r="BTL127" s="211"/>
      <c r="BTM127" s="24"/>
      <c r="BTN127" s="211"/>
      <c r="BTO127" s="24"/>
      <c r="BTP127" s="211"/>
      <c r="BTQ127" s="24"/>
      <c r="BTR127" s="211"/>
      <c r="BTS127" s="24"/>
      <c r="BTT127" s="211"/>
      <c r="BTU127" s="24"/>
      <c r="BTV127" s="211"/>
      <c r="BTW127" s="24"/>
      <c r="BTX127" s="211"/>
      <c r="BTY127" s="24"/>
      <c r="BTZ127" s="211"/>
      <c r="BUA127" s="24"/>
      <c r="BUB127" s="211"/>
      <c r="BUC127" s="24"/>
      <c r="BUD127" s="211"/>
      <c r="BUE127" s="24"/>
      <c r="BUF127" s="211"/>
      <c r="BUG127" s="24"/>
      <c r="BUH127" s="211"/>
      <c r="BUI127" s="24"/>
      <c r="BUJ127" s="211"/>
      <c r="BUK127" s="24"/>
      <c r="BUL127" s="211"/>
      <c r="BUM127" s="24"/>
      <c r="BUN127" s="211"/>
      <c r="BUO127" s="24"/>
      <c r="BUP127" s="211"/>
      <c r="BUQ127" s="24"/>
      <c r="BUR127" s="211"/>
      <c r="BUS127" s="24"/>
      <c r="BUT127" s="211"/>
      <c r="BUU127" s="24"/>
      <c r="BUV127" s="211"/>
      <c r="BUW127" s="24"/>
      <c r="BUX127" s="211"/>
      <c r="BUY127" s="24"/>
      <c r="BUZ127" s="211"/>
      <c r="BVA127" s="24"/>
      <c r="BVB127" s="211"/>
      <c r="BVC127" s="24"/>
      <c r="BVD127" s="211"/>
      <c r="BVE127" s="24"/>
      <c r="BVF127" s="211"/>
      <c r="BVG127" s="24"/>
      <c r="BVH127" s="211"/>
      <c r="BVI127" s="24"/>
      <c r="BVJ127" s="211"/>
      <c r="BVK127" s="24"/>
      <c r="BVL127" s="211"/>
      <c r="BVM127" s="24"/>
      <c r="BVN127" s="211"/>
      <c r="BVO127" s="24"/>
      <c r="BVP127" s="211"/>
      <c r="BVQ127" s="24"/>
      <c r="BVR127" s="211"/>
      <c r="BVS127" s="24"/>
      <c r="BVT127" s="211"/>
      <c r="BVU127" s="24"/>
      <c r="BVV127" s="211"/>
      <c r="BVW127" s="24"/>
      <c r="BVX127" s="211"/>
      <c r="BVY127" s="24"/>
      <c r="BVZ127" s="211"/>
      <c r="BWA127" s="24"/>
      <c r="BWB127" s="211"/>
      <c r="BWC127" s="24"/>
      <c r="BWD127" s="211"/>
      <c r="BWE127" s="24"/>
      <c r="BWF127" s="211"/>
      <c r="BWG127" s="24"/>
      <c r="BWH127" s="211"/>
      <c r="BWI127" s="24"/>
      <c r="BWJ127" s="211"/>
      <c r="BWK127" s="24"/>
      <c r="BWL127" s="211"/>
      <c r="BWM127" s="24"/>
      <c r="BWN127" s="211"/>
      <c r="BWO127" s="24"/>
      <c r="BWP127" s="211"/>
      <c r="BWQ127" s="24"/>
      <c r="BWR127" s="211"/>
      <c r="BWS127" s="24"/>
      <c r="BWT127" s="211"/>
      <c r="BWU127" s="24"/>
      <c r="BWV127" s="211"/>
      <c r="BWW127" s="24"/>
      <c r="BWX127" s="211"/>
      <c r="BWY127" s="24"/>
      <c r="BWZ127" s="211"/>
      <c r="BXA127" s="24"/>
      <c r="BXB127" s="211"/>
      <c r="BXC127" s="24"/>
      <c r="BXD127" s="211"/>
      <c r="BXE127" s="24"/>
      <c r="BXF127" s="211"/>
      <c r="BXG127" s="24"/>
      <c r="BXH127" s="211"/>
      <c r="BXI127" s="24"/>
      <c r="BXJ127" s="211"/>
      <c r="BXK127" s="24"/>
      <c r="BXL127" s="211"/>
      <c r="BXM127" s="24"/>
      <c r="BXN127" s="211"/>
      <c r="BXO127" s="24"/>
      <c r="BXP127" s="211"/>
      <c r="BXQ127" s="24"/>
      <c r="BXR127" s="211"/>
      <c r="BXS127" s="24"/>
      <c r="BXT127" s="211"/>
      <c r="BXU127" s="24"/>
      <c r="BXV127" s="211"/>
      <c r="BXW127" s="24"/>
      <c r="BXX127" s="211"/>
      <c r="BXY127" s="24"/>
      <c r="BXZ127" s="211"/>
      <c r="BYA127" s="24"/>
      <c r="BYB127" s="211"/>
      <c r="BYC127" s="24"/>
      <c r="BYD127" s="211"/>
      <c r="BYE127" s="24"/>
      <c r="BYF127" s="211"/>
      <c r="BYG127" s="24"/>
      <c r="BYH127" s="211"/>
      <c r="BYI127" s="24"/>
      <c r="BYJ127" s="211"/>
      <c r="BYK127" s="24"/>
      <c r="BYL127" s="211"/>
      <c r="BYM127" s="24"/>
      <c r="BYN127" s="211"/>
      <c r="BYO127" s="24"/>
      <c r="BYP127" s="211"/>
      <c r="BYQ127" s="24"/>
      <c r="BYR127" s="211"/>
      <c r="BYS127" s="24"/>
      <c r="BYT127" s="211"/>
      <c r="BYU127" s="24"/>
      <c r="BYV127" s="211"/>
      <c r="BYW127" s="24"/>
      <c r="BYX127" s="211"/>
      <c r="BYY127" s="24"/>
      <c r="BYZ127" s="211"/>
      <c r="BZA127" s="24"/>
      <c r="BZB127" s="211"/>
      <c r="BZC127" s="24"/>
      <c r="BZD127" s="211"/>
      <c r="BZE127" s="24"/>
      <c r="BZF127" s="211"/>
      <c r="BZG127" s="24"/>
      <c r="BZH127" s="211"/>
      <c r="BZI127" s="24"/>
      <c r="BZJ127" s="211"/>
      <c r="BZK127" s="24"/>
      <c r="BZL127" s="211"/>
      <c r="BZM127" s="24"/>
      <c r="BZN127" s="211"/>
      <c r="BZO127" s="24"/>
      <c r="BZP127" s="211"/>
      <c r="BZQ127" s="24"/>
      <c r="BZR127" s="211"/>
      <c r="BZS127" s="24"/>
      <c r="BZT127" s="211"/>
      <c r="BZU127" s="24"/>
      <c r="BZV127" s="211"/>
      <c r="BZW127" s="24"/>
      <c r="BZX127" s="211"/>
      <c r="BZY127" s="24"/>
      <c r="BZZ127" s="211"/>
      <c r="CAA127" s="24"/>
      <c r="CAB127" s="211"/>
      <c r="CAC127" s="24"/>
      <c r="CAD127" s="211"/>
      <c r="CAE127" s="24"/>
      <c r="CAF127" s="211"/>
      <c r="CAG127" s="24"/>
      <c r="CAH127" s="211"/>
      <c r="CAI127" s="24"/>
      <c r="CAJ127" s="211"/>
      <c r="CAK127" s="24"/>
      <c r="CAL127" s="211"/>
      <c r="CAM127" s="24"/>
      <c r="CAN127" s="211"/>
      <c r="CAO127" s="24"/>
      <c r="CAP127" s="211"/>
      <c r="CAQ127" s="24"/>
      <c r="CAR127" s="211"/>
      <c r="CAS127" s="24"/>
      <c r="CAT127" s="211"/>
      <c r="CAU127" s="24"/>
      <c r="CAV127" s="211"/>
      <c r="CAW127" s="24"/>
      <c r="CAX127" s="211"/>
      <c r="CAY127" s="24"/>
      <c r="CAZ127" s="211"/>
      <c r="CBA127" s="24"/>
      <c r="CBB127" s="211"/>
      <c r="CBC127" s="24"/>
      <c r="CBD127" s="211"/>
      <c r="CBE127" s="24"/>
      <c r="CBF127" s="211"/>
      <c r="CBG127" s="24"/>
      <c r="CBH127" s="211"/>
      <c r="CBI127" s="24"/>
      <c r="CBJ127" s="211"/>
      <c r="CBK127" s="24"/>
      <c r="CBL127" s="211"/>
      <c r="CBM127" s="24"/>
      <c r="CBN127" s="211"/>
      <c r="CBO127" s="24"/>
      <c r="CBP127" s="211"/>
      <c r="CBQ127" s="24"/>
      <c r="CBR127" s="211"/>
      <c r="CBS127" s="24"/>
      <c r="CBT127" s="211"/>
      <c r="CBU127" s="24"/>
      <c r="CBV127" s="211"/>
      <c r="CBW127" s="24"/>
      <c r="CBX127" s="211"/>
      <c r="CBY127" s="24"/>
      <c r="CBZ127" s="211"/>
      <c r="CCA127" s="24"/>
      <c r="CCB127" s="211"/>
      <c r="CCC127" s="24"/>
      <c r="CCD127" s="211"/>
      <c r="CCE127" s="24"/>
      <c r="CCF127" s="211"/>
      <c r="CCG127" s="24"/>
      <c r="CCH127" s="211"/>
      <c r="CCI127" s="24"/>
      <c r="CCJ127" s="211"/>
      <c r="CCK127" s="24"/>
      <c r="CCL127" s="211"/>
      <c r="CCM127" s="24"/>
      <c r="CCN127" s="211"/>
      <c r="CCO127" s="24"/>
      <c r="CCP127" s="211"/>
      <c r="CCQ127" s="24"/>
      <c r="CCR127" s="211"/>
      <c r="CCS127" s="24"/>
      <c r="CCT127" s="211"/>
      <c r="CCU127" s="24"/>
      <c r="CCV127" s="211"/>
      <c r="CCW127" s="24"/>
      <c r="CCX127" s="211"/>
      <c r="CCY127" s="24"/>
      <c r="CCZ127" s="211"/>
      <c r="CDA127" s="24"/>
      <c r="CDB127" s="211"/>
      <c r="CDC127" s="24"/>
      <c r="CDD127" s="211"/>
      <c r="CDE127" s="24"/>
      <c r="CDF127" s="211"/>
      <c r="CDG127" s="24"/>
      <c r="CDH127" s="211"/>
      <c r="CDI127" s="24"/>
      <c r="CDJ127" s="211"/>
      <c r="CDK127" s="24"/>
      <c r="CDL127" s="211"/>
      <c r="CDM127" s="24"/>
      <c r="CDN127" s="211"/>
      <c r="CDO127" s="24"/>
      <c r="CDP127" s="211"/>
      <c r="CDQ127" s="24"/>
      <c r="CDR127" s="211"/>
      <c r="CDS127" s="24"/>
      <c r="CDT127" s="211"/>
      <c r="CDU127" s="24"/>
      <c r="CDV127" s="211"/>
      <c r="CDW127" s="24"/>
      <c r="CDX127" s="211"/>
      <c r="CDY127" s="24"/>
      <c r="CDZ127" s="211"/>
      <c r="CEA127" s="24"/>
      <c r="CEB127" s="211"/>
      <c r="CEC127" s="24"/>
      <c r="CED127" s="211"/>
      <c r="CEE127" s="24"/>
      <c r="CEF127" s="211"/>
      <c r="CEG127" s="24"/>
      <c r="CEH127" s="211"/>
      <c r="CEI127" s="24"/>
      <c r="CEJ127" s="211"/>
      <c r="CEK127" s="24"/>
      <c r="CEL127" s="211"/>
      <c r="CEM127" s="24"/>
      <c r="CEN127" s="211"/>
      <c r="CEO127" s="24"/>
      <c r="CEP127" s="211"/>
      <c r="CEQ127" s="24"/>
      <c r="CER127" s="211"/>
      <c r="CES127" s="24"/>
      <c r="CET127" s="211"/>
      <c r="CEU127" s="24"/>
      <c r="CEV127" s="211"/>
      <c r="CEW127" s="24"/>
      <c r="CEX127" s="211"/>
      <c r="CEY127" s="24"/>
      <c r="CEZ127" s="211"/>
      <c r="CFA127" s="24"/>
      <c r="CFB127" s="211"/>
      <c r="CFC127" s="24"/>
      <c r="CFD127" s="211"/>
      <c r="CFE127" s="24"/>
      <c r="CFF127" s="211"/>
      <c r="CFG127" s="24"/>
      <c r="CFH127" s="211"/>
      <c r="CFI127" s="24"/>
      <c r="CFJ127" s="211"/>
      <c r="CFK127" s="24"/>
      <c r="CFL127" s="211"/>
      <c r="CFM127" s="24"/>
      <c r="CFN127" s="211"/>
      <c r="CFO127" s="24"/>
      <c r="CFP127" s="211"/>
      <c r="CFQ127" s="24"/>
      <c r="CFR127" s="211"/>
      <c r="CFS127" s="24"/>
      <c r="CFT127" s="211"/>
      <c r="CFU127" s="24"/>
      <c r="CFV127" s="211"/>
      <c r="CFW127" s="24"/>
      <c r="CFX127" s="211"/>
      <c r="CFY127" s="24"/>
      <c r="CFZ127" s="211"/>
      <c r="CGA127" s="24"/>
      <c r="CGB127" s="211"/>
      <c r="CGC127" s="24"/>
      <c r="CGD127" s="211"/>
      <c r="CGE127" s="24"/>
      <c r="CGF127" s="211"/>
      <c r="CGG127" s="24"/>
      <c r="CGH127" s="211"/>
      <c r="CGI127" s="24"/>
      <c r="CGJ127" s="211"/>
      <c r="CGK127" s="24"/>
      <c r="CGL127" s="211"/>
      <c r="CGM127" s="24"/>
      <c r="CGN127" s="211"/>
      <c r="CGO127" s="24"/>
      <c r="CGP127" s="211"/>
      <c r="CGQ127" s="24"/>
      <c r="CGR127" s="211"/>
      <c r="CGS127" s="24"/>
      <c r="CGT127" s="211"/>
      <c r="CGU127" s="24"/>
      <c r="CGV127" s="211"/>
      <c r="CGW127" s="24"/>
      <c r="CGX127" s="211"/>
      <c r="CGY127" s="24"/>
      <c r="CGZ127" s="211"/>
      <c r="CHA127" s="24"/>
      <c r="CHB127" s="211"/>
      <c r="CHC127" s="24"/>
      <c r="CHD127" s="211"/>
      <c r="CHE127" s="24"/>
      <c r="CHF127" s="211"/>
      <c r="CHG127" s="24"/>
      <c r="CHH127" s="211"/>
      <c r="CHI127" s="24"/>
      <c r="CHJ127" s="211"/>
      <c r="CHK127" s="24"/>
      <c r="CHL127" s="211"/>
      <c r="CHM127" s="24"/>
      <c r="CHN127" s="211"/>
      <c r="CHO127" s="24"/>
      <c r="CHP127" s="211"/>
      <c r="CHQ127" s="24"/>
      <c r="CHR127" s="211"/>
      <c r="CHS127" s="24"/>
      <c r="CHT127" s="211"/>
      <c r="CHU127" s="24"/>
      <c r="CHV127" s="211"/>
      <c r="CHW127" s="24"/>
      <c r="CHX127" s="211"/>
      <c r="CHY127" s="24"/>
      <c r="CHZ127" s="211"/>
      <c r="CIA127" s="24"/>
      <c r="CIB127" s="211"/>
      <c r="CIC127" s="24"/>
      <c r="CID127" s="211"/>
      <c r="CIE127" s="24"/>
      <c r="CIF127" s="211"/>
      <c r="CIG127" s="24"/>
      <c r="CIH127" s="211"/>
      <c r="CII127" s="24"/>
      <c r="CIJ127" s="211"/>
      <c r="CIK127" s="24"/>
      <c r="CIL127" s="211"/>
      <c r="CIM127" s="24"/>
      <c r="CIN127" s="211"/>
      <c r="CIO127" s="24"/>
      <c r="CIP127" s="211"/>
      <c r="CIQ127" s="24"/>
      <c r="CIR127" s="211"/>
      <c r="CIS127" s="24"/>
      <c r="CIT127" s="211"/>
      <c r="CIU127" s="24"/>
      <c r="CIV127" s="211"/>
      <c r="CIW127" s="24"/>
      <c r="CIX127" s="211"/>
      <c r="CIY127" s="24"/>
      <c r="CIZ127" s="211"/>
      <c r="CJA127" s="24"/>
      <c r="CJB127" s="211"/>
      <c r="CJC127" s="24"/>
      <c r="CJD127" s="211"/>
      <c r="CJE127" s="24"/>
      <c r="CJF127" s="211"/>
      <c r="CJG127" s="24"/>
      <c r="CJH127" s="211"/>
      <c r="CJI127" s="24"/>
      <c r="CJJ127" s="211"/>
      <c r="CJK127" s="24"/>
      <c r="CJL127" s="211"/>
      <c r="CJM127" s="24"/>
      <c r="CJN127" s="211"/>
      <c r="CJO127" s="24"/>
      <c r="CJP127" s="211"/>
      <c r="CJQ127" s="24"/>
      <c r="CJR127" s="211"/>
      <c r="CJS127" s="24"/>
      <c r="CJT127" s="211"/>
      <c r="CJU127" s="24"/>
      <c r="CJV127" s="211"/>
      <c r="CJW127" s="24"/>
      <c r="CJX127" s="211"/>
      <c r="CJY127" s="24"/>
      <c r="CJZ127" s="211"/>
      <c r="CKA127" s="24"/>
      <c r="CKB127" s="211"/>
      <c r="CKC127" s="24"/>
      <c r="CKD127" s="211"/>
      <c r="CKE127" s="24"/>
      <c r="CKF127" s="211"/>
      <c r="CKG127" s="24"/>
      <c r="CKH127" s="211"/>
      <c r="CKI127" s="24"/>
      <c r="CKJ127" s="211"/>
      <c r="CKK127" s="24"/>
      <c r="CKL127" s="211"/>
      <c r="CKM127" s="24"/>
      <c r="CKN127" s="211"/>
      <c r="CKO127" s="24"/>
      <c r="CKP127" s="211"/>
      <c r="CKQ127" s="24"/>
      <c r="CKR127" s="211"/>
      <c r="CKS127" s="24"/>
      <c r="CKT127" s="211"/>
      <c r="CKU127" s="24"/>
      <c r="CKV127" s="211"/>
      <c r="CKW127" s="24"/>
      <c r="CKX127" s="211"/>
      <c r="CKY127" s="24"/>
      <c r="CKZ127" s="211"/>
      <c r="CLA127" s="24"/>
      <c r="CLB127" s="211"/>
      <c r="CLC127" s="24"/>
      <c r="CLD127" s="211"/>
      <c r="CLE127" s="24"/>
      <c r="CLF127" s="211"/>
      <c r="CLG127" s="24"/>
      <c r="CLH127" s="211"/>
      <c r="CLI127" s="24"/>
      <c r="CLJ127" s="211"/>
      <c r="CLK127" s="24"/>
      <c r="CLL127" s="211"/>
      <c r="CLM127" s="24"/>
      <c r="CLN127" s="211"/>
      <c r="CLO127" s="24"/>
      <c r="CLP127" s="211"/>
      <c r="CLQ127" s="24"/>
      <c r="CLR127" s="211"/>
      <c r="CLS127" s="24"/>
      <c r="CLT127" s="211"/>
      <c r="CLU127" s="24"/>
      <c r="CLV127" s="211"/>
      <c r="CLW127" s="24"/>
      <c r="CLX127" s="211"/>
      <c r="CLY127" s="24"/>
      <c r="CLZ127" s="211"/>
      <c r="CMA127" s="24"/>
      <c r="CMB127" s="211"/>
      <c r="CMC127" s="24"/>
      <c r="CMD127" s="211"/>
      <c r="CME127" s="24"/>
      <c r="CMF127" s="211"/>
      <c r="CMG127" s="24"/>
      <c r="CMH127" s="211"/>
      <c r="CMI127" s="24"/>
      <c r="CMJ127" s="211"/>
      <c r="CMK127" s="24"/>
      <c r="CML127" s="211"/>
      <c r="CMM127" s="24"/>
      <c r="CMN127" s="211"/>
      <c r="CMO127" s="24"/>
      <c r="CMP127" s="211"/>
      <c r="CMQ127" s="24"/>
      <c r="CMR127" s="211"/>
      <c r="CMS127" s="24"/>
      <c r="CMT127" s="211"/>
      <c r="CMU127" s="24"/>
      <c r="CMV127" s="211"/>
      <c r="CMW127" s="24"/>
      <c r="CMX127" s="211"/>
      <c r="CMY127" s="24"/>
      <c r="CMZ127" s="211"/>
      <c r="CNA127" s="24"/>
      <c r="CNB127" s="211"/>
      <c r="CNC127" s="24"/>
      <c r="CND127" s="211"/>
      <c r="CNE127" s="24"/>
      <c r="CNF127" s="211"/>
      <c r="CNG127" s="24"/>
      <c r="CNH127" s="211"/>
      <c r="CNI127" s="24"/>
      <c r="CNJ127" s="211"/>
      <c r="CNK127" s="24"/>
      <c r="CNL127" s="211"/>
      <c r="CNM127" s="24"/>
      <c r="CNN127" s="211"/>
      <c r="CNO127" s="24"/>
      <c r="CNP127" s="211"/>
      <c r="CNQ127" s="24"/>
      <c r="CNR127" s="211"/>
      <c r="CNS127" s="24"/>
      <c r="CNT127" s="211"/>
      <c r="CNU127" s="24"/>
      <c r="CNV127" s="211"/>
      <c r="CNW127" s="24"/>
      <c r="CNX127" s="211"/>
      <c r="CNY127" s="24"/>
      <c r="CNZ127" s="211"/>
      <c r="COA127" s="24"/>
      <c r="COB127" s="211"/>
      <c r="COC127" s="24"/>
      <c r="COD127" s="211"/>
      <c r="COE127" s="24"/>
      <c r="COF127" s="211"/>
      <c r="COG127" s="24"/>
      <c r="COH127" s="211"/>
      <c r="COI127" s="24"/>
      <c r="COJ127" s="211"/>
      <c r="COK127" s="24"/>
      <c r="COL127" s="211"/>
      <c r="COM127" s="24"/>
      <c r="CON127" s="211"/>
      <c r="COO127" s="24"/>
      <c r="COP127" s="211"/>
      <c r="COQ127" s="24"/>
      <c r="COR127" s="211"/>
      <c r="COS127" s="24"/>
      <c r="COT127" s="211"/>
      <c r="COU127" s="24"/>
      <c r="COV127" s="211"/>
      <c r="COW127" s="24"/>
      <c r="COX127" s="211"/>
      <c r="COY127" s="24"/>
      <c r="COZ127" s="211"/>
      <c r="CPA127" s="24"/>
      <c r="CPB127" s="211"/>
      <c r="CPC127" s="24"/>
      <c r="CPD127" s="211"/>
      <c r="CPE127" s="24"/>
      <c r="CPF127" s="211"/>
      <c r="CPG127" s="24"/>
      <c r="CPH127" s="211"/>
      <c r="CPI127" s="24"/>
      <c r="CPJ127" s="211"/>
      <c r="CPK127" s="24"/>
      <c r="CPL127" s="211"/>
      <c r="CPM127" s="24"/>
      <c r="CPN127" s="211"/>
      <c r="CPO127" s="24"/>
      <c r="CPP127" s="211"/>
      <c r="CPQ127" s="24"/>
      <c r="CPR127" s="211"/>
      <c r="CPS127" s="24"/>
      <c r="CPT127" s="211"/>
      <c r="CPU127" s="24"/>
      <c r="CPV127" s="211"/>
      <c r="CPW127" s="24"/>
      <c r="CPX127" s="211"/>
      <c r="CPY127" s="24"/>
      <c r="CPZ127" s="211"/>
      <c r="CQA127" s="24"/>
      <c r="CQB127" s="211"/>
      <c r="CQC127" s="24"/>
      <c r="CQD127" s="211"/>
      <c r="CQE127" s="24"/>
      <c r="CQF127" s="211"/>
      <c r="CQG127" s="24"/>
      <c r="CQH127" s="211"/>
      <c r="CQI127" s="24"/>
      <c r="CQJ127" s="211"/>
      <c r="CQK127" s="24"/>
      <c r="CQL127" s="211"/>
      <c r="CQM127" s="24"/>
      <c r="CQN127" s="211"/>
      <c r="CQO127" s="24"/>
      <c r="CQP127" s="211"/>
      <c r="CQQ127" s="24"/>
      <c r="CQR127" s="211"/>
      <c r="CQS127" s="24"/>
      <c r="CQT127" s="211"/>
      <c r="CQU127" s="24"/>
      <c r="CQV127" s="211"/>
      <c r="CQW127" s="24"/>
      <c r="CQX127" s="211"/>
      <c r="CQY127" s="24"/>
      <c r="CQZ127" s="211"/>
      <c r="CRA127" s="24"/>
      <c r="CRB127" s="211"/>
      <c r="CRC127" s="24"/>
      <c r="CRD127" s="211"/>
      <c r="CRE127" s="24"/>
      <c r="CRF127" s="211"/>
      <c r="CRG127" s="24"/>
      <c r="CRH127" s="211"/>
      <c r="CRI127" s="24"/>
      <c r="CRJ127" s="211"/>
      <c r="CRK127" s="24"/>
      <c r="CRL127" s="211"/>
      <c r="CRM127" s="24"/>
      <c r="CRN127" s="211"/>
      <c r="CRO127" s="24"/>
      <c r="CRP127" s="211"/>
      <c r="CRQ127" s="24"/>
      <c r="CRR127" s="211"/>
      <c r="CRS127" s="24"/>
      <c r="CRT127" s="211"/>
      <c r="CRU127" s="24"/>
      <c r="CRV127" s="211"/>
      <c r="CRW127" s="24"/>
      <c r="CRX127" s="211"/>
      <c r="CRY127" s="24"/>
      <c r="CRZ127" s="211"/>
      <c r="CSA127" s="24"/>
      <c r="CSB127" s="211"/>
      <c r="CSC127" s="24"/>
      <c r="CSD127" s="211"/>
      <c r="CSE127" s="24"/>
      <c r="CSF127" s="211"/>
      <c r="CSG127" s="24"/>
      <c r="CSH127" s="211"/>
      <c r="CSI127" s="24"/>
      <c r="CSJ127" s="211"/>
      <c r="CSK127" s="24"/>
      <c r="CSL127" s="211"/>
      <c r="CSM127" s="24"/>
      <c r="CSN127" s="211"/>
      <c r="CSO127" s="24"/>
      <c r="CSP127" s="211"/>
      <c r="CSQ127" s="24"/>
      <c r="CSR127" s="211"/>
      <c r="CSS127" s="24"/>
      <c r="CST127" s="211"/>
      <c r="CSU127" s="24"/>
      <c r="CSV127" s="211"/>
      <c r="CSW127" s="24"/>
      <c r="CSX127" s="211"/>
      <c r="CSY127" s="24"/>
      <c r="CSZ127" s="211"/>
      <c r="CTA127" s="24"/>
      <c r="CTB127" s="211"/>
      <c r="CTC127" s="24"/>
      <c r="CTD127" s="211"/>
      <c r="CTE127" s="24"/>
      <c r="CTF127" s="211"/>
      <c r="CTG127" s="24"/>
      <c r="CTH127" s="211"/>
      <c r="CTI127" s="24"/>
      <c r="CTJ127" s="211"/>
      <c r="CTK127" s="24"/>
      <c r="CTL127" s="211"/>
      <c r="CTM127" s="24"/>
      <c r="CTN127" s="211"/>
      <c r="CTO127" s="24"/>
      <c r="CTP127" s="211"/>
      <c r="CTQ127" s="24"/>
      <c r="CTR127" s="211"/>
      <c r="CTS127" s="24"/>
      <c r="CTT127" s="211"/>
      <c r="CTU127" s="24"/>
      <c r="CTV127" s="211"/>
      <c r="CTW127" s="24"/>
      <c r="CTX127" s="211"/>
      <c r="CTY127" s="24"/>
      <c r="CTZ127" s="211"/>
      <c r="CUA127" s="24"/>
      <c r="CUB127" s="211"/>
      <c r="CUC127" s="24"/>
      <c r="CUD127" s="211"/>
      <c r="CUE127" s="24"/>
      <c r="CUF127" s="211"/>
      <c r="CUG127" s="24"/>
      <c r="CUH127" s="211"/>
      <c r="CUI127" s="24"/>
      <c r="CUJ127" s="211"/>
      <c r="CUK127" s="24"/>
      <c r="CUL127" s="211"/>
      <c r="CUM127" s="24"/>
      <c r="CUN127" s="211"/>
      <c r="CUO127" s="24"/>
      <c r="CUP127" s="211"/>
      <c r="CUQ127" s="24"/>
      <c r="CUR127" s="211"/>
      <c r="CUS127" s="24"/>
      <c r="CUT127" s="211"/>
      <c r="CUU127" s="24"/>
      <c r="CUV127" s="211"/>
      <c r="CUW127" s="24"/>
      <c r="CUX127" s="211"/>
      <c r="CUY127" s="24"/>
      <c r="CUZ127" s="211"/>
      <c r="CVA127" s="24"/>
      <c r="CVB127" s="211"/>
      <c r="CVC127" s="24"/>
      <c r="CVD127" s="211"/>
      <c r="CVE127" s="24"/>
      <c r="CVF127" s="211"/>
      <c r="CVG127" s="24"/>
      <c r="CVH127" s="211"/>
      <c r="CVI127" s="24"/>
      <c r="CVJ127" s="211"/>
      <c r="CVK127" s="24"/>
      <c r="CVL127" s="211"/>
      <c r="CVM127" s="24"/>
      <c r="CVN127" s="211"/>
      <c r="CVO127" s="24"/>
      <c r="CVP127" s="211"/>
      <c r="CVQ127" s="24"/>
      <c r="CVR127" s="211"/>
      <c r="CVS127" s="24"/>
      <c r="CVT127" s="211"/>
      <c r="CVU127" s="24"/>
      <c r="CVV127" s="211"/>
      <c r="CVW127" s="24"/>
      <c r="CVX127" s="211"/>
      <c r="CVY127" s="24"/>
      <c r="CVZ127" s="211"/>
      <c r="CWA127" s="24"/>
      <c r="CWB127" s="211"/>
      <c r="CWC127" s="24"/>
      <c r="CWD127" s="211"/>
      <c r="CWE127" s="24"/>
      <c r="CWF127" s="211"/>
      <c r="CWG127" s="24"/>
      <c r="CWH127" s="211"/>
      <c r="CWI127" s="24"/>
      <c r="CWJ127" s="211"/>
      <c r="CWK127" s="24"/>
      <c r="CWL127" s="211"/>
      <c r="CWM127" s="24"/>
      <c r="CWN127" s="211"/>
      <c r="CWO127" s="24"/>
      <c r="CWP127" s="211"/>
      <c r="CWQ127" s="24"/>
      <c r="CWR127" s="211"/>
      <c r="CWS127" s="24"/>
      <c r="CWT127" s="211"/>
      <c r="CWU127" s="24"/>
      <c r="CWV127" s="211"/>
      <c r="CWW127" s="24"/>
      <c r="CWX127" s="211"/>
      <c r="CWY127" s="24"/>
      <c r="CWZ127" s="211"/>
      <c r="CXA127" s="24"/>
      <c r="CXB127" s="211"/>
      <c r="CXC127" s="24"/>
      <c r="CXD127" s="211"/>
      <c r="CXE127" s="24"/>
      <c r="CXF127" s="211"/>
      <c r="CXG127" s="24"/>
      <c r="CXH127" s="211"/>
      <c r="CXI127" s="24"/>
      <c r="CXJ127" s="211"/>
      <c r="CXK127" s="24"/>
      <c r="CXL127" s="211"/>
      <c r="CXM127" s="24"/>
      <c r="CXN127" s="211"/>
      <c r="CXO127" s="24"/>
      <c r="CXP127" s="211"/>
      <c r="CXQ127" s="24"/>
      <c r="CXR127" s="211"/>
      <c r="CXS127" s="24"/>
      <c r="CXT127" s="211"/>
      <c r="CXU127" s="24"/>
      <c r="CXV127" s="211"/>
      <c r="CXW127" s="24"/>
      <c r="CXX127" s="211"/>
      <c r="CXY127" s="24"/>
      <c r="CXZ127" s="211"/>
      <c r="CYA127" s="24"/>
      <c r="CYB127" s="211"/>
      <c r="CYC127" s="24"/>
      <c r="CYD127" s="211"/>
      <c r="CYE127" s="24"/>
      <c r="CYF127" s="211"/>
      <c r="CYG127" s="24"/>
      <c r="CYH127" s="211"/>
      <c r="CYI127" s="24"/>
      <c r="CYJ127" s="211"/>
      <c r="CYK127" s="24"/>
      <c r="CYL127" s="211"/>
      <c r="CYM127" s="24"/>
      <c r="CYN127" s="211"/>
      <c r="CYO127" s="24"/>
      <c r="CYP127" s="211"/>
      <c r="CYQ127" s="24"/>
      <c r="CYR127" s="211"/>
      <c r="CYS127" s="24"/>
      <c r="CYT127" s="211"/>
      <c r="CYU127" s="24"/>
      <c r="CYV127" s="211"/>
      <c r="CYW127" s="24"/>
      <c r="CYX127" s="211"/>
      <c r="CYY127" s="24"/>
      <c r="CYZ127" s="211"/>
      <c r="CZA127" s="24"/>
      <c r="CZB127" s="211"/>
      <c r="CZC127" s="24"/>
      <c r="CZD127" s="211"/>
      <c r="CZE127" s="24"/>
      <c r="CZF127" s="211"/>
      <c r="CZG127" s="24"/>
      <c r="CZH127" s="211"/>
      <c r="CZI127" s="24"/>
      <c r="CZJ127" s="211"/>
      <c r="CZK127" s="24"/>
      <c r="CZL127" s="211"/>
      <c r="CZM127" s="24"/>
      <c r="CZN127" s="211"/>
      <c r="CZO127" s="24"/>
      <c r="CZP127" s="211"/>
      <c r="CZQ127" s="24"/>
      <c r="CZR127" s="211"/>
      <c r="CZS127" s="24"/>
      <c r="CZT127" s="211"/>
      <c r="CZU127" s="24"/>
      <c r="CZV127" s="211"/>
      <c r="CZW127" s="24"/>
      <c r="CZX127" s="211"/>
      <c r="CZY127" s="24"/>
      <c r="CZZ127" s="211"/>
      <c r="DAA127" s="24"/>
      <c r="DAB127" s="211"/>
      <c r="DAC127" s="24"/>
      <c r="DAD127" s="211"/>
      <c r="DAE127" s="24"/>
      <c r="DAF127" s="211"/>
      <c r="DAG127" s="24"/>
      <c r="DAH127" s="211"/>
      <c r="DAI127" s="24"/>
      <c r="DAJ127" s="211"/>
      <c r="DAK127" s="24"/>
      <c r="DAL127" s="211"/>
      <c r="DAM127" s="24"/>
      <c r="DAN127" s="211"/>
      <c r="DAO127" s="24"/>
      <c r="DAP127" s="211"/>
      <c r="DAQ127" s="24"/>
      <c r="DAR127" s="211"/>
      <c r="DAS127" s="24"/>
      <c r="DAT127" s="211"/>
      <c r="DAU127" s="24"/>
      <c r="DAV127" s="211"/>
      <c r="DAW127" s="24"/>
      <c r="DAX127" s="211"/>
      <c r="DAY127" s="24"/>
      <c r="DAZ127" s="211"/>
      <c r="DBA127" s="24"/>
      <c r="DBB127" s="211"/>
      <c r="DBC127" s="24"/>
      <c r="DBD127" s="211"/>
      <c r="DBE127" s="24"/>
      <c r="DBF127" s="211"/>
      <c r="DBG127" s="24"/>
      <c r="DBH127" s="211"/>
      <c r="DBI127" s="24"/>
      <c r="DBJ127" s="211"/>
      <c r="DBK127" s="24"/>
      <c r="DBL127" s="211"/>
      <c r="DBM127" s="24"/>
      <c r="DBN127" s="211"/>
      <c r="DBO127" s="24"/>
      <c r="DBP127" s="211"/>
      <c r="DBQ127" s="24"/>
      <c r="DBR127" s="211"/>
      <c r="DBS127" s="24"/>
      <c r="DBT127" s="211"/>
      <c r="DBU127" s="24"/>
      <c r="DBV127" s="211"/>
      <c r="DBW127" s="24"/>
      <c r="DBX127" s="211"/>
      <c r="DBY127" s="24"/>
      <c r="DBZ127" s="211"/>
      <c r="DCA127" s="24"/>
      <c r="DCB127" s="211"/>
      <c r="DCC127" s="24"/>
      <c r="DCD127" s="211"/>
      <c r="DCE127" s="24"/>
      <c r="DCF127" s="211"/>
      <c r="DCG127" s="24"/>
      <c r="DCH127" s="211"/>
      <c r="DCI127" s="24"/>
      <c r="DCJ127" s="211"/>
      <c r="DCK127" s="24"/>
      <c r="DCL127" s="211"/>
      <c r="DCM127" s="24"/>
      <c r="DCN127" s="211"/>
      <c r="DCO127" s="24"/>
      <c r="DCP127" s="211"/>
      <c r="DCQ127" s="24"/>
      <c r="DCR127" s="211"/>
      <c r="DCS127" s="24"/>
      <c r="DCT127" s="211"/>
      <c r="DCU127" s="24"/>
      <c r="DCV127" s="211"/>
      <c r="DCW127" s="24"/>
      <c r="DCX127" s="211"/>
      <c r="DCY127" s="24"/>
      <c r="DCZ127" s="211"/>
      <c r="DDA127" s="24"/>
      <c r="DDB127" s="211"/>
      <c r="DDC127" s="24"/>
      <c r="DDD127" s="211"/>
      <c r="DDE127" s="24"/>
      <c r="DDF127" s="211"/>
      <c r="DDG127" s="24"/>
      <c r="DDH127" s="211"/>
      <c r="DDI127" s="24"/>
      <c r="DDJ127" s="211"/>
      <c r="DDK127" s="24"/>
      <c r="DDL127" s="211"/>
      <c r="DDM127" s="24"/>
      <c r="DDN127" s="211"/>
      <c r="DDO127" s="24"/>
      <c r="DDP127" s="211"/>
      <c r="DDQ127" s="24"/>
      <c r="DDR127" s="211"/>
      <c r="DDS127" s="24"/>
      <c r="DDT127" s="211"/>
      <c r="DDU127" s="24"/>
      <c r="DDV127" s="211"/>
      <c r="DDW127" s="24"/>
      <c r="DDX127" s="211"/>
      <c r="DDY127" s="24"/>
      <c r="DDZ127" s="211"/>
      <c r="DEA127" s="24"/>
      <c r="DEB127" s="211"/>
      <c r="DEC127" s="24"/>
      <c r="DED127" s="211"/>
      <c r="DEE127" s="24"/>
      <c r="DEF127" s="211"/>
      <c r="DEG127" s="24"/>
      <c r="DEH127" s="211"/>
      <c r="DEI127" s="24"/>
      <c r="DEJ127" s="211"/>
      <c r="DEK127" s="24"/>
      <c r="DEL127" s="211"/>
      <c r="DEM127" s="24"/>
      <c r="DEN127" s="211"/>
      <c r="DEO127" s="24"/>
      <c r="DEP127" s="211"/>
      <c r="DEQ127" s="24"/>
      <c r="DER127" s="211"/>
      <c r="DES127" s="24"/>
      <c r="DET127" s="211"/>
      <c r="DEU127" s="24"/>
      <c r="DEV127" s="211"/>
      <c r="DEW127" s="24"/>
      <c r="DEX127" s="211"/>
      <c r="DEY127" s="24"/>
      <c r="DEZ127" s="211"/>
      <c r="DFA127" s="24"/>
      <c r="DFB127" s="211"/>
      <c r="DFC127" s="24"/>
      <c r="DFD127" s="211"/>
      <c r="DFE127" s="24"/>
      <c r="DFF127" s="211"/>
      <c r="DFG127" s="24"/>
      <c r="DFH127" s="211"/>
      <c r="DFI127" s="24"/>
      <c r="DFJ127" s="211"/>
      <c r="DFK127" s="24"/>
      <c r="DFL127" s="211"/>
      <c r="DFM127" s="24"/>
      <c r="DFN127" s="211"/>
      <c r="DFO127" s="24"/>
      <c r="DFP127" s="211"/>
      <c r="DFQ127" s="24"/>
      <c r="DFR127" s="211"/>
      <c r="DFS127" s="24"/>
      <c r="DFT127" s="211"/>
      <c r="DFU127" s="24"/>
      <c r="DFV127" s="211"/>
      <c r="DFW127" s="24"/>
      <c r="DFX127" s="211"/>
      <c r="DFY127" s="24"/>
      <c r="DFZ127" s="211"/>
      <c r="DGA127" s="24"/>
      <c r="DGB127" s="211"/>
      <c r="DGC127" s="24"/>
      <c r="DGD127" s="211"/>
      <c r="DGE127" s="24"/>
      <c r="DGF127" s="211"/>
      <c r="DGG127" s="24"/>
      <c r="DGH127" s="211"/>
      <c r="DGI127" s="24"/>
      <c r="DGJ127" s="211"/>
      <c r="DGK127" s="24"/>
      <c r="DGL127" s="211"/>
      <c r="DGM127" s="24"/>
      <c r="DGN127" s="211"/>
      <c r="DGO127" s="24"/>
      <c r="DGP127" s="211"/>
      <c r="DGQ127" s="24"/>
      <c r="DGR127" s="211"/>
      <c r="DGS127" s="24"/>
      <c r="DGT127" s="211"/>
      <c r="DGU127" s="24"/>
      <c r="DGV127" s="211"/>
      <c r="DGW127" s="24"/>
      <c r="DGX127" s="211"/>
      <c r="DGY127" s="24"/>
      <c r="DGZ127" s="211"/>
      <c r="DHA127" s="24"/>
      <c r="DHB127" s="211"/>
      <c r="DHC127" s="24"/>
      <c r="DHD127" s="211"/>
      <c r="DHE127" s="24"/>
      <c r="DHF127" s="211"/>
      <c r="DHG127" s="24"/>
      <c r="DHH127" s="211"/>
      <c r="DHI127" s="24"/>
      <c r="DHJ127" s="211"/>
      <c r="DHK127" s="24"/>
      <c r="DHL127" s="211"/>
      <c r="DHM127" s="24"/>
      <c r="DHN127" s="211"/>
      <c r="DHO127" s="24"/>
      <c r="DHP127" s="211"/>
      <c r="DHQ127" s="24"/>
      <c r="DHR127" s="211"/>
      <c r="DHS127" s="24"/>
      <c r="DHT127" s="211"/>
      <c r="DHU127" s="24"/>
      <c r="DHV127" s="211"/>
      <c r="DHW127" s="24"/>
      <c r="DHX127" s="211"/>
      <c r="DHY127" s="24"/>
      <c r="DHZ127" s="211"/>
      <c r="DIA127" s="24"/>
      <c r="DIB127" s="211"/>
      <c r="DIC127" s="24"/>
      <c r="DID127" s="211"/>
      <c r="DIE127" s="24"/>
      <c r="DIF127" s="211"/>
      <c r="DIG127" s="24"/>
      <c r="DIH127" s="211"/>
      <c r="DII127" s="24"/>
      <c r="DIJ127" s="211"/>
      <c r="DIK127" s="24"/>
      <c r="DIL127" s="211"/>
      <c r="DIM127" s="24"/>
      <c r="DIN127" s="211"/>
      <c r="DIO127" s="24"/>
      <c r="DIP127" s="211"/>
      <c r="DIQ127" s="24"/>
      <c r="DIR127" s="211"/>
      <c r="DIS127" s="24"/>
      <c r="DIT127" s="211"/>
      <c r="DIU127" s="24"/>
      <c r="DIV127" s="211"/>
      <c r="DIW127" s="24"/>
      <c r="DIX127" s="211"/>
      <c r="DIY127" s="24"/>
      <c r="DIZ127" s="211"/>
      <c r="DJA127" s="24"/>
      <c r="DJB127" s="211"/>
      <c r="DJC127" s="24"/>
      <c r="DJD127" s="211"/>
      <c r="DJE127" s="24"/>
      <c r="DJF127" s="211"/>
      <c r="DJG127" s="24"/>
      <c r="DJH127" s="211"/>
      <c r="DJI127" s="24"/>
      <c r="DJJ127" s="211"/>
      <c r="DJK127" s="24"/>
      <c r="DJL127" s="211"/>
      <c r="DJM127" s="24"/>
      <c r="DJN127" s="211"/>
      <c r="DJO127" s="24"/>
      <c r="DJP127" s="211"/>
      <c r="DJQ127" s="24"/>
      <c r="DJR127" s="211"/>
      <c r="DJS127" s="24"/>
      <c r="DJT127" s="211"/>
      <c r="DJU127" s="24"/>
      <c r="DJV127" s="211"/>
      <c r="DJW127" s="24"/>
      <c r="DJX127" s="211"/>
      <c r="DJY127" s="24"/>
      <c r="DJZ127" s="211"/>
      <c r="DKA127" s="24"/>
      <c r="DKB127" s="211"/>
      <c r="DKC127" s="24"/>
      <c r="DKD127" s="211"/>
      <c r="DKE127" s="24"/>
      <c r="DKF127" s="211"/>
      <c r="DKG127" s="24"/>
      <c r="DKH127" s="211"/>
      <c r="DKI127" s="24"/>
      <c r="DKJ127" s="211"/>
      <c r="DKK127" s="24"/>
      <c r="DKL127" s="211"/>
      <c r="DKM127" s="24"/>
      <c r="DKN127" s="211"/>
      <c r="DKO127" s="24"/>
      <c r="DKP127" s="211"/>
      <c r="DKQ127" s="24"/>
      <c r="DKR127" s="211"/>
      <c r="DKS127" s="24"/>
      <c r="DKT127" s="211"/>
      <c r="DKU127" s="24"/>
      <c r="DKV127" s="211"/>
      <c r="DKW127" s="24"/>
      <c r="DKX127" s="211"/>
      <c r="DKY127" s="24"/>
      <c r="DKZ127" s="211"/>
      <c r="DLA127" s="24"/>
      <c r="DLB127" s="211"/>
      <c r="DLC127" s="24"/>
      <c r="DLD127" s="211"/>
      <c r="DLE127" s="24"/>
      <c r="DLF127" s="211"/>
      <c r="DLG127" s="24"/>
      <c r="DLH127" s="211"/>
      <c r="DLI127" s="24"/>
      <c r="DLJ127" s="211"/>
      <c r="DLK127" s="24"/>
      <c r="DLL127" s="211"/>
      <c r="DLM127" s="24"/>
      <c r="DLN127" s="211"/>
      <c r="DLO127" s="24"/>
      <c r="DLP127" s="211"/>
      <c r="DLQ127" s="24"/>
      <c r="DLR127" s="211"/>
      <c r="DLS127" s="24"/>
      <c r="DLT127" s="211"/>
      <c r="DLU127" s="24"/>
      <c r="DLV127" s="211"/>
      <c r="DLW127" s="24"/>
      <c r="DLX127" s="211"/>
      <c r="DLY127" s="24"/>
      <c r="DLZ127" s="211"/>
      <c r="DMA127" s="24"/>
      <c r="DMB127" s="211"/>
      <c r="DMC127" s="24"/>
      <c r="DMD127" s="211"/>
      <c r="DME127" s="24"/>
      <c r="DMF127" s="211"/>
      <c r="DMG127" s="24"/>
      <c r="DMH127" s="211"/>
      <c r="DMI127" s="24"/>
      <c r="DMJ127" s="211"/>
      <c r="DMK127" s="24"/>
      <c r="DML127" s="211"/>
      <c r="DMM127" s="24"/>
      <c r="DMN127" s="211"/>
      <c r="DMO127" s="24"/>
      <c r="DMP127" s="211"/>
      <c r="DMQ127" s="24"/>
      <c r="DMR127" s="211"/>
      <c r="DMS127" s="24"/>
      <c r="DMT127" s="211"/>
      <c r="DMU127" s="24"/>
      <c r="DMV127" s="211"/>
      <c r="DMW127" s="24"/>
      <c r="DMX127" s="211"/>
      <c r="DMY127" s="24"/>
      <c r="DMZ127" s="211"/>
      <c r="DNA127" s="24"/>
      <c r="DNB127" s="211"/>
      <c r="DNC127" s="24"/>
      <c r="DND127" s="211"/>
      <c r="DNE127" s="24"/>
      <c r="DNF127" s="211"/>
      <c r="DNG127" s="24"/>
      <c r="DNH127" s="211"/>
      <c r="DNI127" s="24"/>
      <c r="DNJ127" s="211"/>
      <c r="DNK127" s="24"/>
      <c r="DNL127" s="211"/>
      <c r="DNM127" s="24"/>
      <c r="DNN127" s="211"/>
      <c r="DNO127" s="24"/>
      <c r="DNP127" s="211"/>
      <c r="DNQ127" s="24"/>
      <c r="DNR127" s="211"/>
      <c r="DNS127" s="24"/>
      <c r="DNT127" s="211"/>
      <c r="DNU127" s="24"/>
      <c r="DNV127" s="211"/>
      <c r="DNW127" s="24"/>
      <c r="DNX127" s="211"/>
      <c r="DNY127" s="24"/>
      <c r="DNZ127" s="211"/>
      <c r="DOA127" s="24"/>
      <c r="DOB127" s="211"/>
      <c r="DOC127" s="24"/>
      <c r="DOD127" s="211"/>
      <c r="DOE127" s="24"/>
      <c r="DOF127" s="211"/>
      <c r="DOG127" s="24"/>
      <c r="DOH127" s="211"/>
      <c r="DOI127" s="24"/>
      <c r="DOJ127" s="211"/>
      <c r="DOK127" s="24"/>
      <c r="DOL127" s="211"/>
      <c r="DOM127" s="24"/>
      <c r="DON127" s="211"/>
      <c r="DOO127" s="24"/>
      <c r="DOP127" s="211"/>
      <c r="DOQ127" s="24"/>
      <c r="DOR127" s="211"/>
      <c r="DOS127" s="24"/>
      <c r="DOT127" s="211"/>
      <c r="DOU127" s="24"/>
      <c r="DOV127" s="211"/>
      <c r="DOW127" s="24"/>
      <c r="DOX127" s="211"/>
      <c r="DOY127" s="24"/>
      <c r="DOZ127" s="211"/>
      <c r="DPA127" s="24"/>
      <c r="DPB127" s="211"/>
      <c r="DPC127" s="24"/>
      <c r="DPD127" s="211"/>
      <c r="DPE127" s="24"/>
      <c r="DPF127" s="211"/>
      <c r="DPG127" s="24"/>
      <c r="DPH127" s="211"/>
      <c r="DPI127" s="24"/>
      <c r="DPJ127" s="211"/>
      <c r="DPK127" s="24"/>
      <c r="DPL127" s="211"/>
      <c r="DPM127" s="24"/>
      <c r="DPN127" s="211"/>
      <c r="DPO127" s="24"/>
      <c r="DPP127" s="211"/>
      <c r="DPQ127" s="24"/>
      <c r="DPR127" s="211"/>
      <c r="DPS127" s="24"/>
      <c r="DPT127" s="211"/>
      <c r="DPU127" s="24"/>
      <c r="DPV127" s="211"/>
      <c r="DPW127" s="24"/>
      <c r="DPX127" s="211"/>
      <c r="DPY127" s="24"/>
      <c r="DPZ127" s="211"/>
      <c r="DQA127" s="24"/>
      <c r="DQB127" s="211"/>
      <c r="DQC127" s="24"/>
      <c r="DQD127" s="211"/>
      <c r="DQE127" s="24"/>
      <c r="DQF127" s="211"/>
      <c r="DQG127" s="24"/>
      <c r="DQH127" s="211"/>
      <c r="DQI127" s="24"/>
      <c r="DQJ127" s="211"/>
      <c r="DQK127" s="24"/>
      <c r="DQL127" s="211"/>
      <c r="DQM127" s="24"/>
      <c r="DQN127" s="211"/>
      <c r="DQO127" s="24"/>
      <c r="DQP127" s="211"/>
      <c r="DQQ127" s="24"/>
      <c r="DQR127" s="211"/>
      <c r="DQS127" s="24"/>
      <c r="DQT127" s="211"/>
      <c r="DQU127" s="24"/>
      <c r="DQV127" s="211"/>
      <c r="DQW127" s="24"/>
      <c r="DQX127" s="211"/>
      <c r="DQY127" s="24"/>
      <c r="DQZ127" s="211"/>
      <c r="DRA127" s="24"/>
      <c r="DRB127" s="211"/>
      <c r="DRC127" s="24"/>
      <c r="DRD127" s="211"/>
      <c r="DRE127" s="24"/>
      <c r="DRF127" s="211"/>
      <c r="DRG127" s="24"/>
      <c r="DRH127" s="211"/>
      <c r="DRI127" s="24"/>
      <c r="DRJ127" s="211"/>
      <c r="DRK127" s="24"/>
      <c r="DRL127" s="211"/>
      <c r="DRM127" s="24"/>
      <c r="DRN127" s="211"/>
      <c r="DRO127" s="24"/>
      <c r="DRP127" s="211"/>
      <c r="DRQ127" s="24"/>
      <c r="DRR127" s="211"/>
      <c r="DRS127" s="24"/>
      <c r="DRT127" s="211"/>
      <c r="DRU127" s="24"/>
      <c r="DRV127" s="211"/>
      <c r="DRW127" s="24"/>
      <c r="DRX127" s="211"/>
      <c r="DRY127" s="24"/>
      <c r="DRZ127" s="211"/>
      <c r="DSA127" s="24"/>
      <c r="DSB127" s="211"/>
      <c r="DSC127" s="24"/>
      <c r="DSD127" s="211"/>
      <c r="DSE127" s="24"/>
      <c r="DSF127" s="211"/>
      <c r="DSG127" s="24"/>
      <c r="DSH127" s="211"/>
      <c r="DSI127" s="24"/>
      <c r="DSJ127" s="211"/>
      <c r="DSK127" s="24"/>
      <c r="DSL127" s="211"/>
      <c r="DSM127" s="24"/>
      <c r="DSN127" s="211"/>
      <c r="DSO127" s="24"/>
      <c r="DSP127" s="211"/>
      <c r="DSQ127" s="24"/>
      <c r="DSR127" s="211"/>
      <c r="DSS127" s="24"/>
      <c r="DST127" s="211"/>
      <c r="DSU127" s="24"/>
      <c r="DSV127" s="211"/>
      <c r="DSW127" s="24"/>
      <c r="DSX127" s="211"/>
      <c r="DSY127" s="24"/>
      <c r="DSZ127" s="211"/>
      <c r="DTA127" s="24"/>
      <c r="DTB127" s="211"/>
      <c r="DTC127" s="24"/>
      <c r="DTD127" s="211"/>
      <c r="DTE127" s="24"/>
      <c r="DTF127" s="211"/>
      <c r="DTG127" s="24"/>
      <c r="DTH127" s="211"/>
      <c r="DTI127" s="24"/>
      <c r="DTJ127" s="211"/>
      <c r="DTK127" s="24"/>
      <c r="DTL127" s="211"/>
      <c r="DTM127" s="24"/>
      <c r="DTN127" s="211"/>
      <c r="DTO127" s="24"/>
      <c r="DTP127" s="211"/>
      <c r="DTQ127" s="24"/>
      <c r="DTR127" s="211"/>
      <c r="DTS127" s="24"/>
      <c r="DTT127" s="211"/>
      <c r="DTU127" s="24"/>
      <c r="DTV127" s="211"/>
      <c r="DTW127" s="24"/>
      <c r="DTX127" s="211"/>
      <c r="DTY127" s="24"/>
      <c r="DTZ127" s="211"/>
      <c r="DUA127" s="24"/>
      <c r="DUB127" s="211"/>
      <c r="DUC127" s="24"/>
      <c r="DUD127" s="211"/>
      <c r="DUE127" s="24"/>
      <c r="DUF127" s="211"/>
      <c r="DUG127" s="24"/>
      <c r="DUH127" s="211"/>
      <c r="DUI127" s="24"/>
      <c r="DUJ127" s="211"/>
      <c r="DUK127" s="24"/>
      <c r="DUL127" s="211"/>
      <c r="DUM127" s="24"/>
      <c r="DUN127" s="211"/>
      <c r="DUO127" s="24"/>
      <c r="DUP127" s="211"/>
      <c r="DUQ127" s="24"/>
      <c r="DUR127" s="211"/>
      <c r="DUS127" s="24"/>
      <c r="DUT127" s="211"/>
      <c r="DUU127" s="24"/>
      <c r="DUV127" s="211"/>
      <c r="DUW127" s="24"/>
      <c r="DUX127" s="211"/>
      <c r="DUY127" s="24"/>
      <c r="DUZ127" s="211"/>
      <c r="DVA127" s="24"/>
      <c r="DVB127" s="211"/>
      <c r="DVC127" s="24"/>
      <c r="DVD127" s="211"/>
      <c r="DVE127" s="24"/>
      <c r="DVF127" s="211"/>
      <c r="DVG127" s="24"/>
      <c r="DVH127" s="211"/>
      <c r="DVI127" s="24"/>
      <c r="DVJ127" s="211"/>
      <c r="DVK127" s="24"/>
      <c r="DVL127" s="211"/>
      <c r="DVM127" s="24"/>
      <c r="DVN127" s="211"/>
      <c r="DVO127" s="24"/>
      <c r="DVP127" s="211"/>
      <c r="DVQ127" s="24"/>
      <c r="DVR127" s="211"/>
      <c r="DVS127" s="24"/>
      <c r="DVT127" s="211"/>
      <c r="DVU127" s="24"/>
      <c r="DVV127" s="211"/>
      <c r="DVW127" s="24"/>
      <c r="DVX127" s="211"/>
      <c r="DVY127" s="24"/>
      <c r="DVZ127" s="211"/>
      <c r="DWA127" s="24"/>
      <c r="DWB127" s="211"/>
      <c r="DWC127" s="24"/>
      <c r="DWD127" s="211"/>
      <c r="DWE127" s="24"/>
      <c r="DWF127" s="211"/>
      <c r="DWG127" s="24"/>
      <c r="DWH127" s="211"/>
      <c r="DWI127" s="24"/>
      <c r="DWJ127" s="211"/>
      <c r="DWK127" s="24"/>
      <c r="DWL127" s="211"/>
      <c r="DWM127" s="24"/>
      <c r="DWN127" s="211"/>
      <c r="DWO127" s="24"/>
      <c r="DWP127" s="211"/>
      <c r="DWQ127" s="24"/>
      <c r="DWR127" s="211"/>
      <c r="DWS127" s="24"/>
      <c r="DWT127" s="211"/>
      <c r="DWU127" s="24"/>
      <c r="DWV127" s="211"/>
      <c r="DWW127" s="24"/>
      <c r="DWX127" s="211"/>
      <c r="DWY127" s="24"/>
      <c r="DWZ127" s="211"/>
      <c r="DXA127" s="24"/>
      <c r="DXB127" s="211"/>
      <c r="DXC127" s="24"/>
      <c r="DXD127" s="211"/>
      <c r="DXE127" s="24"/>
      <c r="DXF127" s="211"/>
      <c r="DXG127" s="24"/>
      <c r="DXH127" s="211"/>
      <c r="DXI127" s="24"/>
      <c r="DXJ127" s="211"/>
      <c r="DXK127" s="24"/>
      <c r="DXL127" s="211"/>
      <c r="DXM127" s="24"/>
      <c r="DXN127" s="211"/>
      <c r="DXO127" s="24"/>
      <c r="DXP127" s="211"/>
      <c r="DXQ127" s="24"/>
      <c r="DXR127" s="211"/>
      <c r="DXS127" s="24"/>
      <c r="DXT127" s="211"/>
      <c r="DXU127" s="24"/>
      <c r="DXV127" s="211"/>
      <c r="DXW127" s="24"/>
      <c r="DXX127" s="211"/>
      <c r="DXY127" s="24"/>
      <c r="DXZ127" s="211"/>
      <c r="DYA127" s="24"/>
      <c r="DYB127" s="211"/>
      <c r="DYC127" s="24"/>
      <c r="DYD127" s="211"/>
      <c r="DYE127" s="24"/>
      <c r="DYF127" s="211"/>
      <c r="DYG127" s="24"/>
      <c r="DYH127" s="211"/>
      <c r="DYI127" s="24"/>
      <c r="DYJ127" s="211"/>
      <c r="DYK127" s="24"/>
      <c r="DYL127" s="211"/>
      <c r="DYM127" s="24"/>
      <c r="DYN127" s="211"/>
      <c r="DYO127" s="24"/>
      <c r="DYP127" s="211"/>
      <c r="DYQ127" s="24"/>
      <c r="DYR127" s="211"/>
      <c r="DYS127" s="24"/>
      <c r="DYT127" s="211"/>
      <c r="DYU127" s="24"/>
      <c r="DYV127" s="211"/>
      <c r="DYW127" s="24"/>
      <c r="DYX127" s="211"/>
      <c r="DYY127" s="24"/>
      <c r="DYZ127" s="211"/>
      <c r="DZA127" s="24"/>
      <c r="DZB127" s="211"/>
      <c r="DZC127" s="24"/>
      <c r="DZD127" s="211"/>
      <c r="DZE127" s="24"/>
      <c r="DZF127" s="211"/>
      <c r="DZG127" s="24"/>
      <c r="DZH127" s="211"/>
      <c r="DZI127" s="24"/>
      <c r="DZJ127" s="211"/>
      <c r="DZK127" s="24"/>
      <c r="DZL127" s="211"/>
      <c r="DZM127" s="24"/>
      <c r="DZN127" s="211"/>
      <c r="DZO127" s="24"/>
      <c r="DZP127" s="211"/>
      <c r="DZQ127" s="24"/>
      <c r="DZR127" s="211"/>
      <c r="DZS127" s="24"/>
      <c r="DZT127" s="211"/>
      <c r="DZU127" s="24"/>
      <c r="DZV127" s="211"/>
      <c r="DZW127" s="24"/>
      <c r="DZX127" s="211"/>
      <c r="DZY127" s="24"/>
      <c r="DZZ127" s="211"/>
      <c r="EAA127" s="24"/>
      <c r="EAB127" s="211"/>
      <c r="EAC127" s="24"/>
      <c r="EAD127" s="211"/>
      <c r="EAE127" s="24"/>
      <c r="EAF127" s="211"/>
      <c r="EAG127" s="24"/>
      <c r="EAH127" s="211"/>
      <c r="EAI127" s="24"/>
      <c r="EAJ127" s="211"/>
      <c r="EAK127" s="24"/>
      <c r="EAL127" s="211"/>
      <c r="EAM127" s="24"/>
      <c r="EAN127" s="211"/>
      <c r="EAO127" s="24"/>
      <c r="EAP127" s="211"/>
      <c r="EAQ127" s="24"/>
      <c r="EAR127" s="211"/>
      <c r="EAS127" s="24"/>
      <c r="EAT127" s="211"/>
      <c r="EAU127" s="24"/>
      <c r="EAV127" s="211"/>
      <c r="EAW127" s="24"/>
      <c r="EAX127" s="211"/>
      <c r="EAY127" s="24"/>
      <c r="EAZ127" s="211"/>
      <c r="EBA127" s="24"/>
      <c r="EBB127" s="211"/>
      <c r="EBC127" s="24"/>
      <c r="EBD127" s="211"/>
      <c r="EBE127" s="24"/>
      <c r="EBF127" s="211"/>
      <c r="EBG127" s="24"/>
      <c r="EBH127" s="211"/>
      <c r="EBI127" s="24"/>
      <c r="EBJ127" s="211"/>
      <c r="EBK127" s="24"/>
      <c r="EBL127" s="211"/>
      <c r="EBM127" s="24"/>
      <c r="EBN127" s="211"/>
      <c r="EBO127" s="24"/>
      <c r="EBP127" s="211"/>
      <c r="EBQ127" s="24"/>
      <c r="EBR127" s="211"/>
      <c r="EBS127" s="24"/>
      <c r="EBT127" s="211"/>
      <c r="EBU127" s="24"/>
      <c r="EBV127" s="211"/>
      <c r="EBW127" s="24"/>
      <c r="EBX127" s="211"/>
      <c r="EBY127" s="24"/>
      <c r="EBZ127" s="211"/>
      <c r="ECA127" s="24"/>
      <c r="ECB127" s="211"/>
      <c r="ECC127" s="24"/>
      <c r="ECD127" s="211"/>
      <c r="ECE127" s="24"/>
      <c r="ECF127" s="211"/>
      <c r="ECG127" s="24"/>
      <c r="ECH127" s="211"/>
      <c r="ECI127" s="24"/>
      <c r="ECJ127" s="211"/>
      <c r="ECK127" s="24"/>
      <c r="ECL127" s="211"/>
      <c r="ECM127" s="24"/>
      <c r="ECN127" s="211"/>
      <c r="ECO127" s="24"/>
      <c r="ECP127" s="211"/>
      <c r="ECQ127" s="24"/>
      <c r="ECR127" s="211"/>
      <c r="ECS127" s="24"/>
      <c r="ECT127" s="211"/>
      <c r="ECU127" s="24"/>
      <c r="ECV127" s="211"/>
      <c r="ECW127" s="24"/>
      <c r="ECX127" s="211"/>
      <c r="ECY127" s="24"/>
      <c r="ECZ127" s="211"/>
      <c r="EDA127" s="24"/>
      <c r="EDB127" s="211"/>
      <c r="EDC127" s="24"/>
      <c r="EDD127" s="211"/>
      <c r="EDE127" s="24"/>
      <c r="EDF127" s="211"/>
      <c r="EDG127" s="24"/>
      <c r="EDH127" s="211"/>
      <c r="EDI127" s="24"/>
      <c r="EDJ127" s="211"/>
      <c r="EDK127" s="24"/>
      <c r="EDL127" s="211"/>
      <c r="EDM127" s="24"/>
      <c r="EDN127" s="211"/>
      <c r="EDO127" s="24"/>
      <c r="EDP127" s="211"/>
      <c r="EDQ127" s="24"/>
      <c r="EDR127" s="211"/>
      <c r="EDS127" s="24"/>
      <c r="EDT127" s="211"/>
      <c r="EDU127" s="24"/>
      <c r="EDV127" s="211"/>
      <c r="EDW127" s="24"/>
      <c r="EDX127" s="211"/>
      <c r="EDY127" s="24"/>
      <c r="EDZ127" s="211"/>
      <c r="EEA127" s="24"/>
      <c r="EEB127" s="211"/>
      <c r="EEC127" s="24"/>
      <c r="EED127" s="211"/>
      <c r="EEE127" s="24"/>
      <c r="EEF127" s="211"/>
      <c r="EEG127" s="24"/>
      <c r="EEH127" s="211"/>
      <c r="EEI127" s="24"/>
      <c r="EEJ127" s="211"/>
      <c r="EEK127" s="24"/>
      <c r="EEL127" s="211"/>
      <c r="EEM127" s="24"/>
      <c r="EEN127" s="211"/>
      <c r="EEO127" s="24"/>
      <c r="EEP127" s="211"/>
      <c r="EEQ127" s="24"/>
      <c r="EER127" s="211"/>
      <c r="EES127" s="24"/>
      <c r="EET127" s="211"/>
      <c r="EEU127" s="24"/>
      <c r="EEV127" s="211"/>
      <c r="EEW127" s="24"/>
      <c r="EEX127" s="211"/>
      <c r="EEY127" s="24"/>
      <c r="EEZ127" s="211"/>
      <c r="EFA127" s="24"/>
      <c r="EFB127" s="211"/>
      <c r="EFC127" s="24"/>
      <c r="EFD127" s="211"/>
      <c r="EFE127" s="24"/>
      <c r="EFF127" s="211"/>
      <c r="EFG127" s="24"/>
      <c r="EFH127" s="211"/>
      <c r="EFI127" s="24"/>
      <c r="EFJ127" s="211"/>
      <c r="EFK127" s="24"/>
      <c r="EFL127" s="211"/>
      <c r="EFM127" s="24"/>
      <c r="EFN127" s="211"/>
      <c r="EFO127" s="24"/>
      <c r="EFP127" s="211"/>
      <c r="EFQ127" s="24"/>
      <c r="EFR127" s="211"/>
      <c r="EFS127" s="24"/>
      <c r="EFT127" s="211"/>
      <c r="EFU127" s="24"/>
      <c r="EFV127" s="211"/>
      <c r="EFW127" s="24"/>
      <c r="EFX127" s="211"/>
      <c r="EFY127" s="24"/>
      <c r="EFZ127" s="211"/>
      <c r="EGA127" s="24"/>
      <c r="EGB127" s="211"/>
      <c r="EGC127" s="24"/>
      <c r="EGD127" s="211"/>
      <c r="EGE127" s="24"/>
      <c r="EGF127" s="211"/>
      <c r="EGG127" s="24"/>
      <c r="EGH127" s="211"/>
      <c r="EGI127" s="24"/>
      <c r="EGJ127" s="211"/>
      <c r="EGK127" s="24"/>
      <c r="EGL127" s="211"/>
      <c r="EGM127" s="24"/>
      <c r="EGN127" s="211"/>
      <c r="EGO127" s="24"/>
      <c r="EGP127" s="211"/>
      <c r="EGQ127" s="24"/>
      <c r="EGR127" s="211"/>
      <c r="EGS127" s="24"/>
      <c r="EGT127" s="211"/>
      <c r="EGU127" s="24"/>
      <c r="EGV127" s="211"/>
      <c r="EGW127" s="24"/>
      <c r="EGX127" s="211"/>
      <c r="EGY127" s="24"/>
      <c r="EGZ127" s="211"/>
      <c r="EHA127" s="24"/>
      <c r="EHB127" s="211"/>
      <c r="EHC127" s="24"/>
      <c r="EHD127" s="211"/>
      <c r="EHE127" s="24"/>
      <c r="EHF127" s="211"/>
      <c r="EHG127" s="24"/>
      <c r="EHH127" s="211"/>
      <c r="EHI127" s="24"/>
      <c r="EHJ127" s="211"/>
      <c r="EHK127" s="24"/>
      <c r="EHL127" s="211"/>
      <c r="EHM127" s="24"/>
      <c r="EHN127" s="211"/>
      <c r="EHO127" s="24"/>
      <c r="EHP127" s="211"/>
      <c r="EHQ127" s="24"/>
      <c r="EHR127" s="211"/>
      <c r="EHS127" s="24"/>
      <c r="EHT127" s="211"/>
      <c r="EHU127" s="24"/>
      <c r="EHV127" s="211"/>
      <c r="EHW127" s="24"/>
      <c r="EHX127" s="211"/>
      <c r="EHY127" s="24"/>
      <c r="EHZ127" s="211"/>
      <c r="EIA127" s="24"/>
      <c r="EIB127" s="211"/>
      <c r="EIC127" s="24"/>
      <c r="EID127" s="211"/>
      <c r="EIE127" s="24"/>
      <c r="EIF127" s="211"/>
      <c r="EIG127" s="24"/>
      <c r="EIH127" s="211"/>
      <c r="EII127" s="24"/>
      <c r="EIJ127" s="211"/>
      <c r="EIK127" s="24"/>
      <c r="EIL127" s="211"/>
      <c r="EIM127" s="24"/>
      <c r="EIN127" s="211"/>
      <c r="EIO127" s="24"/>
      <c r="EIP127" s="211"/>
      <c r="EIQ127" s="24"/>
      <c r="EIR127" s="211"/>
      <c r="EIS127" s="24"/>
      <c r="EIT127" s="211"/>
      <c r="EIU127" s="24"/>
      <c r="EIV127" s="211"/>
      <c r="EIW127" s="24"/>
      <c r="EIX127" s="211"/>
      <c r="EIY127" s="24"/>
      <c r="EIZ127" s="211"/>
      <c r="EJA127" s="24"/>
      <c r="EJB127" s="211"/>
      <c r="EJC127" s="24"/>
      <c r="EJD127" s="211"/>
      <c r="EJE127" s="24"/>
      <c r="EJF127" s="211"/>
      <c r="EJG127" s="24"/>
      <c r="EJH127" s="211"/>
      <c r="EJI127" s="24"/>
      <c r="EJJ127" s="211"/>
      <c r="EJK127" s="24"/>
      <c r="EJL127" s="211"/>
      <c r="EJM127" s="24"/>
      <c r="EJN127" s="211"/>
      <c r="EJO127" s="24"/>
      <c r="EJP127" s="211"/>
      <c r="EJQ127" s="24"/>
      <c r="EJR127" s="211"/>
      <c r="EJS127" s="24"/>
      <c r="EJT127" s="211"/>
      <c r="EJU127" s="24"/>
      <c r="EJV127" s="211"/>
      <c r="EJW127" s="24"/>
      <c r="EJX127" s="211"/>
      <c r="EJY127" s="24"/>
      <c r="EJZ127" s="211"/>
      <c r="EKA127" s="24"/>
      <c r="EKB127" s="211"/>
      <c r="EKC127" s="24"/>
      <c r="EKD127" s="211"/>
      <c r="EKE127" s="24"/>
      <c r="EKF127" s="211"/>
      <c r="EKG127" s="24"/>
      <c r="EKH127" s="211"/>
      <c r="EKI127" s="24"/>
      <c r="EKJ127" s="211"/>
      <c r="EKK127" s="24"/>
      <c r="EKL127" s="211"/>
      <c r="EKM127" s="24"/>
      <c r="EKN127" s="211"/>
      <c r="EKO127" s="24"/>
      <c r="EKP127" s="211"/>
      <c r="EKQ127" s="24"/>
      <c r="EKR127" s="211"/>
      <c r="EKS127" s="24"/>
      <c r="EKT127" s="211"/>
      <c r="EKU127" s="24"/>
      <c r="EKV127" s="211"/>
      <c r="EKW127" s="24"/>
      <c r="EKX127" s="211"/>
      <c r="EKY127" s="24"/>
      <c r="EKZ127" s="211"/>
      <c r="ELA127" s="24"/>
      <c r="ELB127" s="211"/>
      <c r="ELC127" s="24"/>
      <c r="ELD127" s="211"/>
      <c r="ELE127" s="24"/>
      <c r="ELF127" s="211"/>
      <c r="ELG127" s="24"/>
      <c r="ELH127" s="211"/>
      <c r="ELI127" s="24"/>
      <c r="ELJ127" s="211"/>
      <c r="ELK127" s="24"/>
      <c r="ELL127" s="211"/>
      <c r="ELM127" s="24"/>
      <c r="ELN127" s="211"/>
      <c r="ELO127" s="24"/>
      <c r="ELP127" s="211"/>
      <c r="ELQ127" s="24"/>
      <c r="ELR127" s="211"/>
      <c r="ELS127" s="24"/>
      <c r="ELT127" s="211"/>
      <c r="ELU127" s="24"/>
      <c r="ELV127" s="211"/>
      <c r="ELW127" s="24"/>
      <c r="ELX127" s="211"/>
      <c r="ELY127" s="24"/>
      <c r="ELZ127" s="211"/>
      <c r="EMA127" s="24"/>
      <c r="EMB127" s="211"/>
      <c r="EMC127" s="24"/>
      <c r="EMD127" s="211"/>
      <c r="EME127" s="24"/>
      <c r="EMF127" s="211"/>
      <c r="EMG127" s="24"/>
      <c r="EMH127" s="211"/>
      <c r="EMI127" s="24"/>
      <c r="EMJ127" s="211"/>
      <c r="EMK127" s="24"/>
      <c r="EML127" s="211"/>
      <c r="EMM127" s="24"/>
      <c r="EMN127" s="211"/>
      <c r="EMO127" s="24"/>
      <c r="EMP127" s="211"/>
      <c r="EMQ127" s="24"/>
      <c r="EMR127" s="211"/>
      <c r="EMS127" s="24"/>
      <c r="EMT127" s="211"/>
      <c r="EMU127" s="24"/>
      <c r="EMV127" s="211"/>
      <c r="EMW127" s="24"/>
      <c r="EMX127" s="211"/>
      <c r="EMY127" s="24"/>
      <c r="EMZ127" s="211"/>
      <c r="ENA127" s="24"/>
      <c r="ENB127" s="211"/>
      <c r="ENC127" s="24"/>
      <c r="END127" s="211"/>
      <c r="ENE127" s="24"/>
      <c r="ENF127" s="211"/>
      <c r="ENG127" s="24"/>
      <c r="ENH127" s="211"/>
      <c r="ENI127" s="24"/>
      <c r="ENJ127" s="211"/>
      <c r="ENK127" s="24"/>
      <c r="ENL127" s="211"/>
      <c r="ENM127" s="24"/>
      <c r="ENN127" s="211"/>
      <c r="ENO127" s="24"/>
      <c r="ENP127" s="211"/>
      <c r="ENQ127" s="24"/>
      <c r="ENR127" s="211"/>
      <c r="ENS127" s="24"/>
      <c r="ENT127" s="211"/>
      <c r="ENU127" s="24"/>
      <c r="ENV127" s="211"/>
      <c r="ENW127" s="24"/>
      <c r="ENX127" s="211"/>
      <c r="ENY127" s="24"/>
      <c r="ENZ127" s="211"/>
      <c r="EOA127" s="24"/>
      <c r="EOB127" s="211"/>
      <c r="EOC127" s="24"/>
      <c r="EOD127" s="211"/>
      <c r="EOE127" s="24"/>
      <c r="EOF127" s="211"/>
      <c r="EOG127" s="24"/>
      <c r="EOH127" s="211"/>
      <c r="EOI127" s="24"/>
      <c r="EOJ127" s="211"/>
      <c r="EOK127" s="24"/>
      <c r="EOL127" s="211"/>
      <c r="EOM127" s="24"/>
      <c r="EON127" s="211"/>
      <c r="EOO127" s="24"/>
      <c r="EOP127" s="211"/>
      <c r="EOQ127" s="24"/>
      <c r="EOR127" s="211"/>
      <c r="EOS127" s="24"/>
      <c r="EOT127" s="211"/>
      <c r="EOU127" s="24"/>
      <c r="EOV127" s="211"/>
      <c r="EOW127" s="24"/>
      <c r="EOX127" s="211"/>
      <c r="EOY127" s="24"/>
      <c r="EOZ127" s="211"/>
      <c r="EPA127" s="24"/>
      <c r="EPB127" s="211"/>
      <c r="EPC127" s="24"/>
      <c r="EPD127" s="211"/>
      <c r="EPE127" s="24"/>
      <c r="EPF127" s="211"/>
      <c r="EPG127" s="24"/>
      <c r="EPH127" s="211"/>
      <c r="EPI127" s="24"/>
      <c r="EPJ127" s="211"/>
      <c r="EPK127" s="24"/>
      <c r="EPL127" s="211"/>
      <c r="EPM127" s="24"/>
      <c r="EPN127" s="211"/>
      <c r="EPO127" s="24"/>
      <c r="EPP127" s="211"/>
      <c r="EPQ127" s="24"/>
      <c r="EPR127" s="211"/>
      <c r="EPS127" s="24"/>
      <c r="EPT127" s="211"/>
      <c r="EPU127" s="24"/>
      <c r="EPV127" s="211"/>
      <c r="EPW127" s="24"/>
      <c r="EPX127" s="211"/>
      <c r="EPY127" s="24"/>
      <c r="EPZ127" s="211"/>
      <c r="EQA127" s="24"/>
      <c r="EQB127" s="211"/>
      <c r="EQC127" s="24"/>
      <c r="EQD127" s="211"/>
      <c r="EQE127" s="24"/>
      <c r="EQF127" s="211"/>
      <c r="EQG127" s="24"/>
      <c r="EQH127" s="211"/>
      <c r="EQI127" s="24"/>
      <c r="EQJ127" s="211"/>
      <c r="EQK127" s="24"/>
      <c r="EQL127" s="211"/>
      <c r="EQM127" s="24"/>
      <c r="EQN127" s="211"/>
      <c r="EQO127" s="24"/>
      <c r="EQP127" s="211"/>
      <c r="EQQ127" s="24"/>
      <c r="EQR127" s="211"/>
      <c r="EQS127" s="24"/>
      <c r="EQT127" s="211"/>
      <c r="EQU127" s="24"/>
      <c r="EQV127" s="211"/>
      <c r="EQW127" s="24"/>
      <c r="EQX127" s="211"/>
      <c r="EQY127" s="24"/>
      <c r="EQZ127" s="211"/>
      <c r="ERA127" s="24"/>
      <c r="ERB127" s="211"/>
      <c r="ERC127" s="24"/>
      <c r="ERD127" s="211"/>
      <c r="ERE127" s="24"/>
      <c r="ERF127" s="211"/>
      <c r="ERG127" s="24"/>
      <c r="ERH127" s="211"/>
      <c r="ERI127" s="24"/>
      <c r="ERJ127" s="211"/>
      <c r="ERK127" s="24"/>
      <c r="ERL127" s="211"/>
      <c r="ERM127" s="24"/>
      <c r="ERN127" s="211"/>
      <c r="ERO127" s="24"/>
      <c r="ERP127" s="211"/>
      <c r="ERQ127" s="24"/>
      <c r="ERR127" s="211"/>
      <c r="ERS127" s="24"/>
      <c r="ERT127" s="211"/>
      <c r="ERU127" s="24"/>
      <c r="ERV127" s="211"/>
      <c r="ERW127" s="24"/>
      <c r="ERX127" s="211"/>
      <c r="ERY127" s="24"/>
      <c r="ERZ127" s="211"/>
      <c r="ESA127" s="24"/>
      <c r="ESB127" s="211"/>
      <c r="ESC127" s="24"/>
      <c r="ESD127" s="211"/>
      <c r="ESE127" s="24"/>
      <c r="ESF127" s="211"/>
      <c r="ESG127" s="24"/>
      <c r="ESH127" s="211"/>
      <c r="ESI127" s="24"/>
      <c r="ESJ127" s="211"/>
      <c r="ESK127" s="24"/>
      <c r="ESL127" s="211"/>
      <c r="ESM127" s="24"/>
      <c r="ESN127" s="211"/>
      <c r="ESO127" s="24"/>
      <c r="ESP127" s="211"/>
      <c r="ESQ127" s="24"/>
      <c r="ESR127" s="211"/>
      <c r="ESS127" s="24"/>
      <c r="EST127" s="211"/>
      <c r="ESU127" s="24"/>
      <c r="ESV127" s="211"/>
      <c r="ESW127" s="24"/>
      <c r="ESX127" s="211"/>
      <c r="ESY127" s="24"/>
      <c r="ESZ127" s="211"/>
      <c r="ETA127" s="24"/>
      <c r="ETB127" s="211"/>
      <c r="ETC127" s="24"/>
      <c r="ETD127" s="211"/>
      <c r="ETE127" s="24"/>
      <c r="ETF127" s="211"/>
      <c r="ETG127" s="24"/>
      <c r="ETH127" s="211"/>
      <c r="ETI127" s="24"/>
      <c r="ETJ127" s="211"/>
      <c r="ETK127" s="24"/>
      <c r="ETL127" s="211"/>
      <c r="ETM127" s="24"/>
      <c r="ETN127" s="211"/>
      <c r="ETO127" s="24"/>
      <c r="ETP127" s="211"/>
      <c r="ETQ127" s="24"/>
      <c r="ETR127" s="211"/>
      <c r="ETS127" s="24"/>
      <c r="ETT127" s="211"/>
      <c r="ETU127" s="24"/>
      <c r="ETV127" s="211"/>
      <c r="ETW127" s="24"/>
      <c r="ETX127" s="211"/>
      <c r="ETY127" s="24"/>
      <c r="ETZ127" s="211"/>
      <c r="EUA127" s="24"/>
      <c r="EUB127" s="211"/>
      <c r="EUC127" s="24"/>
      <c r="EUD127" s="211"/>
      <c r="EUE127" s="24"/>
      <c r="EUF127" s="211"/>
      <c r="EUG127" s="24"/>
      <c r="EUH127" s="211"/>
      <c r="EUI127" s="24"/>
      <c r="EUJ127" s="211"/>
      <c r="EUK127" s="24"/>
      <c r="EUL127" s="211"/>
      <c r="EUM127" s="24"/>
      <c r="EUN127" s="211"/>
      <c r="EUO127" s="24"/>
      <c r="EUP127" s="211"/>
      <c r="EUQ127" s="24"/>
      <c r="EUR127" s="211"/>
      <c r="EUS127" s="24"/>
      <c r="EUT127" s="211"/>
      <c r="EUU127" s="24"/>
      <c r="EUV127" s="211"/>
      <c r="EUW127" s="24"/>
      <c r="EUX127" s="211"/>
      <c r="EUY127" s="24"/>
      <c r="EUZ127" s="211"/>
      <c r="EVA127" s="24"/>
      <c r="EVB127" s="211"/>
      <c r="EVC127" s="24"/>
      <c r="EVD127" s="211"/>
      <c r="EVE127" s="24"/>
      <c r="EVF127" s="211"/>
      <c r="EVG127" s="24"/>
      <c r="EVH127" s="211"/>
      <c r="EVI127" s="24"/>
      <c r="EVJ127" s="211"/>
      <c r="EVK127" s="24"/>
      <c r="EVL127" s="211"/>
      <c r="EVM127" s="24"/>
      <c r="EVN127" s="211"/>
      <c r="EVO127" s="24"/>
      <c r="EVP127" s="211"/>
      <c r="EVQ127" s="24"/>
      <c r="EVR127" s="211"/>
      <c r="EVS127" s="24"/>
      <c r="EVT127" s="211"/>
      <c r="EVU127" s="24"/>
      <c r="EVV127" s="211"/>
      <c r="EVW127" s="24"/>
      <c r="EVX127" s="211"/>
      <c r="EVY127" s="24"/>
      <c r="EVZ127" s="211"/>
      <c r="EWA127" s="24"/>
      <c r="EWB127" s="211"/>
      <c r="EWC127" s="24"/>
      <c r="EWD127" s="211"/>
      <c r="EWE127" s="24"/>
      <c r="EWF127" s="211"/>
      <c r="EWG127" s="24"/>
      <c r="EWH127" s="211"/>
      <c r="EWI127" s="24"/>
      <c r="EWJ127" s="211"/>
      <c r="EWK127" s="24"/>
      <c r="EWL127" s="211"/>
      <c r="EWM127" s="24"/>
      <c r="EWN127" s="211"/>
      <c r="EWO127" s="24"/>
      <c r="EWP127" s="211"/>
      <c r="EWQ127" s="24"/>
      <c r="EWR127" s="211"/>
      <c r="EWS127" s="24"/>
      <c r="EWT127" s="211"/>
      <c r="EWU127" s="24"/>
      <c r="EWV127" s="211"/>
      <c r="EWW127" s="24"/>
      <c r="EWX127" s="211"/>
      <c r="EWY127" s="24"/>
      <c r="EWZ127" s="211"/>
      <c r="EXA127" s="24"/>
      <c r="EXB127" s="211"/>
      <c r="EXC127" s="24"/>
      <c r="EXD127" s="211"/>
      <c r="EXE127" s="24"/>
      <c r="EXF127" s="211"/>
      <c r="EXG127" s="24"/>
      <c r="EXH127" s="211"/>
      <c r="EXI127" s="24"/>
      <c r="EXJ127" s="211"/>
      <c r="EXK127" s="24"/>
      <c r="EXL127" s="211"/>
      <c r="EXM127" s="24"/>
      <c r="EXN127" s="211"/>
      <c r="EXO127" s="24"/>
      <c r="EXP127" s="211"/>
      <c r="EXQ127" s="24"/>
      <c r="EXR127" s="211"/>
      <c r="EXS127" s="24"/>
      <c r="EXT127" s="211"/>
      <c r="EXU127" s="24"/>
      <c r="EXV127" s="211"/>
      <c r="EXW127" s="24"/>
      <c r="EXX127" s="211"/>
      <c r="EXY127" s="24"/>
      <c r="EXZ127" s="211"/>
      <c r="EYA127" s="24"/>
      <c r="EYB127" s="211"/>
      <c r="EYC127" s="24"/>
      <c r="EYD127" s="211"/>
      <c r="EYE127" s="24"/>
      <c r="EYF127" s="211"/>
      <c r="EYG127" s="24"/>
      <c r="EYH127" s="211"/>
      <c r="EYI127" s="24"/>
      <c r="EYJ127" s="211"/>
      <c r="EYK127" s="24"/>
      <c r="EYL127" s="211"/>
      <c r="EYM127" s="24"/>
      <c r="EYN127" s="211"/>
      <c r="EYO127" s="24"/>
      <c r="EYP127" s="211"/>
      <c r="EYQ127" s="24"/>
      <c r="EYR127" s="211"/>
      <c r="EYS127" s="24"/>
      <c r="EYT127" s="211"/>
      <c r="EYU127" s="24"/>
      <c r="EYV127" s="211"/>
      <c r="EYW127" s="24"/>
      <c r="EYX127" s="211"/>
      <c r="EYY127" s="24"/>
      <c r="EYZ127" s="211"/>
      <c r="EZA127" s="24"/>
      <c r="EZB127" s="211"/>
      <c r="EZC127" s="24"/>
      <c r="EZD127" s="211"/>
      <c r="EZE127" s="24"/>
      <c r="EZF127" s="211"/>
      <c r="EZG127" s="24"/>
      <c r="EZH127" s="211"/>
      <c r="EZI127" s="24"/>
      <c r="EZJ127" s="211"/>
      <c r="EZK127" s="24"/>
      <c r="EZL127" s="211"/>
      <c r="EZM127" s="24"/>
      <c r="EZN127" s="211"/>
      <c r="EZO127" s="24"/>
      <c r="EZP127" s="211"/>
      <c r="EZQ127" s="24"/>
      <c r="EZR127" s="211"/>
      <c r="EZS127" s="24"/>
      <c r="EZT127" s="211"/>
      <c r="EZU127" s="24"/>
      <c r="EZV127" s="211"/>
      <c r="EZW127" s="24"/>
      <c r="EZX127" s="211"/>
      <c r="EZY127" s="24"/>
      <c r="EZZ127" s="211"/>
      <c r="FAA127" s="24"/>
      <c r="FAB127" s="211"/>
      <c r="FAC127" s="24"/>
      <c r="FAD127" s="211"/>
      <c r="FAE127" s="24"/>
      <c r="FAF127" s="211"/>
      <c r="FAG127" s="24"/>
      <c r="FAH127" s="211"/>
      <c r="FAI127" s="24"/>
      <c r="FAJ127" s="211"/>
      <c r="FAK127" s="24"/>
      <c r="FAL127" s="211"/>
      <c r="FAM127" s="24"/>
      <c r="FAN127" s="211"/>
      <c r="FAO127" s="24"/>
      <c r="FAP127" s="211"/>
      <c r="FAQ127" s="24"/>
      <c r="FAR127" s="211"/>
      <c r="FAS127" s="24"/>
      <c r="FAT127" s="211"/>
      <c r="FAU127" s="24"/>
      <c r="FAV127" s="211"/>
      <c r="FAW127" s="24"/>
      <c r="FAX127" s="211"/>
      <c r="FAY127" s="24"/>
      <c r="FAZ127" s="211"/>
      <c r="FBA127" s="24"/>
      <c r="FBB127" s="211"/>
      <c r="FBC127" s="24"/>
      <c r="FBD127" s="211"/>
      <c r="FBE127" s="24"/>
      <c r="FBF127" s="211"/>
      <c r="FBG127" s="24"/>
      <c r="FBH127" s="211"/>
      <c r="FBI127" s="24"/>
      <c r="FBJ127" s="211"/>
      <c r="FBK127" s="24"/>
      <c r="FBL127" s="211"/>
      <c r="FBM127" s="24"/>
      <c r="FBN127" s="211"/>
      <c r="FBO127" s="24"/>
      <c r="FBP127" s="211"/>
      <c r="FBQ127" s="24"/>
      <c r="FBR127" s="211"/>
      <c r="FBS127" s="24"/>
      <c r="FBT127" s="211"/>
      <c r="FBU127" s="24"/>
      <c r="FBV127" s="211"/>
      <c r="FBW127" s="24"/>
      <c r="FBX127" s="211"/>
      <c r="FBY127" s="24"/>
      <c r="FBZ127" s="211"/>
      <c r="FCA127" s="24"/>
      <c r="FCB127" s="211"/>
      <c r="FCC127" s="24"/>
      <c r="FCD127" s="211"/>
      <c r="FCE127" s="24"/>
      <c r="FCF127" s="211"/>
      <c r="FCG127" s="24"/>
      <c r="FCH127" s="211"/>
      <c r="FCI127" s="24"/>
      <c r="FCJ127" s="211"/>
      <c r="FCK127" s="24"/>
      <c r="FCL127" s="211"/>
      <c r="FCM127" s="24"/>
      <c r="FCN127" s="211"/>
      <c r="FCO127" s="24"/>
      <c r="FCP127" s="211"/>
      <c r="FCQ127" s="24"/>
      <c r="FCR127" s="211"/>
      <c r="FCS127" s="24"/>
      <c r="FCT127" s="211"/>
      <c r="FCU127" s="24"/>
      <c r="FCV127" s="211"/>
      <c r="FCW127" s="24"/>
      <c r="FCX127" s="211"/>
      <c r="FCY127" s="24"/>
      <c r="FCZ127" s="211"/>
      <c r="FDA127" s="24"/>
      <c r="FDB127" s="211"/>
      <c r="FDC127" s="24"/>
      <c r="FDD127" s="211"/>
      <c r="FDE127" s="24"/>
      <c r="FDF127" s="211"/>
      <c r="FDG127" s="24"/>
      <c r="FDH127" s="211"/>
      <c r="FDI127" s="24"/>
      <c r="FDJ127" s="211"/>
      <c r="FDK127" s="24"/>
      <c r="FDL127" s="211"/>
      <c r="FDM127" s="24"/>
      <c r="FDN127" s="211"/>
      <c r="FDO127" s="24"/>
      <c r="FDP127" s="211"/>
      <c r="FDQ127" s="24"/>
      <c r="FDR127" s="211"/>
      <c r="FDS127" s="24"/>
      <c r="FDT127" s="211"/>
      <c r="FDU127" s="24"/>
      <c r="FDV127" s="211"/>
      <c r="FDW127" s="24"/>
      <c r="FDX127" s="211"/>
      <c r="FDY127" s="24"/>
      <c r="FDZ127" s="211"/>
      <c r="FEA127" s="24"/>
      <c r="FEB127" s="211"/>
      <c r="FEC127" s="24"/>
      <c r="FED127" s="211"/>
      <c r="FEE127" s="24"/>
      <c r="FEF127" s="211"/>
      <c r="FEG127" s="24"/>
      <c r="FEH127" s="211"/>
      <c r="FEI127" s="24"/>
      <c r="FEJ127" s="211"/>
      <c r="FEK127" s="24"/>
      <c r="FEL127" s="211"/>
      <c r="FEM127" s="24"/>
      <c r="FEN127" s="211"/>
      <c r="FEO127" s="24"/>
      <c r="FEP127" s="211"/>
      <c r="FEQ127" s="24"/>
      <c r="FER127" s="211"/>
      <c r="FES127" s="24"/>
      <c r="FET127" s="211"/>
      <c r="FEU127" s="24"/>
      <c r="FEV127" s="211"/>
      <c r="FEW127" s="24"/>
      <c r="FEX127" s="211"/>
      <c r="FEY127" s="24"/>
      <c r="FEZ127" s="211"/>
      <c r="FFA127" s="24"/>
      <c r="FFB127" s="211"/>
      <c r="FFC127" s="24"/>
      <c r="FFD127" s="211"/>
      <c r="FFE127" s="24"/>
      <c r="FFF127" s="211"/>
      <c r="FFG127" s="24"/>
      <c r="FFH127" s="211"/>
      <c r="FFI127" s="24"/>
      <c r="FFJ127" s="211"/>
      <c r="FFK127" s="24"/>
      <c r="FFL127" s="211"/>
      <c r="FFM127" s="24"/>
      <c r="FFN127" s="211"/>
      <c r="FFO127" s="24"/>
      <c r="FFP127" s="211"/>
      <c r="FFQ127" s="24"/>
      <c r="FFR127" s="211"/>
      <c r="FFS127" s="24"/>
      <c r="FFT127" s="211"/>
      <c r="FFU127" s="24"/>
      <c r="FFV127" s="211"/>
      <c r="FFW127" s="24"/>
      <c r="FFX127" s="211"/>
      <c r="FFY127" s="24"/>
      <c r="FFZ127" s="211"/>
      <c r="FGA127" s="24"/>
      <c r="FGB127" s="211"/>
      <c r="FGC127" s="24"/>
      <c r="FGD127" s="211"/>
      <c r="FGE127" s="24"/>
      <c r="FGF127" s="211"/>
      <c r="FGG127" s="24"/>
      <c r="FGH127" s="211"/>
      <c r="FGI127" s="24"/>
      <c r="FGJ127" s="211"/>
      <c r="FGK127" s="24"/>
      <c r="FGL127" s="211"/>
      <c r="FGM127" s="24"/>
      <c r="FGN127" s="211"/>
      <c r="FGO127" s="24"/>
      <c r="FGP127" s="211"/>
      <c r="FGQ127" s="24"/>
      <c r="FGR127" s="211"/>
      <c r="FGS127" s="24"/>
      <c r="FGT127" s="211"/>
      <c r="FGU127" s="24"/>
      <c r="FGV127" s="211"/>
      <c r="FGW127" s="24"/>
      <c r="FGX127" s="211"/>
      <c r="FGY127" s="24"/>
      <c r="FGZ127" s="211"/>
      <c r="FHA127" s="24"/>
      <c r="FHB127" s="211"/>
      <c r="FHC127" s="24"/>
      <c r="FHD127" s="211"/>
      <c r="FHE127" s="24"/>
      <c r="FHF127" s="211"/>
      <c r="FHG127" s="24"/>
      <c r="FHH127" s="211"/>
      <c r="FHI127" s="24"/>
      <c r="FHJ127" s="211"/>
      <c r="FHK127" s="24"/>
      <c r="FHL127" s="211"/>
      <c r="FHM127" s="24"/>
      <c r="FHN127" s="211"/>
      <c r="FHO127" s="24"/>
      <c r="FHP127" s="211"/>
      <c r="FHQ127" s="24"/>
      <c r="FHR127" s="211"/>
      <c r="FHS127" s="24"/>
      <c r="FHT127" s="211"/>
      <c r="FHU127" s="24"/>
      <c r="FHV127" s="211"/>
      <c r="FHW127" s="24"/>
      <c r="FHX127" s="211"/>
      <c r="FHY127" s="24"/>
      <c r="FHZ127" s="211"/>
      <c r="FIA127" s="24"/>
      <c r="FIB127" s="211"/>
      <c r="FIC127" s="24"/>
      <c r="FID127" s="211"/>
      <c r="FIE127" s="24"/>
      <c r="FIF127" s="211"/>
      <c r="FIG127" s="24"/>
      <c r="FIH127" s="211"/>
      <c r="FII127" s="24"/>
      <c r="FIJ127" s="211"/>
      <c r="FIK127" s="24"/>
      <c r="FIL127" s="211"/>
      <c r="FIM127" s="24"/>
      <c r="FIN127" s="211"/>
      <c r="FIO127" s="24"/>
      <c r="FIP127" s="211"/>
      <c r="FIQ127" s="24"/>
      <c r="FIR127" s="211"/>
      <c r="FIS127" s="24"/>
      <c r="FIT127" s="211"/>
      <c r="FIU127" s="24"/>
      <c r="FIV127" s="211"/>
      <c r="FIW127" s="24"/>
      <c r="FIX127" s="211"/>
      <c r="FIY127" s="24"/>
      <c r="FIZ127" s="211"/>
      <c r="FJA127" s="24"/>
      <c r="FJB127" s="211"/>
      <c r="FJC127" s="24"/>
      <c r="FJD127" s="211"/>
      <c r="FJE127" s="24"/>
      <c r="FJF127" s="211"/>
      <c r="FJG127" s="24"/>
      <c r="FJH127" s="211"/>
      <c r="FJI127" s="24"/>
      <c r="FJJ127" s="211"/>
      <c r="FJK127" s="24"/>
      <c r="FJL127" s="211"/>
      <c r="FJM127" s="24"/>
      <c r="FJN127" s="211"/>
      <c r="FJO127" s="24"/>
      <c r="FJP127" s="211"/>
      <c r="FJQ127" s="24"/>
      <c r="FJR127" s="211"/>
      <c r="FJS127" s="24"/>
      <c r="FJT127" s="211"/>
      <c r="FJU127" s="24"/>
      <c r="FJV127" s="211"/>
      <c r="FJW127" s="24"/>
      <c r="FJX127" s="211"/>
      <c r="FJY127" s="24"/>
      <c r="FJZ127" s="211"/>
      <c r="FKA127" s="24"/>
      <c r="FKB127" s="211"/>
      <c r="FKC127" s="24"/>
      <c r="FKD127" s="211"/>
      <c r="FKE127" s="24"/>
      <c r="FKF127" s="211"/>
      <c r="FKG127" s="24"/>
      <c r="FKH127" s="211"/>
      <c r="FKI127" s="24"/>
      <c r="FKJ127" s="211"/>
      <c r="FKK127" s="24"/>
      <c r="FKL127" s="211"/>
      <c r="FKM127" s="24"/>
      <c r="FKN127" s="211"/>
      <c r="FKO127" s="24"/>
      <c r="FKP127" s="211"/>
      <c r="FKQ127" s="24"/>
      <c r="FKR127" s="211"/>
      <c r="FKS127" s="24"/>
      <c r="FKT127" s="211"/>
      <c r="FKU127" s="24"/>
      <c r="FKV127" s="211"/>
      <c r="FKW127" s="24"/>
      <c r="FKX127" s="211"/>
      <c r="FKY127" s="24"/>
      <c r="FKZ127" s="211"/>
      <c r="FLA127" s="24"/>
      <c r="FLB127" s="211"/>
      <c r="FLC127" s="24"/>
      <c r="FLD127" s="211"/>
      <c r="FLE127" s="24"/>
      <c r="FLF127" s="211"/>
      <c r="FLG127" s="24"/>
      <c r="FLH127" s="211"/>
      <c r="FLI127" s="24"/>
      <c r="FLJ127" s="211"/>
      <c r="FLK127" s="24"/>
      <c r="FLL127" s="211"/>
      <c r="FLM127" s="24"/>
      <c r="FLN127" s="211"/>
      <c r="FLO127" s="24"/>
      <c r="FLP127" s="211"/>
      <c r="FLQ127" s="24"/>
      <c r="FLR127" s="211"/>
      <c r="FLS127" s="24"/>
      <c r="FLT127" s="211"/>
      <c r="FLU127" s="24"/>
      <c r="FLV127" s="211"/>
      <c r="FLW127" s="24"/>
      <c r="FLX127" s="211"/>
      <c r="FLY127" s="24"/>
      <c r="FLZ127" s="211"/>
      <c r="FMA127" s="24"/>
      <c r="FMB127" s="211"/>
      <c r="FMC127" s="24"/>
      <c r="FMD127" s="211"/>
      <c r="FME127" s="24"/>
      <c r="FMF127" s="211"/>
      <c r="FMG127" s="24"/>
      <c r="FMH127" s="211"/>
      <c r="FMI127" s="24"/>
      <c r="FMJ127" s="211"/>
      <c r="FMK127" s="24"/>
      <c r="FML127" s="211"/>
      <c r="FMM127" s="24"/>
      <c r="FMN127" s="211"/>
      <c r="FMO127" s="24"/>
      <c r="FMP127" s="211"/>
      <c r="FMQ127" s="24"/>
      <c r="FMR127" s="211"/>
      <c r="FMS127" s="24"/>
      <c r="FMT127" s="211"/>
      <c r="FMU127" s="24"/>
      <c r="FMV127" s="211"/>
      <c r="FMW127" s="24"/>
      <c r="FMX127" s="211"/>
      <c r="FMY127" s="24"/>
      <c r="FMZ127" s="211"/>
      <c r="FNA127" s="24"/>
      <c r="FNB127" s="211"/>
      <c r="FNC127" s="24"/>
      <c r="FND127" s="211"/>
      <c r="FNE127" s="24"/>
      <c r="FNF127" s="211"/>
      <c r="FNG127" s="24"/>
      <c r="FNH127" s="211"/>
      <c r="FNI127" s="24"/>
      <c r="FNJ127" s="211"/>
      <c r="FNK127" s="24"/>
      <c r="FNL127" s="211"/>
      <c r="FNM127" s="24"/>
      <c r="FNN127" s="211"/>
      <c r="FNO127" s="24"/>
      <c r="FNP127" s="211"/>
      <c r="FNQ127" s="24"/>
      <c r="FNR127" s="211"/>
      <c r="FNS127" s="24"/>
      <c r="FNT127" s="211"/>
      <c r="FNU127" s="24"/>
      <c r="FNV127" s="211"/>
      <c r="FNW127" s="24"/>
      <c r="FNX127" s="211"/>
      <c r="FNY127" s="24"/>
      <c r="FNZ127" s="211"/>
      <c r="FOA127" s="24"/>
      <c r="FOB127" s="211"/>
      <c r="FOC127" s="24"/>
      <c r="FOD127" s="211"/>
      <c r="FOE127" s="24"/>
      <c r="FOF127" s="211"/>
      <c r="FOG127" s="24"/>
      <c r="FOH127" s="211"/>
      <c r="FOI127" s="24"/>
      <c r="FOJ127" s="211"/>
      <c r="FOK127" s="24"/>
      <c r="FOL127" s="211"/>
      <c r="FOM127" s="24"/>
      <c r="FON127" s="211"/>
      <c r="FOO127" s="24"/>
      <c r="FOP127" s="211"/>
      <c r="FOQ127" s="24"/>
      <c r="FOR127" s="211"/>
      <c r="FOS127" s="24"/>
      <c r="FOT127" s="211"/>
      <c r="FOU127" s="24"/>
      <c r="FOV127" s="211"/>
      <c r="FOW127" s="24"/>
      <c r="FOX127" s="211"/>
      <c r="FOY127" s="24"/>
      <c r="FOZ127" s="211"/>
      <c r="FPA127" s="24"/>
      <c r="FPB127" s="211"/>
      <c r="FPC127" s="24"/>
      <c r="FPD127" s="211"/>
      <c r="FPE127" s="24"/>
      <c r="FPF127" s="211"/>
      <c r="FPG127" s="24"/>
      <c r="FPH127" s="211"/>
      <c r="FPI127" s="24"/>
      <c r="FPJ127" s="211"/>
      <c r="FPK127" s="24"/>
      <c r="FPL127" s="211"/>
      <c r="FPM127" s="24"/>
      <c r="FPN127" s="211"/>
      <c r="FPO127" s="24"/>
      <c r="FPP127" s="211"/>
      <c r="FPQ127" s="24"/>
      <c r="FPR127" s="211"/>
      <c r="FPS127" s="24"/>
      <c r="FPT127" s="211"/>
      <c r="FPU127" s="24"/>
      <c r="FPV127" s="211"/>
      <c r="FPW127" s="24"/>
      <c r="FPX127" s="211"/>
      <c r="FPY127" s="24"/>
      <c r="FPZ127" s="211"/>
      <c r="FQA127" s="24"/>
      <c r="FQB127" s="211"/>
      <c r="FQC127" s="24"/>
      <c r="FQD127" s="211"/>
      <c r="FQE127" s="24"/>
      <c r="FQF127" s="211"/>
      <c r="FQG127" s="24"/>
      <c r="FQH127" s="211"/>
      <c r="FQI127" s="24"/>
      <c r="FQJ127" s="211"/>
      <c r="FQK127" s="24"/>
      <c r="FQL127" s="211"/>
      <c r="FQM127" s="24"/>
      <c r="FQN127" s="211"/>
      <c r="FQO127" s="24"/>
      <c r="FQP127" s="211"/>
      <c r="FQQ127" s="24"/>
      <c r="FQR127" s="211"/>
      <c r="FQS127" s="24"/>
      <c r="FQT127" s="211"/>
      <c r="FQU127" s="24"/>
      <c r="FQV127" s="211"/>
      <c r="FQW127" s="24"/>
      <c r="FQX127" s="211"/>
      <c r="FQY127" s="24"/>
      <c r="FQZ127" s="211"/>
      <c r="FRA127" s="24"/>
      <c r="FRB127" s="211"/>
      <c r="FRC127" s="24"/>
      <c r="FRD127" s="211"/>
      <c r="FRE127" s="24"/>
      <c r="FRF127" s="211"/>
      <c r="FRG127" s="24"/>
      <c r="FRH127" s="211"/>
      <c r="FRI127" s="24"/>
      <c r="FRJ127" s="211"/>
      <c r="FRK127" s="24"/>
      <c r="FRL127" s="211"/>
      <c r="FRM127" s="24"/>
      <c r="FRN127" s="211"/>
      <c r="FRO127" s="24"/>
      <c r="FRP127" s="211"/>
      <c r="FRQ127" s="24"/>
      <c r="FRR127" s="211"/>
      <c r="FRS127" s="24"/>
      <c r="FRT127" s="211"/>
      <c r="FRU127" s="24"/>
      <c r="FRV127" s="211"/>
      <c r="FRW127" s="24"/>
      <c r="FRX127" s="211"/>
      <c r="FRY127" s="24"/>
      <c r="FRZ127" s="211"/>
      <c r="FSA127" s="24"/>
      <c r="FSB127" s="211"/>
      <c r="FSC127" s="24"/>
      <c r="FSD127" s="211"/>
      <c r="FSE127" s="24"/>
      <c r="FSF127" s="211"/>
      <c r="FSG127" s="24"/>
      <c r="FSH127" s="211"/>
      <c r="FSI127" s="24"/>
      <c r="FSJ127" s="211"/>
      <c r="FSK127" s="24"/>
      <c r="FSL127" s="211"/>
      <c r="FSM127" s="24"/>
      <c r="FSN127" s="211"/>
      <c r="FSO127" s="24"/>
      <c r="FSP127" s="211"/>
      <c r="FSQ127" s="24"/>
      <c r="FSR127" s="211"/>
      <c r="FSS127" s="24"/>
      <c r="FST127" s="211"/>
      <c r="FSU127" s="24"/>
      <c r="FSV127" s="211"/>
      <c r="FSW127" s="24"/>
      <c r="FSX127" s="211"/>
      <c r="FSY127" s="24"/>
      <c r="FSZ127" s="211"/>
      <c r="FTA127" s="24"/>
      <c r="FTB127" s="211"/>
      <c r="FTC127" s="24"/>
      <c r="FTD127" s="211"/>
      <c r="FTE127" s="24"/>
      <c r="FTF127" s="211"/>
      <c r="FTG127" s="24"/>
      <c r="FTH127" s="211"/>
      <c r="FTI127" s="24"/>
      <c r="FTJ127" s="211"/>
      <c r="FTK127" s="24"/>
      <c r="FTL127" s="211"/>
      <c r="FTM127" s="24"/>
      <c r="FTN127" s="211"/>
      <c r="FTO127" s="24"/>
      <c r="FTP127" s="211"/>
      <c r="FTQ127" s="24"/>
      <c r="FTR127" s="211"/>
      <c r="FTS127" s="24"/>
      <c r="FTT127" s="211"/>
      <c r="FTU127" s="24"/>
      <c r="FTV127" s="211"/>
      <c r="FTW127" s="24"/>
      <c r="FTX127" s="211"/>
      <c r="FTY127" s="24"/>
      <c r="FTZ127" s="211"/>
      <c r="FUA127" s="24"/>
      <c r="FUB127" s="211"/>
      <c r="FUC127" s="24"/>
      <c r="FUD127" s="211"/>
      <c r="FUE127" s="24"/>
      <c r="FUF127" s="211"/>
      <c r="FUG127" s="24"/>
      <c r="FUH127" s="211"/>
      <c r="FUI127" s="24"/>
      <c r="FUJ127" s="211"/>
      <c r="FUK127" s="24"/>
      <c r="FUL127" s="211"/>
      <c r="FUM127" s="24"/>
      <c r="FUN127" s="211"/>
      <c r="FUO127" s="24"/>
      <c r="FUP127" s="211"/>
      <c r="FUQ127" s="24"/>
      <c r="FUR127" s="211"/>
      <c r="FUS127" s="24"/>
      <c r="FUT127" s="211"/>
      <c r="FUU127" s="24"/>
      <c r="FUV127" s="211"/>
      <c r="FUW127" s="24"/>
      <c r="FUX127" s="211"/>
      <c r="FUY127" s="24"/>
      <c r="FUZ127" s="211"/>
      <c r="FVA127" s="24"/>
      <c r="FVB127" s="211"/>
      <c r="FVC127" s="24"/>
      <c r="FVD127" s="211"/>
      <c r="FVE127" s="24"/>
      <c r="FVF127" s="211"/>
      <c r="FVG127" s="24"/>
      <c r="FVH127" s="211"/>
      <c r="FVI127" s="24"/>
      <c r="FVJ127" s="211"/>
      <c r="FVK127" s="24"/>
      <c r="FVL127" s="211"/>
      <c r="FVM127" s="24"/>
      <c r="FVN127" s="211"/>
      <c r="FVO127" s="24"/>
      <c r="FVP127" s="211"/>
      <c r="FVQ127" s="24"/>
      <c r="FVR127" s="211"/>
      <c r="FVS127" s="24"/>
      <c r="FVT127" s="211"/>
      <c r="FVU127" s="24"/>
      <c r="FVV127" s="211"/>
      <c r="FVW127" s="24"/>
      <c r="FVX127" s="211"/>
      <c r="FVY127" s="24"/>
      <c r="FVZ127" s="211"/>
      <c r="FWA127" s="24"/>
      <c r="FWB127" s="211"/>
      <c r="FWC127" s="24"/>
      <c r="FWD127" s="211"/>
      <c r="FWE127" s="24"/>
      <c r="FWF127" s="211"/>
      <c r="FWG127" s="24"/>
      <c r="FWH127" s="211"/>
      <c r="FWI127" s="24"/>
      <c r="FWJ127" s="211"/>
      <c r="FWK127" s="24"/>
      <c r="FWL127" s="211"/>
      <c r="FWM127" s="24"/>
      <c r="FWN127" s="211"/>
      <c r="FWO127" s="24"/>
      <c r="FWP127" s="211"/>
      <c r="FWQ127" s="24"/>
      <c r="FWR127" s="211"/>
      <c r="FWS127" s="24"/>
      <c r="FWT127" s="211"/>
      <c r="FWU127" s="24"/>
      <c r="FWV127" s="211"/>
      <c r="FWW127" s="24"/>
      <c r="FWX127" s="211"/>
      <c r="FWY127" s="24"/>
      <c r="FWZ127" s="211"/>
      <c r="FXA127" s="24"/>
      <c r="FXB127" s="211"/>
      <c r="FXC127" s="24"/>
      <c r="FXD127" s="211"/>
      <c r="FXE127" s="24"/>
      <c r="FXF127" s="211"/>
      <c r="FXG127" s="24"/>
      <c r="FXH127" s="211"/>
      <c r="FXI127" s="24"/>
      <c r="FXJ127" s="211"/>
      <c r="FXK127" s="24"/>
      <c r="FXL127" s="211"/>
      <c r="FXM127" s="24"/>
      <c r="FXN127" s="211"/>
      <c r="FXO127" s="24"/>
      <c r="FXP127" s="211"/>
      <c r="FXQ127" s="24"/>
      <c r="FXR127" s="211"/>
      <c r="FXS127" s="24"/>
      <c r="FXT127" s="211"/>
      <c r="FXU127" s="24"/>
      <c r="FXV127" s="211"/>
      <c r="FXW127" s="24"/>
      <c r="FXX127" s="211"/>
      <c r="FXY127" s="24"/>
      <c r="FXZ127" s="211"/>
      <c r="FYA127" s="24"/>
      <c r="FYB127" s="211"/>
      <c r="FYC127" s="24"/>
      <c r="FYD127" s="211"/>
      <c r="FYE127" s="24"/>
      <c r="FYF127" s="211"/>
      <c r="FYG127" s="24"/>
      <c r="FYH127" s="211"/>
      <c r="FYI127" s="24"/>
      <c r="FYJ127" s="211"/>
      <c r="FYK127" s="24"/>
      <c r="FYL127" s="211"/>
      <c r="FYM127" s="24"/>
      <c r="FYN127" s="211"/>
      <c r="FYO127" s="24"/>
      <c r="FYP127" s="211"/>
      <c r="FYQ127" s="24"/>
      <c r="FYR127" s="211"/>
      <c r="FYS127" s="24"/>
      <c r="FYT127" s="211"/>
      <c r="FYU127" s="24"/>
      <c r="FYV127" s="211"/>
      <c r="FYW127" s="24"/>
      <c r="FYX127" s="211"/>
      <c r="FYY127" s="24"/>
      <c r="FYZ127" s="211"/>
      <c r="FZA127" s="24"/>
      <c r="FZB127" s="211"/>
      <c r="FZC127" s="24"/>
      <c r="FZD127" s="211"/>
      <c r="FZE127" s="24"/>
      <c r="FZF127" s="211"/>
      <c r="FZG127" s="24"/>
      <c r="FZH127" s="211"/>
      <c r="FZI127" s="24"/>
      <c r="FZJ127" s="211"/>
      <c r="FZK127" s="24"/>
      <c r="FZL127" s="211"/>
      <c r="FZM127" s="24"/>
      <c r="FZN127" s="211"/>
      <c r="FZO127" s="24"/>
      <c r="FZP127" s="211"/>
      <c r="FZQ127" s="24"/>
      <c r="FZR127" s="211"/>
      <c r="FZS127" s="24"/>
      <c r="FZT127" s="211"/>
      <c r="FZU127" s="24"/>
      <c r="FZV127" s="211"/>
      <c r="FZW127" s="24"/>
      <c r="FZX127" s="211"/>
      <c r="FZY127" s="24"/>
      <c r="FZZ127" s="211"/>
      <c r="GAA127" s="24"/>
      <c r="GAB127" s="211"/>
      <c r="GAC127" s="24"/>
      <c r="GAD127" s="211"/>
      <c r="GAE127" s="24"/>
      <c r="GAF127" s="211"/>
      <c r="GAG127" s="24"/>
      <c r="GAH127" s="211"/>
      <c r="GAI127" s="24"/>
      <c r="GAJ127" s="211"/>
      <c r="GAK127" s="24"/>
      <c r="GAL127" s="211"/>
      <c r="GAM127" s="24"/>
      <c r="GAN127" s="211"/>
      <c r="GAO127" s="24"/>
      <c r="GAP127" s="211"/>
      <c r="GAQ127" s="24"/>
      <c r="GAR127" s="211"/>
      <c r="GAS127" s="24"/>
      <c r="GAT127" s="211"/>
      <c r="GAU127" s="24"/>
      <c r="GAV127" s="211"/>
      <c r="GAW127" s="24"/>
      <c r="GAX127" s="211"/>
      <c r="GAY127" s="24"/>
      <c r="GAZ127" s="211"/>
      <c r="GBA127" s="24"/>
      <c r="GBB127" s="211"/>
      <c r="GBC127" s="24"/>
      <c r="GBD127" s="211"/>
      <c r="GBE127" s="24"/>
      <c r="GBF127" s="211"/>
      <c r="GBG127" s="24"/>
      <c r="GBH127" s="211"/>
      <c r="GBI127" s="24"/>
      <c r="GBJ127" s="211"/>
      <c r="GBK127" s="24"/>
      <c r="GBL127" s="211"/>
      <c r="GBM127" s="24"/>
      <c r="GBN127" s="211"/>
      <c r="GBO127" s="24"/>
      <c r="GBP127" s="211"/>
      <c r="GBQ127" s="24"/>
      <c r="GBR127" s="211"/>
      <c r="GBS127" s="24"/>
      <c r="GBT127" s="211"/>
      <c r="GBU127" s="24"/>
      <c r="GBV127" s="211"/>
      <c r="GBW127" s="24"/>
      <c r="GBX127" s="211"/>
      <c r="GBY127" s="24"/>
      <c r="GBZ127" s="211"/>
      <c r="GCA127" s="24"/>
      <c r="GCB127" s="211"/>
      <c r="GCC127" s="24"/>
      <c r="GCD127" s="211"/>
      <c r="GCE127" s="24"/>
      <c r="GCF127" s="211"/>
      <c r="GCG127" s="24"/>
      <c r="GCH127" s="211"/>
      <c r="GCI127" s="24"/>
      <c r="GCJ127" s="211"/>
      <c r="GCK127" s="24"/>
      <c r="GCL127" s="211"/>
      <c r="GCM127" s="24"/>
      <c r="GCN127" s="211"/>
      <c r="GCO127" s="24"/>
      <c r="GCP127" s="211"/>
      <c r="GCQ127" s="24"/>
      <c r="GCR127" s="211"/>
      <c r="GCS127" s="24"/>
      <c r="GCT127" s="211"/>
      <c r="GCU127" s="24"/>
      <c r="GCV127" s="211"/>
      <c r="GCW127" s="24"/>
      <c r="GCX127" s="211"/>
      <c r="GCY127" s="24"/>
      <c r="GCZ127" s="211"/>
      <c r="GDA127" s="24"/>
      <c r="GDB127" s="211"/>
      <c r="GDC127" s="24"/>
      <c r="GDD127" s="211"/>
      <c r="GDE127" s="24"/>
      <c r="GDF127" s="211"/>
      <c r="GDG127" s="24"/>
      <c r="GDH127" s="211"/>
      <c r="GDI127" s="24"/>
      <c r="GDJ127" s="211"/>
      <c r="GDK127" s="24"/>
      <c r="GDL127" s="211"/>
      <c r="GDM127" s="24"/>
      <c r="GDN127" s="211"/>
      <c r="GDO127" s="24"/>
      <c r="GDP127" s="211"/>
      <c r="GDQ127" s="24"/>
      <c r="GDR127" s="211"/>
      <c r="GDS127" s="24"/>
      <c r="GDT127" s="211"/>
      <c r="GDU127" s="24"/>
      <c r="GDV127" s="211"/>
      <c r="GDW127" s="24"/>
      <c r="GDX127" s="211"/>
      <c r="GDY127" s="24"/>
      <c r="GDZ127" s="211"/>
      <c r="GEA127" s="24"/>
      <c r="GEB127" s="211"/>
      <c r="GEC127" s="24"/>
      <c r="GED127" s="211"/>
      <c r="GEE127" s="24"/>
      <c r="GEF127" s="211"/>
      <c r="GEG127" s="24"/>
      <c r="GEH127" s="211"/>
      <c r="GEI127" s="24"/>
      <c r="GEJ127" s="211"/>
      <c r="GEK127" s="24"/>
      <c r="GEL127" s="211"/>
      <c r="GEM127" s="24"/>
      <c r="GEN127" s="211"/>
      <c r="GEO127" s="24"/>
      <c r="GEP127" s="211"/>
      <c r="GEQ127" s="24"/>
      <c r="GER127" s="211"/>
      <c r="GES127" s="24"/>
      <c r="GET127" s="211"/>
      <c r="GEU127" s="24"/>
      <c r="GEV127" s="211"/>
      <c r="GEW127" s="24"/>
      <c r="GEX127" s="211"/>
      <c r="GEY127" s="24"/>
      <c r="GEZ127" s="211"/>
      <c r="GFA127" s="24"/>
      <c r="GFB127" s="211"/>
      <c r="GFC127" s="24"/>
      <c r="GFD127" s="211"/>
      <c r="GFE127" s="24"/>
      <c r="GFF127" s="211"/>
      <c r="GFG127" s="24"/>
      <c r="GFH127" s="211"/>
      <c r="GFI127" s="24"/>
      <c r="GFJ127" s="211"/>
      <c r="GFK127" s="24"/>
      <c r="GFL127" s="211"/>
      <c r="GFM127" s="24"/>
      <c r="GFN127" s="211"/>
      <c r="GFO127" s="24"/>
      <c r="GFP127" s="211"/>
      <c r="GFQ127" s="24"/>
      <c r="GFR127" s="211"/>
      <c r="GFS127" s="24"/>
      <c r="GFT127" s="211"/>
      <c r="GFU127" s="24"/>
      <c r="GFV127" s="211"/>
      <c r="GFW127" s="24"/>
      <c r="GFX127" s="211"/>
      <c r="GFY127" s="24"/>
      <c r="GFZ127" s="211"/>
      <c r="GGA127" s="24"/>
      <c r="GGB127" s="211"/>
      <c r="GGC127" s="24"/>
      <c r="GGD127" s="211"/>
      <c r="GGE127" s="24"/>
      <c r="GGF127" s="211"/>
      <c r="GGG127" s="24"/>
      <c r="GGH127" s="211"/>
      <c r="GGI127" s="24"/>
      <c r="GGJ127" s="211"/>
      <c r="GGK127" s="24"/>
      <c r="GGL127" s="211"/>
      <c r="GGM127" s="24"/>
      <c r="GGN127" s="211"/>
      <c r="GGO127" s="24"/>
      <c r="GGP127" s="211"/>
      <c r="GGQ127" s="24"/>
      <c r="GGR127" s="211"/>
      <c r="GGS127" s="24"/>
      <c r="GGT127" s="211"/>
      <c r="GGU127" s="24"/>
      <c r="GGV127" s="211"/>
      <c r="GGW127" s="24"/>
      <c r="GGX127" s="211"/>
      <c r="GGY127" s="24"/>
      <c r="GGZ127" s="211"/>
      <c r="GHA127" s="24"/>
      <c r="GHB127" s="211"/>
      <c r="GHC127" s="24"/>
      <c r="GHD127" s="211"/>
      <c r="GHE127" s="24"/>
      <c r="GHF127" s="211"/>
      <c r="GHG127" s="24"/>
      <c r="GHH127" s="211"/>
      <c r="GHI127" s="24"/>
      <c r="GHJ127" s="211"/>
      <c r="GHK127" s="24"/>
      <c r="GHL127" s="211"/>
      <c r="GHM127" s="24"/>
      <c r="GHN127" s="211"/>
      <c r="GHO127" s="24"/>
      <c r="GHP127" s="211"/>
      <c r="GHQ127" s="24"/>
      <c r="GHR127" s="211"/>
      <c r="GHS127" s="24"/>
      <c r="GHT127" s="211"/>
      <c r="GHU127" s="24"/>
      <c r="GHV127" s="211"/>
      <c r="GHW127" s="24"/>
      <c r="GHX127" s="211"/>
      <c r="GHY127" s="24"/>
      <c r="GHZ127" s="211"/>
      <c r="GIA127" s="24"/>
      <c r="GIB127" s="211"/>
      <c r="GIC127" s="24"/>
      <c r="GID127" s="211"/>
      <c r="GIE127" s="24"/>
      <c r="GIF127" s="211"/>
      <c r="GIG127" s="24"/>
      <c r="GIH127" s="211"/>
      <c r="GII127" s="24"/>
      <c r="GIJ127" s="211"/>
      <c r="GIK127" s="24"/>
      <c r="GIL127" s="211"/>
      <c r="GIM127" s="24"/>
      <c r="GIN127" s="211"/>
      <c r="GIO127" s="24"/>
      <c r="GIP127" s="211"/>
      <c r="GIQ127" s="24"/>
      <c r="GIR127" s="211"/>
      <c r="GIS127" s="24"/>
      <c r="GIT127" s="211"/>
      <c r="GIU127" s="24"/>
      <c r="GIV127" s="211"/>
      <c r="GIW127" s="24"/>
      <c r="GIX127" s="211"/>
      <c r="GIY127" s="24"/>
      <c r="GIZ127" s="211"/>
      <c r="GJA127" s="24"/>
      <c r="GJB127" s="211"/>
      <c r="GJC127" s="24"/>
      <c r="GJD127" s="211"/>
      <c r="GJE127" s="24"/>
      <c r="GJF127" s="211"/>
      <c r="GJG127" s="24"/>
      <c r="GJH127" s="211"/>
      <c r="GJI127" s="24"/>
      <c r="GJJ127" s="211"/>
      <c r="GJK127" s="24"/>
      <c r="GJL127" s="211"/>
      <c r="GJM127" s="24"/>
      <c r="GJN127" s="211"/>
      <c r="GJO127" s="24"/>
      <c r="GJP127" s="211"/>
      <c r="GJQ127" s="24"/>
      <c r="GJR127" s="211"/>
      <c r="GJS127" s="24"/>
      <c r="GJT127" s="211"/>
      <c r="GJU127" s="24"/>
      <c r="GJV127" s="211"/>
      <c r="GJW127" s="24"/>
      <c r="GJX127" s="211"/>
      <c r="GJY127" s="24"/>
      <c r="GJZ127" s="211"/>
      <c r="GKA127" s="24"/>
      <c r="GKB127" s="211"/>
      <c r="GKC127" s="24"/>
      <c r="GKD127" s="211"/>
      <c r="GKE127" s="24"/>
      <c r="GKF127" s="211"/>
      <c r="GKG127" s="24"/>
      <c r="GKH127" s="211"/>
      <c r="GKI127" s="24"/>
      <c r="GKJ127" s="211"/>
      <c r="GKK127" s="24"/>
      <c r="GKL127" s="211"/>
      <c r="GKM127" s="24"/>
      <c r="GKN127" s="211"/>
      <c r="GKO127" s="24"/>
      <c r="GKP127" s="211"/>
      <c r="GKQ127" s="24"/>
      <c r="GKR127" s="211"/>
      <c r="GKS127" s="24"/>
      <c r="GKT127" s="211"/>
      <c r="GKU127" s="24"/>
      <c r="GKV127" s="211"/>
      <c r="GKW127" s="24"/>
      <c r="GKX127" s="211"/>
      <c r="GKY127" s="24"/>
      <c r="GKZ127" s="211"/>
      <c r="GLA127" s="24"/>
      <c r="GLB127" s="211"/>
      <c r="GLC127" s="24"/>
      <c r="GLD127" s="211"/>
      <c r="GLE127" s="24"/>
      <c r="GLF127" s="211"/>
      <c r="GLG127" s="24"/>
      <c r="GLH127" s="211"/>
      <c r="GLI127" s="24"/>
      <c r="GLJ127" s="211"/>
      <c r="GLK127" s="24"/>
      <c r="GLL127" s="211"/>
      <c r="GLM127" s="24"/>
      <c r="GLN127" s="211"/>
      <c r="GLO127" s="24"/>
      <c r="GLP127" s="211"/>
      <c r="GLQ127" s="24"/>
      <c r="GLR127" s="211"/>
      <c r="GLS127" s="24"/>
      <c r="GLT127" s="211"/>
      <c r="GLU127" s="24"/>
      <c r="GLV127" s="211"/>
      <c r="GLW127" s="24"/>
      <c r="GLX127" s="211"/>
      <c r="GLY127" s="24"/>
      <c r="GLZ127" s="211"/>
      <c r="GMA127" s="24"/>
      <c r="GMB127" s="211"/>
      <c r="GMC127" s="24"/>
      <c r="GMD127" s="211"/>
      <c r="GME127" s="24"/>
      <c r="GMF127" s="211"/>
      <c r="GMG127" s="24"/>
      <c r="GMH127" s="211"/>
      <c r="GMI127" s="24"/>
      <c r="GMJ127" s="211"/>
      <c r="GMK127" s="24"/>
      <c r="GML127" s="211"/>
      <c r="GMM127" s="24"/>
      <c r="GMN127" s="211"/>
      <c r="GMO127" s="24"/>
      <c r="GMP127" s="211"/>
      <c r="GMQ127" s="24"/>
      <c r="GMR127" s="211"/>
      <c r="GMS127" s="24"/>
      <c r="GMT127" s="211"/>
      <c r="GMU127" s="24"/>
      <c r="GMV127" s="211"/>
      <c r="GMW127" s="24"/>
      <c r="GMX127" s="211"/>
      <c r="GMY127" s="24"/>
      <c r="GMZ127" s="211"/>
      <c r="GNA127" s="24"/>
      <c r="GNB127" s="211"/>
      <c r="GNC127" s="24"/>
      <c r="GND127" s="211"/>
      <c r="GNE127" s="24"/>
      <c r="GNF127" s="211"/>
      <c r="GNG127" s="24"/>
      <c r="GNH127" s="211"/>
      <c r="GNI127" s="24"/>
      <c r="GNJ127" s="211"/>
      <c r="GNK127" s="24"/>
      <c r="GNL127" s="211"/>
      <c r="GNM127" s="24"/>
      <c r="GNN127" s="211"/>
      <c r="GNO127" s="24"/>
      <c r="GNP127" s="211"/>
      <c r="GNQ127" s="24"/>
      <c r="GNR127" s="211"/>
      <c r="GNS127" s="24"/>
      <c r="GNT127" s="211"/>
      <c r="GNU127" s="24"/>
      <c r="GNV127" s="211"/>
      <c r="GNW127" s="24"/>
      <c r="GNX127" s="211"/>
      <c r="GNY127" s="24"/>
      <c r="GNZ127" s="211"/>
      <c r="GOA127" s="24"/>
      <c r="GOB127" s="211"/>
      <c r="GOC127" s="24"/>
      <c r="GOD127" s="211"/>
      <c r="GOE127" s="24"/>
      <c r="GOF127" s="211"/>
      <c r="GOG127" s="24"/>
      <c r="GOH127" s="211"/>
      <c r="GOI127" s="24"/>
      <c r="GOJ127" s="211"/>
      <c r="GOK127" s="24"/>
      <c r="GOL127" s="211"/>
      <c r="GOM127" s="24"/>
      <c r="GON127" s="211"/>
      <c r="GOO127" s="24"/>
      <c r="GOP127" s="211"/>
      <c r="GOQ127" s="24"/>
      <c r="GOR127" s="211"/>
      <c r="GOS127" s="24"/>
      <c r="GOT127" s="211"/>
      <c r="GOU127" s="24"/>
      <c r="GOV127" s="211"/>
      <c r="GOW127" s="24"/>
      <c r="GOX127" s="211"/>
      <c r="GOY127" s="24"/>
      <c r="GOZ127" s="211"/>
      <c r="GPA127" s="24"/>
      <c r="GPB127" s="211"/>
      <c r="GPC127" s="24"/>
      <c r="GPD127" s="211"/>
      <c r="GPE127" s="24"/>
      <c r="GPF127" s="211"/>
      <c r="GPG127" s="24"/>
      <c r="GPH127" s="211"/>
      <c r="GPI127" s="24"/>
      <c r="GPJ127" s="211"/>
      <c r="GPK127" s="24"/>
      <c r="GPL127" s="211"/>
      <c r="GPM127" s="24"/>
      <c r="GPN127" s="211"/>
      <c r="GPO127" s="24"/>
      <c r="GPP127" s="211"/>
      <c r="GPQ127" s="24"/>
      <c r="GPR127" s="211"/>
      <c r="GPS127" s="24"/>
      <c r="GPT127" s="211"/>
      <c r="GPU127" s="24"/>
      <c r="GPV127" s="211"/>
      <c r="GPW127" s="24"/>
      <c r="GPX127" s="211"/>
      <c r="GPY127" s="24"/>
      <c r="GPZ127" s="211"/>
      <c r="GQA127" s="24"/>
      <c r="GQB127" s="211"/>
      <c r="GQC127" s="24"/>
      <c r="GQD127" s="211"/>
      <c r="GQE127" s="24"/>
      <c r="GQF127" s="211"/>
      <c r="GQG127" s="24"/>
      <c r="GQH127" s="211"/>
      <c r="GQI127" s="24"/>
      <c r="GQJ127" s="211"/>
      <c r="GQK127" s="24"/>
      <c r="GQL127" s="211"/>
      <c r="GQM127" s="24"/>
      <c r="GQN127" s="211"/>
      <c r="GQO127" s="24"/>
      <c r="GQP127" s="211"/>
      <c r="GQQ127" s="24"/>
      <c r="GQR127" s="211"/>
      <c r="GQS127" s="24"/>
      <c r="GQT127" s="211"/>
      <c r="GQU127" s="24"/>
      <c r="GQV127" s="211"/>
      <c r="GQW127" s="24"/>
      <c r="GQX127" s="211"/>
      <c r="GQY127" s="24"/>
      <c r="GQZ127" s="211"/>
      <c r="GRA127" s="24"/>
      <c r="GRB127" s="211"/>
      <c r="GRC127" s="24"/>
      <c r="GRD127" s="211"/>
      <c r="GRE127" s="24"/>
      <c r="GRF127" s="211"/>
      <c r="GRG127" s="24"/>
      <c r="GRH127" s="211"/>
      <c r="GRI127" s="24"/>
      <c r="GRJ127" s="211"/>
      <c r="GRK127" s="24"/>
      <c r="GRL127" s="211"/>
      <c r="GRM127" s="24"/>
      <c r="GRN127" s="211"/>
      <c r="GRO127" s="24"/>
      <c r="GRP127" s="211"/>
      <c r="GRQ127" s="24"/>
      <c r="GRR127" s="211"/>
      <c r="GRS127" s="24"/>
      <c r="GRT127" s="211"/>
      <c r="GRU127" s="24"/>
      <c r="GRV127" s="211"/>
      <c r="GRW127" s="24"/>
      <c r="GRX127" s="211"/>
      <c r="GRY127" s="24"/>
      <c r="GRZ127" s="211"/>
      <c r="GSA127" s="24"/>
      <c r="GSB127" s="211"/>
      <c r="GSC127" s="24"/>
      <c r="GSD127" s="211"/>
      <c r="GSE127" s="24"/>
      <c r="GSF127" s="211"/>
      <c r="GSG127" s="24"/>
      <c r="GSH127" s="211"/>
      <c r="GSI127" s="24"/>
      <c r="GSJ127" s="211"/>
      <c r="GSK127" s="24"/>
      <c r="GSL127" s="211"/>
      <c r="GSM127" s="24"/>
      <c r="GSN127" s="211"/>
      <c r="GSO127" s="24"/>
      <c r="GSP127" s="211"/>
      <c r="GSQ127" s="24"/>
      <c r="GSR127" s="211"/>
      <c r="GSS127" s="24"/>
      <c r="GST127" s="211"/>
      <c r="GSU127" s="24"/>
      <c r="GSV127" s="211"/>
      <c r="GSW127" s="24"/>
      <c r="GSX127" s="211"/>
      <c r="GSY127" s="24"/>
      <c r="GSZ127" s="211"/>
      <c r="GTA127" s="24"/>
      <c r="GTB127" s="211"/>
      <c r="GTC127" s="24"/>
      <c r="GTD127" s="211"/>
      <c r="GTE127" s="24"/>
      <c r="GTF127" s="211"/>
      <c r="GTG127" s="24"/>
      <c r="GTH127" s="211"/>
      <c r="GTI127" s="24"/>
      <c r="GTJ127" s="211"/>
      <c r="GTK127" s="24"/>
      <c r="GTL127" s="211"/>
      <c r="GTM127" s="24"/>
      <c r="GTN127" s="211"/>
      <c r="GTO127" s="24"/>
      <c r="GTP127" s="211"/>
      <c r="GTQ127" s="24"/>
      <c r="GTR127" s="211"/>
      <c r="GTS127" s="24"/>
      <c r="GTT127" s="211"/>
      <c r="GTU127" s="24"/>
      <c r="GTV127" s="211"/>
      <c r="GTW127" s="24"/>
      <c r="GTX127" s="211"/>
      <c r="GTY127" s="24"/>
      <c r="GTZ127" s="211"/>
      <c r="GUA127" s="24"/>
      <c r="GUB127" s="211"/>
      <c r="GUC127" s="24"/>
      <c r="GUD127" s="211"/>
      <c r="GUE127" s="24"/>
      <c r="GUF127" s="211"/>
      <c r="GUG127" s="24"/>
      <c r="GUH127" s="211"/>
      <c r="GUI127" s="24"/>
      <c r="GUJ127" s="211"/>
      <c r="GUK127" s="24"/>
      <c r="GUL127" s="211"/>
      <c r="GUM127" s="24"/>
      <c r="GUN127" s="211"/>
      <c r="GUO127" s="24"/>
      <c r="GUP127" s="211"/>
      <c r="GUQ127" s="24"/>
      <c r="GUR127" s="211"/>
      <c r="GUS127" s="24"/>
      <c r="GUT127" s="211"/>
      <c r="GUU127" s="24"/>
      <c r="GUV127" s="211"/>
      <c r="GUW127" s="24"/>
      <c r="GUX127" s="211"/>
      <c r="GUY127" s="24"/>
      <c r="GUZ127" s="211"/>
      <c r="GVA127" s="24"/>
      <c r="GVB127" s="211"/>
      <c r="GVC127" s="24"/>
      <c r="GVD127" s="211"/>
      <c r="GVE127" s="24"/>
      <c r="GVF127" s="211"/>
      <c r="GVG127" s="24"/>
      <c r="GVH127" s="211"/>
      <c r="GVI127" s="24"/>
      <c r="GVJ127" s="211"/>
      <c r="GVK127" s="24"/>
      <c r="GVL127" s="211"/>
      <c r="GVM127" s="24"/>
      <c r="GVN127" s="211"/>
      <c r="GVO127" s="24"/>
      <c r="GVP127" s="211"/>
      <c r="GVQ127" s="24"/>
      <c r="GVR127" s="211"/>
      <c r="GVS127" s="24"/>
      <c r="GVT127" s="211"/>
      <c r="GVU127" s="24"/>
      <c r="GVV127" s="211"/>
      <c r="GVW127" s="24"/>
      <c r="GVX127" s="211"/>
      <c r="GVY127" s="24"/>
      <c r="GVZ127" s="211"/>
      <c r="GWA127" s="24"/>
      <c r="GWB127" s="211"/>
      <c r="GWC127" s="24"/>
      <c r="GWD127" s="211"/>
      <c r="GWE127" s="24"/>
      <c r="GWF127" s="211"/>
      <c r="GWG127" s="24"/>
      <c r="GWH127" s="211"/>
      <c r="GWI127" s="24"/>
      <c r="GWJ127" s="211"/>
      <c r="GWK127" s="24"/>
      <c r="GWL127" s="211"/>
      <c r="GWM127" s="24"/>
      <c r="GWN127" s="211"/>
      <c r="GWO127" s="24"/>
      <c r="GWP127" s="211"/>
      <c r="GWQ127" s="24"/>
      <c r="GWR127" s="211"/>
      <c r="GWS127" s="24"/>
      <c r="GWT127" s="211"/>
      <c r="GWU127" s="24"/>
      <c r="GWV127" s="211"/>
      <c r="GWW127" s="24"/>
      <c r="GWX127" s="211"/>
      <c r="GWY127" s="24"/>
      <c r="GWZ127" s="211"/>
      <c r="GXA127" s="24"/>
      <c r="GXB127" s="211"/>
      <c r="GXC127" s="24"/>
      <c r="GXD127" s="211"/>
      <c r="GXE127" s="24"/>
      <c r="GXF127" s="211"/>
      <c r="GXG127" s="24"/>
      <c r="GXH127" s="211"/>
      <c r="GXI127" s="24"/>
      <c r="GXJ127" s="211"/>
      <c r="GXK127" s="24"/>
      <c r="GXL127" s="211"/>
      <c r="GXM127" s="24"/>
      <c r="GXN127" s="211"/>
      <c r="GXO127" s="24"/>
      <c r="GXP127" s="211"/>
      <c r="GXQ127" s="24"/>
      <c r="GXR127" s="211"/>
      <c r="GXS127" s="24"/>
      <c r="GXT127" s="211"/>
      <c r="GXU127" s="24"/>
      <c r="GXV127" s="211"/>
      <c r="GXW127" s="24"/>
      <c r="GXX127" s="211"/>
      <c r="GXY127" s="24"/>
      <c r="GXZ127" s="211"/>
      <c r="GYA127" s="24"/>
      <c r="GYB127" s="211"/>
      <c r="GYC127" s="24"/>
      <c r="GYD127" s="211"/>
      <c r="GYE127" s="24"/>
      <c r="GYF127" s="211"/>
      <c r="GYG127" s="24"/>
      <c r="GYH127" s="211"/>
      <c r="GYI127" s="24"/>
      <c r="GYJ127" s="211"/>
      <c r="GYK127" s="24"/>
      <c r="GYL127" s="211"/>
      <c r="GYM127" s="24"/>
      <c r="GYN127" s="211"/>
      <c r="GYO127" s="24"/>
      <c r="GYP127" s="211"/>
      <c r="GYQ127" s="24"/>
      <c r="GYR127" s="211"/>
      <c r="GYS127" s="24"/>
      <c r="GYT127" s="211"/>
      <c r="GYU127" s="24"/>
      <c r="GYV127" s="211"/>
      <c r="GYW127" s="24"/>
      <c r="GYX127" s="211"/>
      <c r="GYY127" s="24"/>
      <c r="GYZ127" s="211"/>
      <c r="GZA127" s="24"/>
      <c r="GZB127" s="211"/>
      <c r="GZC127" s="24"/>
      <c r="GZD127" s="211"/>
      <c r="GZE127" s="24"/>
      <c r="GZF127" s="211"/>
      <c r="GZG127" s="24"/>
      <c r="GZH127" s="211"/>
      <c r="GZI127" s="24"/>
      <c r="GZJ127" s="211"/>
      <c r="GZK127" s="24"/>
      <c r="GZL127" s="211"/>
      <c r="GZM127" s="24"/>
      <c r="GZN127" s="211"/>
      <c r="GZO127" s="24"/>
      <c r="GZP127" s="211"/>
      <c r="GZQ127" s="24"/>
      <c r="GZR127" s="211"/>
      <c r="GZS127" s="24"/>
      <c r="GZT127" s="211"/>
      <c r="GZU127" s="24"/>
      <c r="GZV127" s="211"/>
      <c r="GZW127" s="24"/>
      <c r="GZX127" s="211"/>
      <c r="GZY127" s="24"/>
      <c r="GZZ127" s="211"/>
      <c r="HAA127" s="24"/>
      <c r="HAB127" s="211"/>
      <c r="HAC127" s="24"/>
      <c r="HAD127" s="211"/>
      <c r="HAE127" s="24"/>
      <c r="HAF127" s="211"/>
      <c r="HAG127" s="24"/>
      <c r="HAH127" s="211"/>
      <c r="HAI127" s="24"/>
      <c r="HAJ127" s="211"/>
      <c r="HAK127" s="24"/>
      <c r="HAL127" s="211"/>
      <c r="HAM127" s="24"/>
      <c r="HAN127" s="211"/>
      <c r="HAO127" s="24"/>
      <c r="HAP127" s="211"/>
      <c r="HAQ127" s="24"/>
      <c r="HAR127" s="211"/>
      <c r="HAS127" s="24"/>
      <c r="HAT127" s="211"/>
      <c r="HAU127" s="24"/>
      <c r="HAV127" s="211"/>
      <c r="HAW127" s="24"/>
      <c r="HAX127" s="211"/>
      <c r="HAY127" s="24"/>
      <c r="HAZ127" s="211"/>
      <c r="HBA127" s="24"/>
      <c r="HBB127" s="211"/>
      <c r="HBC127" s="24"/>
      <c r="HBD127" s="211"/>
      <c r="HBE127" s="24"/>
      <c r="HBF127" s="211"/>
      <c r="HBG127" s="24"/>
      <c r="HBH127" s="211"/>
      <c r="HBI127" s="24"/>
      <c r="HBJ127" s="211"/>
      <c r="HBK127" s="24"/>
      <c r="HBL127" s="211"/>
      <c r="HBM127" s="24"/>
      <c r="HBN127" s="211"/>
      <c r="HBO127" s="24"/>
      <c r="HBP127" s="211"/>
      <c r="HBQ127" s="24"/>
      <c r="HBR127" s="211"/>
      <c r="HBS127" s="24"/>
      <c r="HBT127" s="211"/>
      <c r="HBU127" s="24"/>
      <c r="HBV127" s="211"/>
      <c r="HBW127" s="24"/>
      <c r="HBX127" s="211"/>
      <c r="HBY127" s="24"/>
      <c r="HBZ127" s="211"/>
      <c r="HCA127" s="24"/>
      <c r="HCB127" s="211"/>
      <c r="HCC127" s="24"/>
      <c r="HCD127" s="211"/>
      <c r="HCE127" s="24"/>
      <c r="HCF127" s="211"/>
      <c r="HCG127" s="24"/>
      <c r="HCH127" s="211"/>
      <c r="HCI127" s="24"/>
      <c r="HCJ127" s="211"/>
      <c r="HCK127" s="24"/>
      <c r="HCL127" s="211"/>
      <c r="HCM127" s="24"/>
      <c r="HCN127" s="211"/>
      <c r="HCO127" s="24"/>
      <c r="HCP127" s="211"/>
      <c r="HCQ127" s="24"/>
      <c r="HCR127" s="211"/>
      <c r="HCS127" s="24"/>
      <c r="HCT127" s="211"/>
      <c r="HCU127" s="24"/>
      <c r="HCV127" s="211"/>
      <c r="HCW127" s="24"/>
      <c r="HCX127" s="211"/>
      <c r="HCY127" s="24"/>
      <c r="HCZ127" s="211"/>
      <c r="HDA127" s="24"/>
      <c r="HDB127" s="211"/>
      <c r="HDC127" s="24"/>
      <c r="HDD127" s="211"/>
      <c r="HDE127" s="24"/>
      <c r="HDF127" s="211"/>
      <c r="HDG127" s="24"/>
      <c r="HDH127" s="211"/>
      <c r="HDI127" s="24"/>
      <c r="HDJ127" s="211"/>
      <c r="HDK127" s="24"/>
      <c r="HDL127" s="211"/>
      <c r="HDM127" s="24"/>
      <c r="HDN127" s="211"/>
      <c r="HDO127" s="24"/>
      <c r="HDP127" s="211"/>
      <c r="HDQ127" s="24"/>
      <c r="HDR127" s="211"/>
      <c r="HDS127" s="24"/>
      <c r="HDT127" s="211"/>
      <c r="HDU127" s="24"/>
      <c r="HDV127" s="211"/>
      <c r="HDW127" s="24"/>
      <c r="HDX127" s="211"/>
      <c r="HDY127" s="24"/>
      <c r="HDZ127" s="211"/>
      <c r="HEA127" s="24"/>
      <c r="HEB127" s="211"/>
      <c r="HEC127" s="24"/>
      <c r="HED127" s="211"/>
      <c r="HEE127" s="24"/>
      <c r="HEF127" s="211"/>
      <c r="HEG127" s="24"/>
      <c r="HEH127" s="211"/>
      <c r="HEI127" s="24"/>
      <c r="HEJ127" s="211"/>
      <c r="HEK127" s="24"/>
      <c r="HEL127" s="211"/>
      <c r="HEM127" s="24"/>
      <c r="HEN127" s="211"/>
      <c r="HEO127" s="24"/>
      <c r="HEP127" s="211"/>
      <c r="HEQ127" s="24"/>
      <c r="HER127" s="211"/>
      <c r="HES127" s="24"/>
      <c r="HET127" s="211"/>
      <c r="HEU127" s="24"/>
      <c r="HEV127" s="211"/>
      <c r="HEW127" s="24"/>
      <c r="HEX127" s="211"/>
      <c r="HEY127" s="24"/>
      <c r="HEZ127" s="211"/>
      <c r="HFA127" s="24"/>
      <c r="HFB127" s="211"/>
      <c r="HFC127" s="24"/>
      <c r="HFD127" s="211"/>
      <c r="HFE127" s="24"/>
      <c r="HFF127" s="211"/>
      <c r="HFG127" s="24"/>
      <c r="HFH127" s="211"/>
      <c r="HFI127" s="24"/>
      <c r="HFJ127" s="211"/>
      <c r="HFK127" s="24"/>
      <c r="HFL127" s="211"/>
      <c r="HFM127" s="24"/>
      <c r="HFN127" s="211"/>
      <c r="HFO127" s="24"/>
      <c r="HFP127" s="211"/>
      <c r="HFQ127" s="24"/>
      <c r="HFR127" s="211"/>
      <c r="HFS127" s="24"/>
      <c r="HFT127" s="211"/>
      <c r="HFU127" s="24"/>
      <c r="HFV127" s="211"/>
      <c r="HFW127" s="24"/>
      <c r="HFX127" s="211"/>
      <c r="HFY127" s="24"/>
      <c r="HFZ127" s="211"/>
      <c r="HGA127" s="24"/>
      <c r="HGB127" s="211"/>
      <c r="HGC127" s="24"/>
      <c r="HGD127" s="211"/>
      <c r="HGE127" s="24"/>
      <c r="HGF127" s="211"/>
      <c r="HGG127" s="24"/>
      <c r="HGH127" s="211"/>
      <c r="HGI127" s="24"/>
      <c r="HGJ127" s="211"/>
      <c r="HGK127" s="24"/>
      <c r="HGL127" s="211"/>
      <c r="HGM127" s="24"/>
      <c r="HGN127" s="211"/>
      <c r="HGO127" s="24"/>
      <c r="HGP127" s="211"/>
      <c r="HGQ127" s="24"/>
      <c r="HGR127" s="211"/>
      <c r="HGS127" s="24"/>
      <c r="HGT127" s="211"/>
      <c r="HGU127" s="24"/>
      <c r="HGV127" s="211"/>
      <c r="HGW127" s="24"/>
      <c r="HGX127" s="211"/>
      <c r="HGY127" s="24"/>
      <c r="HGZ127" s="211"/>
      <c r="HHA127" s="24"/>
      <c r="HHB127" s="211"/>
      <c r="HHC127" s="24"/>
      <c r="HHD127" s="211"/>
      <c r="HHE127" s="24"/>
      <c r="HHF127" s="211"/>
      <c r="HHG127" s="24"/>
      <c r="HHH127" s="211"/>
      <c r="HHI127" s="24"/>
      <c r="HHJ127" s="211"/>
      <c r="HHK127" s="24"/>
      <c r="HHL127" s="211"/>
      <c r="HHM127" s="24"/>
      <c r="HHN127" s="211"/>
      <c r="HHO127" s="24"/>
      <c r="HHP127" s="211"/>
      <c r="HHQ127" s="24"/>
      <c r="HHR127" s="211"/>
      <c r="HHS127" s="24"/>
      <c r="HHT127" s="211"/>
      <c r="HHU127" s="24"/>
      <c r="HHV127" s="211"/>
      <c r="HHW127" s="24"/>
      <c r="HHX127" s="211"/>
      <c r="HHY127" s="24"/>
      <c r="HHZ127" s="211"/>
      <c r="HIA127" s="24"/>
      <c r="HIB127" s="211"/>
      <c r="HIC127" s="24"/>
      <c r="HID127" s="211"/>
      <c r="HIE127" s="24"/>
      <c r="HIF127" s="211"/>
      <c r="HIG127" s="24"/>
      <c r="HIH127" s="211"/>
      <c r="HII127" s="24"/>
      <c r="HIJ127" s="211"/>
      <c r="HIK127" s="24"/>
      <c r="HIL127" s="211"/>
      <c r="HIM127" s="24"/>
      <c r="HIN127" s="211"/>
      <c r="HIO127" s="24"/>
      <c r="HIP127" s="211"/>
      <c r="HIQ127" s="24"/>
      <c r="HIR127" s="211"/>
      <c r="HIS127" s="24"/>
      <c r="HIT127" s="211"/>
      <c r="HIU127" s="24"/>
      <c r="HIV127" s="211"/>
      <c r="HIW127" s="24"/>
      <c r="HIX127" s="211"/>
      <c r="HIY127" s="24"/>
      <c r="HIZ127" s="211"/>
      <c r="HJA127" s="24"/>
      <c r="HJB127" s="211"/>
      <c r="HJC127" s="24"/>
      <c r="HJD127" s="211"/>
      <c r="HJE127" s="24"/>
      <c r="HJF127" s="211"/>
      <c r="HJG127" s="24"/>
      <c r="HJH127" s="211"/>
      <c r="HJI127" s="24"/>
      <c r="HJJ127" s="211"/>
      <c r="HJK127" s="24"/>
      <c r="HJL127" s="211"/>
      <c r="HJM127" s="24"/>
      <c r="HJN127" s="211"/>
      <c r="HJO127" s="24"/>
      <c r="HJP127" s="211"/>
      <c r="HJQ127" s="24"/>
      <c r="HJR127" s="211"/>
      <c r="HJS127" s="24"/>
      <c r="HJT127" s="211"/>
      <c r="HJU127" s="24"/>
      <c r="HJV127" s="211"/>
      <c r="HJW127" s="24"/>
      <c r="HJX127" s="211"/>
      <c r="HJY127" s="24"/>
      <c r="HJZ127" s="211"/>
      <c r="HKA127" s="24"/>
      <c r="HKB127" s="211"/>
      <c r="HKC127" s="24"/>
      <c r="HKD127" s="211"/>
      <c r="HKE127" s="24"/>
      <c r="HKF127" s="211"/>
      <c r="HKG127" s="24"/>
      <c r="HKH127" s="211"/>
      <c r="HKI127" s="24"/>
      <c r="HKJ127" s="211"/>
      <c r="HKK127" s="24"/>
      <c r="HKL127" s="211"/>
      <c r="HKM127" s="24"/>
      <c r="HKN127" s="211"/>
      <c r="HKO127" s="24"/>
      <c r="HKP127" s="211"/>
      <c r="HKQ127" s="24"/>
      <c r="HKR127" s="211"/>
      <c r="HKS127" s="24"/>
      <c r="HKT127" s="211"/>
      <c r="HKU127" s="24"/>
      <c r="HKV127" s="211"/>
      <c r="HKW127" s="24"/>
      <c r="HKX127" s="211"/>
      <c r="HKY127" s="24"/>
      <c r="HKZ127" s="211"/>
      <c r="HLA127" s="24"/>
      <c r="HLB127" s="211"/>
      <c r="HLC127" s="24"/>
      <c r="HLD127" s="211"/>
      <c r="HLE127" s="24"/>
      <c r="HLF127" s="211"/>
      <c r="HLG127" s="24"/>
      <c r="HLH127" s="211"/>
      <c r="HLI127" s="24"/>
      <c r="HLJ127" s="211"/>
      <c r="HLK127" s="24"/>
      <c r="HLL127" s="211"/>
      <c r="HLM127" s="24"/>
      <c r="HLN127" s="211"/>
      <c r="HLO127" s="24"/>
      <c r="HLP127" s="211"/>
      <c r="HLQ127" s="24"/>
      <c r="HLR127" s="211"/>
      <c r="HLS127" s="24"/>
      <c r="HLT127" s="211"/>
      <c r="HLU127" s="24"/>
      <c r="HLV127" s="211"/>
      <c r="HLW127" s="24"/>
      <c r="HLX127" s="211"/>
      <c r="HLY127" s="24"/>
      <c r="HLZ127" s="211"/>
      <c r="HMA127" s="24"/>
      <c r="HMB127" s="211"/>
      <c r="HMC127" s="24"/>
      <c r="HMD127" s="211"/>
      <c r="HME127" s="24"/>
      <c r="HMF127" s="211"/>
      <c r="HMG127" s="24"/>
      <c r="HMH127" s="211"/>
      <c r="HMI127" s="24"/>
      <c r="HMJ127" s="211"/>
      <c r="HMK127" s="24"/>
      <c r="HML127" s="211"/>
      <c r="HMM127" s="24"/>
      <c r="HMN127" s="211"/>
      <c r="HMO127" s="24"/>
      <c r="HMP127" s="211"/>
      <c r="HMQ127" s="24"/>
      <c r="HMR127" s="211"/>
      <c r="HMS127" s="24"/>
      <c r="HMT127" s="211"/>
      <c r="HMU127" s="24"/>
      <c r="HMV127" s="211"/>
      <c r="HMW127" s="24"/>
      <c r="HMX127" s="211"/>
      <c r="HMY127" s="24"/>
      <c r="HMZ127" s="211"/>
      <c r="HNA127" s="24"/>
      <c r="HNB127" s="211"/>
      <c r="HNC127" s="24"/>
      <c r="HND127" s="211"/>
      <c r="HNE127" s="24"/>
      <c r="HNF127" s="211"/>
      <c r="HNG127" s="24"/>
      <c r="HNH127" s="211"/>
      <c r="HNI127" s="24"/>
      <c r="HNJ127" s="211"/>
      <c r="HNK127" s="24"/>
      <c r="HNL127" s="211"/>
      <c r="HNM127" s="24"/>
      <c r="HNN127" s="211"/>
      <c r="HNO127" s="24"/>
      <c r="HNP127" s="211"/>
      <c r="HNQ127" s="24"/>
      <c r="HNR127" s="211"/>
      <c r="HNS127" s="24"/>
      <c r="HNT127" s="211"/>
      <c r="HNU127" s="24"/>
      <c r="HNV127" s="211"/>
      <c r="HNW127" s="24"/>
      <c r="HNX127" s="211"/>
      <c r="HNY127" s="24"/>
      <c r="HNZ127" s="211"/>
      <c r="HOA127" s="24"/>
      <c r="HOB127" s="211"/>
      <c r="HOC127" s="24"/>
      <c r="HOD127" s="211"/>
      <c r="HOE127" s="24"/>
      <c r="HOF127" s="211"/>
      <c r="HOG127" s="24"/>
      <c r="HOH127" s="211"/>
      <c r="HOI127" s="24"/>
      <c r="HOJ127" s="211"/>
      <c r="HOK127" s="24"/>
      <c r="HOL127" s="211"/>
      <c r="HOM127" s="24"/>
      <c r="HON127" s="211"/>
      <c r="HOO127" s="24"/>
      <c r="HOP127" s="211"/>
      <c r="HOQ127" s="24"/>
      <c r="HOR127" s="211"/>
      <c r="HOS127" s="24"/>
      <c r="HOT127" s="211"/>
      <c r="HOU127" s="24"/>
      <c r="HOV127" s="211"/>
      <c r="HOW127" s="24"/>
      <c r="HOX127" s="211"/>
      <c r="HOY127" s="24"/>
      <c r="HOZ127" s="211"/>
      <c r="HPA127" s="24"/>
      <c r="HPB127" s="211"/>
      <c r="HPC127" s="24"/>
      <c r="HPD127" s="211"/>
      <c r="HPE127" s="24"/>
      <c r="HPF127" s="211"/>
      <c r="HPG127" s="24"/>
      <c r="HPH127" s="211"/>
      <c r="HPI127" s="24"/>
      <c r="HPJ127" s="211"/>
      <c r="HPK127" s="24"/>
      <c r="HPL127" s="211"/>
      <c r="HPM127" s="24"/>
      <c r="HPN127" s="211"/>
      <c r="HPO127" s="24"/>
      <c r="HPP127" s="211"/>
      <c r="HPQ127" s="24"/>
      <c r="HPR127" s="211"/>
      <c r="HPS127" s="24"/>
      <c r="HPT127" s="211"/>
      <c r="HPU127" s="24"/>
      <c r="HPV127" s="211"/>
      <c r="HPW127" s="24"/>
      <c r="HPX127" s="211"/>
      <c r="HPY127" s="24"/>
      <c r="HPZ127" s="211"/>
      <c r="HQA127" s="24"/>
      <c r="HQB127" s="211"/>
      <c r="HQC127" s="24"/>
      <c r="HQD127" s="211"/>
      <c r="HQE127" s="24"/>
      <c r="HQF127" s="211"/>
      <c r="HQG127" s="24"/>
      <c r="HQH127" s="211"/>
      <c r="HQI127" s="24"/>
      <c r="HQJ127" s="211"/>
      <c r="HQK127" s="24"/>
      <c r="HQL127" s="211"/>
      <c r="HQM127" s="24"/>
      <c r="HQN127" s="211"/>
      <c r="HQO127" s="24"/>
      <c r="HQP127" s="211"/>
      <c r="HQQ127" s="24"/>
      <c r="HQR127" s="211"/>
      <c r="HQS127" s="24"/>
      <c r="HQT127" s="211"/>
      <c r="HQU127" s="24"/>
      <c r="HQV127" s="211"/>
      <c r="HQW127" s="24"/>
      <c r="HQX127" s="211"/>
      <c r="HQY127" s="24"/>
      <c r="HQZ127" s="211"/>
      <c r="HRA127" s="24"/>
      <c r="HRB127" s="211"/>
      <c r="HRC127" s="24"/>
      <c r="HRD127" s="211"/>
      <c r="HRE127" s="24"/>
      <c r="HRF127" s="211"/>
      <c r="HRG127" s="24"/>
      <c r="HRH127" s="211"/>
      <c r="HRI127" s="24"/>
      <c r="HRJ127" s="211"/>
      <c r="HRK127" s="24"/>
      <c r="HRL127" s="211"/>
      <c r="HRM127" s="24"/>
      <c r="HRN127" s="211"/>
      <c r="HRO127" s="24"/>
      <c r="HRP127" s="211"/>
      <c r="HRQ127" s="24"/>
      <c r="HRR127" s="211"/>
      <c r="HRS127" s="24"/>
      <c r="HRT127" s="211"/>
      <c r="HRU127" s="24"/>
      <c r="HRV127" s="211"/>
      <c r="HRW127" s="24"/>
      <c r="HRX127" s="211"/>
      <c r="HRY127" s="24"/>
      <c r="HRZ127" s="211"/>
      <c r="HSA127" s="24"/>
      <c r="HSB127" s="211"/>
      <c r="HSC127" s="24"/>
      <c r="HSD127" s="211"/>
      <c r="HSE127" s="24"/>
      <c r="HSF127" s="211"/>
      <c r="HSG127" s="24"/>
      <c r="HSH127" s="211"/>
      <c r="HSI127" s="24"/>
      <c r="HSJ127" s="211"/>
      <c r="HSK127" s="24"/>
      <c r="HSL127" s="211"/>
      <c r="HSM127" s="24"/>
      <c r="HSN127" s="211"/>
      <c r="HSO127" s="24"/>
      <c r="HSP127" s="211"/>
      <c r="HSQ127" s="24"/>
      <c r="HSR127" s="211"/>
      <c r="HSS127" s="24"/>
      <c r="HST127" s="211"/>
      <c r="HSU127" s="24"/>
      <c r="HSV127" s="211"/>
      <c r="HSW127" s="24"/>
      <c r="HSX127" s="211"/>
      <c r="HSY127" s="24"/>
      <c r="HSZ127" s="211"/>
      <c r="HTA127" s="24"/>
      <c r="HTB127" s="211"/>
      <c r="HTC127" s="24"/>
      <c r="HTD127" s="211"/>
      <c r="HTE127" s="24"/>
      <c r="HTF127" s="211"/>
      <c r="HTG127" s="24"/>
      <c r="HTH127" s="211"/>
      <c r="HTI127" s="24"/>
      <c r="HTJ127" s="211"/>
      <c r="HTK127" s="24"/>
      <c r="HTL127" s="211"/>
      <c r="HTM127" s="24"/>
      <c r="HTN127" s="211"/>
      <c r="HTO127" s="24"/>
      <c r="HTP127" s="211"/>
      <c r="HTQ127" s="24"/>
      <c r="HTR127" s="211"/>
      <c r="HTS127" s="24"/>
      <c r="HTT127" s="211"/>
      <c r="HTU127" s="24"/>
      <c r="HTV127" s="211"/>
      <c r="HTW127" s="24"/>
      <c r="HTX127" s="211"/>
      <c r="HTY127" s="24"/>
      <c r="HTZ127" s="211"/>
      <c r="HUA127" s="24"/>
      <c r="HUB127" s="211"/>
      <c r="HUC127" s="24"/>
      <c r="HUD127" s="211"/>
      <c r="HUE127" s="24"/>
      <c r="HUF127" s="211"/>
      <c r="HUG127" s="24"/>
      <c r="HUH127" s="211"/>
      <c r="HUI127" s="24"/>
      <c r="HUJ127" s="211"/>
      <c r="HUK127" s="24"/>
      <c r="HUL127" s="211"/>
      <c r="HUM127" s="24"/>
      <c r="HUN127" s="211"/>
      <c r="HUO127" s="24"/>
      <c r="HUP127" s="211"/>
      <c r="HUQ127" s="24"/>
      <c r="HUR127" s="211"/>
      <c r="HUS127" s="24"/>
      <c r="HUT127" s="211"/>
      <c r="HUU127" s="24"/>
      <c r="HUV127" s="211"/>
      <c r="HUW127" s="24"/>
      <c r="HUX127" s="211"/>
      <c r="HUY127" s="24"/>
      <c r="HUZ127" s="211"/>
      <c r="HVA127" s="24"/>
      <c r="HVB127" s="211"/>
      <c r="HVC127" s="24"/>
      <c r="HVD127" s="211"/>
      <c r="HVE127" s="24"/>
      <c r="HVF127" s="211"/>
      <c r="HVG127" s="24"/>
      <c r="HVH127" s="211"/>
      <c r="HVI127" s="24"/>
      <c r="HVJ127" s="211"/>
      <c r="HVK127" s="24"/>
      <c r="HVL127" s="211"/>
      <c r="HVM127" s="24"/>
      <c r="HVN127" s="211"/>
      <c r="HVO127" s="24"/>
      <c r="HVP127" s="211"/>
      <c r="HVQ127" s="24"/>
      <c r="HVR127" s="211"/>
      <c r="HVS127" s="24"/>
      <c r="HVT127" s="211"/>
      <c r="HVU127" s="24"/>
      <c r="HVV127" s="211"/>
      <c r="HVW127" s="24"/>
      <c r="HVX127" s="211"/>
      <c r="HVY127" s="24"/>
      <c r="HVZ127" s="211"/>
      <c r="HWA127" s="24"/>
      <c r="HWB127" s="211"/>
      <c r="HWC127" s="24"/>
      <c r="HWD127" s="211"/>
      <c r="HWE127" s="24"/>
      <c r="HWF127" s="211"/>
      <c r="HWG127" s="24"/>
      <c r="HWH127" s="211"/>
      <c r="HWI127" s="24"/>
      <c r="HWJ127" s="211"/>
      <c r="HWK127" s="24"/>
      <c r="HWL127" s="211"/>
      <c r="HWM127" s="24"/>
      <c r="HWN127" s="211"/>
      <c r="HWO127" s="24"/>
      <c r="HWP127" s="211"/>
      <c r="HWQ127" s="24"/>
      <c r="HWR127" s="211"/>
      <c r="HWS127" s="24"/>
      <c r="HWT127" s="211"/>
      <c r="HWU127" s="24"/>
      <c r="HWV127" s="211"/>
      <c r="HWW127" s="24"/>
      <c r="HWX127" s="211"/>
      <c r="HWY127" s="24"/>
      <c r="HWZ127" s="211"/>
      <c r="HXA127" s="24"/>
      <c r="HXB127" s="211"/>
      <c r="HXC127" s="24"/>
      <c r="HXD127" s="211"/>
      <c r="HXE127" s="24"/>
      <c r="HXF127" s="211"/>
      <c r="HXG127" s="24"/>
      <c r="HXH127" s="211"/>
      <c r="HXI127" s="24"/>
      <c r="HXJ127" s="211"/>
      <c r="HXK127" s="24"/>
      <c r="HXL127" s="211"/>
      <c r="HXM127" s="24"/>
      <c r="HXN127" s="211"/>
      <c r="HXO127" s="24"/>
      <c r="HXP127" s="211"/>
      <c r="HXQ127" s="24"/>
      <c r="HXR127" s="211"/>
      <c r="HXS127" s="24"/>
      <c r="HXT127" s="211"/>
      <c r="HXU127" s="24"/>
      <c r="HXV127" s="211"/>
      <c r="HXW127" s="24"/>
      <c r="HXX127" s="211"/>
      <c r="HXY127" s="24"/>
      <c r="HXZ127" s="211"/>
      <c r="HYA127" s="24"/>
      <c r="HYB127" s="211"/>
      <c r="HYC127" s="24"/>
      <c r="HYD127" s="211"/>
      <c r="HYE127" s="24"/>
      <c r="HYF127" s="211"/>
      <c r="HYG127" s="24"/>
      <c r="HYH127" s="211"/>
      <c r="HYI127" s="24"/>
      <c r="HYJ127" s="211"/>
      <c r="HYK127" s="24"/>
      <c r="HYL127" s="211"/>
      <c r="HYM127" s="24"/>
      <c r="HYN127" s="211"/>
      <c r="HYO127" s="24"/>
      <c r="HYP127" s="211"/>
      <c r="HYQ127" s="24"/>
      <c r="HYR127" s="211"/>
      <c r="HYS127" s="24"/>
      <c r="HYT127" s="211"/>
      <c r="HYU127" s="24"/>
      <c r="HYV127" s="211"/>
      <c r="HYW127" s="24"/>
      <c r="HYX127" s="211"/>
      <c r="HYY127" s="24"/>
      <c r="HYZ127" s="211"/>
      <c r="HZA127" s="24"/>
      <c r="HZB127" s="211"/>
      <c r="HZC127" s="24"/>
      <c r="HZD127" s="211"/>
      <c r="HZE127" s="24"/>
      <c r="HZF127" s="211"/>
      <c r="HZG127" s="24"/>
      <c r="HZH127" s="211"/>
      <c r="HZI127" s="24"/>
      <c r="HZJ127" s="211"/>
      <c r="HZK127" s="24"/>
      <c r="HZL127" s="211"/>
      <c r="HZM127" s="24"/>
      <c r="HZN127" s="211"/>
      <c r="HZO127" s="24"/>
      <c r="HZP127" s="211"/>
      <c r="HZQ127" s="24"/>
      <c r="HZR127" s="211"/>
      <c r="HZS127" s="24"/>
      <c r="HZT127" s="211"/>
      <c r="HZU127" s="24"/>
      <c r="HZV127" s="211"/>
      <c r="HZW127" s="24"/>
      <c r="HZX127" s="211"/>
      <c r="HZY127" s="24"/>
      <c r="HZZ127" s="211"/>
      <c r="IAA127" s="24"/>
      <c r="IAB127" s="211"/>
      <c r="IAC127" s="24"/>
      <c r="IAD127" s="211"/>
      <c r="IAE127" s="24"/>
      <c r="IAF127" s="211"/>
      <c r="IAG127" s="24"/>
      <c r="IAH127" s="211"/>
      <c r="IAI127" s="24"/>
      <c r="IAJ127" s="211"/>
      <c r="IAK127" s="24"/>
      <c r="IAL127" s="211"/>
      <c r="IAM127" s="24"/>
      <c r="IAN127" s="211"/>
      <c r="IAO127" s="24"/>
      <c r="IAP127" s="211"/>
      <c r="IAQ127" s="24"/>
      <c r="IAR127" s="211"/>
      <c r="IAS127" s="24"/>
      <c r="IAT127" s="211"/>
      <c r="IAU127" s="24"/>
      <c r="IAV127" s="211"/>
      <c r="IAW127" s="24"/>
      <c r="IAX127" s="211"/>
      <c r="IAY127" s="24"/>
      <c r="IAZ127" s="211"/>
      <c r="IBA127" s="24"/>
      <c r="IBB127" s="211"/>
      <c r="IBC127" s="24"/>
      <c r="IBD127" s="211"/>
      <c r="IBE127" s="24"/>
      <c r="IBF127" s="211"/>
      <c r="IBG127" s="24"/>
      <c r="IBH127" s="211"/>
      <c r="IBI127" s="24"/>
      <c r="IBJ127" s="211"/>
      <c r="IBK127" s="24"/>
      <c r="IBL127" s="211"/>
      <c r="IBM127" s="24"/>
      <c r="IBN127" s="211"/>
      <c r="IBO127" s="24"/>
      <c r="IBP127" s="211"/>
      <c r="IBQ127" s="24"/>
      <c r="IBR127" s="211"/>
      <c r="IBS127" s="24"/>
      <c r="IBT127" s="211"/>
      <c r="IBU127" s="24"/>
      <c r="IBV127" s="211"/>
      <c r="IBW127" s="24"/>
      <c r="IBX127" s="211"/>
      <c r="IBY127" s="24"/>
      <c r="IBZ127" s="211"/>
      <c r="ICA127" s="24"/>
      <c r="ICB127" s="211"/>
      <c r="ICC127" s="24"/>
      <c r="ICD127" s="211"/>
      <c r="ICE127" s="24"/>
      <c r="ICF127" s="211"/>
      <c r="ICG127" s="24"/>
      <c r="ICH127" s="211"/>
      <c r="ICI127" s="24"/>
      <c r="ICJ127" s="211"/>
      <c r="ICK127" s="24"/>
      <c r="ICL127" s="211"/>
      <c r="ICM127" s="24"/>
      <c r="ICN127" s="211"/>
      <c r="ICO127" s="24"/>
      <c r="ICP127" s="211"/>
      <c r="ICQ127" s="24"/>
      <c r="ICR127" s="211"/>
      <c r="ICS127" s="24"/>
      <c r="ICT127" s="211"/>
      <c r="ICU127" s="24"/>
      <c r="ICV127" s="211"/>
      <c r="ICW127" s="24"/>
      <c r="ICX127" s="211"/>
      <c r="ICY127" s="24"/>
      <c r="ICZ127" s="211"/>
      <c r="IDA127" s="24"/>
      <c r="IDB127" s="211"/>
      <c r="IDC127" s="24"/>
      <c r="IDD127" s="211"/>
      <c r="IDE127" s="24"/>
      <c r="IDF127" s="211"/>
      <c r="IDG127" s="24"/>
      <c r="IDH127" s="211"/>
      <c r="IDI127" s="24"/>
      <c r="IDJ127" s="211"/>
      <c r="IDK127" s="24"/>
      <c r="IDL127" s="211"/>
      <c r="IDM127" s="24"/>
      <c r="IDN127" s="211"/>
      <c r="IDO127" s="24"/>
      <c r="IDP127" s="211"/>
      <c r="IDQ127" s="24"/>
      <c r="IDR127" s="211"/>
      <c r="IDS127" s="24"/>
      <c r="IDT127" s="211"/>
      <c r="IDU127" s="24"/>
      <c r="IDV127" s="211"/>
      <c r="IDW127" s="24"/>
      <c r="IDX127" s="211"/>
      <c r="IDY127" s="24"/>
      <c r="IDZ127" s="211"/>
      <c r="IEA127" s="24"/>
      <c r="IEB127" s="211"/>
      <c r="IEC127" s="24"/>
      <c r="IED127" s="211"/>
      <c r="IEE127" s="24"/>
      <c r="IEF127" s="211"/>
      <c r="IEG127" s="24"/>
      <c r="IEH127" s="211"/>
      <c r="IEI127" s="24"/>
      <c r="IEJ127" s="211"/>
      <c r="IEK127" s="24"/>
      <c r="IEL127" s="211"/>
      <c r="IEM127" s="24"/>
      <c r="IEN127" s="211"/>
      <c r="IEO127" s="24"/>
      <c r="IEP127" s="211"/>
      <c r="IEQ127" s="24"/>
      <c r="IER127" s="211"/>
      <c r="IES127" s="24"/>
      <c r="IET127" s="211"/>
      <c r="IEU127" s="24"/>
      <c r="IEV127" s="211"/>
      <c r="IEW127" s="24"/>
      <c r="IEX127" s="211"/>
      <c r="IEY127" s="24"/>
      <c r="IEZ127" s="211"/>
      <c r="IFA127" s="24"/>
      <c r="IFB127" s="211"/>
      <c r="IFC127" s="24"/>
      <c r="IFD127" s="211"/>
      <c r="IFE127" s="24"/>
      <c r="IFF127" s="211"/>
      <c r="IFG127" s="24"/>
      <c r="IFH127" s="211"/>
      <c r="IFI127" s="24"/>
      <c r="IFJ127" s="211"/>
      <c r="IFK127" s="24"/>
      <c r="IFL127" s="211"/>
      <c r="IFM127" s="24"/>
      <c r="IFN127" s="211"/>
      <c r="IFO127" s="24"/>
      <c r="IFP127" s="211"/>
      <c r="IFQ127" s="24"/>
      <c r="IFR127" s="211"/>
      <c r="IFS127" s="24"/>
      <c r="IFT127" s="211"/>
      <c r="IFU127" s="24"/>
      <c r="IFV127" s="211"/>
      <c r="IFW127" s="24"/>
      <c r="IFX127" s="211"/>
      <c r="IFY127" s="24"/>
      <c r="IFZ127" s="211"/>
      <c r="IGA127" s="24"/>
      <c r="IGB127" s="211"/>
      <c r="IGC127" s="24"/>
      <c r="IGD127" s="211"/>
      <c r="IGE127" s="24"/>
      <c r="IGF127" s="211"/>
      <c r="IGG127" s="24"/>
      <c r="IGH127" s="211"/>
      <c r="IGI127" s="24"/>
      <c r="IGJ127" s="211"/>
      <c r="IGK127" s="24"/>
      <c r="IGL127" s="211"/>
      <c r="IGM127" s="24"/>
      <c r="IGN127" s="211"/>
      <c r="IGO127" s="24"/>
      <c r="IGP127" s="211"/>
      <c r="IGQ127" s="24"/>
      <c r="IGR127" s="211"/>
      <c r="IGS127" s="24"/>
      <c r="IGT127" s="211"/>
      <c r="IGU127" s="24"/>
      <c r="IGV127" s="211"/>
      <c r="IGW127" s="24"/>
      <c r="IGX127" s="211"/>
      <c r="IGY127" s="24"/>
      <c r="IGZ127" s="211"/>
      <c r="IHA127" s="24"/>
      <c r="IHB127" s="211"/>
      <c r="IHC127" s="24"/>
      <c r="IHD127" s="211"/>
      <c r="IHE127" s="24"/>
      <c r="IHF127" s="211"/>
      <c r="IHG127" s="24"/>
      <c r="IHH127" s="211"/>
      <c r="IHI127" s="24"/>
      <c r="IHJ127" s="211"/>
      <c r="IHK127" s="24"/>
      <c r="IHL127" s="211"/>
      <c r="IHM127" s="24"/>
      <c r="IHN127" s="211"/>
      <c r="IHO127" s="24"/>
      <c r="IHP127" s="211"/>
      <c r="IHQ127" s="24"/>
      <c r="IHR127" s="211"/>
      <c r="IHS127" s="24"/>
      <c r="IHT127" s="211"/>
      <c r="IHU127" s="24"/>
      <c r="IHV127" s="211"/>
      <c r="IHW127" s="24"/>
      <c r="IHX127" s="211"/>
      <c r="IHY127" s="24"/>
      <c r="IHZ127" s="211"/>
      <c r="IIA127" s="24"/>
      <c r="IIB127" s="211"/>
      <c r="IIC127" s="24"/>
      <c r="IID127" s="211"/>
      <c r="IIE127" s="24"/>
      <c r="IIF127" s="211"/>
      <c r="IIG127" s="24"/>
      <c r="IIH127" s="211"/>
      <c r="III127" s="24"/>
      <c r="IIJ127" s="211"/>
      <c r="IIK127" s="24"/>
      <c r="IIL127" s="211"/>
      <c r="IIM127" s="24"/>
      <c r="IIN127" s="211"/>
      <c r="IIO127" s="24"/>
      <c r="IIP127" s="211"/>
      <c r="IIQ127" s="24"/>
      <c r="IIR127" s="211"/>
      <c r="IIS127" s="24"/>
      <c r="IIT127" s="211"/>
      <c r="IIU127" s="24"/>
      <c r="IIV127" s="211"/>
      <c r="IIW127" s="24"/>
      <c r="IIX127" s="211"/>
      <c r="IIY127" s="24"/>
      <c r="IIZ127" s="211"/>
      <c r="IJA127" s="24"/>
      <c r="IJB127" s="211"/>
      <c r="IJC127" s="24"/>
      <c r="IJD127" s="211"/>
      <c r="IJE127" s="24"/>
      <c r="IJF127" s="211"/>
      <c r="IJG127" s="24"/>
      <c r="IJH127" s="211"/>
      <c r="IJI127" s="24"/>
      <c r="IJJ127" s="211"/>
      <c r="IJK127" s="24"/>
      <c r="IJL127" s="211"/>
      <c r="IJM127" s="24"/>
      <c r="IJN127" s="211"/>
      <c r="IJO127" s="24"/>
      <c r="IJP127" s="211"/>
      <c r="IJQ127" s="24"/>
      <c r="IJR127" s="211"/>
      <c r="IJS127" s="24"/>
      <c r="IJT127" s="211"/>
      <c r="IJU127" s="24"/>
      <c r="IJV127" s="211"/>
      <c r="IJW127" s="24"/>
      <c r="IJX127" s="211"/>
      <c r="IJY127" s="24"/>
      <c r="IJZ127" s="211"/>
      <c r="IKA127" s="24"/>
      <c r="IKB127" s="211"/>
      <c r="IKC127" s="24"/>
      <c r="IKD127" s="211"/>
      <c r="IKE127" s="24"/>
      <c r="IKF127" s="211"/>
      <c r="IKG127" s="24"/>
      <c r="IKH127" s="211"/>
      <c r="IKI127" s="24"/>
      <c r="IKJ127" s="211"/>
      <c r="IKK127" s="24"/>
      <c r="IKL127" s="211"/>
      <c r="IKM127" s="24"/>
      <c r="IKN127" s="211"/>
      <c r="IKO127" s="24"/>
      <c r="IKP127" s="211"/>
      <c r="IKQ127" s="24"/>
      <c r="IKR127" s="211"/>
      <c r="IKS127" s="24"/>
      <c r="IKT127" s="211"/>
      <c r="IKU127" s="24"/>
      <c r="IKV127" s="211"/>
      <c r="IKW127" s="24"/>
      <c r="IKX127" s="211"/>
      <c r="IKY127" s="24"/>
      <c r="IKZ127" s="211"/>
      <c r="ILA127" s="24"/>
      <c r="ILB127" s="211"/>
      <c r="ILC127" s="24"/>
      <c r="ILD127" s="211"/>
      <c r="ILE127" s="24"/>
      <c r="ILF127" s="211"/>
      <c r="ILG127" s="24"/>
      <c r="ILH127" s="211"/>
      <c r="ILI127" s="24"/>
      <c r="ILJ127" s="211"/>
      <c r="ILK127" s="24"/>
      <c r="ILL127" s="211"/>
      <c r="ILM127" s="24"/>
      <c r="ILN127" s="211"/>
      <c r="ILO127" s="24"/>
      <c r="ILP127" s="211"/>
      <c r="ILQ127" s="24"/>
      <c r="ILR127" s="211"/>
      <c r="ILS127" s="24"/>
      <c r="ILT127" s="211"/>
      <c r="ILU127" s="24"/>
      <c r="ILV127" s="211"/>
      <c r="ILW127" s="24"/>
      <c r="ILX127" s="211"/>
      <c r="ILY127" s="24"/>
      <c r="ILZ127" s="211"/>
      <c r="IMA127" s="24"/>
      <c r="IMB127" s="211"/>
      <c r="IMC127" s="24"/>
      <c r="IMD127" s="211"/>
      <c r="IME127" s="24"/>
      <c r="IMF127" s="211"/>
      <c r="IMG127" s="24"/>
      <c r="IMH127" s="211"/>
      <c r="IMI127" s="24"/>
      <c r="IMJ127" s="211"/>
      <c r="IMK127" s="24"/>
      <c r="IML127" s="211"/>
      <c r="IMM127" s="24"/>
      <c r="IMN127" s="211"/>
      <c r="IMO127" s="24"/>
      <c r="IMP127" s="211"/>
      <c r="IMQ127" s="24"/>
      <c r="IMR127" s="211"/>
      <c r="IMS127" s="24"/>
      <c r="IMT127" s="211"/>
      <c r="IMU127" s="24"/>
      <c r="IMV127" s="211"/>
      <c r="IMW127" s="24"/>
      <c r="IMX127" s="211"/>
      <c r="IMY127" s="24"/>
      <c r="IMZ127" s="211"/>
      <c r="INA127" s="24"/>
      <c r="INB127" s="211"/>
      <c r="INC127" s="24"/>
      <c r="IND127" s="211"/>
      <c r="INE127" s="24"/>
      <c r="INF127" s="211"/>
      <c r="ING127" s="24"/>
      <c r="INH127" s="211"/>
      <c r="INI127" s="24"/>
      <c r="INJ127" s="211"/>
      <c r="INK127" s="24"/>
      <c r="INL127" s="211"/>
      <c r="INM127" s="24"/>
      <c r="INN127" s="211"/>
      <c r="INO127" s="24"/>
      <c r="INP127" s="211"/>
      <c r="INQ127" s="24"/>
      <c r="INR127" s="211"/>
      <c r="INS127" s="24"/>
      <c r="INT127" s="211"/>
      <c r="INU127" s="24"/>
      <c r="INV127" s="211"/>
      <c r="INW127" s="24"/>
      <c r="INX127" s="211"/>
      <c r="INY127" s="24"/>
      <c r="INZ127" s="211"/>
      <c r="IOA127" s="24"/>
      <c r="IOB127" s="211"/>
      <c r="IOC127" s="24"/>
      <c r="IOD127" s="211"/>
      <c r="IOE127" s="24"/>
      <c r="IOF127" s="211"/>
      <c r="IOG127" s="24"/>
      <c r="IOH127" s="211"/>
      <c r="IOI127" s="24"/>
      <c r="IOJ127" s="211"/>
      <c r="IOK127" s="24"/>
      <c r="IOL127" s="211"/>
      <c r="IOM127" s="24"/>
      <c r="ION127" s="211"/>
      <c r="IOO127" s="24"/>
      <c r="IOP127" s="211"/>
      <c r="IOQ127" s="24"/>
      <c r="IOR127" s="211"/>
      <c r="IOS127" s="24"/>
      <c r="IOT127" s="211"/>
      <c r="IOU127" s="24"/>
      <c r="IOV127" s="211"/>
      <c r="IOW127" s="24"/>
      <c r="IOX127" s="211"/>
      <c r="IOY127" s="24"/>
      <c r="IOZ127" s="211"/>
      <c r="IPA127" s="24"/>
      <c r="IPB127" s="211"/>
      <c r="IPC127" s="24"/>
      <c r="IPD127" s="211"/>
      <c r="IPE127" s="24"/>
      <c r="IPF127" s="211"/>
      <c r="IPG127" s="24"/>
      <c r="IPH127" s="211"/>
      <c r="IPI127" s="24"/>
      <c r="IPJ127" s="211"/>
      <c r="IPK127" s="24"/>
      <c r="IPL127" s="211"/>
      <c r="IPM127" s="24"/>
      <c r="IPN127" s="211"/>
      <c r="IPO127" s="24"/>
      <c r="IPP127" s="211"/>
      <c r="IPQ127" s="24"/>
      <c r="IPR127" s="211"/>
      <c r="IPS127" s="24"/>
      <c r="IPT127" s="211"/>
      <c r="IPU127" s="24"/>
      <c r="IPV127" s="211"/>
      <c r="IPW127" s="24"/>
      <c r="IPX127" s="211"/>
      <c r="IPY127" s="24"/>
      <c r="IPZ127" s="211"/>
      <c r="IQA127" s="24"/>
      <c r="IQB127" s="211"/>
      <c r="IQC127" s="24"/>
      <c r="IQD127" s="211"/>
      <c r="IQE127" s="24"/>
      <c r="IQF127" s="211"/>
      <c r="IQG127" s="24"/>
      <c r="IQH127" s="211"/>
      <c r="IQI127" s="24"/>
      <c r="IQJ127" s="211"/>
      <c r="IQK127" s="24"/>
      <c r="IQL127" s="211"/>
      <c r="IQM127" s="24"/>
      <c r="IQN127" s="211"/>
      <c r="IQO127" s="24"/>
      <c r="IQP127" s="211"/>
      <c r="IQQ127" s="24"/>
      <c r="IQR127" s="211"/>
      <c r="IQS127" s="24"/>
      <c r="IQT127" s="211"/>
      <c r="IQU127" s="24"/>
      <c r="IQV127" s="211"/>
      <c r="IQW127" s="24"/>
      <c r="IQX127" s="211"/>
      <c r="IQY127" s="24"/>
      <c r="IQZ127" s="211"/>
      <c r="IRA127" s="24"/>
      <c r="IRB127" s="211"/>
      <c r="IRC127" s="24"/>
      <c r="IRD127" s="211"/>
      <c r="IRE127" s="24"/>
      <c r="IRF127" s="211"/>
      <c r="IRG127" s="24"/>
      <c r="IRH127" s="211"/>
      <c r="IRI127" s="24"/>
      <c r="IRJ127" s="211"/>
      <c r="IRK127" s="24"/>
      <c r="IRL127" s="211"/>
      <c r="IRM127" s="24"/>
      <c r="IRN127" s="211"/>
      <c r="IRO127" s="24"/>
      <c r="IRP127" s="211"/>
      <c r="IRQ127" s="24"/>
      <c r="IRR127" s="211"/>
      <c r="IRS127" s="24"/>
      <c r="IRT127" s="211"/>
      <c r="IRU127" s="24"/>
      <c r="IRV127" s="211"/>
      <c r="IRW127" s="24"/>
      <c r="IRX127" s="211"/>
      <c r="IRY127" s="24"/>
      <c r="IRZ127" s="211"/>
      <c r="ISA127" s="24"/>
      <c r="ISB127" s="211"/>
      <c r="ISC127" s="24"/>
      <c r="ISD127" s="211"/>
      <c r="ISE127" s="24"/>
      <c r="ISF127" s="211"/>
      <c r="ISG127" s="24"/>
      <c r="ISH127" s="211"/>
      <c r="ISI127" s="24"/>
      <c r="ISJ127" s="211"/>
      <c r="ISK127" s="24"/>
      <c r="ISL127" s="211"/>
      <c r="ISM127" s="24"/>
      <c r="ISN127" s="211"/>
      <c r="ISO127" s="24"/>
      <c r="ISP127" s="211"/>
      <c r="ISQ127" s="24"/>
      <c r="ISR127" s="211"/>
      <c r="ISS127" s="24"/>
      <c r="IST127" s="211"/>
      <c r="ISU127" s="24"/>
      <c r="ISV127" s="211"/>
      <c r="ISW127" s="24"/>
      <c r="ISX127" s="211"/>
      <c r="ISY127" s="24"/>
      <c r="ISZ127" s="211"/>
      <c r="ITA127" s="24"/>
      <c r="ITB127" s="211"/>
      <c r="ITC127" s="24"/>
      <c r="ITD127" s="211"/>
      <c r="ITE127" s="24"/>
      <c r="ITF127" s="211"/>
      <c r="ITG127" s="24"/>
      <c r="ITH127" s="211"/>
      <c r="ITI127" s="24"/>
      <c r="ITJ127" s="211"/>
      <c r="ITK127" s="24"/>
      <c r="ITL127" s="211"/>
      <c r="ITM127" s="24"/>
      <c r="ITN127" s="211"/>
      <c r="ITO127" s="24"/>
      <c r="ITP127" s="211"/>
      <c r="ITQ127" s="24"/>
      <c r="ITR127" s="211"/>
      <c r="ITS127" s="24"/>
      <c r="ITT127" s="211"/>
      <c r="ITU127" s="24"/>
      <c r="ITV127" s="211"/>
      <c r="ITW127" s="24"/>
      <c r="ITX127" s="211"/>
      <c r="ITY127" s="24"/>
      <c r="ITZ127" s="211"/>
      <c r="IUA127" s="24"/>
      <c r="IUB127" s="211"/>
      <c r="IUC127" s="24"/>
      <c r="IUD127" s="211"/>
      <c r="IUE127" s="24"/>
      <c r="IUF127" s="211"/>
      <c r="IUG127" s="24"/>
      <c r="IUH127" s="211"/>
      <c r="IUI127" s="24"/>
      <c r="IUJ127" s="211"/>
      <c r="IUK127" s="24"/>
      <c r="IUL127" s="211"/>
      <c r="IUM127" s="24"/>
      <c r="IUN127" s="211"/>
      <c r="IUO127" s="24"/>
      <c r="IUP127" s="211"/>
      <c r="IUQ127" s="24"/>
      <c r="IUR127" s="211"/>
      <c r="IUS127" s="24"/>
      <c r="IUT127" s="211"/>
      <c r="IUU127" s="24"/>
      <c r="IUV127" s="211"/>
      <c r="IUW127" s="24"/>
      <c r="IUX127" s="211"/>
      <c r="IUY127" s="24"/>
      <c r="IUZ127" s="211"/>
      <c r="IVA127" s="24"/>
      <c r="IVB127" s="211"/>
      <c r="IVC127" s="24"/>
      <c r="IVD127" s="211"/>
      <c r="IVE127" s="24"/>
      <c r="IVF127" s="211"/>
      <c r="IVG127" s="24"/>
      <c r="IVH127" s="211"/>
      <c r="IVI127" s="24"/>
      <c r="IVJ127" s="211"/>
      <c r="IVK127" s="24"/>
      <c r="IVL127" s="211"/>
      <c r="IVM127" s="24"/>
      <c r="IVN127" s="211"/>
      <c r="IVO127" s="24"/>
      <c r="IVP127" s="211"/>
      <c r="IVQ127" s="24"/>
      <c r="IVR127" s="211"/>
      <c r="IVS127" s="24"/>
      <c r="IVT127" s="211"/>
      <c r="IVU127" s="24"/>
      <c r="IVV127" s="211"/>
      <c r="IVW127" s="24"/>
      <c r="IVX127" s="211"/>
      <c r="IVY127" s="24"/>
      <c r="IVZ127" s="211"/>
      <c r="IWA127" s="24"/>
      <c r="IWB127" s="211"/>
      <c r="IWC127" s="24"/>
      <c r="IWD127" s="211"/>
      <c r="IWE127" s="24"/>
      <c r="IWF127" s="211"/>
      <c r="IWG127" s="24"/>
      <c r="IWH127" s="211"/>
      <c r="IWI127" s="24"/>
      <c r="IWJ127" s="211"/>
      <c r="IWK127" s="24"/>
      <c r="IWL127" s="211"/>
      <c r="IWM127" s="24"/>
      <c r="IWN127" s="211"/>
      <c r="IWO127" s="24"/>
      <c r="IWP127" s="211"/>
      <c r="IWQ127" s="24"/>
      <c r="IWR127" s="211"/>
      <c r="IWS127" s="24"/>
      <c r="IWT127" s="211"/>
      <c r="IWU127" s="24"/>
      <c r="IWV127" s="211"/>
      <c r="IWW127" s="24"/>
      <c r="IWX127" s="211"/>
      <c r="IWY127" s="24"/>
      <c r="IWZ127" s="211"/>
      <c r="IXA127" s="24"/>
      <c r="IXB127" s="211"/>
      <c r="IXC127" s="24"/>
      <c r="IXD127" s="211"/>
      <c r="IXE127" s="24"/>
      <c r="IXF127" s="211"/>
      <c r="IXG127" s="24"/>
      <c r="IXH127" s="211"/>
      <c r="IXI127" s="24"/>
      <c r="IXJ127" s="211"/>
      <c r="IXK127" s="24"/>
      <c r="IXL127" s="211"/>
      <c r="IXM127" s="24"/>
      <c r="IXN127" s="211"/>
      <c r="IXO127" s="24"/>
      <c r="IXP127" s="211"/>
      <c r="IXQ127" s="24"/>
      <c r="IXR127" s="211"/>
      <c r="IXS127" s="24"/>
      <c r="IXT127" s="211"/>
      <c r="IXU127" s="24"/>
      <c r="IXV127" s="211"/>
      <c r="IXW127" s="24"/>
      <c r="IXX127" s="211"/>
      <c r="IXY127" s="24"/>
      <c r="IXZ127" s="211"/>
      <c r="IYA127" s="24"/>
      <c r="IYB127" s="211"/>
      <c r="IYC127" s="24"/>
      <c r="IYD127" s="211"/>
      <c r="IYE127" s="24"/>
      <c r="IYF127" s="211"/>
      <c r="IYG127" s="24"/>
      <c r="IYH127" s="211"/>
      <c r="IYI127" s="24"/>
      <c r="IYJ127" s="211"/>
      <c r="IYK127" s="24"/>
      <c r="IYL127" s="211"/>
      <c r="IYM127" s="24"/>
      <c r="IYN127" s="211"/>
      <c r="IYO127" s="24"/>
      <c r="IYP127" s="211"/>
      <c r="IYQ127" s="24"/>
      <c r="IYR127" s="211"/>
      <c r="IYS127" s="24"/>
      <c r="IYT127" s="211"/>
      <c r="IYU127" s="24"/>
      <c r="IYV127" s="211"/>
      <c r="IYW127" s="24"/>
      <c r="IYX127" s="211"/>
      <c r="IYY127" s="24"/>
      <c r="IYZ127" s="211"/>
      <c r="IZA127" s="24"/>
      <c r="IZB127" s="211"/>
      <c r="IZC127" s="24"/>
      <c r="IZD127" s="211"/>
      <c r="IZE127" s="24"/>
      <c r="IZF127" s="211"/>
      <c r="IZG127" s="24"/>
      <c r="IZH127" s="211"/>
      <c r="IZI127" s="24"/>
      <c r="IZJ127" s="211"/>
      <c r="IZK127" s="24"/>
      <c r="IZL127" s="211"/>
      <c r="IZM127" s="24"/>
      <c r="IZN127" s="211"/>
      <c r="IZO127" s="24"/>
      <c r="IZP127" s="211"/>
      <c r="IZQ127" s="24"/>
      <c r="IZR127" s="211"/>
      <c r="IZS127" s="24"/>
      <c r="IZT127" s="211"/>
      <c r="IZU127" s="24"/>
      <c r="IZV127" s="211"/>
      <c r="IZW127" s="24"/>
      <c r="IZX127" s="211"/>
      <c r="IZY127" s="24"/>
      <c r="IZZ127" s="211"/>
      <c r="JAA127" s="24"/>
      <c r="JAB127" s="211"/>
      <c r="JAC127" s="24"/>
      <c r="JAD127" s="211"/>
      <c r="JAE127" s="24"/>
      <c r="JAF127" s="211"/>
      <c r="JAG127" s="24"/>
      <c r="JAH127" s="211"/>
      <c r="JAI127" s="24"/>
      <c r="JAJ127" s="211"/>
      <c r="JAK127" s="24"/>
      <c r="JAL127" s="211"/>
      <c r="JAM127" s="24"/>
      <c r="JAN127" s="211"/>
      <c r="JAO127" s="24"/>
      <c r="JAP127" s="211"/>
      <c r="JAQ127" s="24"/>
      <c r="JAR127" s="211"/>
      <c r="JAS127" s="24"/>
      <c r="JAT127" s="211"/>
      <c r="JAU127" s="24"/>
      <c r="JAV127" s="211"/>
      <c r="JAW127" s="24"/>
      <c r="JAX127" s="211"/>
      <c r="JAY127" s="24"/>
      <c r="JAZ127" s="211"/>
      <c r="JBA127" s="24"/>
      <c r="JBB127" s="211"/>
      <c r="JBC127" s="24"/>
      <c r="JBD127" s="211"/>
      <c r="JBE127" s="24"/>
      <c r="JBF127" s="211"/>
      <c r="JBG127" s="24"/>
      <c r="JBH127" s="211"/>
      <c r="JBI127" s="24"/>
      <c r="JBJ127" s="211"/>
      <c r="JBK127" s="24"/>
      <c r="JBL127" s="211"/>
      <c r="JBM127" s="24"/>
      <c r="JBN127" s="211"/>
      <c r="JBO127" s="24"/>
      <c r="JBP127" s="211"/>
      <c r="JBQ127" s="24"/>
      <c r="JBR127" s="211"/>
      <c r="JBS127" s="24"/>
      <c r="JBT127" s="211"/>
      <c r="JBU127" s="24"/>
      <c r="JBV127" s="211"/>
      <c r="JBW127" s="24"/>
      <c r="JBX127" s="211"/>
      <c r="JBY127" s="24"/>
      <c r="JBZ127" s="211"/>
      <c r="JCA127" s="24"/>
      <c r="JCB127" s="211"/>
      <c r="JCC127" s="24"/>
      <c r="JCD127" s="211"/>
      <c r="JCE127" s="24"/>
      <c r="JCF127" s="211"/>
      <c r="JCG127" s="24"/>
      <c r="JCH127" s="211"/>
      <c r="JCI127" s="24"/>
      <c r="JCJ127" s="211"/>
      <c r="JCK127" s="24"/>
      <c r="JCL127" s="211"/>
      <c r="JCM127" s="24"/>
      <c r="JCN127" s="211"/>
      <c r="JCO127" s="24"/>
      <c r="JCP127" s="211"/>
      <c r="JCQ127" s="24"/>
      <c r="JCR127" s="211"/>
      <c r="JCS127" s="24"/>
      <c r="JCT127" s="211"/>
      <c r="JCU127" s="24"/>
      <c r="JCV127" s="211"/>
      <c r="JCW127" s="24"/>
      <c r="JCX127" s="211"/>
      <c r="JCY127" s="24"/>
      <c r="JCZ127" s="211"/>
      <c r="JDA127" s="24"/>
      <c r="JDB127" s="211"/>
      <c r="JDC127" s="24"/>
      <c r="JDD127" s="211"/>
      <c r="JDE127" s="24"/>
      <c r="JDF127" s="211"/>
      <c r="JDG127" s="24"/>
      <c r="JDH127" s="211"/>
      <c r="JDI127" s="24"/>
      <c r="JDJ127" s="211"/>
      <c r="JDK127" s="24"/>
      <c r="JDL127" s="211"/>
      <c r="JDM127" s="24"/>
      <c r="JDN127" s="211"/>
      <c r="JDO127" s="24"/>
      <c r="JDP127" s="211"/>
      <c r="JDQ127" s="24"/>
      <c r="JDR127" s="211"/>
      <c r="JDS127" s="24"/>
      <c r="JDT127" s="211"/>
      <c r="JDU127" s="24"/>
      <c r="JDV127" s="211"/>
      <c r="JDW127" s="24"/>
      <c r="JDX127" s="211"/>
      <c r="JDY127" s="24"/>
      <c r="JDZ127" s="211"/>
      <c r="JEA127" s="24"/>
      <c r="JEB127" s="211"/>
      <c r="JEC127" s="24"/>
      <c r="JED127" s="211"/>
      <c r="JEE127" s="24"/>
      <c r="JEF127" s="211"/>
      <c r="JEG127" s="24"/>
      <c r="JEH127" s="211"/>
      <c r="JEI127" s="24"/>
      <c r="JEJ127" s="211"/>
      <c r="JEK127" s="24"/>
      <c r="JEL127" s="211"/>
      <c r="JEM127" s="24"/>
      <c r="JEN127" s="211"/>
      <c r="JEO127" s="24"/>
      <c r="JEP127" s="211"/>
      <c r="JEQ127" s="24"/>
      <c r="JER127" s="211"/>
      <c r="JES127" s="24"/>
      <c r="JET127" s="211"/>
      <c r="JEU127" s="24"/>
      <c r="JEV127" s="211"/>
      <c r="JEW127" s="24"/>
      <c r="JEX127" s="211"/>
      <c r="JEY127" s="24"/>
      <c r="JEZ127" s="211"/>
      <c r="JFA127" s="24"/>
      <c r="JFB127" s="211"/>
      <c r="JFC127" s="24"/>
      <c r="JFD127" s="211"/>
      <c r="JFE127" s="24"/>
      <c r="JFF127" s="211"/>
      <c r="JFG127" s="24"/>
      <c r="JFH127" s="211"/>
      <c r="JFI127" s="24"/>
      <c r="JFJ127" s="211"/>
      <c r="JFK127" s="24"/>
      <c r="JFL127" s="211"/>
      <c r="JFM127" s="24"/>
      <c r="JFN127" s="211"/>
      <c r="JFO127" s="24"/>
      <c r="JFP127" s="211"/>
      <c r="JFQ127" s="24"/>
      <c r="JFR127" s="211"/>
      <c r="JFS127" s="24"/>
      <c r="JFT127" s="211"/>
      <c r="JFU127" s="24"/>
      <c r="JFV127" s="211"/>
      <c r="JFW127" s="24"/>
      <c r="JFX127" s="211"/>
      <c r="JFY127" s="24"/>
      <c r="JFZ127" s="211"/>
      <c r="JGA127" s="24"/>
      <c r="JGB127" s="211"/>
      <c r="JGC127" s="24"/>
      <c r="JGD127" s="211"/>
      <c r="JGE127" s="24"/>
      <c r="JGF127" s="211"/>
      <c r="JGG127" s="24"/>
      <c r="JGH127" s="211"/>
      <c r="JGI127" s="24"/>
      <c r="JGJ127" s="211"/>
      <c r="JGK127" s="24"/>
      <c r="JGL127" s="211"/>
      <c r="JGM127" s="24"/>
      <c r="JGN127" s="211"/>
      <c r="JGO127" s="24"/>
      <c r="JGP127" s="211"/>
      <c r="JGQ127" s="24"/>
      <c r="JGR127" s="211"/>
      <c r="JGS127" s="24"/>
      <c r="JGT127" s="211"/>
      <c r="JGU127" s="24"/>
      <c r="JGV127" s="211"/>
      <c r="JGW127" s="24"/>
      <c r="JGX127" s="211"/>
      <c r="JGY127" s="24"/>
      <c r="JGZ127" s="211"/>
      <c r="JHA127" s="24"/>
      <c r="JHB127" s="211"/>
      <c r="JHC127" s="24"/>
      <c r="JHD127" s="211"/>
      <c r="JHE127" s="24"/>
      <c r="JHF127" s="211"/>
      <c r="JHG127" s="24"/>
      <c r="JHH127" s="211"/>
      <c r="JHI127" s="24"/>
      <c r="JHJ127" s="211"/>
      <c r="JHK127" s="24"/>
      <c r="JHL127" s="211"/>
      <c r="JHM127" s="24"/>
      <c r="JHN127" s="211"/>
      <c r="JHO127" s="24"/>
      <c r="JHP127" s="211"/>
      <c r="JHQ127" s="24"/>
      <c r="JHR127" s="211"/>
      <c r="JHS127" s="24"/>
      <c r="JHT127" s="211"/>
      <c r="JHU127" s="24"/>
      <c r="JHV127" s="211"/>
      <c r="JHW127" s="24"/>
      <c r="JHX127" s="211"/>
      <c r="JHY127" s="24"/>
      <c r="JHZ127" s="211"/>
      <c r="JIA127" s="24"/>
      <c r="JIB127" s="211"/>
      <c r="JIC127" s="24"/>
      <c r="JID127" s="211"/>
      <c r="JIE127" s="24"/>
      <c r="JIF127" s="211"/>
      <c r="JIG127" s="24"/>
      <c r="JIH127" s="211"/>
      <c r="JII127" s="24"/>
      <c r="JIJ127" s="211"/>
      <c r="JIK127" s="24"/>
      <c r="JIL127" s="211"/>
      <c r="JIM127" s="24"/>
      <c r="JIN127" s="211"/>
      <c r="JIO127" s="24"/>
      <c r="JIP127" s="211"/>
      <c r="JIQ127" s="24"/>
      <c r="JIR127" s="211"/>
      <c r="JIS127" s="24"/>
      <c r="JIT127" s="211"/>
      <c r="JIU127" s="24"/>
      <c r="JIV127" s="211"/>
      <c r="JIW127" s="24"/>
      <c r="JIX127" s="211"/>
      <c r="JIY127" s="24"/>
      <c r="JIZ127" s="211"/>
      <c r="JJA127" s="24"/>
      <c r="JJB127" s="211"/>
      <c r="JJC127" s="24"/>
      <c r="JJD127" s="211"/>
      <c r="JJE127" s="24"/>
      <c r="JJF127" s="211"/>
      <c r="JJG127" s="24"/>
      <c r="JJH127" s="211"/>
      <c r="JJI127" s="24"/>
      <c r="JJJ127" s="211"/>
      <c r="JJK127" s="24"/>
      <c r="JJL127" s="211"/>
      <c r="JJM127" s="24"/>
      <c r="JJN127" s="211"/>
      <c r="JJO127" s="24"/>
      <c r="JJP127" s="211"/>
      <c r="JJQ127" s="24"/>
      <c r="JJR127" s="211"/>
      <c r="JJS127" s="24"/>
      <c r="JJT127" s="211"/>
      <c r="JJU127" s="24"/>
      <c r="JJV127" s="211"/>
      <c r="JJW127" s="24"/>
      <c r="JJX127" s="211"/>
      <c r="JJY127" s="24"/>
      <c r="JJZ127" s="211"/>
      <c r="JKA127" s="24"/>
      <c r="JKB127" s="211"/>
      <c r="JKC127" s="24"/>
      <c r="JKD127" s="211"/>
      <c r="JKE127" s="24"/>
      <c r="JKF127" s="211"/>
      <c r="JKG127" s="24"/>
      <c r="JKH127" s="211"/>
      <c r="JKI127" s="24"/>
      <c r="JKJ127" s="211"/>
      <c r="JKK127" s="24"/>
      <c r="JKL127" s="211"/>
      <c r="JKM127" s="24"/>
      <c r="JKN127" s="211"/>
      <c r="JKO127" s="24"/>
      <c r="JKP127" s="211"/>
      <c r="JKQ127" s="24"/>
      <c r="JKR127" s="211"/>
      <c r="JKS127" s="24"/>
      <c r="JKT127" s="211"/>
      <c r="JKU127" s="24"/>
      <c r="JKV127" s="211"/>
      <c r="JKW127" s="24"/>
      <c r="JKX127" s="211"/>
      <c r="JKY127" s="24"/>
      <c r="JKZ127" s="211"/>
      <c r="JLA127" s="24"/>
      <c r="JLB127" s="211"/>
      <c r="JLC127" s="24"/>
      <c r="JLD127" s="211"/>
      <c r="JLE127" s="24"/>
      <c r="JLF127" s="211"/>
      <c r="JLG127" s="24"/>
      <c r="JLH127" s="211"/>
      <c r="JLI127" s="24"/>
      <c r="JLJ127" s="211"/>
      <c r="JLK127" s="24"/>
      <c r="JLL127" s="211"/>
      <c r="JLM127" s="24"/>
      <c r="JLN127" s="211"/>
      <c r="JLO127" s="24"/>
      <c r="JLP127" s="211"/>
      <c r="JLQ127" s="24"/>
      <c r="JLR127" s="211"/>
      <c r="JLS127" s="24"/>
      <c r="JLT127" s="211"/>
      <c r="JLU127" s="24"/>
      <c r="JLV127" s="211"/>
      <c r="JLW127" s="24"/>
      <c r="JLX127" s="211"/>
      <c r="JLY127" s="24"/>
      <c r="JLZ127" s="211"/>
      <c r="JMA127" s="24"/>
      <c r="JMB127" s="211"/>
      <c r="JMC127" s="24"/>
      <c r="JMD127" s="211"/>
      <c r="JME127" s="24"/>
      <c r="JMF127" s="211"/>
      <c r="JMG127" s="24"/>
      <c r="JMH127" s="211"/>
      <c r="JMI127" s="24"/>
      <c r="JMJ127" s="211"/>
      <c r="JMK127" s="24"/>
      <c r="JML127" s="211"/>
      <c r="JMM127" s="24"/>
      <c r="JMN127" s="211"/>
      <c r="JMO127" s="24"/>
      <c r="JMP127" s="211"/>
      <c r="JMQ127" s="24"/>
      <c r="JMR127" s="211"/>
      <c r="JMS127" s="24"/>
      <c r="JMT127" s="211"/>
      <c r="JMU127" s="24"/>
      <c r="JMV127" s="211"/>
      <c r="JMW127" s="24"/>
      <c r="JMX127" s="211"/>
      <c r="JMY127" s="24"/>
      <c r="JMZ127" s="211"/>
      <c r="JNA127" s="24"/>
      <c r="JNB127" s="211"/>
      <c r="JNC127" s="24"/>
      <c r="JND127" s="211"/>
      <c r="JNE127" s="24"/>
      <c r="JNF127" s="211"/>
      <c r="JNG127" s="24"/>
      <c r="JNH127" s="211"/>
      <c r="JNI127" s="24"/>
      <c r="JNJ127" s="211"/>
      <c r="JNK127" s="24"/>
      <c r="JNL127" s="211"/>
      <c r="JNM127" s="24"/>
      <c r="JNN127" s="211"/>
      <c r="JNO127" s="24"/>
      <c r="JNP127" s="211"/>
      <c r="JNQ127" s="24"/>
      <c r="JNR127" s="211"/>
      <c r="JNS127" s="24"/>
      <c r="JNT127" s="211"/>
      <c r="JNU127" s="24"/>
      <c r="JNV127" s="211"/>
      <c r="JNW127" s="24"/>
      <c r="JNX127" s="211"/>
      <c r="JNY127" s="24"/>
      <c r="JNZ127" s="211"/>
      <c r="JOA127" s="24"/>
      <c r="JOB127" s="211"/>
      <c r="JOC127" s="24"/>
      <c r="JOD127" s="211"/>
      <c r="JOE127" s="24"/>
      <c r="JOF127" s="211"/>
      <c r="JOG127" s="24"/>
      <c r="JOH127" s="211"/>
      <c r="JOI127" s="24"/>
      <c r="JOJ127" s="211"/>
      <c r="JOK127" s="24"/>
      <c r="JOL127" s="211"/>
      <c r="JOM127" s="24"/>
      <c r="JON127" s="211"/>
      <c r="JOO127" s="24"/>
      <c r="JOP127" s="211"/>
      <c r="JOQ127" s="24"/>
      <c r="JOR127" s="211"/>
      <c r="JOS127" s="24"/>
      <c r="JOT127" s="211"/>
      <c r="JOU127" s="24"/>
      <c r="JOV127" s="211"/>
      <c r="JOW127" s="24"/>
      <c r="JOX127" s="211"/>
      <c r="JOY127" s="24"/>
      <c r="JOZ127" s="211"/>
      <c r="JPA127" s="24"/>
      <c r="JPB127" s="211"/>
      <c r="JPC127" s="24"/>
      <c r="JPD127" s="211"/>
      <c r="JPE127" s="24"/>
      <c r="JPF127" s="211"/>
      <c r="JPG127" s="24"/>
      <c r="JPH127" s="211"/>
      <c r="JPI127" s="24"/>
      <c r="JPJ127" s="211"/>
      <c r="JPK127" s="24"/>
      <c r="JPL127" s="211"/>
      <c r="JPM127" s="24"/>
      <c r="JPN127" s="211"/>
      <c r="JPO127" s="24"/>
      <c r="JPP127" s="211"/>
      <c r="JPQ127" s="24"/>
      <c r="JPR127" s="211"/>
      <c r="JPS127" s="24"/>
      <c r="JPT127" s="211"/>
      <c r="JPU127" s="24"/>
      <c r="JPV127" s="211"/>
      <c r="JPW127" s="24"/>
      <c r="JPX127" s="211"/>
      <c r="JPY127" s="24"/>
      <c r="JPZ127" s="211"/>
      <c r="JQA127" s="24"/>
      <c r="JQB127" s="211"/>
      <c r="JQC127" s="24"/>
      <c r="JQD127" s="211"/>
      <c r="JQE127" s="24"/>
      <c r="JQF127" s="211"/>
      <c r="JQG127" s="24"/>
      <c r="JQH127" s="211"/>
      <c r="JQI127" s="24"/>
      <c r="JQJ127" s="211"/>
      <c r="JQK127" s="24"/>
      <c r="JQL127" s="211"/>
      <c r="JQM127" s="24"/>
      <c r="JQN127" s="211"/>
      <c r="JQO127" s="24"/>
      <c r="JQP127" s="211"/>
      <c r="JQQ127" s="24"/>
      <c r="JQR127" s="211"/>
      <c r="JQS127" s="24"/>
      <c r="JQT127" s="211"/>
      <c r="JQU127" s="24"/>
      <c r="JQV127" s="211"/>
      <c r="JQW127" s="24"/>
      <c r="JQX127" s="211"/>
      <c r="JQY127" s="24"/>
      <c r="JQZ127" s="211"/>
      <c r="JRA127" s="24"/>
      <c r="JRB127" s="211"/>
      <c r="JRC127" s="24"/>
      <c r="JRD127" s="211"/>
      <c r="JRE127" s="24"/>
      <c r="JRF127" s="211"/>
      <c r="JRG127" s="24"/>
      <c r="JRH127" s="211"/>
      <c r="JRI127" s="24"/>
      <c r="JRJ127" s="211"/>
      <c r="JRK127" s="24"/>
      <c r="JRL127" s="211"/>
      <c r="JRM127" s="24"/>
      <c r="JRN127" s="211"/>
      <c r="JRO127" s="24"/>
      <c r="JRP127" s="211"/>
      <c r="JRQ127" s="24"/>
      <c r="JRR127" s="211"/>
      <c r="JRS127" s="24"/>
      <c r="JRT127" s="211"/>
      <c r="JRU127" s="24"/>
      <c r="JRV127" s="211"/>
      <c r="JRW127" s="24"/>
      <c r="JRX127" s="211"/>
      <c r="JRY127" s="24"/>
      <c r="JRZ127" s="211"/>
      <c r="JSA127" s="24"/>
      <c r="JSB127" s="211"/>
      <c r="JSC127" s="24"/>
      <c r="JSD127" s="211"/>
      <c r="JSE127" s="24"/>
      <c r="JSF127" s="211"/>
      <c r="JSG127" s="24"/>
      <c r="JSH127" s="211"/>
      <c r="JSI127" s="24"/>
      <c r="JSJ127" s="211"/>
      <c r="JSK127" s="24"/>
      <c r="JSL127" s="211"/>
      <c r="JSM127" s="24"/>
      <c r="JSN127" s="211"/>
      <c r="JSO127" s="24"/>
      <c r="JSP127" s="211"/>
      <c r="JSQ127" s="24"/>
      <c r="JSR127" s="211"/>
      <c r="JSS127" s="24"/>
      <c r="JST127" s="211"/>
      <c r="JSU127" s="24"/>
      <c r="JSV127" s="211"/>
      <c r="JSW127" s="24"/>
      <c r="JSX127" s="211"/>
      <c r="JSY127" s="24"/>
      <c r="JSZ127" s="211"/>
      <c r="JTA127" s="24"/>
      <c r="JTB127" s="211"/>
      <c r="JTC127" s="24"/>
      <c r="JTD127" s="211"/>
      <c r="JTE127" s="24"/>
      <c r="JTF127" s="211"/>
      <c r="JTG127" s="24"/>
      <c r="JTH127" s="211"/>
      <c r="JTI127" s="24"/>
      <c r="JTJ127" s="211"/>
      <c r="JTK127" s="24"/>
      <c r="JTL127" s="211"/>
      <c r="JTM127" s="24"/>
      <c r="JTN127" s="211"/>
      <c r="JTO127" s="24"/>
      <c r="JTP127" s="211"/>
      <c r="JTQ127" s="24"/>
      <c r="JTR127" s="211"/>
      <c r="JTS127" s="24"/>
      <c r="JTT127" s="211"/>
      <c r="JTU127" s="24"/>
      <c r="JTV127" s="211"/>
      <c r="JTW127" s="24"/>
      <c r="JTX127" s="211"/>
      <c r="JTY127" s="24"/>
      <c r="JTZ127" s="211"/>
      <c r="JUA127" s="24"/>
      <c r="JUB127" s="211"/>
      <c r="JUC127" s="24"/>
      <c r="JUD127" s="211"/>
      <c r="JUE127" s="24"/>
      <c r="JUF127" s="211"/>
      <c r="JUG127" s="24"/>
      <c r="JUH127" s="211"/>
      <c r="JUI127" s="24"/>
      <c r="JUJ127" s="211"/>
      <c r="JUK127" s="24"/>
      <c r="JUL127" s="211"/>
      <c r="JUM127" s="24"/>
      <c r="JUN127" s="211"/>
      <c r="JUO127" s="24"/>
      <c r="JUP127" s="211"/>
      <c r="JUQ127" s="24"/>
      <c r="JUR127" s="211"/>
      <c r="JUS127" s="24"/>
      <c r="JUT127" s="211"/>
      <c r="JUU127" s="24"/>
      <c r="JUV127" s="211"/>
      <c r="JUW127" s="24"/>
      <c r="JUX127" s="211"/>
      <c r="JUY127" s="24"/>
      <c r="JUZ127" s="211"/>
      <c r="JVA127" s="24"/>
      <c r="JVB127" s="211"/>
      <c r="JVC127" s="24"/>
      <c r="JVD127" s="211"/>
      <c r="JVE127" s="24"/>
      <c r="JVF127" s="211"/>
      <c r="JVG127" s="24"/>
      <c r="JVH127" s="211"/>
      <c r="JVI127" s="24"/>
      <c r="JVJ127" s="211"/>
      <c r="JVK127" s="24"/>
      <c r="JVL127" s="211"/>
      <c r="JVM127" s="24"/>
      <c r="JVN127" s="211"/>
      <c r="JVO127" s="24"/>
      <c r="JVP127" s="211"/>
      <c r="JVQ127" s="24"/>
      <c r="JVR127" s="211"/>
      <c r="JVS127" s="24"/>
      <c r="JVT127" s="211"/>
      <c r="JVU127" s="24"/>
      <c r="JVV127" s="211"/>
      <c r="JVW127" s="24"/>
      <c r="JVX127" s="211"/>
      <c r="JVY127" s="24"/>
      <c r="JVZ127" s="211"/>
      <c r="JWA127" s="24"/>
      <c r="JWB127" s="211"/>
      <c r="JWC127" s="24"/>
      <c r="JWD127" s="211"/>
      <c r="JWE127" s="24"/>
      <c r="JWF127" s="211"/>
      <c r="JWG127" s="24"/>
      <c r="JWH127" s="211"/>
      <c r="JWI127" s="24"/>
      <c r="JWJ127" s="211"/>
      <c r="JWK127" s="24"/>
      <c r="JWL127" s="211"/>
      <c r="JWM127" s="24"/>
      <c r="JWN127" s="211"/>
      <c r="JWO127" s="24"/>
      <c r="JWP127" s="211"/>
      <c r="JWQ127" s="24"/>
      <c r="JWR127" s="211"/>
      <c r="JWS127" s="24"/>
      <c r="JWT127" s="211"/>
      <c r="JWU127" s="24"/>
      <c r="JWV127" s="211"/>
      <c r="JWW127" s="24"/>
      <c r="JWX127" s="211"/>
      <c r="JWY127" s="24"/>
      <c r="JWZ127" s="211"/>
      <c r="JXA127" s="24"/>
      <c r="JXB127" s="211"/>
      <c r="JXC127" s="24"/>
      <c r="JXD127" s="211"/>
      <c r="JXE127" s="24"/>
      <c r="JXF127" s="211"/>
      <c r="JXG127" s="24"/>
      <c r="JXH127" s="211"/>
      <c r="JXI127" s="24"/>
      <c r="JXJ127" s="211"/>
      <c r="JXK127" s="24"/>
      <c r="JXL127" s="211"/>
      <c r="JXM127" s="24"/>
      <c r="JXN127" s="211"/>
      <c r="JXO127" s="24"/>
      <c r="JXP127" s="211"/>
      <c r="JXQ127" s="24"/>
      <c r="JXR127" s="211"/>
      <c r="JXS127" s="24"/>
      <c r="JXT127" s="211"/>
      <c r="JXU127" s="24"/>
      <c r="JXV127" s="211"/>
      <c r="JXW127" s="24"/>
      <c r="JXX127" s="211"/>
      <c r="JXY127" s="24"/>
      <c r="JXZ127" s="211"/>
      <c r="JYA127" s="24"/>
      <c r="JYB127" s="211"/>
      <c r="JYC127" s="24"/>
      <c r="JYD127" s="211"/>
      <c r="JYE127" s="24"/>
      <c r="JYF127" s="211"/>
      <c r="JYG127" s="24"/>
      <c r="JYH127" s="211"/>
      <c r="JYI127" s="24"/>
      <c r="JYJ127" s="211"/>
      <c r="JYK127" s="24"/>
      <c r="JYL127" s="211"/>
      <c r="JYM127" s="24"/>
      <c r="JYN127" s="211"/>
      <c r="JYO127" s="24"/>
      <c r="JYP127" s="211"/>
      <c r="JYQ127" s="24"/>
      <c r="JYR127" s="211"/>
      <c r="JYS127" s="24"/>
      <c r="JYT127" s="211"/>
      <c r="JYU127" s="24"/>
      <c r="JYV127" s="211"/>
      <c r="JYW127" s="24"/>
      <c r="JYX127" s="211"/>
      <c r="JYY127" s="24"/>
      <c r="JYZ127" s="211"/>
      <c r="JZA127" s="24"/>
      <c r="JZB127" s="211"/>
      <c r="JZC127" s="24"/>
      <c r="JZD127" s="211"/>
      <c r="JZE127" s="24"/>
      <c r="JZF127" s="211"/>
      <c r="JZG127" s="24"/>
      <c r="JZH127" s="211"/>
      <c r="JZI127" s="24"/>
      <c r="JZJ127" s="211"/>
      <c r="JZK127" s="24"/>
      <c r="JZL127" s="211"/>
      <c r="JZM127" s="24"/>
      <c r="JZN127" s="211"/>
      <c r="JZO127" s="24"/>
      <c r="JZP127" s="211"/>
      <c r="JZQ127" s="24"/>
      <c r="JZR127" s="211"/>
      <c r="JZS127" s="24"/>
      <c r="JZT127" s="211"/>
      <c r="JZU127" s="24"/>
      <c r="JZV127" s="211"/>
      <c r="JZW127" s="24"/>
      <c r="JZX127" s="211"/>
      <c r="JZY127" s="24"/>
      <c r="JZZ127" s="211"/>
      <c r="KAA127" s="24"/>
      <c r="KAB127" s="211"/>
      <c r="KAC127" s="24"/>
      <c r="KAD127" s="211"/>
      <c r="KAE127" s="24"/>
      <c r="KAF127" s="211"/>
      <c r="KAG127" s="24"/>
      <c r="KAH127" s="211"/>
      <c r="KAI127" s="24"/>
      <c r="KAJ127" s="211"/>
      <c r="KAK127" s="24"/>
      <c r="KAL127" s="211"/>
      <c r="KAM127" s="24"/>
      <c r="KAN127" s="211"/>
      <c r="KAO127" s="24"/>
      <c r="KAP127" s="211"/>
      <c r="KAQ127" s="24"/>
      <c r="KAR127" s="211"/>
      <c r="KAS127" s="24"/>
      <c r="KAT127" s="211"/>
      <c r="KAU127" s="24"/>
      <c r="KAV127" s="211"/>
      <c r="KAW127" s="24"/>
      <c r="KAX127" s="211"/>
      <c r="KAY127" s="24"/>
      <c r="KAZ127" s="211"/>
      <c r="KBA127" s="24"/>
      <c r="KBB127" s="211"/>
      <c r="KBC127" s="24"/>
      <c r="KBD127" s="211"/>
      <c r="KBE127" s="24"/>
      <c r="KBF127" s="211"/>
      <c r="KBG127" s="24"/>
      <c r="KBH127" s="211"/>
      <c r="KBI127" s="24"/>
      <c r="KBJ127" s="211"/>
      <c r="KBK127" s="24"/>
      <c r="KBL127" s="211"/>
      <c r="KBM127" s="24"/>
      <c r="KBN127" s="211"/>
      <c r="KBO127" s="24"/>
      <c r="KBP127" s="211"/>
      <c r="KBQ127" s="24"/>
      <c r="KBR127" s="211"/>
      <c r="KBS127" s="24"/>
      <c r="KBT127" s="211"/>
      <c r="KBU127" s="24"/>
      <c r="KBV127" s="211"/>
      <c r="KBW127" s="24"/>
      <c r="KBX127" s="211"/>
      <c r="KBY127" s="24"/>
      <c r="KBZ127" s="211"/>
      <c r="KCA127" s="24"/>
      <c r="KCB127" s="211"/>
      <c r="KCC127" s="24"/>
      <c r="KCD127" s="211"/>
      <c r="KCE127" s="24"/>
      <c r="KCF127" s="211"/>
      <c r="KCG127" s="24"/>
      <c r="KCH127" s="211"/>
      <c r="KCI127" s="24"/>
      <c r="KCJ127" s="211"/>
      <c r="KCK127" s="24"/>
      <c r="KCL127" s="211"/>
      <c r="KCM127" s="24"/>
      <c r="KCN127" s="211"/>
      <c r="KCO127" s="24"/>
      <c r="KCP127" s="211"/>
      <c r="KCQ127" s="24"/>
      <c r="KCR127" s="211"/>
      <c r="KCS127" s="24"/>
      <c r="KCT127" s="211"/>
      <c r="KCU127" s="24"/>
      <c r="KCV127" s="211"/>
      <c r="KCW127" s="24"/>
      <c r="KCX127" s="211"/>
      <c r="KCY127" s="24"/>
      <c r="KCZ127" s="211"/>
      <c r="KDA127" s="24"/>
      <c r="KDB127" s="211"/>
      <c r="KDC127" s="24"/>
      <c r="KDD127" s="211"/>
      <c r="KDE127" s="24"/>
      <c r="KDF127" s="211"/>
      <c r="KDG127" s="24"/>
      <c r="KDH127" s="211"/>
      <c r="KDI127" s="24"/>
      <c r="KDJ127" s="211"/>
      <c r="KDK127" s="24"/>
      <c r="KDL127" s="211"/>
      <c r="KDM127" s="24"/>
      <c r="KDN127" s="211"/>
      <c r="KDO127" s="24"/>
      <c r="KDP127" s="211"/>
      <c r="KDQ127" s="24"/>
      <c r="KDR127" s="211"/>
      <c r="KDS127" s="24"/>
      <c r="KDT127" s="211"/>
      <c r="KDU127" s="24"/>
      <c r="KDV127" s="211"/>
      <c r="KDW127" s="24"/>
      <c r="KDX127" s="211"/>
      <c r="KDY127" s="24"/>
      <c r="KDZ127" s="211"/>
      <c r="KEA127" s="24"/>
      <c r="KEB127" s="211"/>
      <c r="KEC127" s="24"/>
      <c r="KED127" s="211"/>
      <c r="KEE127" s="24"/>
      <c r="KEF127" s="211"/>
      <c r="KEG127" s="24"/>
      <c r="KEH127" s="211"/>
      <c r="KEI127" s="24"/>
      <c r="KEJ127" s="211"/>
      <c r="KEK127" s="24"/>
      <c r="KEL127" s="211"/>
      <c r="KEM127" s="24"/>
      <c r="KEN127" s="211"/>
      <c r="KEO127" s="24"/>
      <c r="KEP127" s="211"/>
      <c r="KEQ127" s="24"/>
      <c r="KER127" s="211"/>
      <c r="KES127" s="24"/>
      <c r="KET127" s="211"/>
      <c r="KEU127" s="24"/>
      <c r="KEV127" s="211"/>
      <c r="KEW127" s="24"/>
      <c r="KEX127" s="211"/>
      <c r="KEY127" s="24"/>
      <c r="KEZ127" s="211"/>
      <c r="KFA127" s="24"/>
      <c r="KFB127" s="211"/>
      <c r="KFC127" s="24"/>
      <c r="KFD127" s="211"/>
      <c r="KFE127" s="24"/>
      <c r="KFF127" s="211"/>
      <c r="KFG127" s="24"/>
      <c r="KFH127" s="211"/>
      <c r="KFI127" s="24"/>
      <c r="KFJ127" s="211"/>
      <c r="KFK127" s="24"/>
      <c r="KFL127" s="211"/>
      <c r="KFM127" s="24"/>
      <c r="KFN127" s="211"/>
      <c r="KFO127" s="24"/>
      <c r="KFP127" s="211"/>
      <c r="KFQ127" s="24"/>
      <c r="KFR127" s="211"/>
      <c r="KFS127" s="24"/>
      <c r="KFT127" s="211"/>
      <c r="KFU127" s="24"/>
      <c r="KFV127" s="211"/>
      <c r="KFW127" s="24"/>
      <c r="KFX127" s="211"/>
      <c r="KFY127" s="24"/>
      <c r="KFZ127" s="211"/>
      <c r="KGA127" s="24"/>
      <c r="KGB127" s="211"/>
      <c r="KGC127" s="24"/>
      <c r="KGD127" s="211"/>
      <c r="KGE127" s="24"/>
      <c r="KGF127" s="211"/>
      <c r="KGG127" s="24"/>
      <c r="KGH127" s="211"/>
      <c r="KGI127" s="24"/>
      <c r="KGJ127" s="211"/>
      <c r="KGK127" s="24"/>
      <c r="KGL127" s="211"/>
      <c r="KGM127" s="24"/>
      <c r="KGN127" s="211"/>
      <c r="KGO127" s="24"/>
      <c r="KGP127" s="211"/>
      <c r="KGQ127" s="24"/>
      <c r="KGR127" s="211"/>
      <c r="KGS127" s="24"/>
      <c r="KGT127" s="211"/>
      <c r="KGU127" s="24"/>
      <c r="KGV127" s="211"/>
      <c r="KGW127" s="24"/>
      <c r="KGX127" s="211"/>
      <c r="KGY127" s="24"/>
      <c r="KGZ127" s="211"/>
      <c r="KHA127" s="24"/>
      <c r="KHB127" s="211"/>
      <c r="KHC127" s="24"/>
      <c r="KHD127" s="211"/>
      <c r="KHE127" s="24"/>
      <c r="KHF127" s="211"/>
      <c r="KHG127" s="24"/>
      <c r="KHH127" s="211"/>
      <c r="KHI127" s="24"/>
      <c r="KHJ127" s="211"/>
      <c r="KHK127" s="24"/>
      <c r="KHL127" s="211"/>
      <c r="KHM127" s="24"/>
      <c r="KHN127" s="211"/>
      <c r="KHO127" s="24"/>
      <c r="KHP127" s="211"/>
      <c r="KHQ127" s="24"/>
      <c r="KHR127" s="211"/>
      <c r="KHS127" s="24"/>
      <c r="KHT127" s="211"/>
      <c r="KHU127" s="24"/>
      <c r="KHV127" s="211"/>
      <c r="KHW127" s="24"/>
      <c r="KHX127" s="211"/>
      <c r="KHY127" s="24"/>
      <c r="KHZ127" s="211"/>
      <c r="KIA127" s="24"/>
      <c r="KIB127" s="211"/>
      <c r="KIC127" s="24"/>
      <c r="KID127" s="211"/>
      <c r="KIE127" s="24"/>
      <c r="KIF127" s="211"/>
      <c r="KIG127" s="24"/>
      <c r="KIH127" s="211"/>
      <c r="KII127" s="24"/>
      <c r="KIJ127" s="211"/>
      <c r="KIK127" s="24"/>
      <c r="KIL127" s="211"/>
      <c r="KIM127" s="24"/>
      <c r="KIN127" s="211"/>
      <c r="KIO127" s="24"/>
      <c r="KIP127" s="211"/>
      <c r="KIQ127" s="24"/>
      <c r="KIR127" s="211"/>
      <c r="KIS127" s="24"/>
      <c r="KIT127" s="211"/>
      <c r="KIU127" s="24"/>
      <c r="KIV127" s="211"/>
      <c r="KIW127" s="24"/>
      <c r="KIX127" s="211"/>
      <c r="KIY127" s="24"/>
      <c r="KIZ127" s="211"/>
      <c r="KJA127" s="24"/>
      <c r="KJB127" s="211"/>
      <c r="KJC127" s="24"/>
      <c r="KJD127" s="211"/>
      <c r="KJE127" s="24"/>
      <c r="KJF127" s="211"/>
      <c r="KJG127" s="24"/>
      <c r="KJH127" s="211"/>
      <c r="KJI127" s="24"/>
      <c r="KJJ127" s="211"/>
      <c r="KJK127" s="24"/>
      <c r="KJL127" s="211"/>
      <c r="KJM127" s="24"/>
      <c r="KJN127" s="211"/>
      <c r="KJO127" s="24"/>
      <c r="KJP127" s="211"/>
      <c r="KJQ127" s="24"/>
      <c r="KJR127" s="211"/>
      <c r="KJS127" s="24"/>
      <c r="KJT127" s="211"/>
      <c r="KJU127" s="24"/>
      <c r="KJV127" s="211"/>
      <c r="KJW127" s="24"/>
      <c r="KJX127" s="211"/>
      <c r="KJY127" s="24"/>
      <c r="KJZ127" s="211"/>
      <c r="KKA127" s="24"/>
      <c r="KKB127" s="211"/>
      <c r="KKC127" s="24"/>
      <c r="KKD127" s="211"/>
      <c r="KKE127" s="24"/>
      <c r="KKF127" s="211"/>
      <c r="KKG127" s="24"/>
      <c r="KKH127" s="211"/>
      <c r="KKI127" s="24"/>
      <c r="KKJ127" s="211"/>
      <c r="KKK127" s="24"/>
      <c r="KKL127" s="211"/>
      <c r="KKM127" s="24"/>
      <c r="KKN127" s="211"/>
      <c r="KKO127" s="24"/>
      <c r="KKP127" s="211"/>
      <c r="KKQ127" s="24"/>
      <c r="KKR127" s="211"/>
      <c r="KKS127" s="24"/>
      <c r="KKT127" s="211"/>
      <c r="KKU127" s="24"/>
      <c r="KKV127" s="211"/>
      <c r="KKW127" s="24"/>
      <c r="KKX127" s="211"/>
      <c r="KKY127" s="24"/>
      <c r="KKZ127" s="211"/>
      <c r="KLA127" s="24"/>
      <c r="KLB127" s="211"/>
      <c r="KLC127" s="24"/>
      <c r="KLD127" s="211"/>
      <c r="KLE127" s="24"/>
      <c r="KLF127" s="211"/>
      <c r="KLG127" s="24"/>
      <c r="KLH127" s="211"/>
      <c r="KLI127" s="24"/>
      <c r="KLJ127" s="211"/>
      <c r="KLK127" s="24"/>
      <c r="KLL127" s="211"/>
      <c r="KLM127" s="24"/>
      <c r="KLN127" s="211"/>
      <c r="KLO127" s="24"/>
      <c r="KLP127" s="211"/>
      <c r="KLQ127" s="24"/>
      <c r="KLR127" s="211"/>
      <c r="KLS127" s="24"/>
      <c r="KLT127" s="211"/>
      <c r="KLU127" s="24"/>
      <c r="KLV127" s="211"/>
      <c r="KLW127" s="24"/>
      <c r="KLX127" s="211"/>
      <c r="KLY127" s="24"/>
      <c r="KLZ127" s="211"/>
      <c r="KMA127" s="24"/>
      <c r="KMB127" s="211"/>
      <c r="KMC127" s="24"/>
      <c r="KMD127" s="211"/>
      <c r="KME127" s="24"/>
      <c r="KMF127" s="211"/>
      <c r="KMG127" s="24"/>
      <c r="KMH127" s="211"/>
      <c r="KMI127" s="24"/>
      <c r="KMJ127" s="211"/>
      <c r="KMK127" s="24"/>
      <c r="KML127" s="211"/>
      <c r="KMM127" s="24"/>
      <c r="KMN127" s="211"/>
      <c r="KMO127" s="24"/>
      <c r="KMP127" s="211"/>
      <c r="KMQ127" s="24"/>
      <c r="KMR127" s="211"/>
      <c r="KMS127" s="24"/>
      <c r="KMT127" s="211"/>
      <c r="KMU127" s="24"/>
      <c r="KMV127" s="211"/>
      <c r="KMW127" s="24"/>
      <c r="KMX127" s="211"/>
      <c r="KMY127" s="24"/>
      <c r="KMZ127" s="211"/>
      <c r="KNA127" s="24"/>
      <c r="KNB127" s="211"/>
      <c r="KNC127" s="24"/>
      <c r="KND127" s="211"/>
      <c r="KNE127" s="24"/>
      <c r="KNF127" s="211"/>
      <c r="KNG127" s="24"/>
      <c r="KNH127" s="211"/>
      <c r="KNI127" s="24"/>
      <c r="KNJ127" s="211"/>
      <c r="KNK127" s="24"/>
      <c r="KNL127" s="211"/>
      <c r="KNM127" s="24"/>
      <c r="KNN127" s="211"/>
      <c r="KNO127" s="24"/>
      <c r="KNP127" s="211"/>
      <c r="KNQ127" s="24"/>
      <c r="KNR127" s="211"/>
      <c r="KNS127" s="24"/>
      <c r="KNT127" s="211"/>
      <c r="KNU127" s="24"/>
      <c r="KNV127" s="211"/>
      <c r="KNW127" s="24"/>
      <c r="KNX127" s="211"/>
      <c r="KNY127" s="24"/>
      <c r="KNZ127" s="211"/>
      <c r="KOA127" s="24"/>
      <c r="KOB127" s="211"/>
      <c r="KOC127" s="24"/>
      <c r="KOD127" s="211"/>
      <c r="KOE127" s="24"/>
      <c r="KOF127" s="211"/>
      <c r="KOG127" s="24"/>
      <c r="KOH127" s="211"/>
      <c r="KOI127" s="24"/>
      <c r="KOJ127" s="211"/>
      <c r="KOK127" s="24"/>
      <c r="KOL127" s="211"/>
      <c r="KOM127" s="24"/>
      <c r="KON127" s="211"/>
      <c r="KOO127" s="24"/>
      <c r="KOP127" s="211"/>
      <c r="KOQ127" s="24"/>
      <c r="KOR127" s="211"/>
      <c r="KOS127" s="24"/>
      <c r="KOT127" s="211"/>
      <c r="KOU127" s="24"/>
      <c r="KOV127" s="211"/>
      <c r="KOW127" s="24"/>
      <c r="KOX127" s="211"/>
      <c r="KOY127" s="24"/>
      <c r="KOZ127" s="211"/>
      <c r="KPA127" s="24"/>
      <c r="KPB127" s="211"/>
      <c r="KPC127" s="24"/>
      <c r="KPD127" s="211"/>
      <c r="KPE127" s="24"/>
      <c r="KPF127" s="211"/>
      <c r="KPG127" s="24"/>
      <c r="KPH127" s="211"/>
      <c r="KPI127" s="24"/>
      <c r="KPJ127" s="211"/>
      <c r="KPK127" s="24"/>
      <c r="KPL127" s="211"/>
      <c r="KPM127" s="24"/>
      <c r="KPN127" s="211"/>
      <c r="KPO127" s="24"/>
      <c r="KPP127" s="211"/>
      <c r="KPQ127" s="24"/>
      <c r="KPR127" s="211"/>
      <c r="KPS127" s="24"/>
      <c r="KPT127" s="211"/>
      <c r="KPU127" s="24"/>
      <c r="KPV127" s="211"/>
      <c r="KPW127" s="24"/>
      <c r="KPX127" s="211"/>
      <c r="KPY127" s="24"/>
      <c r="KPZ127" s="211"/>
      <c r="KQA127" s="24"/>
      <c r="KQB127" s="211"/>
      <c r="KQC127" s="24"/>
      <c r="KQD127" s="211"/>
      <c r="KQE127" s="24"/>
      <c r="KQF127" s="211"/>
      <c r="KQG127" s="24"/>
      <c r="KQH127" s="211"/>
      <c r="KQI127" s="24"/>
      <c r="KQJ127" s="211"/>
      <c r="KQK127" s="24"/>
      <c r="KQL127" s="211"/>
      <c r="KQM127" s="24"/>
      <c r="KQN127" s="211"/>
      <c r="KQO127" s="24"/>
      <c r="KQP127" s="211"/>
      <c r="KQQ127" s="24"/>
      <c r="KQR127" s="211"/>
      <c r="KQS127" s="24"/>
      <c r="KQT127" s="211"/>
      <c r="KQU127" s="24"/>
      <c r="KQV127" s="211"/>
      <c r="KQW127" s="24"/>
      <c r="KQX127" s="211"/>
      <c r="KQY127" s="24"/>
      <c r="KQZ127" s="211"/>
      <c r="KRA127" s="24"/>
      <c r="KRB127" s="211"/>
      <c r="KRC127" s="24"/>
      <c r="KRD127" s="211"/>
      <c r="KRE127" s="24"/>
      <c r="KRF127" s="211"/>
      <c r="KRG127" s="24"/>
      <c r="KRH127" s="211"/>
      <c r="KRI127" s="24"/>
      <c r="KRJ127" s="211"/>
      <c r="KRK127" s="24"/>
      <c r="KRL127" s="211"/>
      <c r="KRM127" s="24"/>
      <c r="KRN127" s="211"/>
      <c r="KRO127" s="24"/>
      <c r="KRP127" s="211"/>
      <c r="KRQ127" s="24"/>
      <c r="KRR127" s="211"/>
      <c r="KRS127" s="24"/>
      <c r="KRT127" s="211"/>
      <c r="KRU127" s="24"/>
      <c r="KRV127" s="211"/>
      <c r="KRW127" s="24"/>
      <c r="KRX127" s="211"/>
      <c r="KRY127" s="24"/>
      <c r="KRZ127" s="211"/>
      <c r="KSA127" s="24"/>
      <c r="KSB127" s="211"/>
      <c r="KSC127" s="24"/>
      <c r="KSD127" s="211"/>
      <c r="KSE127" s="24"/>
      <c r="KSF127" s="211"/>
      <c r="KSG127" s="24"/>
      <c r="KSH127" s="211"/>
      <c r="KSI127" s="24"/>
      <c r="KSJ127" s="211"/>
      <c r="KSK127" s="24"/>
      <c r="KSL127" s="211"/>
      <c r="KSM127" s="24"/>
      <c r="KSN127" s="211"/>
      <c r="KSO127" s="24"/>
      <c r="KSP127" s="211"/>
      <c r="KSQ127" s="24"/>
      <c r="KSR127" s="211"/>
      <c r="KSS127" s="24"/>
      <c r="KST127" s="211"/>
      <c r="KSU127" s="24"/>
      <c r="KSV127" s="211"/>
      <c r="KSW127" s="24"/>
      <c r="KSX127" s="211"/>
      <c r="KSY127" s="24"/>
      <c r="KSZ127" s="211"/>
      <c r="KTA127" s="24"/>
      <c r="KTB127" s="211"/>
      <c r="KTC127" s="24"/>
      <c r="KTD127" s="211"/>
      <c r="KTE127" s="24"/>
      <c r="KTF127" s="211"/>
      <c r="KTG127" s="24"/>
      <c r="KTH127" s="211"/>
      <c r="KTI127" s="24"/>
      <c r="KTJ127" s="211"/>
      <c r="KTK127" s="24"/>
      <c r="KTL127" s="211"/>
      <c r="KTM127" s="24"/>
      <c r="KTN127" s="211"/>
      <c r="KTO127" s="24"/>
      <c r="KTP127" s="211"/>
      <c r="KTQ127" s="24"/>
      <c r="KTR127" s="211"/>
      <c r="KTS127" s="24"/>
      <c r="KTT127" s="211"/>
      <c r="KTU127" s="24"/>
      <c r="KTV127" s="211"/>
      <c r="KTW127" s="24"/>
      <c r="KTX127" s="211"/>
      <c r="KTY127" s="24"/>
      <c r="KTZ127" s="211"/>
      <c r="KUA127" s="24"/>
      <c r="KUB127" s="211"/>
      <c r="KUC127" s="24"/>
      <c r="KUD127" s="211"/>
      <c r="KUE127" s="24"/>
      <c r="KUF127" s="211"/>
      <c r="KUG127" s="24"/>
      <c r="KUH127" s="211"/>
      <c r="KUI127" s="24"/>
      <c r="KUJ127" s="211"/>
      <c r="KUK127" s="24"/>
      <c r="KUL127" s="211"/>
      <c r="KUM127" s="24"/>
      <c r="KUN127" s="211"/>
      <c r="KUO127" s="24"/>
      <c r="KUP127" s="211"/>
      <c r="KUQ127" s="24"/>
      <c r="KUR127" s="211"/>
      <c r="KUS127" s="24"/>
      <c r="KUT127" s="211"/>
      <c r="KUU127" s="24"/>
      <c r="KUV127" s="211"/>
      <c r="KUW127" s="24"/>
      <c r="KUX127" s="211"/>
      <c r="KUY127" s="24"/>
      <c r="KUZ127" s="211"/>
      <c r="KVA127" s="24"/>
      <c r="KVB127" s="211"/>
      <c r="KVC127" s="24"/>
      <c r="KVD127" s="211"/>
      <c r="KVE127" s="24"/>
      <c r="KVF127" s="211"/>
      <c r="KVG127" s="24"/>
      <c r="KVH127" s="211"/>
      <c r="KVI127" s="24"/>
      <c r="KVJ127" s="211"/>
      <c r="KVK127" s="24"/>
      <c r="KVL127" s="211"/>
      <c r="KVM127" s="24"/>
      <c r="KVN127" s="211"/>
      <c r="KVO127" s="24"/>
      <c r="KVP127" s="211"/>
      <c r="KVQ127" s="24"/>
      <c r="KVR127" s="211"/>
      <c r="KVS127" s="24"/>
      <c r="KVT127" s="211"/>
      <c r="KVU127" s="24"/>
      <c r="KVV127" s="211"/>
      <c r="KVW127" s="24"/>
      <c r="KVX127" s="211"/>
      <c r="KVY127" s="24"/>
      <c r="KVZ127" s="211"/>
      <c r="KWA127" s="24"/>
      <c r="KWB127" s="211"/>
      <c r="KWC127" s="24"/>
      <c r="KWD127" s="211"/>
      <c r="KWE127" s="24"/>
      <c r="KWF127" s="211"/>
      <c r="KWG127" s="24"/>
      <c r="KWH127" s="211"/>
      <c r="KWI127" s="24"/>
      <c r="KWJ127" s="211"/>
      <c r="KWK127" s="24"/>
      <c r="KWL127" s="211"/>
      <c r="KWM127" s="24"/>
      <c r="KWN127" s="211"/>
      <c r="KWO127" s="24"/>
      <c r="KWP127" s="211"/>
      <c r="KWQ127" s="24"/>
      <c r="KWR127" s="211"/>
      <c r="KWS127" s="24"/>
      <c r="KWT127" s="211"/>
      <c r="KWU127" s="24"/>
      <c r="KWV127" s="211"/>
      <c r="KWW127" s="24"/>
      <c r="KWX127" s="211"/>
      <c r="KWY127" s="24"/>
      <c r="KWZ127" s="211"/>
      <c r="KXA127" s="24"/>
      <c r="KXB127" s="211"/>
      <c r="KXC127" s="24"/>
      <c r="KXD127" s="211"/>
      <c r="KXE127" s="24"/>
      <c r="KXF127" s="211"/>
      <c r="KXG127" s="24"/>
      <c r="KXH127" s="211"/>
      <c r="KXI127" s="24"/>
      <c r="KXJ127" s="211"/>
      <c r="KXK127" s="24"/>
      <c r="KXL127" s="211"/>
      <c r="KXM127" s="24"/>
      <c r="KXN127" s="211"/>
      <c r="KXO127" s="24"/>
      <c r="KXP127" s="211"/>
      <c r="KXQ127" s="24"/>
      <c r="KXR127" s="211"/>
      <c r="KXS127" s="24"/>
      <c r="KXT127" s="211"/>
      <c r="KXU127" s="24"/>
      <c r="KXV127" s="211"/>
      <c r="KXW127" s="24"/>
      <c r="KXX127" s="211"/>
      <c r="KXY127" s="24"/>
      <c r="KXZ127" s="211"/>
      <c r="KYA127" s="24"/>
      <c r="KYB127" s="211"/>
      <c r="KYC127" s="24"/>
      <c r="KYD127" s="211"/>
      <c r="KYE127" s="24"/>
      <c r="KYF127" s="211"/>
      <c r="KYG127" s="24"/>
      <c r="KYH127" s="211"/>
      <c r="KYI127" s="24"/>
      <c r="KYJ127" s="211"/>
      <c r="KYK127" s="24"/>
      <c r="KYL127" s="211"/>
      <c r="KYM127" s="24"/>
      <c r="KYN127" s="211"/>
      <c r="KYO127" s="24"/>
      <c r="KYP127" s="211"/>
      <c r="KYQ127" s="24"/>
      <c r="KYR127" s="211"/>
      <c r="KYS127" s="24"/>
      <c r="KYT127" s="211"/>
      <c r="KYU127" s="24"/>
      <c r="KYV127" s="211"/>
      <c r="KYW127" s="24"/>
      <c r="KYX127" s="211"/>
      <c r="KYY127" s="24"/>
      <c r="KYZ127" s="211"/>
      <c r="KZA127" s="24"/>
      <c r="KZB127" s="211"/>
      <c r="KZC127" s="24"/>
      <c r="KZD127" s="211"/>
      <c r="KZE127" s="24"/>
      <c r="KZF127" s="211"/>
      <c r="KZG127" s="24"/>
      <c r="KZH127" s="211"/>
      <c r="KZI127" s="24"/>
      <c r="KZJ127" s="211"/>
      <c r="KZK127" s="24"/>
      <c r="KZL127" s="211"/>
      <c r="KZM127" s="24"/>
      <c r="KZN127" s="211"/>
      <c r="KZO127" s="24"/>
      <c r="KZP127" s="211"/>
      <c r="KZQ127" s="24"/>
      <c r="KZR127" s="211"/>
      <c r="KZS127" s="24"/>
      <c r="KZT127" s="211"/>
      <c r="KZU127" s="24"/>
      <c r="KZV127" s="211"/>
      <c r="KZW127" s="24"/>
      <c r="KZX127" s="211"/>
      <c r="KZY127" s="24"/>
      <c r="KZZ127" s="211"/>
      <c r="LAA127" s="24"/>
      <c r="LAB127" s="211"/>
      <c r="LAC127" s="24"/>
      <c r="LAD127" s="211"/>
      <c r="LAE127" s="24"/>
      <c r="LAF127" s="211"/>
      <c r="LAG127" s="24"/>
      <c r="LAH127" s="211"/>
      <c r="LAI127" s="24"/>
      <c r="LAJ127" s="211"/>
      <c r="LAK127" s="24"/>
      <c r="LAL127" s="211"/>
      <c r="LAM127" s="24"/>
      <c r="LAN127" s="211"/>
      <c r="LAO127" s="24"/>
      <c r="LAP127" s="211"/>
      <c r="LAQ127" s="24"/>
      <c r="LAR127" s="211"/>
      <c r="LAS127" s="24"/>
      <c r="LAT127" s="211"/>
      <c r="LAU127" s="24"/>
      <c r="LAV127" s="211"/>
      <c r="LAW127" s="24"/>
      <c r="LAX127" s="211"/>
      <c r="LAY127" s="24"/>
      <c r="LAZ127" s="211"/>
      <c r="LBA127" s="24"/>
      <c r="LBB127" s="211"/>
      <c r="LBC127" s="24"/>
      <c r="LBD127" s="211"/>
      <c r="LBE127" s="24"/>
      <c r="LBF127" s="211"/>
      <c r="LBG127" s="24"/>
      <c r="LBH127" s="211"/>
      <c r="LBI127" s="24"/>
      <c r="LBJ127" s="211"/>
      <c r="LBK127" s="24"/>
      <c r="LBL127" s="211"/>
      <c r="LBM127" s="24"/>
      <c r="LBN127" s="211"/>
      <c r="LBO127" s="24"/>
      <c r="LBP127" s="211"/>
      <c r="LBQ127" s="24"/>
      <c r="LBR127" s="211"/>
      <c r="LBS127" s="24"/>
      <c r="LBT127" s="211"/>
      <c r="LBU127" s="24"/>
      <c r="LBV127" s="211"/>
      <c r="LBW127" s="24"/>
      <c r="LBX127" s="211"/>
      <c r="LBY127" s="24"/>
      <c r="LBZ127" s="211"/>
      <c r="LCA127" s="24"/>
      <c r="LCB127" s="211"/>
      <c r="LCC127" s="24"/>
      <c r="LCD127" s="211"/>
      <c r="LCE127" s="24"/>
      <c r="LCF127" s="211"/>
      <c r="LCG127" s="24"/>
      <c r="LCH127" s="211"/>
      <c r="LCI127" s="24"/>
      <c r="LCJ127" s="211"/>
      <c r="LCK127" s="24"/>
      <c r="LCL127" s="211"/>
      <c r="LCM127" s="24"/>
      <c r="LCN127" s="211"/>
      <c r="LCO127" s="24"/>
      <c r="LCP127" s="211"/>
      <c r="LCQ127" s="24"/>
      <c r="LCR127" s="211"/>
      <c r="LCS127" s="24"/>
      <c r="LCT127" s="211"/>
      <c r="LCU127" s="24"/>
      <c r="LCV127" s="211"/>
      <c r="LCW127" s="24"/>
      <c r="LCX127" s="211"/>
      <c r="LCY127" s="24"/>
      <c r="LCZ127" s="211"/>
      <c r="LDA127" s="24"/>
      <c r="LDB127" s="211"/>
      <c r="LDC127" s="24"/>
      <c r="LDD127" s="211"/>
      <c r="LDE127" s="24"/>
      <c r="LDF127" s="211"/>
      <c r="LDG127" s="24"/>
      <c r="LDH127" s="211"/>
      <c r="LDI127" s="24"/>
      <c r="LDJ127" s="211"/>
      <c r="LDK127" s="24"/>
      <c r="LDL127" s="211"/>
      <c r="LDM127" s="24"/>
      <c r="LDN127" s="211"/>
      <c r="LDO127" s="24"/>
      <c r="LDP127" s="211"/>
      <c r="LDQ127" s="24"/>
      <c r="LDR127" s="211"/>
      <c r="LDS127" s="24"/>
      <c r="LDT127" s="211"/>
      <c r="LDU127" s="24"/>
      <c r="LDV127" s="211"/>
      <c r="LDW127" s="24"/>
      <c r="LDX127" s="211"/>
      <c r="LDY127" s="24"/>
      <c r="LDZ127" s="211"/>
      <c r="LEA127" s="24"/>
      <c r="LEB127" s="211"/>
      <c r="LEC127" s="24"/>
      <c r="LED127" s="211"/>
      <c r="LEE127" s="24"/>
      <c r="LEF127" s="211"/>
      <c r="LEG127" s="24"/>
      <c r="LEH127" s="211"/>
      <c r="LEI127" s="24"/>
      <c r="LEJ127" s="211"/>
      <c r="LEK127" s="24"/>
      <c r="LEL127" s="211"/>
      <c r="LEM127" s="24"/>
      <c r="LEN127" s="211"/>
      <c r="LEO127" s="24"/>
      <c r="LEP127" s="211"/>
      <c r="LEQ127" s="24"/>
      <c r="LER127" s="211"/>
      <c r="LES127" s="24"/>
      <c r="LET127" s="211"/>
      <c r="LEU127" s="24"/>
      <c r="LEV127" s="211"/>
      <c r="LEW127" s="24"/>
      <c r="LEX127" s="211"/>
      <c r="LEY127" s="24"/>
      <c r="LEZ127" s="211"/>
      <c r="LFA127" s="24"/>
      <c r="LFB127" s="211"/>
      <c r="LFC127" s="24"/>
      <c r="LFD127" s="211"/>
      <c r="LFE127" s="24"/>
      <c r="LFF127" s="211"/>
      <c r="LFG127" s="24"/>
      <c r="LFH127" s="211"/>
      <c r="LFI127" s="24"/>
      <c r="LFJ127" s="211"/>
      <c r="LFK127" s="24"/>
      <c r="LFL127" s="211"/>
      <c r="LFM127" s="24"/>
      <c r="LFN127" s="211"/>
      <c r="LFO127" s="24"/>
      <c r="LFP127" s="211"/>
      <c r="LFQ127" s="24"/>
      <c r="LFR127" s="211"/>
      <c r="LFS127" s="24"/>
      <c r="LFT127" s="211"/>
      <c r="LFU127" s="24"/>
      <c r="LFV127" s="211"/>
      <c r="LFW127" s="24"/>
      <c r="LFX127" s="211"/>
      <c r="LFY127" s="24"/>
      <c r="LFZ127" s="211"/>
      <c r="LGA127" s="24"/>
      <c r="LGB127" s="211"/>
      <c r="LGC127" s="24"/>
      <c r="LGD127" s="211"/>
      <c r="LGE127" s="24"/>
      <c r="LGF127" s="211"/>
      <c r="LGG127" s="24"/>
      <c r="LGH127" s="211"/>
      <c r="LGI127" s="24"/>
      <c r="LGJ127" s="211"/>
      <c r="LGK127" s="24"/>
      <c r="LGL127" s="211"/>
      <c r="LGM127" s="24"/>
      <c r="LGN127" s="211"/>
      <c r="LGO127" s="24"/>
      <c r="LGP127" s="211"/>
      <c r="LGQ127" s="24"/>
      <c r="LGR127" s="211"/>
      <c r="LGS127" s="24"/>
      <c r="LGT127" s="211"/>
      <c r="LGU127" s="24"/>
      <c r="LGV127" s="211"/>
      <c r="LGW127" s="24"/>
      <c r="LGX127" s="211"/>
      <c r="LGY127" s="24"/>
      <c r="LGZ127" s="211"/>
      <c r="LHA127" s="24"/>
      <c r="LHB127" s="211"/>
      <c r="LHC127" s="24"/>
      <c r="LHD127" s="211"/>
      <c r="LHE127" s="24"/>
      <c r="LHF127" s="211"/>
      <c r="LHG127" s="24"/>
      <c r="LHH127" s="211"/>
      <c r="LHI127" s="24"/>
      <c r="LHJ127" s="211"/>
      <c r="LHK127" s="24"/>
      <c r="LHL127" s="211"/>
      <c r="LHM127" s="24"/>
      <c r="LHN127" s="211"/>
      <c r="LHO127" s="24"/>
      <c r="LHP127" s="211"/>
      <c r="LHQ127" s="24"/>
      <c r="LHR127" s="211"/>
      <c r="LHS127" s="24"/>
      <c r="LHT127" s="211"/>
      <c r="LHU127" s="24"/>
      <c r="LHV127" s="211"/>
      <c r="LHW127" s="24"/>
      <c r="LHX127" s="211"/>
      <c r="LHY127" s="24"/>
      <c r="LHZ127" s="211"/>
      <c r="LIA127" s="24"/>
      <c r="LIB127" s="211"/>
      <c r="LIC127" s="24"/>
      <c r="LID127" s="211"/>
      <c r="LIE127" s="24"/>
      <c r="LIF127" s="211"/>
      <c r="LIG127" s="24"/>
      <c r="LIH127" s="211"/>
      <c r="LII127" s="24"/>
      <c r="LIJ127" s="211"/>
      <c r="LIK127" s="24"/>
      <c r="LIL127" s="211"/>
      <c r="LIM127" s="24"/>
      <c r="LIN127" s="211"/>
      <c r="LIO127" s="24"/>
      <c r="LIP127" s="211"/>
      <c r="LIQ127" s="24"/>
      <c r="LIR127" s="211"/>
      <c r="LIS127" s="24"/>
      <c r="LIT127" s="211"/>
      <c r="LIU127" s="24"/>
      <c r="LIV127" s="211"/>
      <c r="LIW127" s="24"/>
      <c r="LIX127" s="211"/>
      <c r="LIY127" s="24"/>
      <c r="LIZ127" s="211"/>
      <c r="LJA127" s="24"/>
      <c r="LJB127" s="211"/>
      <c r="LJC127" s="24"/>
      <c r="LJD127" s="211"/>
      <c r="LJE127" s="24"/>
      <c r="LJF127" s="211"/>
      <c r="LJG127" s="24"/>
      <c r="LJH127" s="211"/>
      <c r="LJI127" s="24"/>
      <c r="LJJ127" s="211"/>
      <c r="LJK127" s="24"/>
      <c r="LJL127" s="211"/>
      <c r="LJM127" s="24"/>
      <c r="LJN127" s="211"/>
      <c r="LJO127" s="24"/>
      <c r="LJP127" s="211"/>
      <c r="LJQ127" s="24"/>
      <c r="LJR127" s="211"/>
      <c r="LJS127" s="24"/>
      <c r="LJT127" s="211"/>
      <c r="LJU127" s="24"/>
      <c r="LJV127" s="211"/>
      <c r="LJW127" s="24"/>
      <c r="LJX127" s="211"/>
      <c r="LJY127" s="24"/>
      <c r="LJZ127" s="211"/>
      <c r="LKA127" s="24"/>
      <c r="LKB127" s="211"/>
      <c r="LKC127" s="24"/>
      <c r="LKD127" s="211"/>
      <c r="LKE127" s="24"/>
      <c r="LKF127" s="211"/>
      <c r="LKG127" s="24"/>
      <c r="LKH127" s="211"/>
      <c r="LKI127" s="24"/>
      <c r="LKJ127" s="211"/>
      <c r="LKK127" s="24"/>
      <c r="LKL127" s="211"/>
      <c r="LKM127" s="24"/>
      <c r="LKN127" s="211"/>
      <c r="LKO127" s="24"/>
      <c r="LKP127" s="211"/>
      <c r="LKQ127" s="24"/>
      <c r="LKR127" s="211"/>
      <c r="LKS127" s="24"/>
      <c r="LKT127" s="211"/>
      <c r="LKU127" s="24"/>
      <c r="LKV127" s="211"/>
      <c r="LKW127" s="24"/>
      <c r="LKX127" s="211"/>
      <c r="LKY127" s="24"/>
      <c r="LKZ127" s="211"/>
      <c r="LLA127" s="24"/>
      <c r="LLB127" s="211"/>
      <c r="LLC127" s="24"/>
      <c r="LLD127" s="211"/>
      <c r="LLE127" s="24"/>
      <c r="LLF127" s="211"/>
      <c r="LLG127" s="24"/>
      <c r="LLH127" s="211"/>
      <c r="LLI127" s="24"/>
      <c r="LLJ127" s="211"/>
      <c r="LLK127" s="24"/>
      <c r="LLL127" s="211"/>
      <c r="LLM127" s="24"/>
      <c r="LLN127" s="211"/>
      <c r="LLO127" s="24"/>
      <c r="LLP127" s="211"/>
      <c r="LLQ127" s="24"/>
      <c r="LLR127" s="211"/>
      <c r="LLS127" s="24"/>
      <c r="LLT127" s="211"/>
      <c r="LLU127" s="24"/>
      <c r="LLV127" s="211"/>
      <c r="LLW127" s="24"/>
      <c r="LLX127" s="211"/>
      <c r="LLY127" s="24"/>
      <c r="LLZ127" s="211"/>
      <c r="LMA127" s="24"/>
      <c r="LMB127" s="211"/>
      <c r="LMC127" s="24"/>
      <c r="LMD127" s="211"/>
      <c r="LME127" s="24"/>
      <c r="LMF127" s="211"/>
      <c r="LMG127" s="24"/>
      <c r="LMH127" s="211"/>
      <c r="LMI127" s="24"/>
      <c r="LMJ127" s="211"/>
      <c r="LMK127" s="24"/>
      <c r="LML127" s="211"/>
      <c r="LMM127" s="24"/>
      <c r="LMN127" s="211"/>
      <c r="LMO127" s="24"/>
      <c r="LMP127" s="211"/>
      <c r="LMQ127" s="24"/>
      <c r="LMR127" s="211"/>
      <c r="LMS127" s="24"/>
      <c r="LMT127" s="211"/>
      <c r="LMU127" s="24"/>
      <c r="LMV127" s="211"/>
      <c r="LMW127" s="24"/>
      <c r="LMX127" s="211"/>
      <c r="LMY127" s="24"/>
      <c r="LMZ127" s="211"/>
      <c r="LNA127" s="24"/>
      <c r="LNB127" s="211"/>
      <c r="LNC127" s="24"/>
      <c r="LND127" s="211"/>
      <c r="LNE127" s="24"/>
      <c r="LNF127" s="211"/>
      <c r="LNG127" s="24"/>
      <c r="LNH127" s="211"/>
      <c r="LNI127" s="24"/>
      <c r="LNJ127" s="211"/>
      <c r="LNK127" s="24"/>
      <c r="LNL127" s="211"/>
      <c r="LNM127" s="24"/>
      <c r="LNN127" s="211"/>
      <c r="LNO127" s="24"/>
      <c r="LNP127" s="211"/>
      <c r="LNQ127" s="24"/>
      <c r="LNR127" s="211"/>
      <c r="LNS127" s="24"/>
      <c r="LNT127" s="211"/>
      <c r="LNU127" s="24"/>
      <c r="LNV127" s="211"/>
      <c r="LNW127" s="24"/>
      <c r="LNX127" s="211"/>
      <c r="LNY127" s="24"/>
      <c r="LNZ127" s="211"/>
      <c r="LOA127" s="24"/>
      <c r="LOB127" s="211"/>
      <c r="LOC127" s="24"/>
      <c r="LOD127" s="211"/>
      <c r="LOE127" s="24"/>
      <c r="LOF127" s="211"/>
      <c r="LOG127" s="24"/>
      <c r="LOH127" s="211"/>
      <c r="LOI127" s="24"/>
      <c r="LOJ127" s="211"/>
      <c r="LOK127" s="24"/>
      <c r="LOL127" s="211"/>
      <c r="LOM127" s="24"/>
      <c r="LON127" s="211"/>
      <c r="LOO127" s="24"/>
      <c r="LOP127" s="211"/>
      <c r="LOQ127" s="24"/>
      <c r="LOR127" s="211"/>
      <c r="LOS127" s="24"/>
      <c r="LOT127" s="211"/>
      <c r="LOU127" s="24"/>
      <c r="LOV127" s="211"/>
      <c r="LOW127" s="24"/>
      <c r="LOX127" s="211"/>
      <c r="LOY127" s="24"/>
      <c r="LOZ127" s="211"/>
      <c r="LPA127" s="24"/>
      <c r="LPB127" s="211"/>
      <c r="LPC127" s="24"/>
      <c r="LPD127" s="211"/>
      <c r="LPE127" s="24"/>
      <c r="LPF127" s="211"/>
      <c r="LPG127" s="24"/>
      <c r="LPH127" s="211"/>
      <c r="LPI127" s="24"/>
      <c r="LPJ127" s="211"/>
      <c r="LPK127" s="24"/>
      <c r="LPL127" s="211"/>
      <c r="LPM127" s="24"/>
      <c r="LPN127" s="211"/>
      <c r="LPO127" s="24"/>
      <c r="LPP127" s="211"/>
      <c r="LPQ127" s="24"/>
      <c r="LPR127" s="211"/>
      <c r="LPS127" s="24"/>
      <c r="LPT127" s="211"/>
      <c r="LPU127" s="24"/>
      <c r="LPV127" s="211"/>
      <c r="LPW127" s="24"/>
      <c r="LPX127" s="211"/>
      <c r="LPY127" s="24"/>
      <c r="LPZ127" s="211"/>
      <c r="LQA127" s="24"/>
      <c r="LQB127" s="211"/>
      <c r="LQC127" s="24"/>
      <c r="LQD127" s="211"/>
      <c r="LQE127" s="24"/>
      <c r="LQF127" s="211"/>
      <c r="LQG127" s="24"/>
      <c r="LQH127" s="211"/>
      <c r="LQI127" s="24"/>
      <c r="LQJ127" s="211"/>
      <c r="LQK127" s="24"/>
      <c r="LQL127" s="211"/>
      <c r="LQM127" s="24"/>
      <c r="LQN127" s="211"/>
      <c r="LQO127" s="24"/>
      <c r="LQP127" s="211"/>
      <c r="LQQ127" s="24"/>
      <c r="LQR127" s="211"/>
      <c r="LQS127" s="24"/>
      <c r="LQT127" s="211"/>
      <c r="LQU127" s="24"/>
      <c r="LQV127" s="211"/>
      <c r="LQW127" s="24"/>
      <c r="LQX127" s="211"/>
      <c r="LQY127" s="24"/>
      <c r="LQZ127" s="211"/>
      <c r="LRA127" s="24"/>
      <c r="LRB127" s="211"/>
      <c r="LRC127" s="24"/>
      <c r="LRD127" s="211"/>
      <c r="LRE127" s="24"/>
      <c r="LRF127" s="211"/>
      <c r="LRG127" s="24"/>
      <c r="LRH127" s="211"/>
      <c r="LRI127" s="24"/>
      <c r="LRJ127" s="211"/>
      <c r="LRK127" s="24"/>
      <c r="LRL127" s="211"/>
      <c r="LRM127" s="24"/>
      <c r="LRN127" s="211"/>
      <c r="LRO127" s="24"/>
      <c r="LRP127" s="211"/>
      <c r="LRQ127" s="24"/>
      <c r="LRR127" s="211"/>
      <c r="LRS127" s="24"/>
      <c r="LRT127" s="211"/>
      <c r="LRU127" s="24"/>
      <c r="LRV127" s="211"/>
      <c r="LRW127" s="24"/>
      <c r="LRX127" s="211"/>
      <c r="LRY127" s="24"/>
      <c r="LRZ127" s="211"/>
      <c r="LSA127" s="24"/>
      <c r="LSB127" s="211"/>
      <c r="LSC127" s="24"/>
      <c r="LSD127" s="211"/>
      <c r="LSE127" s="24"/>
      <c r="LSF127" s="211"/>
      <c r="LSG127" s="24"/>
      <c r="LSH127" s="211"/>
      <c r="LSI127" s="24"/>
      <c r="LSJ127" s="211"/>
      <c r="LSK127" s="24"/>
      <c r="LSL127" s="211"/>
      <c r="LSM127" s="24"/>
      <c r="LSN127" s="211"/>
      <c r="LSO127" s="24"/>
      <c r="LSP127" s="211"/>
      <c r="LSQ127" s="24"/>
      <c r="LSR127" s="211"/>
      <c r="LSS127" s="24"/>
      <c r="LST127" s="211"/>
      <c r="LSU127" s="24"/>
      <c r="LSV127" s="211"/>
      <c r="LSW127" s="24"/>
      <c r="LSX127" s="211"/>
      <c r="LSY127" s="24"/>
      <c r="LSZ127" s="211"/>
      <c r="LTA127" s="24"/>
      <c r="LTB127" s="211"/>
      <c r="LTC127" s="24"/>
      <c r="LTD127" s="211"/>
      <c r="LTE127" s="24"/>
      <c r="LTF127" s="211"/>
      <c r="LTG127" s="24"/>
      <c r="LTH127" s="211"/>
      <c r="LTI127" s="24"/>
      <c r="LTJ127" s="211"/>
      <c r="LTK127" s="24"/>
      <c r="LTL127" s="211"/>
      <c r="LTM127" s="24"/>
      <c r="LTN127" s="211"/>
      <c r="LTO127" s="24"/>
      <c r="LTP127" s="211"/>
      <c r="LTQ127" s="24"/>
      <c r="LTR127" s="211"/>
      <c r="LTS127" s="24"/>
      <c r="LTT127" s="211"/>
      <c r="LTU127" s="24"/>
      <c r="LTV127" s="211"/>
      <c r="LTW127" s="24"/>
      <c r="LTX127" s="211"/>
      <c r="LTY127" s="24"/>
      <c r="LTZ127" s="211"/>
      <c r="LUA127" s="24"/>
      <c r="LUB127" s="211"/>
      <c r="LUC127" s="24"/>
      <c r="LUD127" s="211"/>
      <c r="LUE127" s="24"/>
      <c r="LUF127" s="211"/>
      <c r="LUG127" s="24"/>
      <c r="LUH127" s="211"/>
      <c r="LUI127" s="24"/>
      <c r="LUJ127" s="211"/>
      <c r="LUK127" s="24"/>
      <c r="LUL127" s="211"/>
      <c r="LUM127" s="24"/>
      <c r="LUN127" s="211"/>
      <c r="LUO127" s="24"/>
      <c r="LUP127" s="211"/>
      <c r="LUQ127" s="24"/>
      <c r="LUR127" s="211"/>
      <c r="LUS127" s="24"/>
      <c r="LUT127" s="211"/>
      <c r="LUU127" s="24"/>
      <c r="LUV127" s="211"/>
      <c r="LUW127" s="24"/>
      <c r="LUX127" s="211"/>
      <c r="LUY127" s="24"/>
      <c r="LUZ127" s="211"/>
      <c r="LVA127" s="24"/>
      <c r="LVB127" s="211"/>
      <c r="LVC127" s="24"/>
      <c r="LVD127" s="211"/>
      <c r="LVE127" s="24"/>
      <c r="LVF127" s="211"/>
      <c r="LVG127" s="24"/>
      <c r="LVH127" s="211"/>
      <c r="LVI127" s="24"/>
      <c r="LVJ127" s="211"/>
      <c r="LVK127" s="24"/>
      <c r="LVL127" s="211"/>
      <c r="LVM127" s="24"/>
      <c r="LVN127" s="211"/>
      <c r="LVO127" s="24"/>
      <c r="LVP127" s="211"/>
      <c r="LVQ127" s="24"/>
      <c r="LVR127" s="211"/>
      <c r="LVS127" s="24"/>
      <c r="LVT127" s="211"/>
      <c r="LVU127" s="24"/>
      <c r="LVV127" s="211"/>
      <c r="LVW127" s="24"/>
      <c r="LVX127" s="211"/>
      <c r="LVY127" s="24"/>
      <c r="LVZ127" s="211"/>
      <c r="LWA127" s="24"/>
      <c r="LWB127" s="211"/>
      <c r="LWC127" s="24"/>
      <c r="LWD127" s="211"/>
      <c r="LWE127" s="24"/>
      <c r="LWF127" s="211"/>
      <c r="LWG127" s="24"/>
      <c r="LWH127" s="211"/>
      <c r="LWI127" s="24"/>
      <c r="LWJ127" s="211"/>
      <c r="LWK127" s="24"/>
      <c r="LWL127" s="211"/>
      <c r="LWM127" s="24"/>
      <c r="LWN127" s="211"/>
      <c r="LWO127" s="24"/>
      <c r="LWP127" s="211"/>
      <c r="LWQ127" s="24"/>
      <c r="LWR127" s="211"/>
      <c r="LWS127" s="24"/>
      <c r="LWT127" s="211"/>
      <c r="LWU127" s="24"/>
      <c r="LWV127" s="211"/>
      <c r="LWW127" s="24"/>
      <c r="LWX127" s="211"/>
      <c r="LWY127" s="24"/>
      <c r="LWZ127" s="211"/>
      <c r="LXA127" s="24"/>
      <c r="LXB127" s="211"/>
      <c r="LXC127" s="24"/>
      <c r="LXD127" s="211"/>
      <c r="LXE127" s="24"/>
      <c r="LXF127" s="211"/>
      <c r="LXG127" s="24"/>
      <c r="LXH127" s="211"/>
      <c r="LXI127" s="24"/>
      <c r="LXJ127" s="211"/>
      <c r="LXK127" s="24"/>
      <c r="LXL127" s="211"/>
      <c r="LXM127" s="24"/>
      <c r="LXN127" s="211"/>
      <c r="LXO127" s="24"/>
      <c r="LXP127" s="211"/>
      <c r="LXQ127" s="24"/>
      <c r="LXR127" s="211"/>
      <c r="LXS127" s="24"/>
      <c r="LXT127" s="211"/>
      <c r="LXU127" s="24"/>
      <c r="LXV127" s="211"/>
      <c r="LXW127" s="24"/>
      <c r="LXX127" s="211"/>
      <c r="LXY127" s="24"/>
      <c r="LXZ127" s="211"/>
      <c r="LYA127" s="24"/>
      <c r="LYB127" s="211"/>
      <c r="LYC127" s="24"/>
      <c r="LYD127" s="211"/>
      <c r="LYE127" s="24"/>
      <c r="LYF127" s="211"/>
      <c r="LYG127" s="24"/>
      <c r="LYH127" s="211"/>
      <c r="LYI127" s="24"/>
      <c r="LYJ127" s="211"/>
      <c r="LYK127" s="24"/>
      <c r="LYL127" s="211"/>
      <c r="LYM127" s="24"/>
      <c r="LYN127" s="211"/>
      <c r="LYO127" s="24"/>
      <c r="LYP127" s="211"/>
      <c r="LYQ127" s="24"/>
      <c r="LYR127" s="211"/>
      <c r="LYS127" s="24"/>
      <c r="LYT127" s="211"/>
      <c r="LYU127" s="24"/>
      <c r="LYV127" s="211"/>
      <c r="LYW127" s="24"/>
      <c r="LYX127" s="211"/>
      <c r="LYY127" s="24"/>
      <c r="LYZ127" s="211"/>
      <c r="LZA127" s="24"/>
      <c r="LZB127" s="211"/>
      <c r="LZC127" s="24"/>
      <c r="LZD127" s="211"/>
      <c r="LZE127" s="24"/>
      <c r="LZF127" s="211"/>
      <c r="LZG127" s="24"/>
      <c r="LZH127" s="211"/>
      <c r="LZI127" s="24"/>
      <c r="LZJ127" s="211"/>
      <c r="LZK127" s="24"/>
      <c r="LZL127" s="211"/>
      <c r="LZM127" s="24"/>
      <c r="LZN127" s="211"/>
      <c r="LZO127" s="24"/>
      <c r="LZP127" s="211"/>
      <c r="LZQ127" s="24"/>
      <c r="LZR127" s="211"/>
      <c r="LZS127" s="24"/>
      <c r="LZT127" s="211"/>
      <c r="LZU127" s="24"/>
      <c r="LZV127" s="211"/>
      <c r="LZW127" s="24"/>
      <c r="LZX127" s="211"/>
      <c r="LZY127" s="24"/>
      <c r="LZZ127" s="211"/>
      <c r="MAA127" s="24"/>
      <c r="MAB127" s="211"/>
      <c r="MAC127" s="24"/>
      <c r="MAD127" s="211"/>
      <c r="MAE127" s="24"/>
      <c r="MAF127" s="211"/>
      <c r="MAG127" s="24"/>
      <c r="MAH127" s="211"/>
      <c r="MAI127" s="24"/>
      <c r="MAJ127" s="211"/>
      <c r="MAK127" s="24"/>
      <c r="MAL127" s="211"/>
      <c r="MAM127" s="24"/>
      <c r="MAN127" s="211"/>
      <c r="MAO127" s="24"/>
      <c r="MAP127" s="211"/>
      <c r="MAQ127" s="24"/>
      <c r="MAR127" s="211"/>
      <c r="MAS127" s="24"/>
      <c r="MAT127" s="211"/>
      <c r="MAU127" s="24"/>
      <c r="MAV127" s="211"/>
      <c r="MAW127" s="24"/>
      <c r="MAX127" s="211"/>
      <c r="MAY127" s="24"/>
      <c r="MAZ127" s="211"/>
      <c r="MBA127" s="24"/>
      <c r="MBB127" s="211"/>
      <c r="MBC127" s="24"/>
      <c r="MBD127" s="211"/>
      <c r="MBE127" s="24"/>
      <c r="MBF127" s="211"/>
      <c r="MBG127" s="24"/>
      <c r="MBH127" s="211"/>
      <c r="MBI127" s="24"/>
      <c r="MBJ127" s="211"/>
      <c r="MBK127" s="24"/>
      <c r="MBL127" s="211"/>
      <c r="MBM127" s="24"/>
      <c r="MBN127" s="211"/>
      <c r="MBO127" s="24"/>
      <c r="MBP127" s="211"/>
      <c r="MBQ127" s="24"/>
      <c r="MBR127" s="211"/>
      <c r="MBS127" s="24"/>
      <c r="MBT127" s="211"/>
      <c r="MBU127" s="24"/>
      <c r="MBV127" s="211"/>
      <c r="MBW127" s="24"/>
      <c r="MBX127" s="211"/>
      <c r="MBY127" s="24"/>
      <c r="MBZ127" s="211"/>
      <c r="MCA127" s="24"/>
      <c r="MCB127" s="211"/>
      <c r="MCC127" s="24"/>
      <c r="MCD127" s="211"/>
      <c r="MCE127" s="24"/>
      <c r="MCF127" s="211"/>
      <c r="MCG127" s="24"/>
      <c r="MCH127" s="211"/>
      <c r="MCI127" s="24"/>
      <c r="MCJ127" s="211"/>
      <c r="MCK127" s="24"/>
      <c r="MCL127" s="211"/>
      <c r="MCM127" s="24"/>
      <c r="MCN127" s="211"/>
      <c r="MCO127" s="24"/>
      <c r="MCP127" s="211"/>
      <c r="MCQ127" s="24"/>
      <c r="MCR127" s="211"/>
      <c r="MCS127" s="24"/>
      <c r="MCT127" s="211"/>
      <c r="MCU127" s="24"/>
      <c r="MCV127" s="211"/>
      <c r="MCW127" s="24"/>
      <c r="MCX127" s="211"/>
      <c r="MCY127" s="24"/>
      <c r="MCZ127" s="211"/>
      <c r="MDA127" s="24"/>
      <c r="MDB127" s="211"/>
      <c r="MDC127" s="24"/>
      <c r="MDD127" s="211"/>
      <c r="MDE127" s="24"/>
      <c r="MDF127" s="211"/>
      <c r="MDG127" s="24"/>
      <c r="MDH127" s="211"/>
      <c r="MDI127" s="24"/>
      <c r="MDJ127" s="211"/>
      <c r="MDK127" s="24"/>
      <c r="MDL127" s="211"/>
      <c r="MDM127" s="24"/>
      <c r="MDN127" s="211"/>
      <c r="MDO127" s="24"/>
      <c r="MDP127" s="211"/>
      <c r="MDQ127" s="24"/>
      <c r="MDR127" s="211"/>
      <c r="MDS127" s="24"/>
      <c r="MDT127" s="211"/>
      <c r="MDU127" s="24"/>
      <c r="MDV127" s="211"/>
      <c r="MDW127" s="24"/>
      <c r="MDX127" s="211"/>
      <c r="MDY127" s="24"/>
      <c r="MDZ127" s="211"/>
      <c r="MEA127" s="24"/>
      <c r="MEB127" s="211"/>
      <c r="MEC127" s="24"/>
      <c r="MED127" s="211"/>
      <c r="MEE127" s="24"/>
      <c r="MEF127" s="211"/>
      <c r="MEG127" s="24"/>
      <c r="MEH127" s="211"/>
      <c r="MEI127" s="24"/>
      <c r="MEJ127" s="211"/>
      <c r="MEK127" s="24"/>
      <c r="MEL127" s="211"/>
      <c r="MEM127" s="24"/>
      <c r="MEN127" s="211"/>
      <c r="MEO127" s="24"/>
      <c r="MEP127" s="211"/>
      <c r="MEQ127" s="24"/>
      <c r="MER127" s="211"/>
      <c r="MES127" s="24"/>
      <c r="MET127" s="211"/>
      <c r="MEU127" s="24"/>
      <c r="MEV127" s="211"/>
      <c r="MEW127" s="24"/>
      <c r="MEX127" s="211"/>
      <c r="MEY127" s="24"/>
      <c r="MEZ127" s="211"/>
      <c r="MFA127" s="24"/>
      <c r="MFB127" s="211"/>
      <c r="MFC127" s="24"/>
      <c r="MFD127" s="211"/>
      <c r="MFE127" s="24"/>
      <c r="MFF127" s="211"/>
      <c r="MFG127" s="24"/>
      <c r="MFH127" s="211"/>
      <c r="MFI127" s="24"/>
      <c r="MFJ127" s="211"/>
      <c r="MFK127" s="24"/>
      <c r="MFL127" s="211"/>
      <c r="MFM127" s="24"/>
      <c r="MFN127" s="211"/>
      <c r="MFO127" s="24"/>
      <c r="MFP127" s="211"/>
      <c r="MFQ127" s="24"/>
      <c r="MFR127" s="211"/>
      <c r="MFS127" s="24"/>
      <c r="MFT127" s="211"/>
      <c r="MFU127" s="24"/>
      <c r="MFV127" s="211"/>
      <c r="MFW127" s="24"/>
      <c r="MFX127" s="211"/>
      <c r="MFY127" s="24"/>
      <c r="MFZ127" s="211"/>
      <c r="MGA127" s="24"/>
      <c r="MGB127" s="211"/>
      <c r="MGC127" s="24"/>
      <c r="MGD127" s="211"/>
      <c r="MGE127" s="24"/>
      <c r="MGF127" s="211"/>
      <c r="MGG127" s="24"/>
      <c r="MGH127" s="211"/>
      <c r="MGI127" s="24"/>
      <c r="MGJ127" s="211"/>
      <c r="MGK127" s="24"/>
      <c r="MGL127" s="211"/>
      <c r="MGM127" s="24"/>
      <c r="MGN127" s="211"/>
      <c r="MGO127" s="24"/>
      <c r="MGP127" s="211"/>
      <c r="MGQ127" s="24"/>
      <c r="MGR127" s="211"/>
      <c r="MGS127" s="24"/>
      <c r="MGT127" s="211"/>
      <c r="MGU127" s="24"/>
      <c r="MGV127" s="211"/>
      <c r="MGW127" s="24"/>
      <c r="MGX127" s="211"/>
      <c r="MGY127" s="24"/>
      <c r="MGZ127" s="211"/>
      <c r="MHA127" s="24"/>
      <c r="MHB127" s="211"/>
      <c r="MHC127" s="24"/>
      <c r="MHD127" s="211"/>
      <c r="MHE127" s="24"/>
      <c r="MHF127" s="211"/>
      <c r="MHG127" s="24"/>
      <c r="MHH127" s="211"/>
      <c r="MHI127" s="24"/>
      <c r="MHJ127" s="211"/>
      <c r="MHK127" s="24"/>
      <c r="MHL127" s="211"/>
      <c r="MHM127" s="24"/>
      <c r="MHN127" s="211"/>
      <c r="MHO127" s="24"/>
      <c r="MHP127" s="211"/>
      <c r="MHQ127" s="24"/>
      <c r="MHR127" s="211"/>
      <c r="MHS127" s="24"/>
      <c r="MHT127" s="211"/>
      <c r="MHU127" s="24"/>
      <c r="MHV127" s="211"/>
      <c r="MHW127" s="24"/>
      <c r="MHX127" s="211"/>
      <c r="MHY127" s="24"/>
      <c r="MHZ127" s="211"/>
      <c r="MIA127" s="24"/>
      <c r="MIB127" s="211"/>
      <c r="MIC127" s="24"/>
      <c r="MID127" s="211"/>
      <c r="MIE127" s="24"/>
      <c r="MIF127" s="211"/>
      <c r="MIG127" s="24"/>
      <c r="MIH127" s="211"/>
      <c r="MII127" s="24"/>
      <c r="MIJ127" s="211"/>
      <c r="MIK127" s="24"/>
      <c r="MIL127" s="211"/>
      <c r="MIM127" s="24"/>
      <c r="MIN127" s="211"/>
      <c r="MIO127" s="24"/>
      <c r="MIP127" s="211"/>
      <c r="MIQ127" s="24"/>
      <c r="MIR127" s="211"/>
      <c r="MIS127" s="24"/>
      <c r="MIT127" s="211"/>
      <c r="MIU127" s="24"/>
      <c r="MIV127" s="211"/>
      <c r="MIW127" s="24"/>
      <c r="MIX127" s="211"/>
      <c r="MIY127" s="24"/>
      <c r="MIZ127" s="211"/>
      <c r="MJA127" s="24"/>
      <c r="MJB127" s="211"/>
      <c r="MJC127" s="24"/>
      <c r="MJD127" s="211"/>
      <c r="MJE127" s="24"/>
      <c r="MJF127" s="211"/>
      <c r="MJG127" s="24"/>
      <c r="MJH127" s="211"/>
      <c r="MJI127" s="24"/>
      <c r="MJJ127" s="211"/>
      <c r="MJK127" s="24"/>
      <c r="MJL127" s="211"/>
      <c r="MJM127" s="24"/>
      <c r="MJN127" s="211"/>
      <c r="MJO127" s="24"/>
      <c r="MJP127" s="211"/>
      <c r="MJQ127" s="24"/>
      <c r="MJR127" s="211"/>
      <c r="MJS127" s="24"/>
      <c r="MJT127" s="211"/>
      <c r="MJU127" s="24"/>
      <c r="MJV127" s="211"/>
      <c r="MJW127" s="24"/>
      <c r="MJX127" s="211"/>
      <c r="MJY127" s="24"/>
      <c r="MJZ127" s="211"/>
      <c r="MKA127" s="24"/>
      <c r="MKB127" s="211"/>
      <c r="MKC127" s="24"/>
      <c r="MKD127" s="211"/>
      <c r="MKE127" s="24"/>
      <c r="MKF127" s="211"/>
      <c r="MKG127" s="24"/>
      <c r="MKH127" s="211"/>
      <c r="MKI127" s="24"/>
      <c r="MKJ127" s="211"/>
      <c r="MKK127" s="24"/>
      <c r="MKL127" s="211"/>
      <c r="MKM127" s="24"/>
      <c r="MKN127" s="211"/>
      <c r="MKO127" s="24"/>
      <c r="MKP127" s="211"/>
      <c r="MKQ127" s="24"/>
      <c r="MKR127" s="211"/>
      <c r="MKS127" s="24"/>
      <c r="MKT127" s="211"/>
      <c r="MKU127" s="24"/>
      <c r="MKV127" s="211"/>
      <c r="MKW127" s="24"/>
      <c r="MKX127" s="211"/>
      <c r="MKY127" s="24"/>
      <c r="MKZ127" s="211"/>
      <c r="MLA127" s="24"/>
      <c r="MLB127" s="211"/>
      <c r="MLC127" s="24"/>
      <c r="MLD127" s="211"/>
      <c r="MLE127" s="24"/>
      <c r="MLF127" s="211"/>
      <c r="MLG127" s="24"/>
      <c r="MLH127" s="211"/>
      <c r="MLI127" s="24"/>
      <c r="MLJ127" s="211"/>
      <c r="MLK127" s="24"/>
      <c r="MLL127" s="211"/>
      <c r="MLM127" s="24"/>
      <c r="MLN127" s="211"/>
      <c r="MLO127" s="24"/>
      <c r="MLP127" s="211"/>
      <c r="MLQ127" s="24"/>
      <c r="MLR127" s="211"/>
      <c r="MLS127" s="24"/>
      <c r="MLT127" s="211"/>
      <c r="MLU127" s="24"/>
      <c r="MLV127" s="211"/>
      <c r="MLW127" s="24"/>
      <c r="MLX127" s="211"/>
      <c r="MLY127" s="24"/>
      <c r="MLZ127" s="211"/>
      <c r="MMA127" s="24"/>
      <c r="MMB127" s="211"/>
      <c r="MMC127" s="24"/>
      <c r="MMD127" s="211"/>
      <c r="MME127" s="24"/>
      <c r="MMF127" s="211"/>
      <c r="MMG127" s="24"/>
      <c r="MMH127" s="211"/>
      <c r="MMI127" s="24"/>
      <c r="MMJ127" s="211"/>
      <c r="MMK127" s="24"/>
      <c r="MML127" s="211"/>
      <c r="MMM127" s="24"/>
      <c r="MMN127" s="211"/>
      <c r="MMO127" s="24"/>
      <c r="MMP127" s="211"/>
      <c r="MMQ127" s="24"/>
      <c r="MMR127" s="211"/>
      <c r="MMS127" s="24"/>
      <c r="MMT127" s="211"/>
      <c r="MMU127" s="24"/>
      <c r="MMV127" s="211"/>
      <c r="MMW127" s="24"/>
      <c r="MMX127" s="211"/>
      <c r="MMY127" s="24"/>
      <c r="MMZ127" s="211"/>
      <c r="MNA127" s="24"/>
      <c r="MNB127" s="211"/>
      <c r="MNC127" s="24"/>
      <c r="MND127" s="211"/>
      <c r="MNE127" s="24"/>
      <c r="MNF127" s="211"/>
      <c r="MNG127" s="24"/>
      <c r="MNH127" s="211"/>
      <c r="MNI127" s="24"/>
      <c r="MNJ127" s="211"/>
      <c r="MNK127" s="24"/>
      <c r="MNL127" s="211"/>
      <c r="MNM127" s="24"/>
      <c r="MNN127" s="211"/>
      <c r="MNO127" s="24"/>
      <c r="MNP127" s="211"/>
      <c r="MNQ127" s="24"/>
      <c r="MNR127" s="211"/>
      <c r="MNS127" s="24"/>
      <c r="MNT127" s="211"/>
      <c r="MNU127" s="24"/>
      <c r="MNV127" s="211"/>
      <c r="MNW127" s="24"/>
      <c r="MNX127" s="211"/>
      <c r="MNY127" s="24"/>
      <c r="MNZ127" s="211"/>
      <c r="MOA127" s="24"/>
      <c r="MOB127" s="211"/>
      <c r="MOC127" s="24"/>
      <c r="MOD127" s="211"/>
      <c r="MOE127" s="24"/>
      <c r="MOF127" s="211"/>
      <c r="MOG127" s="24"/>
      <c r="MOH127" s="211"/>
      <c r="MOI127" s="24"/>
      <c r="MOJ127" s="211"/>
      <c r="MOK127" s="24"/>
      <c r="MOL127" s="211"/>
      <c r="MOM127" s="24"/>
      <c r="MON127" s="211"/>
      <c r="MOO127" s="24"/>
      <c r="MOP127" s="211"/>
      <c r="MOQ127" s="24"/>
      <c r="MOR127" s="211"/>
      <c r="MOS127" s="24"/>
      <c r="MOT127" s="211"/>
      <c r="MOU127" s="24"/>
      <c r="MOV127" s="211"/>
      <c r="MOW127" s="24"/>
      <c r="MOX127" s="211"/>
      <c r="MOY127" s="24"/>
      <c r="MOZ127" s="211"/>
      <c r="MPA127" s="24"/>
      <c r="MPB127" s="211"/>
      <c r="MPC127" s="24"/>
      <c r="MPD127" s="211"/>
      <c r="MPE127" s="24"/>
      <c r="MPF127" s="211"/>
      <c r="MPG127" s="24"/>
      <c r="MPH127" s="211"/>
      <c r="MPI127" s="24"/>
      <c r="MPJ127" s="211"/>
      <c r="MPK127" s="24"/>
      <c r="MPL127" s="211"/>
      <c r="MPM127" s="24"/>
      <c r="MPN127" s="211"/>
      <c r="MPO127" s="24"/>
      <c r="MPP127" s="211"/>
      <c r="MPQ127" s="24"/>
      <c r="MPR127" s="211"/>
      <c r="MPS127" s="24"/>
      <c r="MPT127" s="211"/>
      <c r="MPU127" s="24"/>
      <c r="MPV127" s="211"/>
      <c r="MPW127" s="24"/>
      <c r="MPX127" s="211"/>
      <c r="MPY127" s="24"/>
      <c r="MPZ127" s="211"/>
      <c r="MQA127" s="24"/>
      <c r="MQB127" s="211"/>
      <c r="MQC127" s="24"/>
      <c r="MQD127" s="211"/>
      <c r="MQE127" s="24"/>
      <c r="MQF127" s="211"/>
      <c r="MQG127" s="24"/>
      <c r="MQH127" s="211"/>
      <c r="MQI127" s="24"/>
      <c r="MQJ127" s="211"/>
      <c r="MQK127" s="24"/>
      <c r="MQL127" s="211"/>
      <c r="MQM127" s="24"/>
      <c r="MQN127" s="211"/>
      <c r="MQO127" s="24"/>
      <c r="MQP127" s="211"/>
      <c r="MQQ127" s="24"/>
      <c r="MQR127" s="211"/>
      <c r="MQS127" s="24"/>
      <c r="MQT127" s="211"/>
      <c r="MQU127" s="24"/>
      <c r="MQV127" s="211"/>
      <c r="MQW127" s="24"/>
      <c r="MQX127" s="211"/>
      <c r="MQY127" s="24"/>
      <c r="MQZ127" s="211"/>
      <c r="MRA127" s="24"/>
      <c r="MRB127" s="211"/>
      <c r="MRC127" s="24"/>
      <c r="MRD127" s="211"/>
      <c r="MRE127" s="24"/>
      <c r="MRF127" s="211"/>
      <c r="MRG127" s="24"/>
      <c r="MRH127" s="211"/>
      <c r="MRI127" s="24"/>
      <c r="MRJ127" s="211"/>
      <c r="MRK127" s="24"/>
      <c r="MRL127" s="211"/>
      <c r="MRM127" s="24"/>
      <c r="MRN127" s="211"/>
      <c r="MRO127" s="24"/>
      <c r="MRP127" s="211"/>
      <c r="MRQ127" s="24"/>
      <c r="MRR127" s="211"/>
      <c r="MRS127" s="24"/>
      <c r="MRT127" s="211"/>
      <c r="MRU127" s="24"/>
      <c r="MRV127" s="211"/>
      <c r="MRW127" s="24"/>
      <c r="MRX127" s="211"/>
      <c r="MRY127" s="24"/>
      <c r="MRZ127" s="211"/>
      <c r="MSA127" s="24"/>
      <c r="MSB127" s="211"/>
      <c r="MSC127" s="24"/>
      <c r="MSD127" s="211"/>
      <c r="MSE127" s="24"/>
      <c r="MSF127" s="211"/>
      <c r="MSG127" s="24"/>
      <c r="MSH127" s="211"/>
      <c r="MSI127" s="24"/>
      <c r="MSJ127" s="211"/>
      <c r="MSK127" s="24"/>
      <c r="MSL127" s="211"/>
      <c r="MSM127" s="24"/>
      <c r="MSN127" s="211"/>
      <c r="MSO127" s="24"/>
      <c r="MSP127" s="211"/>
      <c r="MSQ127" s="24"/>
      <c r="MSR127" s="211"/>
      <c r="MSS127" s="24"/>
      <c r="MST127" s="211"/>
      <c r="MSU127" s="24"/>
      <c r="MSV127" s="211"/>
      <c r="MSW127" s="24"/>
      <c r="MSX127" s="211"/>
      <c r="MSY127" s="24"/>
      <c r="MSZ127" s="211"/>
      <c r="MTA127" s="24"/>
      <c r="MTB127" s="211"/>
      <c r="MTC127" s="24"/>
      <c r="MTD127" s="211"/>
      <c r="MTE127" s="24"/>
      <c r="MTF127" s="211"/>
      <c r="MTG127" s="24"/>
      <c r="MTH127" s="211"/>
      <c r="MTI127" s="24"/>
      <c r="MTJ127" s="211"/>
      <c r="MTK127" s="24"/>
      <c r="MTL127" s="211"/>
      <c r="MTM127" s="24"/>
      <c r="MTN127" s="211"/>
      <c r="MTO127" s="24"/>
      <c r="MTP127" s="211"/>
      <c r="MTQ127" s="24"/>
      <c r="MTR127" s="211"/>
      <c r="MTS127" s="24"/>
      <c r="MTT127" s="211"/>
      <c r="MTU127" s="24"/>
      <c r="MTV127" s="211"/>
      <c r="MTW127" s="24"/>
      <c r="MTX127" s="211"/>
      <c r="MTY127" s="24"/>
      <c r="MTZ127" s="211"/>
      <c r="MUA127" s="24"/>
      <c r="MUB127" s="211"/>
      <c r="MUC127" s="24"/>
      <c r="MUD127" s="211"/>
      <c r="MUE127" s="24"/>
      <c r="MUF127" s="211"/>
      <c r="MUG127" s="24"/>
      <c r="MUH127" s="211"/>
      <c r="MUI127" s="24"/>
      <c r="MUJ127" s="211"/>
      <c r="MUK127" s="24"/>
      <c r="MUL127" s="211"/>
      <c r="MUM127" s="24"/>
      <c r="MUN127" s="211"/>
      <c r="MUO127" s="24"/>
      <c r="MUP127" s="211"/>
      <c r="MUQ127" s="24"/>
      <c r="MUR127" s="211"/>
      <c r="MUS127" s="24"/>
      <c r="MUT127" s="211"/>
      <c r="MUU127" s="24"/>
      <c r="MUV127" s="211"/>
      <c r="MUW127" s="24"/>
      <c r="MUX127" s="211"/>
      <c r="MUY127" s="24"/>
      <c r="MUZ127" s="211"/>
      <c r="MVA127" s="24"/>
      <c r="MVB127" s="211"/>
      <c r="MVC127" s="24"/>
      <c r="MVD127" s="211"/>
      <c r="MVE127" s="24"/>
      <c r="MVF127" s="211"/>
      <c r="MVG127" s="24"/>
      <c r="MVH127" s="211"/>
      <c r="MVI127" s="24"/>
      <c r="MVJ127" s="211"/>
      <c r="MVK127" s="24"/>
      <c r="MVL127" s="211"/>
      <c r="MVM127" s="24"/>
      <c r="MVN127" s="211"/>
      <c r="MVO127" s="24"/>
      <c r="MVP127" s="211"/>
      <c r="MVQ127" s="24"/>
      <c r="MVR127" s="211"/>
      <c r="MVS127" s="24"/>
      <c r="MVT127" s="211"/>
      <c r="MVU127" s="24"/>
      <c r="MVV127" s="211"/>
      <c r="MVW127" s="24"/>
      <c r="MVX127" s="211"/>
      <c r="MVY127" s="24"/>
      <c r="MVZ127" s="211"/>
      <c r="MWA127" s="24"/>
      <c r="MWB127" s="211"/>
      <c r="MWC127" s="24"/>
      <c r="MWD127" s="211"/>
      <c r="MWE127" s="24"/>
      <c r="MWF127" s="211"/>
      <c r="MWG127" s="24"/>
      <c r="MWH127" s="211"/>
      <c r="MWI127" s="24"/>
      <c r="MWJ127" s="211"/>
      <c r="MWK127" s="24"/>
      <c r="MWL127" s="211"/>
      <c r="MWM127" s="24"/>
      <c r="MWN127" s="211"/>
      <c r="MWO127" s="24"/>
      <c r="MWP127" s="211"/>
      <c r="MWQ127" s="24"/>
      <c r="MWR127" s="211"/>
      <c r="MWS127" s="24"/>
      <c r="MWT127" s="211"/>
      <c r="MWU127" s="24"/>
      <c r="MWV127" s="211"/>
      <c r="MWW127" s="24"/>
      <c r="MWX127" s="211"/>
      <c r="MWY127" s="24"/>
      <c r="MWZ127" s="211"/>
      <c r="MXA127" s="24"/>
      <c r="MXB127" s="211"/>
      <c r="MXC127" s="24"/>
      <c r="MXD127" s="211"/>
      <c r="MXE127" s="24"/>
      <c r="MXF127" s="211"/>
      <c r="MXG127" s="24"/>
      <c r="MXH127" s="211"/>
      <c r="MXI127" s="24"/>
      <c r="MXJ127" s="211"/>
      <c r="MXK127" s="24"/>
      <c r="MXL127" s="211"/>
      <c r="MXM127" s="24"/>
      <c r="MXN127" s="211"/>
      <c r="MXO127" s="24"/>
      <c r="MXP127" s="211"/>
      <c r="MXQ127" s="24"/>
      <c r="MXR127" s="211"/>
      <c r="MXS127" s="24"/>
      <c r="MXT127" s="211"/>
      <c r="MXU127" s="24"/>
      <c r="MXV127" s="211"/>
      <c r="MXW127" s="24"/>
      <c r="MXX127" s="211"/>
      <c r="MXY127" s="24"/>
      <c r="MXZ127" s="211"/>
      <c r="MYA127" s="24"/>
      <c r="MYB127" s="211"/>
      <c r="MYC127" s="24"/>
      <c r="MYD127" s="211"/>
      <c r="MYE127" s="24"/>
      <c r="MYF127" s="211"/>
      <c r="MYG127" s="24"/>
      <c r="MYH127" s="211"/>
      <c r="MYI127" s="24"/>
      <c r="MYJ127" s="211"/>
      <c r="MYK127" s="24"/>
      <c r="MYL127" s="211"/>
      <c r="MYM127" s="24"/>
      <c r="MYN127" s="211"/>
      <c r="MYO127" s="24"/>
      <c r="MYP127" s="211"/>
      <c r="MYQ127" s="24"/>
      <c r="MYR127" s="211"/>
      <c r="MYS127" s="24"/>
      <c r="MYT127" s="211"/>
      <c r="MYU127" s="24"/>
      <c r="MYV127" s="211"/>
      <c r="MYW127" s="24"/>
      <c r="MYX127" s="211"/>
      <c r="MYY127" s="24"/>
      <c r="MYZ127" s="211"/>
      <c r="MZA127" s="24"/>
      <c r="MZB127" s="211"/>
      <c r="MZC127" s="24"/>
      <c r="MZD127" s="211"/>
      <c r="MZE127" s="24"/>
      <c r="MZF127" s="211"/>
      <c r="MZG127" s="24"/>
      <c r="MZH127" s="211"/>
      <c r="MZI127" s="24"/>
      <c r="MZJ127" s="211"/>
      <c r="MZK127" s="24"/>
      <c r="MZL127" s="211"/>
      <c r="MZM127" s="24"/>
      <c r="MZN127" s="211"/>
      <c r="MZO127" s="24"/>
      <c r="MZP127" s="211"/>
      <c r="MZQ127" s="24"/>
      <c r="MZR127" s="211"/>
      <c r="MZS127" s="24"/>
      <c r="MZT127" s="211"/>
      <c r="MZU127" s="24"/>
      <c r="MZV127" s="211"/>
      <c r="MZW127" s="24"/>
      <c r="MZX127" s="211"/>
      <c r="MZY127" s="24"/>
      <c r="MZZ127" s="211"/>
      <c r="NAA127" s="24"/>
      <c r="NAB127" s="211"/>
      <c r="NAC127" s="24"/>
      <c r="NAD127" s="211"/>
      <c r="NAE127" s="24"/>
      <c r="NAF127" s="211"/>
      <c r="NAG127" s="24"/>
      <c r="NAH127" s="211"/>
      <c r="NAI127" s="24"/>
      <c r="NAJ127" s="211"/>
      <c r="NAK127" s="24"/>
      <c r="NAL127" s="211"/>
      <c r="NAM127" s="24"/>
      <c r="NAN127" s="211"/>
      <c r="NAO127" s="24"/>
      <c r="NAP127" s="211"/>
      <c r="NAQ127" s="24"/>
      <c r="NAR127" s="211"/>
      <c r="NAS127" s="24"/>
      <c r="NAT127" s="211"/>
      <c r="NAU127" s="24"/>
      <c r="NAV127" s="211"/>
      <c r="NAW127" s="24"/>
      <c r="NAX127" s="211"/>
      <c r="NAY127" s="24"/>
      <c r="NAZ127" s="211"/>
      <c r="NBA127" s="24"/>
      <c r="NBB127" s="211"/>
      <c r="NBC127" s="24"/>
      <c r="NBD127" s="211"/>
      <c r="NBE127" s="24"/>
      <c r="NBF127" s="211"/>
      <c r="NBG127" s="24"/>
      <c r="NBH127" s="211"/>
      <c r="NBI127" s="24"/>
      <c r="NBJ127" s="211"/>
      <c r="NBK127" s="24"/>
      <c r="NBL127" s="211"/>
      <c r="NBM127" s="24"/>
      <c r="NBN127" s="211"/>
      <c r="NBO127" s="24"/>
      <c r="NBP127" s="211"/>
      <c r="NBQ127" s="24"/>
      <c r="NBR127" s="211"/>
      <c r="NBS127" s="24"/>
      <c r="NBT127" s="211"/>
      <c r="NBU127" s="24"/>
      <c r="NBV127" s="211"/>
      <c r="NBW127" s="24"/>
      <c r="NBX127" s="211"/>
      <c r="NBY127" s="24"/>
      <c r="NBZ127" s="211"/>
      <c r="NCA127" s="24"/>
      <c r="NCB127" s="211"/>
      <c r="NCC127" s="24"/>
      <c r="NCD127" s="211"/>
      <c r="NCE127" s="24"/>
      <c r="NCF127" s="211"/>
      <c r="NCG127" s="24"/>
      <c r="NCH127" s="211"/>
      <c r="NCI127" s="24"/>
      <c r="NCJ127" s="211"/>
      <c r="NCK127" s="24"/>
      <c r="NCL127" s="211"/>
      <c r="NCM127" s="24"/>
      <c r="NCN127" s="211"/>
      <c r="NCO127" s="24"/>
      <c r="NCP127" s="211"/>
      <c r="NCQ127" s="24"/>
      <c r="NCR127" s="211"/>
      <c r="NCS127" s="24"/>
      <c r="NCT127" s="211"/>
      <c r="NCU127" s="24"/>
      <c r="NCV127" s="211"/>
      <c r="NCW127" s="24"/>
      <c r="NCX127" s="211"/>
      <c r="NCY127" s="24"/>
      <c r="NCZ127" s="211"/>
      <c r="NDA127" s="24"/>
      <c r="NDB127" s="211"/>
      <c r="NDC127" s="24"/>
      <c r="NDD127" s="211"/>
      <c r="NDE127" s="24"/>
      <c r="NDF127" s="211"/>
      <c r="NDG127" s="24"/>
      <c r="NDH127" s="211"/>
      <c r="NDI127" s="24"/>
      <c r="NDJ127" s="211"/>
      <c r="NDK127" s="24"/>
      <c r="NDL127" s="211"/>
      <c r="NDM127" s="24"/>
      <c r="NDN127" s="211"/>
      <c r="NDO127" s="24"/>
      <c r="NDP127" s="211"/>
      <c r="NDQ127" s="24"/>
      <c r="NDR127" s="211"/>
      <c r="NDS127" s="24"/>
      <c r="NDT127" s="211"/>
      <c r="NDU127" s="24"/>
      <c r="NDV127" s="211"/>
      <c r="NDW127" s="24"/>
      <c r="NDX127" s="211"/>
      <c r="NDY127" s="24"/>
      <c r="NDZ127" s="211"/>
      <c r="NEA127" s="24"/>
      <c r="NEB127" s="211"/>
      <c r="NEC127" s="24"/>
      <c r="NED127" s="211"/>
      <c r="NEE127" s="24"/>
      <c r="NEF127" s="211"/>
      <c r="NEG127" s="24"/>
      <c r="NEH127" s="211"/>
      <c r="NEI127" s="24"/>
      <c r="NEJ127" s="211"/>
      <c r="NEK127" s="24"/>
      <c r="NEL127" s="211"/>
      <c r="NEM127" s="24"/>
      <c r="NEN127" s="211"/>
      <c r="NEO127" s="24"/>
      <c r="NEP127" s="211"/>
      <c r="NEQ127" s="24"/>
      <c r="NER127" s="211"/>
      <c r="NES127" s="24"/>
      <c r="NET127" s="211"/>
      <c r="NEU127" s="24"/>
      <c r="NEV127" s="211"/>
      <c r="NEW127" s="24"/>
      <c r="NEX127" s="211"/>
      <c r="NEY127" s="24"/>
      <c r="NEZ127" s="211"/>
      <c r="NFA127" s="24"/>
      <c r="NFB127" s="211"/>
      <c r="NFC127" s="24"/>
      <c r="NFD127" s="211"/>
      <c r="NFE127" s="24"/>
      <c r="NFF127" s="211"/>
      <c r="NFG127" s="24"/>
      <c r="NFH127" s="211"/>
      <c r="NFI127" s="24"/>
      <c r="NFJ127" s="211"/>
      <c r="NFK127" s="24"/>
      <c r="NFL127" s="211"/>
      <c r="NFM127" s="24"/>
      <c r="NFN127" s="211"/>
      <c r="NFO127" s="24"/>
      <c r="NFP127" s="211"/>
      <c r="NFQ127" s="24"/>
      <c r="NFR127" s="211"/>
      <c r="NFS127" s="24"/>
      <c r="NFT127" s="211"/>
      <c r="NFU127" s="24"/>
      <c r="NFV127" s="211"/>
      <c r="NFW127" s="24"/>
      <c r="NFX127" s="211"/>
      <c r="NFY127" s="24"/>
      <c r="NFZ127" s="211"/>
      <c r="NGA127" s="24"/>
      <c r="NGB127" s="211"/>
      <c r="NGC127" s="24"/>
      <c r="NGD127" s="211"/>
      <c r="NGE127" s="24"/>
      <c r="NGF127" s="211"/>
      <c r="NGG127" s="24"/>
      <c r="NGH127" s="211"/>
      <c r="NGI127" s="24"/>
      <c r="NGJ127" s="211"/>
      <c r="NGK127" s="24"/>
      <c r="NGL127" s="211"/>
      <c r="NGM127" s="24"/>
      <c r="NGN127" s="211"/>
      <c r="NGO127" s="24"/>
      <c r="NGP127" s="211"/>
      <c r="NGQ127" s="24"/>
      <c r="NGR127" s="211"/>
      <c r="NGS127" s="24"/>
      <c r="NGT127" s="211"/>
      <c r="NGU127" s="24"/>
      <c r="NGV127" s="211"/>
      <c r="NGW127" s="24"/>
      <c r="NGX127" s="211"/>
      <c r="NGY127" s="24"/>
      <c r="NGZ127" s="211"/>
      <c r="NHA127" s="24"/>
      <c r="NHB127" s="211"/>
      <c r="NHC127" s="24"/>
      <c r="NHD127" s="211"/>
      <c r="NHE127" s="24"/>
      <c r="NHF127" s="211"/>
      <c r="NHG127" s="24"/>
      <c r="NHH127" s="211"/>
      <c r="NHI127" s="24"/>
      <c r="NHJ127" s="211"/>
      <c r="NHK127" s="24"/>
      <c r="NHL127" s="211"/>
      <c r="NHM127" s="24"/>
      <c r="NHN127" s="211"/>
      <c r="NHO127" s="24"/>
      <c r="NHP127" s="211"/>
      <c r="NHQ127" s="24"/>
      <c r="NHR127" s="211"/>
      <c r="NHS127" s="24"/>
      <c r="NHT127" s="211"/>
      <c r="NHU127" s="24"/>
      <c r="NHV127" s="211"/>
      <c r="NHW127" s="24"/>
      <c r="NHX127" s="211"/>
      <c r="NHY127" s="24"/>
      <c r="NHZ127" s="211"/>
      <c r="NIA127" s="24"/>
      <c r="NIB127" s="211"/>
      <c r="NIC127" s="24"/>
      <c r="NID127" s="211"/>
      <c r="NIE127" s="24"/>
      <c r="NIF127" s="211"/>
      <c r="NIG127" s="24"/>
      <c r="NIH127" s="211"/>
      <c r="NII127" s="24"/>
      <c r="NIJ127" s="211"/>
      <c r="NIK127" s="24"/>
      <c r="NIL127" s="211"/>
      <c r="NIM127" s="24"/>
      <c r="NIN127" s="211"/>
      <c r="NIO127" s="24"/>
      <c r="NIP127" s="211"/>
      <c r="NIQ127" s="24"/>
      <c r="NIR127" s="211"/>
      <c r="NIS127" s="24"/>
      <c r="NIT127" s="211"/>
      <c r="NIU127" s="24"/>
      <c r="NIV127" s="211"/>
      <c r="NIW127" s="24"/>
      <c r="NIX127" s="211"/>
      <c r="NIY127" s="24"/>
      <c r="NIZ127" s="211"/>
      <c r="NJA127" s="24"/>
      <c r="NJB127" s="211"/>
      <c r="NJC127" s="24"/>
      <c r="NJD127" s="211"/>
      <c r="NJE127" s="24"/>
      <c r="NJF127" s="211"/>
      <c r="NJG127" s="24"/>
      <c r="NJH127" s="211"/>
      <c r="NJI127" s="24"/>
      <c r="NJJ127" s="211"/>
      <c r="NJK127" s="24"/>
      <c r="NJL127" s="211"/>
      <c r="NJM127" s="24"/>
      <c r="NJN127" s="211"/>
      <c r="NJO127" s="24"/>
      <c r="NJP127" s="211"/>
      <c r="NJQ127" s="24"/>
      <c r="NJR127" s="211"/>
      <c r="NJS127" s="24"/>
      <c r="NJT127" s="211"/>
      <c r="NJU127" s="24"/>
      <c r="NJV127" s="211"/>
      <c r="NJW127" s="24"/>
      <c r="NJX127" s="211"/>
      <c r="NJY127" s="24"/>
      <c r="NJZ127" s="211"/>
      <c r="NKA127" s="24"/>
      <c r="NKB127" s="211"/>
      <c r="NKC127" s="24"/>
      <c r="NKD127" s="211"/>
      <c r="NKE127" s="24"/>
      <c r="NKF127" s="211"/>
      <c r="NKG127" s="24"/>
      <c r="NKH127" s="211"/>
      <c r="NKI127" s="24"/>
      <c r="NKJ127" s="211"/>
      <c r="NKK127" s="24"/>
      <c r="NKL127" s="211"/>
      <c r="NKM127" s="24"/>
      <c r="NKN127" s="211"/>
      <c r="NKO127" s="24"/>
      <c r="NKP127" s="211"/>
      <c r="NKQ127" s="24"/>
      <c r="NKR127" s="211"/>
      <c r="NKS127" s="24"/>
      <c r="NKT127" s="211"/>
      <c r="NKU127" s="24"/>
      <c r="NKV127" s="211"/>
      <c r="NKW127" s="24"/>
      <c r="NKX127" s="211"/>
      <c r="NKY127" s="24"/>
      <c r="NKZ127" s="211"/>
      <c r="NLA127" s="24"/>
      <c r="NLB127" s="211"/>
      <c r="NLC127" s="24"/>
      <c r="NLD127" s="211"/>
      <c r="NLE127" s="24"/>
      <c r="NLF127" s="211"/>
      <c r="NLG127" s="24"/>
      <c r="NLH127" s="211"/>
      <c r="NLI127" s="24"/>
      <c r="NLJ127" s="211"/>
      <c r="NLK127" s="24"/>
      <c r="NLL127" s="211"/>
      <c r="NLM127" s="24"/>
      <c r="NLN127" s="211"/>
      <c r="NLO127" s="24"/>
      <c r="NLP127" s="211"/>
      <c r="NLQ127" s="24"/>
      <c r="NLR127" s="211"/>
      <c r="NLS127" s="24"/>
      <c r="NLT127" s="211"/>
      <c r="NLU127" s="24"/>
      <c r="NLV127" s="211"/>
      <c r="NLW127" s="24"/>
      <c r="NLX127" s="211"/>
      <c r="NLY127" s="24"/>
      <c r="NLZ127" s="211"/>
      <c r="NMA127" s="24"/>
      <c r="NMB127" s="211"/>
      <c r="NMC127" s="24"/>
      <c r="NMD127" s="211"/>
      <c r="NME127" s="24"/>
      <c r="NMF127" s="211"/>
      <c r="NMG127" s="24"/>
      <c r="NMH127" s="211"/>
      <c r="NMI127" s="24"/>
      <c r="NMJ127" s="211"/>
      <c r="NMK127" s="24"/>
      <c r="NML127" s="211"/>
      <c r="NMM127" s="24"/>
      <c r="NMN127" s="211"/>
      <c r="NMO127" s="24"/>
      <c r="NMP127" s="211"/>
      <c r="NMQ127" s="24"/>
      <c r="NMR127" s="211"/>
      <c r="NMS127" s="24"/>
      <c r="NMT127" s="211"/>
      <c r="NMU127" s="24"/>
      <c r="NMV127" s="211"/>
      <c r="NMW127" s="24"/>
      <c r="NMX127" s="211"/>
      <c r="NMY127" s="24"/>
      <c r="NMZ127" s="211"/>
      <c r="NNA127" s="24"/>
      <c r="NNB127" s="211"/>
      <c r="NNC127" s="24"/>
      <c r="NND127" s="211"/>
      <c r="NNE127" s="24"/>
      <c r="NNF127" s="211"/>
      <c r="NNG127" s="24"/>
      <c r="NNH127" s="211"/>
      <c r="NNI127" s="24"/>
      <c r="NNJ127" s="211"/>
      <c r="NNK127" s="24"/>
      <c r="NNL127" s="211"/>
      <c r="NNM127" s="24"/>
      <c r="NNN127" s="211"/>
      <c r="NNO127" s="24"/>
      <c r="NNP127" s="211"/>
      <c r="NNQ127" s="24"/>
      <c r="NNR127" s="211"/>
      <c r="NNS127" s="24"/>
      <c r="NNT127" s="211"/>
      <c r="NNU127" s="24"/>
      <c r="NNV127" s="211"/>
      <c r="NNW127" s="24"/>
      <c r="NNX127" s="211"/>
      <c r="NNY127" s="24"/>
      <c r="NNZ127" s="211"/>
      <c r="NOA127" s="24"/>
      <c r="NOB127" s="211"/>
      <c r="NOC127" s="24"/>
      <c r="NOD127" s="211"/>
      <c r="NOE127" s="24"/>
      <c r="NOF127" s="211"/>
      <c r="NOG127" s="24"/>
      <c r="NOH127" s="211"/>
      <c r="NOI127" s="24"/>
      <c r="NOJ127" s="211"/>
      <c r="NOK127" s="24"/>
      <c r="NOL127" s="211"/>
      <c r="NOM127" s="24"/>
      <c r="NON127" s="211"/>
      <c r="NOO127" s="24"/>
      <c r="NOP127" s="211"/>
      <c r="NOQ127" s="24"/>
      <c r="NOR127" s="211"/>
      <c r="NOS127" s="24"/>
      <c r="NOT127" s="211"/>
      <c r="NOU127" s="24"/>
      <c r="NOV127" s="211"/>
      <c r="NOW127" s="24"/>
      <c r="NOX127" s="211"/>
      <c r="NOY127" s="24"/>
      <c r="NOZ127" s="211"/>
      <c r="NPA127" s="24"/>
      <c r="NPB127" s="211"/>
      <c r="NPC127" s="24"/>
      <c r="NPD127" s="211"/>
      <c r="NPE127" s="24"/>
      <c r="NPF127" s="211"/>
      <c r="NPG127" s="24"/>
      <c r="NPH127" s="211"/>
      <c r="NPI127" s="24"/>
      <c r="NPJ127" s="211"/>
      <c r="NPK127" s="24"/>
      <c r="NPL127" s="211"/>
      <c r="NPM127" s="24"/>
      <c r="NPN127" s="211"/>
      <c r="NPO127" s="24"/>
      <c r="NPP127" s="211"/>
      <c r="NPQ127" s="24"/>
      <c r="NPR127" s="211"/>
      <c r="NPS127" s="24"/>
      <c r="NPT127" s="211"/>
      <c r="NPU127" s="24"/>
      <c r="NPV127" s="211"/>
      <c r="NPW127" s="24"/>
      <c r="NPX127" s="211"/>
      <c r="NPY127" s="24"/>
      <c r="NPZ127" s="211"/>
      <c r="NQA127" s="24"/>
      <c r="NQB127" s="211"/>
      <c r="NQC127" s="24"/>
      <c r="NQD127" s="211"/>
      <c r="NQE127" s="24"/>
      <c r="NQF127" s="211"/>
      <c r="NQG127" s="24"/>
      <c r="NQH127" s="211"/>
      <c r="NQI127" s="24"/>
      <c r="NQJ127" s="211"/>
      <c r="NQK127" s="24"/>
      <c r="NQL127" s="211"/>
      <c r="NQM127" s="24"/>
      <c r="NQN127" s="211"/>
      <c r="NQO127" s="24"/>
      <c r="NQP127" s="211"/>
      <c r="NQQ127" s="24"/>
      <c r="NQR127" s="211"/>
      <c r="NQS127" s="24"/>
      <c r="NQT127" s="211"/>
      <c r="NQU127" s="24"/>
      <c r="NQV127" s="211"/>
      <c r="NQW127" s="24"/>
      <c r="NQX127" s="211"/>
      <c r="NQY127" s="24"/>
      <c r="NQZ127" s="211"/>
      <c r="NRA127" s="24"/>
      <c r="NRB127" s="211"/>
      <c r="NRC127" s="24"/>
      <c r="NRD127" s="211"/>
      <c r="NRE127" s="24"/>
      <c r="NRF127" s="211"/>
      <c r="NRG127" s="24"/>
      <c r="NRH127" s="211"/>
      <c r="NRI127" s="24"/>
      <c r="NRJ127" s="211"/>
      <c r="NRK127" s="24"/>
      <c r="NRL127" s="211"/>
      <c r="NRM127" s="24"/>
      <c r="NRN127" s="211"/>
      <c r="NRO127" s="24"/>
      <c r="NRP127" s="211"/>
      <c r="NRQ127" s="24"/>
      <c r="NRR127" s="211"/>
      <c r="NRS127" s="24"/>
      <c r="NRT127" s="211"/>
      <c r="NRU127" s="24"/>
      <c r="NRV127" s="211"/>
      <c r="NRW127" s="24"/>
      <c r="NRX127" s="211"/>
      <c r="NRY127" s="24"/>
      <c r="NRZ127" s="211"/>
      <c r="NSA127" s="24"/>
      <c r="NSB127" s="211"/>
      <c r="NSC127" s="24"/>
      <c r="NSD127" s="211"/>
      <c r="NSE127" s="24"/>
      <c r="NSF127" s="211"/>
      <c r="NSG127" s="24"/>
      <c r="NSH127" s="211"/>
      <c r="NSI127" s="24"/>
      <c r="NSJ127" s="211"/>
      <c r="NSK127" s="24"/>
      <c r="NSL127" s="211"/>
      <c r="NSM127" s="24"/>
      <c r="NSN127" s="211"/>
      <c r="NSO127" s="24"/>
      <c r="NSP127" s="211"/>
      <c r="NSQ127" s="24"/>
      <c r="NSR127" s="211"/>
      <c r="NSS127" s="24"/>
      <c r="NST127" s="211"/>
      <c r="NSU127" s="24"/>
      <c r="NSV127" s="211"/>
      <c r="NSW127" s="24"/>
      <c r="NSX127" s="211"/>
      <c r="NSY127" s="24"/>
      <c r="NSZ127" s="211"/>
      <c r="NTA127" s="24"/>
      <c r="NTB127" s="211"/>
      <c r="NTC127" s="24"/>
      <c r="NTD127" s="211"/>
      <c r="NTE127" s="24"/>
      <c r="NTF127" s="211"/>
      <c r="NTG127" s="24"/>
      <c r="NTH127" s="211"/>
      <c r="NTI127" s="24"/>
      <c r="NTJ127" s="211"/>
      <c r="NTK127" s="24"/>
      <c r="NTL127" s="211"/>
      <c r="NTM127" s="24"/>
      <c r="NTN127" s="211"/>
      <c r="NTO127" s="24"/>
      <c r="NTP127" s="211"/>
      <c r="NTQ127" s="24"/>
      <c r="NTR127" s="211"/>
      <c r="NTS127" s="24"/>
      <c r="NTT127" s="211"/>
      <c r="NTU127" s="24"/>
      <c r="NTV127" s="211"/>
      <c r="NTW127" s="24"/>
      <c r="NTX127" s="211"/>
      <c r="NTY127" s="24"/>
      <c r="NTZ127" s="211"/>
      <c r="NUA127" s="24"/>
      <c r="NUB127" s="211"/>
      <c r="NUC127" s="24"/>
      <c r="NUD127" s="211"/>
      <c r="NUE127" s="24"/>
      <c r="NUF127" s="211"/>
      <c r="NUG127" s="24"/>
      <c r="NUH127" s="211"/>
      <c r="NUI127" s="24"/>
      <c r="NUJ127" s="211"/>
      <c r="NUK127" s="24"/>
      <c r="NUL127" s="211"/>
      <c r="NUM127" s="24"/>
      <c r="NUN127" s="211"/>
      <c r="NUO127" s="24"/>
      <c r="NUP127" s="211"/>
      <c r="NUQ127" s="24"/>
      <c r="NUR127" s="211"/>
      <c r="NUS127" s="24"/>
      <c r="NUT127" s="211"/>
      <c r="NUU127" s="24"/>
      <c r="NUV127" s="211"/>
      <c r="NUW127" s="24"/>
      <c r="NUX127" s="211"/>
      <c r="NUY127" s="24"/>
      <c r="NUZ127" s="211"/>
      <c r="NVA127" s="24"/>
      <c r="NVB127" s="211"/>
      <c r="NVC127" s="24"/>
      <c r="NVD127" s="211"/>
      <c r="NVE127" s="24"/>
      <c r="NVF127" s="211"/>
      <c r="NVG127" s="24"/>
      <c r="NVH127" s="211"/>
      <c r="NVI127" s="24"/>
      <c r="NVJ127" s="211"/>
      <c r="NVK127" s="24"/>
      <c r="NVL127" s="211"/>
      <c r="NVM127" s="24"/>
      <c r="NVN127" s="211"/>
      <c r="NVO127" s="24"/>
      <c r="NVP127" s="211"/>
      <c r="NVQ127" s="24"/>
      <c r="NVR127" s="211"/>
      <c r="NVS127" s="24"/>
      <c r="NVT127" s="211"/>
      <c r="NVU127" s="24"/>
      <c r="NVV127" s="211"/>
      <c r="NVW127" s="24"/>
      <c r="NVX127" s="211"/>
      <c r="NVY127" s="24"/>
      <c r="NVZ127" s="211"/>
      <c r="NWA127" s="24"/>
      <c r="NWB127" s="211"/>
      <c r="NWC127" s="24"/>
      <c r="NWD127" s="211"/>
      <c r="NWE127" s="24"/>
      <c r="NWF127" s="211"/>
      <c r="NWG127" s="24"/>
      <c r="NWH127" s="211"/>
      <c r="NWI127" s="24"/>
      <c r="NWJ127" s="211"/>
      <c r="NWK127" s="24"/>
      <c r="NWL127" s="211"/>
      <c r="NWM127" s="24"/>
      <c r="NWN127" s="211"/>
      <c r="NWO127" s="24"/>
      <c r="NWP127" s="211"/>
      <c r="NWQ127" s="24"/>
      <c r="NWR127" s="211"/>
      <c r="NWS127" s="24"/>
      <c r="NWT127" s="211"/>
      <c r="NWU127" s="24"/>
      <c r="NWV127" s="211"/>
      <c r="NWW127" s="24"/>
      <c r="NWX127" s="211"/>
      <c r="NWY127" s="24"/>
      <c r="NWZ127" s="211"/>
      <c r="NXA127" s="24"/>
      <c r="NXB127" s="211"/>
      <c r="NXC127" s="24"/>
      <c r="NXD127" s="211"/>
      <c r="NXE127" s="24"/>
      <c r="NXF127" s="211"/>
      <c r="NXG127" s="24"/>
      <c r="NXH127" s="211"/>
      <c r="NXI127" s="24"/>
      <c r="NXJ127" s="211"/>
      <c r="NXK127" s="24"/>
      <c r="NXL127" s="211"/>
      <c r="NXM127" s="24"/>
      <c r="NXN127" s="211"/>
      <c r="NXO127" s="24"/>
      <c r="NXP127" s="211"/>
      <c r="NXQ127" s="24"/>
      <c r="NXR127" s="211"/>
      <c r="NXS127" s="24"/>
      <c r="NXT127" s="211"/>
      <c r="NXU127" s="24"/>
      <c r="NXV127" s="211"/>
      <c r="NXW127" s="24"/>
      <c r="NXX127" s="211"/>
      <c r="NXY127" s="24"/>
      <c r="NXZ127" s="211"/>
      <c r="NYA127" s="24"/>
      <c r="NYB127" s="211"/>
      <c r="NYC127" s="24"/>
      <c r="NYD127" s="211"/>
      <c r="NYE127" s="24"/>
      <c r="NYF127" s="211"/>
      <c r="NYG127" s="24"/>
      <c r="NYH127" s="211"/>
      <c r="NYI127" s="24"/>
      <c r="NYJ127" s="211"/>
      <c r="NYK127" s="24"/>
      <c r="NYL127" s="211"/>
      <c r="NYM127" s="24"/>
      <c r="NYN127" s="211"/>
      <c r="NYO127" s="24"/>
      <c r="NYP127" s="211"/>
      <c r="NYQ127" s="24"/>
      <c r="NYR127" s="211"/>
      <c r="NYS127" s="24"/>
      <c r="NYT127" s="211"/>
      <c r="NYU127" s="24"/>
      <c r="NYV127" s="211"/>
      <c r="NYW127" s="24"/>
      <c r="NYX127" s="211"/>
      <c r="NYY127" s="24"/>
      <c r="NYZ127" s="211"/>
      <c r="NZA127" s="24"/>
      <c r="NZB127" s="211"/>
      <c r="NZC127" s="24"/>
      <c r="NZD127" s="211"/>
      <c r="NZE127" s="24"/>
      <c r="NZF127" s="211"/>
      <c r="NZG127" s="24"/>
      <c r="NZH127" s="211"/>
      <c r="NZI127" s="24"/>
      <c r="NZJ127" s="211"/>
      <c r="NZK127" s="24"/>
      <c r="NZL127" s="211"/>
      <c r="NZM127" s="24"/>
      <c r="NZN127" s="211"/>
      <c r="NZO127" s="24"/>
      <c r="NZP127" s="211"/>
      <c r="NZQ127" s="24"/>
      <c r="NZR127" s="211"/>
      <c r="NZS127" s="24"/>
      <c r="NZT127" s="211"/>
      <c r="NZU127" s="24"/>
      <c r="NZV127" s="211"/>
      <c r="NZW127" s="24"/>
      <c r="NZX127" s="211"/>
      <c r="NZY127" s="24"/>
      <c r="NZZ127" s="211"/>
      <c r="OAA127" s="24"/>
      <c r="OAB127" s="211"/>
      <c r="OAC127" s="24"/>
      <c r="OAD127" s="211"/>
      <c r="OAE127" s="24"/>
      <c r="OAF127" s="211"/>
      <c r="OAG127" s="24"/>
      <c r="OAH127" s="211"/>
      <c r="OAI127" s="24"/>
      <c r="OAJ127" s="211"/>
      <c r="OAK127" s="24"/>
      <c r="OAL127" s="211"/>
      <c r="OAM127" s="24"/>
      <c r="OAN127" s="211"/>
      <c r="OAO127" s="24"/>
      <c r="OAP127" s="211"/>
      <c r="OAQ127" s="24"/>
      <c r="OAR127" s="211"/>
      <c r="OAS127" s="24"/>
      <c r="OAT127" s="211"/>
      <c r="OAU127" s="24"/>
      <c r="OAV127" s="211"/>
      <c r="OAW127" s="24"/>
      <c r="OAX127" s="211"/>
      <c r="OAY127" s="24"/>
      <c r="OAZ127" s="211"/>
      <c r="OBA127" s="24"/>
      <c r="OBB127" s="211"/>
      <c r="OBC127" s="24"/>
      <c r="OBD127" s="211"/>
      <c r="OBE127" s="24"/>
      <c r="OBF127" s="211"/>
      <c r="OBG127" s="24"/>
      <c r="OBH127" s="211"/>
      <c r="OBI127" s="24"/>
      <c r="OBJ127" s="211"/>
      <c r="OBK127" s="24"/>
      <c r="OBL127" s="211"/>
      <c r="OBM127" s="24"/>
      <c r="OBN127" s="211"/>
      <c r="OBO127" s="24"/>
      <c r="OBP127" s="211"/>
      <c r="OBQ127" s="24"/>
      <c r="OBR127" s="211"/>
      <c r="OBS127" s="24"/>
      <c r="OBT127" s="211"/>
      <c r="OBU127" s="24"/>
      <c r="OBV127" s="211"/>
      <c r="OBW127" s="24"/>
      <c r="OBX127" s="211"/>
      <c r="OBY127" s="24"/>
      <c r="OBZ127" s="211"/>
      <c r="OCA127" s="24"/>
      <c r="OCB127" s="211"/>
      <c r="OCC127" s="24"/>
      <c r="OCD127" s="211"/>
      <c r="OCE127" s="24"/>
      <c r="OCF127" s="211"/>
      <c r="OCG127" s="24"/>
      <c r="OCH127" s="211"/>
      <c r="OCI127" s="24"/>
      <c r="OCJ127" s="211"/>
      <c r="OCK127" s="24"/>
      <c r="OCL127" s="211"/>
      <c r="OCM127" s="24"/>
      <c r="OCN127" s="211"/>
      <c r="OCO127" s="24"/>
      <c r="OCP127" s="211"/>
      <c r="OCQ127" s="24"/>
      <c r="OCR127" s="211"/>
      <c r="OCS127" s="24"/>
      <c r="OCT127" s="211"/>
      <c r="OCU127" s="24"/>
      <c r="OCV127" s="211"/>
      <c r="OCW127" s="24"/>
      <c r="OCX127" s="211"/>
      <c r="OCY127" s="24"/>
      <c r="OCZ127" s="211"/>
      <c r="ODA127" s="24"/>
      <c r="ODB127" s="211"/>
      <c r="ODC127" s="24"/>
      <c r="ODD127" s="211"/>
      <c r="ODE127" s="24"/>
      <c r="ODF127" s="211"/>
      <c r="ODG127" s="24"/>
      <c r="ODH127" s="211"/>
      <c r="ODI127" s="24"/>
      <c r="ODJ127" s="211"/>
      <c r="ODK127" s="24"/>
      <c r="ODL127" s="211"/>
      <c r="ODM127" s="24"/>
      <c r="ODN127" s="211"/>
      <c r="ODO127" s="24"/>
      <c r="ODP127" s="211"/>
      <c r="ODQ127" s="24"/>
      <c r="ODR127" s="211"/>
      <c r="ODS127" s="24"/>
      <c r="ODT127" s="211"/>
      <c r="ODU127" s="24"/>
      <c r="ODV127" s="211"/>
      <c r="ODW127" s="24"/>
      <c r="ODX127" s="211"/>
      <c r="ODY127" s="24"/>
      <c r="ODZ127" s="211"/>
      <c r="OEA127" s="24"/>
      <c r="OEB127" s="211"/>
      <c r="OEC127" s="24"/>
      <c r="OED127" s="211"/>
      <c r="OEE127" s="24"/>
      <c r="OEF127" s="211"/>
      <c r="OEG127" s="24"/>
      <c r="OEH127" s="211"/>
      <c r="OEI127" s="24"/>
      <c r="OEJ127" s="211"/>
      <c r="OEK127" s="24"/>
      <c r="OEL127" s="211"/>
      <c r="OEM127" s="24"/>
      <c r="OEN127" s="211"/>
      <c r="OEO127" s="24"/>
      <c r="OEP127" s="211"/>
      <c r="OEQ127" s="24"/>
      <c r="OER127" s="211"/>
      <c r="OES127" s="24"/>
      <c r="OET127" s="211"/>
      <c r="OEU127" s="24"/>
      <c r="OEV127" s="211"/>
      <c r="OEW127" s="24"/>
      <c r="OEX127" s="211"/>
      <c r="OEY127" s="24"/>
      <c r="OEZ127" s="211"/>
      <c r="OFA127" s="24"/>
      <c r="OFB127" s="211"/>
      <c r="OFC127" s="24"/>
      <c r="OFD127" s="211"/>
      <c r="OFE127" s="24"/>
      <c r="OFF127" s="211"/>
      <c r="OFG127" s="24"/>
      <c r="OFH127" s="211"/>
      <c r="OFI127" s="24"/>
      <c r="OFJ127" s="211"/>
      <c r="OFK127" s="24"/>
      <c r="OFL127" s="211"/>
      <c r="OFM127" s="24"/>
      <c r="OFN127" s="211"/>
      <c r="OFO127" s="24"/>
      <c r="OFP127" s="211"/>
      <c r="OFQ127" s="24"/>
      <c r="OFR127" s="211"/>
      <c r="OFS127" s="24"/>
      <c r="OFT127" s="211"/>
      <c r="OFU127" s="24"/>
      <c r="OFV127" s="211"/>
      <c r="OFW127" s="24"/>
      <c r="OFX127" s="211"/>
      <c r="OFY127" s="24"/>
      <c r="OFZ127" s="211"/>
      <c r="OGA127" s="24"/>
      <c r="OGB127" s="211"/>
      <c r="OGC127" s="24"/>
      <c r="OGD127" s="211"/>
      <c r="OGE127" s="24"/>
      <c r="OGF127" s="211"/>
      <c r="OGG127" s="24"/>
      <c r="OGH127" s="211"/>
      <c r="OGI127" s="24"/>
      <c r="OGJ127" s="211"/>
      <c r="OGK127" s="24"/>
      <c r="OGL127" s="211"/>
      <c r="OGM127" s="24"/>
      <c r="OGN127" s="211"/>
      <c r="OGO127" s="24"/>
      <c r="OGP127" s="211"/>
      <c r="OGQ127" s="24"/>
      <c r="OGR127" s="211"/>
      <c r="OGS127" s="24"/>
      <c r="OGT127" s="211"/>
      <c r="OGU127" s="24"/>
      <c r="OGV127" s="211"/>
      <c r="OGW127" s="24"/>
      <c r="OGX127" s="211"/>
      <c r="OGY127" s="24"/>
      <c r="OGZ127" s="211"/>
      <c r="OHA127" s="24"/>
      <c r="OHB127" s="211"/>
      <c r="OHC127" s="24"/>
      <c r="OHD127" s="211"/>
      <c r="OHE127" s="24"/>
      <c r="OHF127" s="211"/>
      <c r="OHG127" s="24"/>
      <c r="OHH127" s="211"/>
      <c r="OHI127" s="24"/>
      <c r="OHJ127" s="211"/>
      <c r="OHK127" s="24"/>
      <c r="OHL127" s="211"/>
      <c r="OHM127" s="24"/>
      <c r="OHN127" s="211"/>
      <c r="OHO127" s="24"/>
      <c r="OHP127" s="211"/>
      <c r="OHQ127" s="24"/>
      <c r="OHR127" s="211"/>
      <c r="OHS127" s="24"/>
      <c r="OHT127" s="211"/>
      <c r="OHU127" s="24"/>
      <c r="OHV127" s="211"/>
      <c r="OHW127" s="24"/>
      <c r="OHX127" s="211"/>
      <c r="OHY127" s="24"/>
      <c r="OHZ127" s="211"/>
      <c r="OIA127" s="24"/>
      <c r="OIB127" s="211"/>
      <c r="OIC127" s="24"/>
      <c r="OID127" s="211"/>
      <c r="OIE127" s="24"/>
      <c r="OIF127" s="211"/>
      <c r="OIG127" s="24"/>
      <c r="OIH127" s="211"/>
      <c r="OII127" s="24"/>
      <c r="OIJ127" s="211"/>
      <c r="OIK127" s="24"/>
      <c r="OIL127" s="211"/>
      <c r="OIM127" s="24"/>
      <c r="OIN127" s="211"/>
      <c r="OIO127" s="24"/>
      <c r="OIP127" s="211"/>
      <c r="OIQ127" s="24"/>
      <c r="OIR127" s="211"/>
      <c r="OIS127" s="24"/>
      <c r="OIT127" s="211"/>
      <c r="OIU127" s="24"/>
      <c r="OIV127" s="211"/>
      <c r="OIW127" s="24"/>
      <c r="OIX127" s="211"/>
      <c r="OIY127" s="24"/>
      <c r="OIZ127" s="211"/>
      <c r="OJA127" s="24"/>
      <c r="OJB127" s="211"/>
      <c r="OJC127" s="24"/>
      <c r="OJD127" s="211"/>
      <c r="OJE127" s="24"/>
      <c r="OJF127" s="211"/>
      <c r="OJG127" s="24"/>
      <c r="OJH127" s="211"/>
      <c r="OJI127" s="24"/>
      <c r="OJJ127" s="211"/>
      <c r="OJK127" s="24"/>
      <c r="OJL127" s="211"/>
      <c r="OJM127" s="24"/>
      <c r="OJN127" s="211"/>
      <c r="OJO127" s="24"/>
      <c r="OJP127" s="211"/>
      <c r="OJQ127" s="24"/>
      <c r="OJR127" s="211"/>
      <c r="OJS127" s="24"/>
      <c r="OJT127" s="211"/>
      <c r="OJU127" s="24"/>
      <c r="OJV127" s="211"/>
      <c r="OJW127" s="24"/>
      <c r="OJX127" s="211"/>
      <c r="OJY127" s="24"/>
      <c r="OJZ127" s="211"/>
      <c r="OKA127" s="24"/>
      <c r="OKB127" s="211"/>
      <c r="OKC127" s="24"/>
      <c r="OKD127" s="211"/>
      <c r="OKE127" s="24"/>
      <c r="OKF127" s="211"/>
      <c r="OKG127" s="24"/>
      <c r="OKH127" s="211"/>
      <c r="OKI127" s="24"/>
      <c r="OKJ127" s="211"/>
      <c r="OKK127" s="24"/>
      <c r="OKL127" s="211"/>
      <c r="OKM127" s="24"/>
      <c r="OKN127" s="211"/>
      <c r="OKO127" s="24"/>
      <c r="OKP127" s="211"/>
      <c r="OKQ127" s="24"/>
      <c r="OKR127" s="211"/>
      <c r="OKS127" s="24"/>
      <c r="OKT127" s="211"/>
      <c r="OKU127" s="24"/>
      <c r="OKV127" s="211"/>
      <c r="OKW127" s="24"/>
      <c r="OKX127" s="211"/>
      <c r="OKY127" s="24"/>
      <c r="OKZ127" s="211"/>
      <c r="OLA127" s="24"/>
      <c r="OLB127" s="211"/>
      <c r="OLC127" s="24"/>
      <c r="OLD127" s="211"/>
      <c r="OLE127" s="24"/>
      <c r="OLF127" s="211"/>
      <c r="OLG127" s="24"/>
      <c r="OLH127" s="211"/>
      <c r="OLI127" s="24"/>
      <c r="OLJ127" s="211"/>
      <c r="OLK127" s="24"/>
      <c r="OLL127" s="211"/>
      <c r="OLM127" s="24"/>
      <c r="OLN127" s="211"/>
      <c r="OLO127" s="24"/>
      <c r="OLP127" s="211"/>
      <c r="OLQ127" s="24"/>
      <c r="OLR127" s="211"/>
      <c r="OLS127" s="24"/>
      <c r="OLT127" s="211"/>
      <c r="OLU127" s="24"/>
      <c r="OLV127" s="211"/>
      <c r="OLW127" s="24"/>
      <c r="OLX127" s="211"/>
      <c r="OLY127" s="24"/>
      <c r="OLZ127" s="211"/>
      <c r="OMA127" s="24"/>
      <c r="OMB127" s="211"/>
      <c r="OMC127" s="24"/>
      <c r="OMD127" s="211"/>
      <c r="OME127" s="24"/>
      <c r="OMF127" s="211"/>
      <c r="OMG127" s="24"/>
      <c r="OMH127" s="211"/>
      <c r="OMI127" s="24"/>
      <c r="OMJ127" s="211"/>
      <c r="OMK127" s="24"/>
      <c r="OML127" s="211"/>
      <c r="OMM127" s="24"/>
      <c r="OMN127" s="211"/>
      <c r="OMO127" s="24"/>
      <c r="OMP127" s="211"/>
      <c r="OMQ127" s="24"/>
      <c r="OMR127" s="211"/>
      <c r="OMS127" s="24"/>
      <c r="OMT127" s="211"/>
      <c r="OMU127" s="24"/>
      <c r="OMV127" s="211"/>
      <c r="OMW127" s="24"/>
      <c r="OMX127" s="211"/>
      <c r="OMY127" s="24"/>
      <c r="OMZ127" s="211"/>
      <c r="ONA127" s="24"/>
      <c r="ONB127" s="211"/>
      <c r="ONC127" s="24"/>
      <c r="OND127" s="211"/>
      <c r="ONE127" s="24"/>
      <c r="ONF127" s="211"/>
      <c r="ONG127" s="24"/>
      <c r="ONH127" s="211"/>
      <c r="ONI127" s="24"/>
      <c r="ONJ127" s="211"/>
      <c r="ONK127" s="24"/>
      <c r="ONL127" s="211"/>
      <c r="ONM127" s="24"/>
      <c r="ONN127" s="211"/>
      <c r="ONO127" s="24"/>
      <c r="ONP127" s="211"/>
      <c r="ONQ127" s="24"/>
      <c r="ONR127" s="211"/>
      <c r="ONS127" s="24"/>
      <c r="ONT127" s="211"/>
      <c r="ONU127" s="24"/>
      <c r="ONV127" s="211"/>
      <c r="ONW127" s="24"/>
      <c r="ONX127" s="211"/>
      <c r="ONY127" s="24"/>
      <c r="ONZ127" s="211"/>
      <c r="OOA127" s="24"/>
      <c r="OOB127" s="211"/>
      <c r="OOC127" s="24"/>
      <c r="OOD127" s="211"/>
      <c r="OOE127" s="24"/>
      <c r="OOF127" s="211"/>
      <c r="OOG127" s="24"/>
      <c r="OOH127" s="211"/>
      <c r="OOI127" s="24"/>
      <c r="OOJ127" s="211"/>
      <c r="OOK127" s="24"/>
      <c r="OOL127" s="211"/>
      <c r="OOM127" s="24"/>
      <c r="OON127" s="211"/>
      <c r="OOO127" s="24"/>
      <c r="OOP127" s="211"/>
      <c r="OOQ127" s="24"/>
      <c r="OOR127" s="211"/>
      <c r="OOS127" s="24"/>
      <c r="OOT127" s="211"/>
      <c r="OOU127" s="24"/>
      <c r="OOV127" s="211"/>
      <c r="OOW127" s="24"/>
      <c r="OOX127" s="211"/>
      <c r="OOY127" s="24"/>
      <c r="OOZ127" s="211"/>
      <c r="OPA127" s="24"/>
      <c r="OPB127" s="211"/>
      <c r="OPC127" s="24"/>
      <c r="OPD127" s="211"/>
      <c r="OPE127" s="24"/>
      <c r="OPF127" s="211"/>
      <c r="OPG127" s="24"/>
      <c r="OPH127" s="211"/>
      <c r="OPI127" s="24"/>
      <c r="OPJ127" s="211"/>
      <c r="OPK127" s="24"/>
      <c r="OPL127" s="211"/>
      <c r="OPM127" s="24"/>
      <c r="OPN127" s="211"/>
      <c r="OPO127" s="24"/>
      <c r="OPP127" s="211"/>
      <c r="OPQ127" s="24"/>
      <c r="OPR127" s="211"/>
      <c r="OPS127" s="24"/>
      <c r="OPT127" s="211"/>
      <c r="OPU127" s="24"/>
      <c r="OPV127" s="211"/>
      <c r="OPW127" s="24"/>
      <c r="OPX127" s="211"/>
      <c r="OPY127" s="24"/>
      <c r="OPZ127" s="211"/>
      <c r="OQA127" s="24"/>
      <c r="OQB127" s="211"/>
      <c r="OQC127" s="24"/>
      <c r="OQD127" s="211"/>
      <c r="OQE127" s="24"/>
      <c r="OQF127" s="211"/>
      <c r="OQG127" s="24"/>
      <c r="OQH127" s="211"/>
      <c r="OQI127" s="24"/>
      <c r="OQJ127" s="211"/>
      <c r="OQK127" s="24"/>
      <c r="OQL127" s="211"/>
      <c r="OQM127" s="24"/>
      <c r="OQN127" s="211"/>
      <c r="OQO127" s="24"/>
      <c r="OQP127" s="211"/>
      <c r="OQQ127" s="24"/>
      <c r="OQR127" s="211"/>
      <c r="OQS127" s="24"/>
      <c r="OQT127" s="211"/>
      <c r="OQU127" s="24"/>
      <c r="OQV127" s="211"/>
      <c r="OQW127" s="24"/>
      <c r="OQX127" s="211"/>
      <c r="OQY127" s="24"/>
      <c r="OQZ127" s="211"/>
      <c r="ORA127" s="24"/>
      <c r="ORB127" s="211"/>
      <c r="ORC127" s="24"/>
      <c r="ORD127" s="211"/>
      <c r="ORE127" s="24"/>
      <c r="ORF127" s="211"/>
      <c r="ORG127" s="24"/>
      <c r="ORH127" s="211"/>
      <c r="ORI127" s="24"/>
      <c r="ORJ127" s="211"/>
      <c r="ORK127" s="24"/>
      <c r="ORL127" s="211"/>
      <c r="ORM127" s="24"/>
      <c r="ORN127" s="211"/>
      <c r="ORO127" s="24"/>
      <c r="ORP127" s="211"/>
      <c r="ORQ127" s="24"/>
      <c r="ORR127" s="211"/>
      <c r="ORS127" s="24"/>
      <c r="ORT127" s="211"/>
      <c r="ORU127" s="24"/>
      <c r="ORV127" s="211"/>
      <c r="ORW127" s="24"/>
      <c r="ORX127" s="211"/>
      <c r="ORY127" s="24"/>
      <c r="ORZ127" s="211"/>
      <c r="OSA127" s="24"/>
      <c r="OSB127" s="211"/>
      <c r="OSC127" s="24"/>
      <c r="OSD127" s="211"/>
      <c r="OSE127" s="24"/>
      <c r="OSF127" s="211"/>
      <c r="OSG127" s="24"/>
      <c r="OSH127" s="211"/>
      <c r="OSI127" s="24"/>
      <c r="OSJ127" s="211"/>
      <c r="OSK127" s="24"/>
      <c r="OSL127" s="211"/>
      <c r="OSM127" s="24"/>
      <c r="OSN127" s="211"/>
      <c r="OSO127" s="24"/>
      <c r="OSP127" s="211"/>
      <c r="OSQ127" s="24"/>
      <c r="OSR127" s="211"/>
      <c r="OSS127" s="24"/>
      <c r="OST127" s="211"/>
      <c r="OSU127" s="24"/>
      <c r="OSV127" s="211"/>
      <c r="OSW127" s="24"/>
      <c r="OSX127" s="211"/>
      <c r="OSY127" s="24"/>
      <c r="OSZ127" s="211"/>
      <c r="OTA127" s="24"/>
      <c r="OTB127" s="211"/>
      <c r="OTC127" s="24"/>
      <c r="OTD127" s="211"/>
      <c r="OTE127" s="24"/>
      <c r="OTF127" s="211"/>
      <c r="OTG127" s="24"/>
      <c r="OTH127" s="211"/>
      <c r="OTI127" s="24"/>
      <c r="OTJ127" s="211"/>
      <c r="OTK127" s="24"/>
      <c r="OTL127" s="211"/>
      <c r="OTM127" s="24"/>
      <c r="OTN127" s="211"/>
      <c r="OTO127" s="24"/>
      <c r="OTP127" s="211"/>
      <c r="OTQ127" s="24"/>
      <c r="OTR127" s="211"/>
      <c r="OTS127" s="24"/>
      <c r="OTT127" s="211"/>
      <c r="OTU127" s="24"/>
      <c r="OTV127" s="211"/>
      <c r="OTW127" s="24"/>
      <c r="OTX127" s="211"/>
      <c r="OTY127" s="24"/>
      <c r="OTZ127" s="211"/>
      <c r="OUA127" s="24"/>
      <c r="OUB127" s="211"/>
      <c r="OUC127" s="24"/>
      <c r="OUD127" s="211"/>
      <c r="OUE127" s="24"/>
      <c r="OUF127" s="211"/>
      <c r="OUG127" s="24"/>
      <c r="OUH127" s="211"/>
      <c r="OUI127" s="24"/>
      <c r="OUJ127" s="211"/>
      <c r="OUK127" s="24"/>
      <c r="OUL127" s="211"/>
      <c r="OUM127" s="24"/>
      <c r="OUN127" s="211"/>
      <c r="OUO127" s="24"/>
      <c r="OUP127" s="211"/>
      <c r="OUQ127" s="24"/>
      <c r="OUR127" s="211"/>
      <c r="OUS127" s="24"/>
      <c r="OUT127" s="211"/>
      <c r="OUU127" s="24"/>
      <c r="OUV127" s="211"/>
      <c r="OUW127" s="24"/>
      <c r="OUX127" s="211"/>
      <c r="OUY127" s="24"/>
      <c r="OUZ127" s="211"/>
      <c r="OVA127" s="24"/>
      <c r="OVB127" s="211"/>
      <c r="OVC127" s="24"/>
      <c r="OVD127" s="211"/>
      <c r="OVE127" s="24"/>
      <c r="OVF127" s="211"/>
      <c r="OVG127" s="24"/>
      <c r="OVH127" s="211"/>
      <c r="OVI127" s="24"/>
      <c r="OVJ127" s="211"/>
      <c r="OVK127" s="24"/>
      <c r="OVL127" s="211"/>
      <c r="OVM127" s="24"/>
      <c r="OVN127" s="211"/>
      <c r="OVO127" s="24"/>
      <c r="OVP127" s="211"/>
      <c r="OVQ127" s="24"/>
      <c r="OVR127" s="211"/>
      <c r="OVS127" s="24"/>
      <c r="OVT127" s="211"/>
      <c r="OVU127" s="24"/>
      <c r="OVV127" s="211"/>
      <c r="OVW127" s="24"/>
      <c r="OVX127" s="211"/>
      <c r="OVY127" s="24"/>
      <c r="OVZ127" s="211"/>
      <c r="OWA127" s="24"/>
      <c r="OWB127" s="211"/>
      <c r="OWC127" s="24"/>
      <c r="OWD127" s="211"/>
      <c r="OWE127" s="24"/>
      <c r="OWF127" s="211"/>
      <c r="OWG127" s="24"/>
      <c r="OWH127" s="211"/>
      <c r="OWI127" s="24"/>
      <c r="OWJ127" s="211"/>
      <c r="OWK127" s="24"/>
      <c r="OWL127" s="211"/>
      <c r="OWM127" s="24"/>
      <c r="OWN127" s="211"/>
      <c r="OWO127" s="24"/>
      <c r="OWP127" s="211"/>
      <c r="OWQ127" s="24"/>
      <c r="OWR127" s="211"/>
      <c r="OWS127" s="24"/>
      <c r="OWT127" s="211"/>
      <c r="OWU127" s="24"/>
      <c r="OWV127" s="211"/>
      <c r="OWW127" s="24"/>
      <c r="OWX127" s="211"/>
      <c r="OWY127" s="24"/>
      <c r="OWZ127" s="211"/>
      <c r="OXA127" s="24"/>
      <c r="OXB127" s="211"/>
      <c r="OXC127" s="24"/>
      <c r="OXD127" s="211"/>
      <c r="OXE127" s="24"/>
      <c r="OXF127" s="211"/>
      <c r="OXG127" s="24"/>
      <c r="OXH127" s="211"/>
      <c r="OXI127" s="24"/>
      <c r="OXJ127" s="211"/>
      <c r="OXK127" s="24"/>
      <c r="OXL127" s="211"/>
      <c r="OXM127" s="24"/>
      <c r="OXN127" s="211"/>
      <c r="OXO127" s="24"/>
      <c r="OXP127" s="211"/>
      <c r="OXQ127" s="24"/>
      <c r="OXR127" s="211"/>
      <c r="OXS127" s="24"/>
      <c r="OXT127" s="211"/>
      <c r="OXU127" s="24"/>
      <c r="OXV127" s="211"/>
      <c r="OXW127" s="24"/>
      <c r="OXX127" s="211"/>
      <c r="OXY127" s="24"/>
      <c r="OXZ127" s="211"/>
      <c r="OYA127" s="24"/>
      <c r="OYB127" s="211"/>
      <c r="OYC127" s="24"/>
      <c r="OYD127" s="211"/>
      <c r="OYE127" s="24"/>
      <c r="OYF127" s="211"/>
      <c r="OYG127" s="24"/>
      <c r="OYH127" s="211"/>
      <c r="OYI127" s="24"/>
      <c r="OYJ127" s="211"/>
      <c r="OYK127" s="24"/>
      <c r="OYL127" s="211"/>
      <c r="OYM127" s="24"/>
      <c r="OYN127" s="211"/>
      <c r="OYO127" s="24"/>
      <c r="OYP127" s="211"/>
      <c r="OYQ127" s="24"/>
      <c r="OYR127" s="211"/>
      <c r="OYS127" s="24"/>
      <c r="OYT127" s="211"/>
      <c r="OYU127" s="24"/>
      <c r="OYV127" s="211"/>
      <c r="OYW127" s="24"/>
      <c r="OYX127" s="211"/>
      <c r="OYY127" s="24"/>
      <c r="OYZ127" s="211"/>
      <c r="OZA127" s="24"/>
      <c r="OZB127" s="211"/>
      <c r="OZC127" s="24"/>
      <c r="OZD127" s="211"/>
      <c r="OZE127" s="24"/>
      <c r="OZF127" s="211"/>
      <c r="OZG127" s="24"/>
      <c r="OZH127" s="211"/>
      <c r="OZI127" s="24"/>
      <c r="OZJ127" s="211"/>
      <c r="OZK127" s="24"/>
      <c r="OZL127" s="211"/>
      <c r="OZM127" s="24"/>
      <c r="OZN127" s="211"/>
      <c r="OZO127" s="24"/>
      <c r="OZP127" s="211"/>
      <c r="OZQ127" s="24"/>
      <c r="OZR127" s="211"/>
      <c r="OZS127" s="24"/>
      <c r="OZT127" s="211"/>
      <c r="OZU127" s="24"/>
      <c r="OZV127" s="211"/>
      <c r="OZW127" s="24"/>
      <c r="OZX127" s="211"/>
      <c r="OZY127" s="24"/>
      <c r="OZZ127" s="211"/>
      <c r="PAA127" s="24"/>
      <c r="PAB127" s="211"/>
      <c r="PAC127" s="24"/>
      <c r="PAD127" s="211"/>
      <c r="PAE127" s="24"/>
      <c r="PAF127" s="211"/>
      <c r="PAG127" s="24"/>
      <c r="PAH127" s="211"/>
      <c r="PAI127" s="24"/>
      <c r="PAJ127" s="211"/>
      <c r="PAK127" s="24"/>
      <c r="PAL127" s="211"/>
      <c r="PAM127" s="24"/>
      <c r="PAN127" s="211"/>
      <c r="PAO127" s="24"/>
      <c r="PAP127" s="211"/>
      <c r="PAQ127" s="24"/>
      <c r="PAR127" s="211"/>
      <c r="PAS127" s="24"/>
      <c r="PAT127" s="211"/>
      <c r="PAU127" s="24"/>
      <c r="PAV127" s="211"/>
      <c r="PAW127" s="24"/>
      <c r="PAX127" s="211"/>
      <c r="PAY127" s="24"/>
      <c r="PAZ127" s="211"/>
      <c r="PBA127" s="24"/>
      <c r="PBB127" s="211"/>
      <c r="PBC127" s="24"/>
      <c r="PBD127" s="211"/>
      <c r="PBE127" s="24"/>
      <c r="PBF127" s="211"/>
      <c r="PBG127" s="24"/>
      <c r="PBH127" s="211"/>
      <c r="PBI127" s="24"/>
      <c r="PBJ127" s="211"/>
      <c r="PBK127" s="24"/>
      <c r="PBL127" s="211"/>
      <c r="PBM127" s="24"/>
      <c r="PBN127" s="211"/>
      <c r="PBO127" s="24"/>
      <c r="PBP127" s="211"/>
      <c r="PBQ127" s="24"/>
      <c r="PBR127" s="211"/>
      <c r="PBS127" s="24"/>
      <c r="PBT127" s="211"/>
      <c r="PBU127" s="24"/>
      <c r="PBV127" s="211"/>
      <c r="PBW127" s="24"/>
      <c r="PBX127" s="211"/>
      <c r="PBY127" s="24"/>
      <c r="PBZ127" s="211"/>
      <c r="PCA127" s="24"/>
      <c r="PCB127" s="211"/>
      <c r="PCC127" s="24"/>
      <c r="PCD127" s="211"/>
      <c r="PCE127" s="24"/>
      <c r="PCF127" s="211"/>
      <c r="PCG127" s="24"/>
      <c r="PCH127" s="211"/>
      <c r="PCI127" s="24"/>
      <c r="PCJ127" s="211"/>
      <c r="PCK127" s="24"/>
      <c r="PCL127" s="211"/>
      <c r="PCM127" s="24"/>
      <c r="PCN127" s="211"/>
      <c r="PCO127" s="24"/>
      <c r="PCP127" s="211"/>
      <c r="PCQ127" s="24"/>
      <c r="PCR127" s="211"/>
      <c r="PCS127" s="24"/>
      <c r="PCT127" s="211"/>
      <c r="PCU127" s="24"/>
      <c r="PCV127" s="211"/>
      <c r="PCW127" s="24"/>
      <c r="PCX127" s="211"/>
      <c r="PCY127" s="24"/>
      <c r="PCZ127" s="211"/>
      <c r="PDA127" s="24"/>
      <c r="PDB127" s="211"/>
      <c r="PDC127" s="24"/>
      <c r="PDD127" s="211"/>
      <c r="PDE127" s="24"/>
      <c r="PDF127" s="211"/>
      <c r="PDG127" s="24"/>
      <c r="PDH127" s="211"/>
      <c r="PDI127" s="24"/>
      <c r="PDJ127" s="211"/>
      <c r="PDK127" s="24"/>
      <c r="PDL127" s="211"/>
      <c r="PDM127" s="24"/>
      <c r="PDN127" s="211"/>
      <c r="PDO127" s="24"/>
      <c r="PDP127" s="211"/>
      <c r="PDQ127" s="24"/>
      <c r="PDR127" s="211"/>
      <c r="PDS127" s="24"/>
      <c r="PDT127" s="211"/>
      <c r="PDU127" s="24"/>
      <c r="PDV127" s="211"/>
      <c r="PDW127" s="24"/>
      <c r="PDX127" s="211"/>
      <c r="PDY127" s="24"/>
      <c r="PDZ127" s="211"/>
      <c r="PEA127" s="24"/>
      <c r="PEB127" s="211"/>
      <c r="PEC127" s="24"/>
      <c r="PED127" s="211"/>
      <c r="PEE127" s="24"/>
      <c r="PEF127" s="211"/>
      <c r="PEG127" s="24"/>
      <c r="PEH127" s="211"/>
      <c r="PEI127" s="24"/>
      <c r="PEJ127" s="211"/>
      <c r="PEK127" s="24"/>
      <c r="PEL127" s="211"/>
      <c r="PEM127" s="24"/>
      <c r="PEN127" s="211"/>
      <c r="PEO127" s="24"/>
      <c r="PEP127" s="211"/>
      <c r="PEQ127" s="24"/>
      <c r="PER127" s="211"/>
      <c r="PES127" s="24"/>
      <c r="PET127" s="211"/>
      <c r="PEU127" s="24"/>
      <c r="PEV127" s="211"/>
      <c r="PEW127" s="24"/>
      <c r="PEX127" s="211"/>
      <c r="PEY127" s="24"/>
      <c r="PEZ127" s="211"/>
      <c r="PFA127" s="24"/>
      <c r="PFB127" s="211"/>
      <c r="PFC127" s="24"/>
      <c r="PFD127" s="211"/>
      <c r="PFE127" s="24"/>
      <c r="PFF127" s="211"/>
      <c r="PFG127" s="24"/>
      <c r="PFH127" s="211"/>
      <c r="PFI127" s="24"/>
      <c r="PFJ127" s="211"/>
      <c r="PFK127" s="24"/>
      <c r="PFL127" s="211"/>
      <c r="PFM127" s="24"/>
      <c r="PFN127" s="211"/>
      <c r="PFO127" s="24"/>
      <c r="PFP127" s="211"/>
      <c r="PFQ127" s="24"/>
      <c r="PFR127" s="211"/>
      <c r="PFS127" s="24"/>
      <c r="PFT127" s="211"/>
      <c r="PFU127" s="24"/>
      <c r="PFV127" s="211"/>
      <c r="PFW127" s="24"/>
      <c r="PFX127" s="211"/>
      <c r="PFY127" s="24"/>
      <c r="PFZ127" s="211"/>
      <c r="PGA127" s="24"/>
      <c r="PGB127" s="211"/>
      <c r="PGC127" s="24"/>
      <c r="PGD127" s="211"/>
      <c r="PGE127" s="24"/>
      <c r="PGF127" s="211"/>
      <c r="PGG127" s="24"/>
      <c r="PGH127" s="211"/>
      <c r="PGI127" s="24"/>
      <c r="PGJ127" s="211"/>
      <c r="PGK127" s="24"/>
      <c r="PGL127" s="211"/>
      <c r="PGM127" s="24"/>
      <c r="PGN127" s="211"/>
      <c r="PGO127" s="24"/>
      <c r="PGP127" s="211"/>
      <c r="PGQ127" s="24"/>
      <c r="PGR127" s="211"/>
      <c r="PGS127" s="24"/>
      <c r="PGT127" s="211"/>
      <c r="PGU127" s="24"/>
      <c r="PGV127" s="211"/>
      <c r="PGW127" s="24"/>
      <c r="PGX127" s="211"/>
      <c r="PGY127" s="24"/>
      <c r="PGZ127" s="211"/>
      <c r="PHA127" s="24"/>
      <c r="PHB127" s="211"/>
      <c r="PHC127" s="24"/>
      <c r="PHD127" s="211"/>
      <c r="PHE127" s="24"/>
      <c r="PHF127" s="211"/>
      <c r="PHG127" s="24"/>
      <c r="PHH127" s="211"/>
      <c r="PHI127" s="24"/>
      <c r="PHJ127" s="211"/>
      <c r="PHK127" s="24"/>
      <c r="PHL127" s="211"/>
      <c r="PHM127" s="24"/>
      <c r="PHN127" s="211"/>
      <c r="PHO127" s="24"/>
      <c r="PHP127" s="211"/>
      <c r="PHQ127" s="24"/>
      <c r="PHR127" s="211"/>
      <c r="PHS127" s="24"/>
      <c r="PHT127" s="211"/>
      <c r="PHU127" s="24"/>
      <c r="PHV127" s="211"/>
      <c r="PHW127" s="24"/>
      <c r="PHX127" s="211"/>
      <c r="PHY127" s="24"/>
      <c r="PHZ127" s="211"/>
      <c r="PIA127" s="24"/>
      <c r="PIB127" s="211"/>
      <c r="PIC127" s="24"/>
      <c r="PID127" s="211"/>
      <c r="PIE127" s="24"/>
      <c r="PIF127" s="211"/>
      <c r="PIG127" s="24"/>
      <c r="PIH127" s="211"/>
      <c r="PII127" s="24"/>
      <c r="PIJ127" s="211"/>
      <c r="PIK127" s="24"/>
      <c r="PIL127" s="211"/>
      <c r="PIM127" s="24"/>
      <c r="PIN127" s="211"/>
      <c r="PIO127" s="24"/>
      <c r="PIP127" s="211"/>
      <c r="PIQ127" s="24"/>
      <c r="PIR127" s="211"/>
      <c r="PIS127" s="24"/>
      <c r="PIT127" s="211"/>
      <c r="PIU127" s="24"/>
      <c r="PIV127" s="211"/>
      <c r="PIW127" s="24"/>
      <c r="PIX127" s="211"/>
      <c r="PIY127" s="24"/>
      <c r="PIZ127" s="211"/>
      <c r="PJA127" s="24"/>
      <c r="PJB127" s="211"/>
      <c r="PJC127" s="24"/>
      <c r="PJD127" s="211"/>
      <c r="PJE127" s="24"/>
      <c r="PJF127" s="211"/>
      <c r="PJG127" s="24"/>
      <c r="PJH127" s="211"/>
      <c r="PJI127" s="24"/>
      <c r="PJJ127" s="211"/>
      <c r="PJK127" s="24"/>
      <c r="PJL127" s="211"/>
      <c r="PJM127" s="24"/>
      <c r="PJN127" s="211"/>
      <c r="PJO127" s="24"/>
      <c r="PJP127" s="211"/>
      <c r="PJQ127" s="24"/>
      <c r="PJR127" s="211"/>
      <c r="PJS127" s="24"/>
      <c r="PJT127" s="211"/>
      <c r="PJU127" s="24"/>
      <c r="PJV127" s="211"/>
      <c r="PJW127" s="24"/>
      <c r="PJX127" s="211"/>
      <c r="PJY127" s="24"/>
      <c r="PJZ127" s="211"/>
      <c r="PKA127" s="24"/>
      <c r="PKB127" s="211"/>
      <c r="PKC127" s="24"/>
      <c r="PKD127" s="211"/>
      <c r="PKE127" s="24"/>
      <c r="PKF127" s="211"/>
      <c r="PKG127" s="24"/>
      <c r="PKH127" s="211"/>
      <c r="PKI127" s="24"/>
      <c r="PKJ127" s="211"/>
      <c r="PKK127" s="24"/>
      <c r="PKL127" s="211"/>
      <c r="PKM127" s="24"/>
      <c r="PKN127" s="211"/>
      <c r="PKO127" s="24"/>
      <c r="PKP127" s="211"/>
      <c r="PKQ127" s="24"/>
      <c r="PKR127" s="211"/>
      <c r="PKS127" s="24"/>
      <c r="PKT127" s="211"/>
      <c r="PKU127" s="24"/>
      <c r="PKV127" s="211"/>
      <c r="PKW127" s="24"/>
      <c r="PKX127" s="211"/>
      <c r="PKY127" s="24"/>
      <c r="PKZ127" s="211"/>
      <c r="PLA127" s="24"/>
      <c r="PLB127" s="211"/>
      <c r="PLC127" s="24"/>
      <c r="PLD127" s="211"/>
      <c r="PLE127" s="24"/>
      <c r="PLF127" s="211"/>
      <c r="PLG127" s="24"/>
      <c r="PLH127" s="211"/>
      <c r="PLI127" s="24"/>
      <c r="PLJ127" s="211"/>
      <c r="PLK127" s="24"/>
      <c r="PLL127" s="211"/>
      <c r="PLM127" s="24"/>
      <c r="PLN127" s="211"/>
      <c r="PLO127" s="24"/>
      <c r="PLP127" s="211"/>
      <c r="PLQ127" s="24"/>
      <c r="PLR127" s="211"/>
      <c r="PLS127" s="24"/>
      <c r="PLT127" s="211"/>
      <c r="PLU127" s="24"/>
      <c r="PLV127" s="211"/>
      <c r="PLW127" s="24"/>
      <c r="PLX127" s="211"/>
      <c r="PLY127" s="24"/>
      <c r="PLZ127" s="211"/>
      <c r="PMA127" s="24"/>
      <c r="PMB127" s="211"/>
      <c r="PMC127" s="24"/>
      <c r="PMD127" s="211"/>
      <c r="PME127" s="24"/>
      <c r="PMF127" s="211"/>
      <c r="PMG127" s="24"/>
      <c r="PMH127" s="211"/>
      <c r="PMI127" s="24"/>
      <c r="PMJ127" s="211"/>
      <c r="PMK127" s="24"/>
      <c r="PML127" s="211"/>
      <c r="PMM127" s="24"/>
      <c r="PMN127" s="211"/>
      <c r="PMO127" s="24"/>
      <c r="PMP127" s="211"/>
      <c r="PMQ127" s="24"/>
      <c r="PMR127" s="211"/>
      <c r="PMS127" s="24"/>
      <c r="PMT127" s="211"/>
      <c r="PMU127" s="24"/>
      <c r="PMV127" s="211"/>
      <c r="PMW127" s="24"/>
      <c r="PMX127" s="211"/>
      <c r="PMY127" s="24"/>
      <c r="PMZ127" s="211"/>
      <c r="PNA127" s="24"/>
      <c r="PNB127" s="211"/>
      <c r="PNC127" s="24"/>
      <c r="PND127" s="211"/>
      <c r="PNE127" s="24"/>
      <c r="PNF127" s="211"/>
      <c r="PNG127" s="24"/>
      <c r="PNH127" s="211"/>
      <c r="PNI127" s="24"/>
      <c r="PNJ127" s="211"/>
      <c r="PNK127" s="24"/>
      <c r="PNL127" s="211"/>
      <c r="PNM127" s="24"/>
      <c r="PNN127" s="211"/>
      <c r="PNO127" s="24"/>
      <c r="PNP127" s="211"/>
      <c r="PNQ127" s="24"/>
      <c r="PNR127" s="211"/>
      <c r="PNS127" s="24"/>
      <c r="PNT127" s="211"/>
      <c r="PNU127" s="24"/>
      <c r="PNV127" s="211"/>
      <c r="PNW127" s="24"/>
      <c r="PNX127" s="211"/>
      <c r="PNY127" s="24"/>
      <c r="PNZ127" s="211"/>
      <c r="POA127" s="24"/>
      <c r="POB127" s="211"/>
      <c r="POC127" s="24"/>
      <c r="POD127" s="211"/>
      <c r="POE127" s="24"/>
      <c r="POF127" s="211"/>
      <c r="POG127" s="24"/>
      <c r="POH127" s="211"/>
      <c r="POI127" s="24"/>
      <c r="POJ127" s="211"/>
      <c r="POK127" s="24"/>
      <c r="POL127" s="211"/>
      <c r="POM127" s="24"/>
      <c r="PON127" s="211"/>
      <c r="POO127" s="24"/>
      <c r="POP127" s="211"/>
      <c r="POQ127" s="24"/>
      <c r="POR127" s="211"/>
      <c r="POS127" s="24"/>
      <c r="POT127" s="211"/>
      <c r="POU127" s="24"/>
      <c r="POV127" s="211"/>
      <c r="POW127" s="24"/>
      <c r="POX127" s="211"/>
      <c r="POY127" s="24"/>
      <c r="POZ127" s="211"/>
      <c r="PPA127" s="24"/>
      <c r="PPB127" s="211"/>
      <c r="PPC127" s="24"/>
      <c r="PPD127" s="211"/>
      <c r="PPE127" s="24"/>
      <c r="PPF127" s="211"/>
      <c r="PPG127" s="24"/>
      <c r="PPH127" s="211"/>
      <c r="PPI127" s="24"/>
      <c r="PPJ127" s="211"/>
      <c r="PPK127" s="24"/>
      <c r="PPL127" s="211"/>
      <c r="PPM127" s="24"/>
      <c r="PPN127" s="211"/>
      <c r="PPO127" s="24"/>
      <c r="PPP127" s="211"/>
      <c r="PPQ127" s="24"/>
      <c r="PPR127" s="211"/>
      <c r="PPS127" s="24"/>
      <c r="PPT127" s="211"/>
      <c r="PPU127" s="24"/>
      <c r="PPV127" s="211"/>
      <c r="PPW127" s="24"/>
      <c r="PPX127" s="211"/>
      <c r="PPY127" s="24"/>
      <c r="PPZ127" s="211"/>
      <c r="PQA127" s="24"/>
      <c r="PQB127" s="211"/>
      <c r="PQC127" s="24"/>
      <c r="PQD127" s="211"/>
      <c r="PQE127" s="24"/>
      <c r="PQF127" s="211"/>
      <c r="PQG127" s="24"/>
      <c r="PQH127" s="211"/>
      <c r="PQI127" s="24"/>
      <c r="PQJ127" s="211"/>
      <c r="PQK127" s="24"/>
      <c r="PQL127" s="211"/>
      <c r="PQM127" s="24"/>
      <c r="PQN127" s="211"/>
      <c r="PQO127" s="24"/>
      <c r="PQP127" s="211"/>
      <c r="PQQ127" s="24"/>
      <c r="PQR127" s="211"/>
      <c r="PQS127" s="24"/>
      <c r="PQT127" s="211"/>
      <c r="PQU127" s="24"/>
      <c r="PQV127" s="211"/>
      <c r="PQW127" s="24"/>
      <c r="PQX127" s="211"/>
      <c r="PQY127" s="24"/>
      <c r="PQZ127" s="211"/>
      <c r="PRA127" s="24"/>
      <c r="PRB127" s="211"/>
      <c r="PRC127" s="24"/>
      <c r="PRD127" s="211"/>
      <c r="PRE127" s="24"/>
      <c r="PRF127" s="211"/>
      <c r="PRG127" s="24"/>
      <c r="PRH127" s="211"/>
      <c r="PRI127" s="24"/>
      <c r="PRJ127" s="211"/>
      <c r="PRK127" s="24"/>
      <c r="PRL127" s="211"/>
      <c r="PRM127" s="24"/>
      <c r="PRN127" s="211"/>
      <c r="PRO127" s="24"/>
      <c r="PRP127" s="211"/>
      <c r="PRQ127" s="24"/>
      <c r="PRR127" s="211"/>
      <c r="PRS127" s="24"/>
      <c r="PRT127" s="211"/>
      <c r="PRU127" s="24"/>
      <c r="PRV127" s="211"/>
      <c r="PRW127" s="24"/>
      <c r="PRX127" s="211"/>
      <c r="PRY127" s="24"/>
      <c r="PRZ127" s="211"/>
      <c r="PSA127" s="24"/>
      <c r="PSB127" s="211"/>
      <c r="PSC127" s="24"/>
      <c r="PSD127" s="211"/>
      <c r="PSE127" s="24"/>
      <c r="PSF127" s="211"/>
      <c r="PSG127" s="24"/>
      <c r="PSH127" s="211"/>
      <c r="PSI127" s="24"/>
      <c r="PSJ127" s="211"/>
      <c r="PSK127" s="24"/>
      <c r="PSL127" s="211"/>
      <c r="PSM127" s="24"/>
      <c r="PSN127" s="211"/>
      <c r="PSO127" s="24"/>
      <c r="PSP127" s="211"/>
      <c r="PSQ127" s="24"/>
      <c r="PSR127" s="211"/>
      <c r="PSS127" s="24"/>
      <c r="PST127" s="211"/>
      <c r="PSU127" s="24"/>
      <c r="PSV127" s="211"/>
      <c r="PSW127" s="24"/>
      <c r="PSX127" s="211"/>
      <c r="PSY127" s="24"/>
      <c r="PSZ127" s="211"/>
      <c r="PTA127" s="24"/>
      <c r="PTB127" s="211"/>
      <c r="PTC127" s="24"/>
      <c r="PTD127" s="211"/>
      <c r="PTE127" s="24"/>
      <c r="PTF127" s="211"/>
      <c r="PTG127" s="24"/>
      <c r="PTH127" s="211"/>
      <c r="PTI127" s="24"/>
      <c r="PTJ127" s="211"/>
      <c r="PTK127" s="24"/>
      <c r="PTL127" s="211"/>
      <c r="PTM127" s="24"/>
      <c r="PTN127" s="211"/>
      <c r="PTO127" s="24"/>
      <c r="PTP127" s="211"/>
      <c r="PTQ127" s="24"/>
      <c r="PTR127" s="211"/>
      <c r="PTS127" s="24"/>
      <c r="PTT127" s="211"/>
      <c r="PTU127" s="24"/>
      <c r="PTV127" s="211"/>
      <c r="PTW127" s="24"/>
      <c r="PTX127" s="211"/>
      <c r="PTY127" s="24"/>
      <c r="PTZ127" s="211"/>
      <c r="PUA127" s="24"/>
      <c r="PUB127" s="211"/>
      <c r="PUC127" s="24"/>
      <c r="PUD127" s="211"/>
      <c r="PUE127" s="24"/>
      <c r="PUF127" s="211"/>
      <c r="PUG127" s="24"/>
      <c r="PUH127" s="211"/>
      <c r="PUI127" s="24"/>
      <c r="PUJ127" s="211"/>
      <c r="PUK127" s="24"/>
      <c r="PUL127" s="211"/>
      <c r="PUM127" s="24"/>
      <c r="PUN127" s="211"/>
      <c r="PUO127" s="24"/>
      <c r="PUP127" s="211"/>
      <c r="PUQ127" s="24"/>
      <c r="PUR127" s="211"/>
      <c r="PUS127" s="24"/>
      <c r="PUT127" s="211"/>
      <c r="PUU127" s="24"/>
      <c r="PUV127" s="211"/>
      <c r="PUW127" s="24"/>
      <c r="PUX127" s="211"/>
      <c r="PUY127" s="24"/>
      <c r="PUZ127" s="211"/>
      <c r="PVA127" s="24"/>
      <c r="PVB127" s="211"/>
      <c r="PVC127" s="24"/>
      <c r="PVD127" s="211"/>
      <c r="PVE127" s="24"/>
      <c r="PVF127" s="211"/>
      <c r="PVG127" s="24"/>
      <c r="PVH127" s="211"/>
      <c r="PVI127" s="24"/>
      <c r="PVJ127" s="211"/>
      <c r="PVK127" s="24"/>
      <c r="PVL127" s="211"/>
      <c r="PVM127" s="24"/>
      <c r="PVN127" s="211"/>
      <c r="PVO127" s="24"/>
      <c r="PVP127" s="211"/>
      <c r="PVQ127" s="24"/>
      <c r="PVR127" s="211"/>
      <c r="PVS127" s="24"/>
      <c r="PVT127" s="211"/>
      <c r="PVU127" s="24"/>
      <c r="PVV127" s="211"/>
      <c r="PVW127" s="24"/>
      <c r="PVX127" s="211"/>
      <c r="PVY127" s="24"/>
      <c r="PVZ127" s="211"/>
      <c r="PWA127" s="24"/>
      <c r="PWB127" s="211"/>
      <c r="PWC127" s="24"/>
      <c r="PWD127" s="211"/>
      <c r="PWE127" s="24"/>
      <c r="PWF127" s="211"/>
      <c r="PWG127" s="24"/>
      <c r="PWH127" s="211"/>
      <c r="PWI127" s="24"/>
      <c r="PWJ127" s="211"/>
      <c r="PWK127" s="24"/>
      <c r="PWL127" s="211"/>
      <c r="PWM127" s="24"/>
      <c r="PWN127" s="211"/>
      <c r="PWO127" s="24"/>
      <c r="PWP127" s="211"/>
      <c r="PWQ127" s="24"/>
      <c r="PWR127" s="211"/>
      <c r="PWS127" s="24"/>
      <c r="PWT127" s="211"/>
      <c r="PWU127" s="24"/>
      <c r="PWV127" s="211"/>
      <c r="PWW127" s="24"/>
      <c r="PWX127" s="211"/>
      <c r="PWY127" s="24"/>
      <c r="PWZ127" s="211"/>
      <c r="PXA127" s="24"/>
      <c r="PXB127" s="211"/>
      <c r="PXC127" s="24"/>
      <c r="PXD127" s="211"/>
      <c r="PXE127" s="24"/>
      <c r="PXF127" s="211"/>
      <c r="PXG127" s="24"/>
      <c r="PXH127" s="211"/>
      <c r="PXI127" s="24"/>
      <c r="PXJ127" s="211"/>
      <c r="PXK127" s="24"/>
      <c r="PXL127" s="211"/>
      <c r="PXM127" s="24"/>
      <c r="PXN127" s="211"/>
      <c r="PXO127" s="24"/>
      <c r="PXP127" s="211"/>
      <c r="PXQ127" s="24"/>
      <c r="PXR127" s="211"/>
      <c r="PXS127" s="24"/>
      <c r="PXT127" s="211"/>
      <c r="PXU127" s="24"/>
      <c r="PXV127" s="211"/>
      <c r="PXW127" s="24"/>
      <c r="PXX127" s="211"/>
      <c r="PXY127" s="24"/>
      <c r="PXZ127" s="211"/>
      <c r="PYA127" s="24"/>
      <c r="PYB127" s="211"/>
      <c r="PYC127" s="24"/>
      <c r="PYD127" s="211"/>
      <c r="PYE127" s="24"/>
      <c r="PYF127" s="211"/>
      <c r="PYG127" s="24"/>
      <c r="PYH127" s="211"/>
      <c r="PYI127" s="24"/>
      <c r="PYJ127" s="211"/>
      <c r="PYK127" s="24"/>
      <c r="PYL127" s="211"/>
      <c r="PYM127" s="24"/>
      <c r="PYN127" s="211"/>
      <c r="PYO127" s="24"/>
      <c r="PYP127" s="211"/>
      <c r="PYQ127" s="24"/>
      <c r="PYR127" s="211"/>
      <c r="PYS127" s="24"/>
      <c r="PYT127" s="211"/>
      <c r="PYU127" s="24"/>
      <c r="PYV127" s="211"/>
      <c r="PYW127" s="24"/>
      <c r="PYX127" s="211"/>
      <c r="PYY127" s="24"/>
      <c r="PYZ127" s="211"/>
      <c r="PZA127" s="24"/>
      <c r="PZB127" s="211"/>
      <c r="PZC127" s="24"/>
      <c r="PZD127" s="211"/>
      <c r="PZE127" s="24"/>
      <c r="PZF127" s="211"/>
      <c r="PZG127" s="24"/>
      <c r="PZH127" s="211"/>
      <c r="PZI127" s="24"/>
      <c r="PZJ127" s="211"/>
      <c r="PZK127" s="24"/>
      <c r="PZL127" s="211"/>
      <c r="PZM127" s="24"/>
      <c r="PZN127" s="211"/>
      <c r="PZO127" s="24"/>
      <c r="PZP127" s="211"/>
      <c r="PZQ127" s="24"/>
      <c r="PZR127" s="211"/>
      <c r="PZS127" s="24"/>
      <c r="PZT127" s="211"/>
      <c r="PZU127" s="24"/>
      <c r="PZV127" s="211"/>
      <c r="PZW127" s="24"/>
      <c r="PZX127" s="211"/>
      <c r="PZY127" s="24"/>
      <c r="PZZ127" s="211"/>
      <c r="QAA127" s="24"/>
      <c r="QAB127" s="211"/>
      <c r="QAC127" s="24"/>
      <c r="QAD127" s="211"/>
      <c r="QAE127" s="24"/>
      <c r="QAF127" s="211"/>
      <c r="QAG127" s="24"/>
      <c r="QAH127" s="211"/>
      <c r="QAI127" s="24"/>
      <c r="QAJ127" s="211"/>
      <c r="QAK127" s="24"/>
      <c r="QAL127" s="211"/>
      <c r="QAM127" s="24"/>
      <c r="QAN127" s="211"/>
      <c r="QAO127" s="24"/>
      <c r="QAP127" s="211"/>
      <c r="QAQ127" s="24"/>
      <c r="QAR127" s="211"/>
      <c r="QAS127" s="24"/>
      <c r="QAT127" s="211"/>
      <c r="QAU127" s="24"/>
      <c r="QAV127" s="211"/>
      <c r="QAW127" s="24"/>
      <c r="QAX127" s="211"/>
      <c r="QAY127" s="24"/>
      <c r="QAZ127" s="211"/>
      <c r="QBA127" s="24"/>
      <c r="QBB127" s="211"/>
      <c r="QBC127" s="24"/>
      <c r="QBD127" s="211"/>
      <c r="QBE127" s="24"/>
      <c r="QBF127" s="211"/>
      <c r="QBG127" s="24"/>
      <c r="QBH127" s="211"/>
      <c r="QBI127" s="24"/>
      <c r="QBJ127" s="211"/>
      <c r="QBK127" s="24"/>
      <c r="QBL127" s="211"/>
      <c r="QBM127" s="24"/>
      <c r="QBN127" s="211"/>
      <c r="QBO127" s="24"/>
      <c r="QBP127" s="211"/>
      <c r="QBQ127" s="24"/>
      <c r="QBR127" s="211"/>
      <c r="QBS127" s="24"/>
      <c r="QBT127" s="211"/>
      <c r="QBU127" s="24"/>
      <c r="QBV127" s="211"/>
      <c r="QBW127" s="24"/>
      <c r="QBX127" s="211"/>
      <c r="QBY127" s="24"/>
      <c r="QBZ127" s="211"/>
      <c r="QCA127" s="24"/>
      <c r="QCB127" s="211"/>
      <c r="QCC127" s="24"/>
      <c r="QCD127" s="211"/>
      <c r="QCE127" s="24"/>
      <c r="QCF127" s="211"/>
      <c r="QCG127" s="24"/>
      <c r="QCH127" s="211"/>
      <c r="QCI127" s="24"/>
      <c r="QCJ127" s="211"/>
      <c r="QCK127" s="24"/>
      <c r="QCL127" s="211"/>
      <c r="QCM127" s="24"/>
      <c r="QCN127" s="211"/>
      <c r="QCO127" s="24"/>
      <c r="QCP127" s="211"/>
      <c r="QCQ127" s="24"/>
      <c r="QCR127" s="211"/>
      <c r="QCS127" s="24"/>
      <c r="QCT127" s="211"/>
      <c r="QCU127" s="24"/>
      <c r="QCV127" s="211"/>
      <c r="QCW127" s="24"/>
      <c r="QCX127" s="211"/>
      <c r="QCY127" s="24"/>
      <c r="QCZ127" s="211"/>
      <c r="QDA127" s="24"/>
      <c r="QDB127" s="211"/>
      <c r="QDC127" s="24"/>
      <c r="QDD127" s="211"/>
      <c r="QDE127" s="24"/>
      <c r="QDF127" s="211"/>
      <c r="QDG127" s="24"/>
      <c r="QDH127" s="211"/>
      <c r="QDI127" s="24"/>
      <c r="QDJ127" s="211"/>
      <c r="QDK127" s="24"/>
      <c r="QDL127" s="211"/>
      <c r="QDM127" s="24"/>
      <c r="QDN127" s="211"/>
      <c r="QDO127" s="24"/>
      <c r="QDP127" s="211"/>
      <c r="QDQ127" s="24"/>
      <c r="QDR127" s="211"/>
      <c r="QDS127" s="24"/>
      <c r="QDT127" s="211"/>
      <c r="QDU127" s="24"/>
      <c r="QDV127" s="211"/>
      <c r="QDW127" s="24"/>
      <c r="QDX127" s="211"/>
      <c r="QDY127" s="24"/>
      <c r="QDZ127" s="211"/>
      <c r="QEA127" s="24"/>
      <c r="QEB127" s="211"/>
      <c r="QEC127" s="24"/>
      <c r="QED127" s="211"/>
      <c r="QEE127" s="24"/>
      <c r="QEF127" s="211"/>
      <c r="QEG127" s="24"/>
      <c r="QEH127" s="211"/>
      <c r="QEI127" s="24"/>
      <c r="QEJ127" s="211"/>
      <c r="QEK127" s="24"/>
      <c r="QEL127" s="211"/>
      <c r="QEM127" s="24"/>
      <c r="QEN127" s="211"/>
      <c r="QEO127" s="24"/>
      <c r="QEP127" s="211"/>
      <c r="QEQ127" s="24"/>
      <c r="QER127" s="211"/>
      <c r="QES127" s="24"/>
      <c r="QET127" s="211"/>
      <c r="QEU127" s="24"/>
      <c r="QEV127" s="211"/>
      <c r="QEW127" s="24"/>
      <c r="QEX127" s="211"/>
      <c r="QEY127" s="24"/>
      <c r="QEZ127" s="211"/>
      <c r="QFA127" s="24"/>
      <c r="QFB127" s="211"/>
      <c r="QFC127" s="24"/>
      <c r="QFD127" s="211"/>
      <c r="QFE127" s="24"/>
      <c r="QFF127" s="211"/>
      <c r="QFG127" s="24"/>
      <c r="QFH127" s="211"/>
      <c r="QFI127" s="24"/>
      <c r="QFJ127" s="211"/>
      <c r="QFK127" s="24"/>
      <c r="QFL127" s="211"/>
      <c r="QFM127" s="24"/>
      <c r="QFN127" s="211"/>
      <c r="QFO127" s="24"/>
      <c r="QFP127" s="211"/>
      <c r="QFQ127" s="24"/>
      <c r="QFR127" s="211"/>
      <c r="QFS127" s="24"/>
      <c r="QFT127" s="211"/>
      <c r="QFU127" s="24"/>
      <c r="QFV127" s="211"/>
      <c r="QFW127" s="24"/>
      <c r="QFX127" s="211"/>
      <c r="QFY127" s="24"/>
      <c r="QFZ127" s="211"/>
      <c r="QGA127" s="24"/>
      <c r="QGB127" s="211"/>
      <c r="QGC127" s="24"/>
      <c r="QGD127" s="211"/>
      <c r="QGE127" s="24"/>
      <c r="QGF127" s="211"/>
      <c r="QGG127" s="24"/>
      <c r="QGH127" s="211"/>
      <c r="QGI127" s="24"/>
      <c r="QGJ127" s="211"/>
      <c r="QGK127" s="24"/>
      <c r="QGL127" s="211"/>
      <c r="QGM127" s="24"/>
      <c r="QGN127" s="211"/>
      <c r="QGO127" s="24"/>
      <c r="QGP127" s="211"/>
      <c r="QGQ127" s="24"/>
      <c r="QGR127" s="211"/>
      <c r="QGS127" s="24"/>
      <c r="QGT127" s="211"/>
      <c r="QGU127" s="24"/>
      <c r="QGV127" s="211"/>
      <c r="QGW127" s="24"/>
      <c r="QGX127" s="211"/>
      <c r="QGY127" s="24"/>
      <c r="QGZ127" s="211"/>
      <c r="QHA127" s="24"/>
      <c r="QHB127" s="211"/>
      <c r="QHC127" s="24"/>
      <c r="QHD127" s="211"/>
      <c r="QHE127" s="24"/>
      <c r="QHF127" s="211"/>
      <c r="QHG127" s="24"/>
      <c r="QHH127" s="211"/>
      <c r="QHI127" s="24"/>
      <c r="QHJ127" s="211"/>
      <c r="QHK127" s="24"/>
      <c r="QHL127" s="211"/>
      <c r="QHM127" s="24"/>
      <c r="QHN127" s="211"/>
      <c r="QHO127" s="24"/>
      <c r="QHP127" s="211"/>
      <c r="QHQ127" s="24"/>
      <c r="QHR127" s="211"/>
      <c r="QHS127" s="24"/>
      <c r="QHT127" s="211"/>
      <c r="QHU127" s="24"/>
      <c r="QHV127" s="211"/>
      <c r="QHW127" s="24"/>
      <c r="QHX127" s="211"/>
      <c r="QHY127" s="24"/>
      <c r="QHZ127" s="211"/>
      <c r="QIA127" s="24"/>
      <c r="QIB127" s="211"/>
      <c r="QIC127" s="24"/>
      <c r="QID127" s="211"/>
      <c r="QIE127" s="24"/>
      <c r="QIF127" s="211"/>
      <c r="QIG127" s="24"/>
      <c r="QIH127" s="211"/>
      <c r="QII127" s="24"/>
      <c r="QIJ127" s="211"/>
      <c r="QIK127" s="24"/>
      <c r="QIL127" s="211"/>
      <c r="QIM127" s="24"/>
      <c r="QIN127" s="211"/>
      <c r="QIO127" s="24"/>
      <c r="QIP127" s="211"/>
      <c r="QIQ127" s="24"/>
      <c r="QIR127" s="211"/>
      <c r="QIS127" s="24"/>
      <c r="QIT127" s="211"/>
      <c r="QIU127" s="24"/>
      <c r="QIV127" s="211"/>
      <c r="QIW127" s="24"/>
      <c r="QIX127" s="211"/>
      <c r="QIY127" s="24"/>
      <c r="QIZ127" s="211"/>
      <c r="QJA127" s="24"/>
      <c r="QJB127" s="211"/>
      <c r="QJC127" s="24"/>
      <c r="QJD127" s="211"/>
      <c r="QJE127" s="24"/>
      <c r="QJF127" s="211"/>
      <c r="QJG127" s="24"/>
      <c r="QJH127" s="211"/>
      <c r="QJI127" s="24"/>
      <c r="QJJ127" s="211"/>
      <c r="QJK127" s="24"/>
      <c r="QJL127" s="211"/>
      <c r="QJM127" s="24"/>
      <c r="QJN127" s="211"/>
      <c r="QJO127" s="24"/>
      <c r="QJP127" s="211"/>
      <c r="QJQ127" s="24"/>
      <c r="QJR127" s="211"/>
      <c r="QJS127" s="24"/>
      <c r="QJT127" s="211"/>
      <c r="QJU127" s="24"/>
      <c r="QJV127" s="211"/>
      <c r="QJW127" s="24"/>
      <c r="QJX127" s="211"/>
      <c r="QJY127" s="24"/>
      <c r="QJZ127" s="211"/>
      <c r="QKA127" s="24"/>
      <c r="QKB127" s="211"/>
      <c r="QKC127" s="24"/>
      <c r="QKD127" s="211"/>
      <c r="QKE127" s="24"/>
      <c r="QKF127" s="211"/>
      <c r="QKG127" s="24"/>
      <c r="QKH127" s="211"/>
      <c r="QKI127" s="24"/>
      <c r="QKJ127" s="211"/>
      <c r="QKK127" s="24"/>
      <c r="QKL127" s="211"/>
      <c r="QKM127" s="24"/>
      <c r="QKN127" s="211"/>
      <c r="QKO127" s="24"/>
      <c r="QKP127" s="211"/>
      <c r="QKQ127" s="24"/>
      <c r="QKR127" s="211"/>
      <c r="QKS127" s="24"/>
      <c r="QKT127" s="211"/>
      <c r="QKU127" s="24"/>
      <c r="QKV127" s="211"/>
      <c r="QKW127" s="24"/>
      <c r="QKX127" s="211"/>
      <c r="QKY127" s="24"/>
      <c r="QKZ127" s="211"/>
      <c r="QLA127" s="24"/>
      <c r="QLB127" s="211"/>
      <c r="QLC127" s="24"/>
      <c r="QLD127" s="211"/>
      <c r="QLE127" s="24"/>
      <c r="QLF127" s="211"/>
      <c r="QLG127" s="24"/>
      <c r="QLH127" s="211"/>
      <c r="QLI127" s="24"/>
      <c r="QLJ127" s="211"/>
      <c r="QLK127" s="24"/>
      <c r="QLL127" s="211"/>
      <c r="QLM127" s="24"/>
      <c r="QLN127" s="211"/>
      <c r="QLO127" s="24"/>
      <c r="QLP127" s="211"/>
      <c r="QLQ127" s="24"/>
      <c r="QLR127" s="211"/>
      <c r="QLS127" s="24"/>
      <c r="QLT127" s="211"/>
      <c r="QLU127" s="24"/>
      <c r="QLV127" s="211"/>
      <c r="QLW127" s="24"/>
      <c r="QLX127" s="211"/>
      <c r="QLY127" s="24"/>
      <c r="QLZ127" s="211"/>
      <c r="QMA127" s="24"/>
      <c r="QMB127" s="211"/>
      <c r="QMC127" s="24"/>
      <c r="QMD127" s="211"/>
      <c r="QME127" s="24"/>
      <c r="QMF127" s="211"/>
      <c r="QMG127" s="24"/>
      <c r="QMH127" s="211"/>
      <c r="QMI127" s="24"/>
      <c r="QMJ127" s="211"/>
      <c r="QMK127" s="24"/>
      <c r="QML127" s="211"/>
      <c r="QMM127" s="24"/>
      <c r="QMN127" s="211"/>
      <c r="QMO127" s="24"/>
      <c r="QMP127" s="211"/>
      <c r="QMQ127" s="24"/>
      <c r="QMR127" s="211"/>
      <c r="QMS127" s="24"/>
      <c r="QMT127" s="211"/>
      <c r="QMU127" s="24"/>
      <c r="QMV127" s="211"/>
      <c r="QMW127" s="24"/>
      <c r="QMX127" s="211"/>
      <c r="QMY127" s="24"/>
      <c r="QMZ127" s="211"/>
      <c r="QNA127" s="24"/>
      <c r="QNB127" s="211"/>
      <c r="QNC127" s="24"/>
      <c r="QND127" s="211"/>
      <c r="QNE127" s="24"/>
      <c r="QNF127" s="211"/>
      <c r="QNG127" s="24"/>
      <c r="QNH127" s="211"/>
      <c r="QNI127" s="24"/>
      <c r="QNJ127" s="211"/>
      <c r="QNK127" s="24"/>
      <c r="QNL127" s="211"/>
      <c r="QNM127" s="24"/>
      <c r="QNN127" s="211"/>
      <c r="QNO127" s="24"/>
      <c r="QNP127" s="211"/>
      <c r="QNQ127" s="24"/>
      <c r="QNR127" s="211"/>
      <c r="QNS127" s="24"/>
      <c r="QNT127" s="211"/>
      <c r="QNU127" s="24"/>
      <c r="QNV127" s="211"/>
      <c r="QNW127" s="24"/>
      <c r="QNX127" s="211"/>
      <c r="QNY127" s="24"/>
      <c r="QNZ127" s="211"/>
      <c r="QOA127" s="24"/>
      <c r="QOB127" s="211"/>
      <c r="QOC127" s="24"/>
      <c r="QOD127" s="211"/>
      <c r="QOE127" s="24"/>
      <c r="QOF127" s="211"/>
      <c r="QOG127" s="24"/>
      <c r="QOH127" s="211"/>
      <c r="QOI127" s="24"/>
      <c r="QOJ127" s="211"/>
      <c r="QOK127" s="24"/>
      <c r="QOL127" s="211"/>
      <c r="QOM127" s="24"/>
      <c r="QON127" s="211"/>
      <c r="QOO127" s="24"/>
      <c r="QOP127" s="211"/>
      <c r="QOQ127" s="24"/>
      <c r="QOR127" s="211"/>
      <c r="QOS127" s="24"/>
      <c r="QOT127" s="211"/>
      <c r="QOU127" s="24"/>
      <c r="QOV127" s="211"/>
      <c r="QOW127" s="24"/>
      <c r="QOX127" s="211"/>
      <c r="QOY127" s="24"/>
      <c r="QOZ127" s="211"/>
      <c r="QPA127" s="24"/>
      <c r="QPB127" s="211"/>
      <c r="QPC127" s="24"/>
      <c r="QPD127" s="211"/>
      <c r="QPE127" s="24"/>
      <c r="QPF127" s="211"/>
      <c r="QPG127" s="24"/>
      <c r="QPH127" s="211"/>
      <c r="QPI127" s="24"/>
      <c r="QPJ127" s="211"/>
      <c r="QPK127" s="24"/>
      <c r="QPL127" s="211"/>
      <c r="QPM127" s="24"/>
      <c r="QPN127" s="211"/>
      <c r="QPO127" s="24"/>
      <c r="QPP127" s="211"/>
      <c r="QPQ127" s="24"/>
      <c r="QPR127" s="211"/>
      <c r="QPS127" s="24"/>
      <c r="QPT127" s="211"/>
      <c r="QPU127" s="24"/>
      <c r="QPV127" s="211"/>
      <c r="QPW127" s="24"/>
      <c r="QPX127" s="211"/>
      <c r="QPY127" s="24"/>
      <c r="QPZ127" s="211"/>
      <c r="QQA127" s="24"/>
      <c r="QQB127" s="211"/>
      <c r="QQC127" s="24"/>
      <c r="QQD127" s="211"/>
      <c r="QQE127" s="24"/>
      <c r="QQF127" s="211"/>
      <c r="QQG127" s="24"/>
      <c r="QQH127" s="211"/>
      <c r="QQI127" s="24"/>
      <c r="QQJ127" s="211"/>
      <c r="QQK127" s="24"/>
      <c r="QQL127" s="211"/>
      <c r="QQM127" s="24"/>
      <c r="QQN127" s="211"/>
      <c r="QQO127" s="24"/>
      <c r="QQP127" s="211"/>
      <c r="QQQ127" s="24"/>
      <c r="QQR127" s="211"/>
      <c r="QQS127" s="24"/>
      <c r="QQT127" s="211"/>
      <c r="QQU127" s="24"/>
      <c r="QQV127" s="211"/>
      <c r="QQW127" s="24"/>
      <c r="QQX127" s="211"/>
      <c r="QQY127" s="24"/>
      <c r="QQZ127" s="211"/>
      <c r="QRA127" s="24"/>
      <c r="QRB127" s="211"/>
      <c r="QRC127" s="24"/>
      <c r="QRD127" s="211"/>
      <c r="QRE127" s="24"/>
      <c r="QRF127" s="211"/>
      <c r="QRG127" s="24"/>
      <c r="QRH127" s="211"/>
      <c r="QRI127" s="24"/>
      <c r="QRJ127" s="211"/>
      <c r="QRK127" s="24"/>
      <c r="QRL127" s="211"/>
      <c r="QRM127" s="24"/>
      <c r="QRN127" s="211"/>
      <c r="QRO127" s="24"/>
      <c r="QRP127" s="211"/>
      <c r="QRQ127" s="24"/>
      <c r="QRR127" s="211"/>
      <c r="QRS127" s="24"/>
      <c r="QRT127" s="211"/>
      <c r="QRU127" s="24"/>
      <c r="QRV127" s="211"/>
      <c r="QRW127" s="24"/>
      <c r="QRX127" s="211"/>
      <c r="QRY127" s="24"/>
      <c r="QRZ127" s="211"/>
      <c r="QSA127" s="24"/>
      <c r="QSB127" s="211"/>
      <c r="QSC127" s="24"/>
      <c r="QSD127" s="211"/>
      <c r="QSE127" s="24"/>
      <c r="QSF127" s="211"/>
      <c r="QSG127" s="24"/>
      <c r="QSH127" s="211"/>
      <c r="QSI127" s="24"/>
      <c r="QSJ127" s="211"/>
      <c r="QSK127" s="24"/>
      <c r="QSL127" s="211"/>
      <c r="QSM127" s="24"/>
      <c r="QSN127" s="211"/>
      <c r="QSO127" s="24"/>
      <c r="QSP127" s="211"/>
      <c r="QSQ127" s="24"/>
      <c r="QSR127" s="211"/>
      <c r="QSS127" s="24"/>
      <c r="QST127" s="211"/>
      <c r="QSU127" s="24"/>
      <c r="QSV127" s="211"/>
      <c r="QSW127" s="24"/>
      <c r="QSX127" s="211"/>
      <c r="QSY127" s="24"/>
      <c r="QSZ127" s="211"/>
      <c r="QTA127" s="24"/>
      <c r="QTB127" s="211"/>
      <c r="QTC127" s="24"/>
      <c r="QTD127" s="211"/>
      <c r="QTE127" s="24"/>
      <c r="QTF127" s="211"/>
      <c r="QTG127" s="24"/>
      <c r="QTH127" s="211"/>
      <c r="QTI127" s="24"/>
      <c r="QTJ127" s="211"/>
      <c r="QTK127" s="24"/>
      <c r="QTL127" s="211"/>
      <c r="QTM127" s="24"/>
      <c r="QTN127" s="211"/>
      <c r="QTO127" s="24"/>
      <c r="QTP127" s="211"/>
      <c r="QTQ127" s="24"/>
      <c r="QTR127" s="211"/>
      <c r="QTS127" s="24"/>
      <c r="QTT127" s="211"/>
      <c r="QTU127" s="24"/>
      <c r="QTV127" s="211"/>
      <c r="QTW127" s="24"/>
      <c r="QTX127" s="211"/>
      <c r="QTY127" s="24"/>
      <c r="QTZ127" s="211"/>
      <c r="QUA127" s="24"/>
      <c r="QUB127" s="211"/>
      <c r="QUC127" s="24"/>
      <c r="QUD127" s="211"/>
      <c r="QUE127" s="24"/>
      <c r="QUF127" s="211"/>
      <c r="QUG127" s="24"/>
      <c r="QUH127" s="211"/>
      <c r="QUI127" s="24"/>
      <c r="QUJ127" s="211"/>
      <c r="QUK127" s="24"/>
      <c r="QUL127" s="211"/>
      <c r="QUM127" s="24"/>
      <c r="QUN127" s="211"/>
      <c r="QUO127" s="24"/>
      <c r="QUP127" s="211"/>
      <c r="QUQ127" s="24"/>
      <c r="QUR127" s="211"/>
      <c r="QUS127" s="24"/>
      <c r="QUT127" s="211"/>
      <c r="QUU127" s="24"/>
      <c r="QUV127" s="211"/>
      <c r="QUW127" s="24"/>
      <c r="QUX127" s="211"/>
      <c r="QUY127" s="24"/>
      <c r="QUZ127" s="211"/>
      <c r="QVA127" s="24"/>
      <c r="QVB127" s="211"/>
      <c r="QVC127" s="24"/>
      <c r="QVD127" s="211"/>
      <c r="QVE127" s="24"/>
      <c r="QVF127" s="211"/>
      <c r="QVG127" s="24"/>
      <c r="QVH127" s="211"/>
      <c r="QVI127" s="24"/>
      <c r="QVJ127" s="211"/>
      <c r="QVK127" s="24"/>
      <c r="QVL127" s="211"/>
      <c r="QVM127" s="24"/>
      <c r="QVN127" s="211"/>
      <c r="QVO127" s="24"/>
      <c r="QVP127" s="211"/>
      <c r="QVQ127" s="24"/>
      <c r="QVR127" s="211"/>
      <c r="QVS127" s="24"/>
      <c r="QVT127" s="211"/>
      <c r="QVU127" s="24"/>
      <c r="QVV127" s="211"/>
      <c r="QVW127" s="24"/>
      <c r="QVX127" s="211"/>
      <c r="QVY127" s="24"/>
      <c r="QVZ127" s="211"/>
      <c r="QWA127" s="24"/>
      <c r="QWB127" s="211"/>
      <c r="QWC127" s="24"/>
      <c r="QWD127" s="211"/>
      <c r="QWE127" s="24"/>
      <c r="QWF127" s="211"/>
      <c r="QWG127" s="24"/>
      <c r="QWH127" s="211"/>
      <c r="QWI127" s="24"/>
      <c r="QWJ127" s="211"/>
      <c r="QWK127" s="24"/>
      <c r="QWL127" s="211"/>
      <c r="QWM127" s="24"/>
      <c r="QWN127" s="211"/>
      <c r="QWO127" s="24"/>
      <c r="QWP127" s="211"/>
      <c r="QWQ127" s="24"/>
      <c r="QWR127" s="211"/>
      <c r="QWS127" s="24"/>
      <c r="QWT127" s="211"/>
      <c r="QWU127" s="24"/>
      <c r="QWV127" s="211"/>
      <c r="QWW127" s="24"/>
      <c r="QWX127" s="211"/>
      <c r="QWY127" s="24"/>
      <c r="QWZ127" s="211"/>
      <c r="QXA127" s="24"/>
      <c r="QXB127" s="211"/>
      <c r="QXC127" s="24"/>
      <c r="QXD127" s="211"/>
      <c r="QXE127" s="24"/>
      <c r="QXF127" s="211"/>
      <c r="QXG127" s="24"/>
      <c r="QXH127" s="211"/>
      <c r="QXI127" s="24"/>
      <c r="QXJ127" s="211"/>
      <c r="QXK127" s="24"/>
      <c r="QXL127" s="211"/>
      <c r="QXM127" s="24"/>
      <c r="QXN127" s="211"/>
      <c r="QXO127" s="24"/>
      <c r="QXP127" s="211"/>
      <c r="QXQ127" s="24"/>
      <c r="QXR127" s="211"/>
      <c r="QXS127" s="24"/>
      <c r="QXT127" s="211"/>
      <c r="QXU127" s="24"/>
      <c r="QXV127" s="211"/>
      <c r="QXW127" s="24"/>
      <c r="QXX127" s="211"/>
      <c r="QXY127" s="24"/>
      <c r="QXZ127" s="211"/>
      <c r="QYA127" s="24"/>
      <c r="QYB127" s="211"/>
      <c r="QYC127" s="24"/>
      <c r="QYD127" s="211"/>
      <c r="QYE127" s="24"/>
      <c r="QYF127" s="211"/>
      <c r="QYG127" s="24"/>
      <c r="QYH127" s="211"/>
      <c r="QYI127" s="24"/>
      <c r="QYJ127" s="211"/>
      <c r="QYK127" s="24"/>
      <c r="QYL127" s="211"/>
      <c r="QYM127" s="24"/>
      <c r="QYN127" s="211"/>
      <c r="QYO127" s="24"/>
      <c r="QYP127" s="211"/>
      <c r="QYQ127" s="24"/>
      <c r="QYR127" s="211"/>
      <c r="QYS127" s="24"/>
      <c r="QYT127" s="211"/>
      <c r="QYU127" s="24"/>
      <c r="QYV127" s="211"/>
      <c r="QYW127" s="24"/>
      <c r="QYX127" s="211"/>
      <c r="QYY127" s="24"/>
      <c r="QYZ127" s="211"/>
      <c r="QZA127" s="24"/>
      <c r="QZB127" s="211"/>
      <c r="QZC127" s="24"/>
      <c r="QZD127" s="211"/>
      <c r="QZE127" s="24"/>
      <c r="QZF127" s="211"/>
      <c r="QZG127" s="24"/>
      <c r="QZH127" s="211"/>
      <c r="QZI127" s="24"/>
      <c r="QZJ127" s="211"/>
      <c r="QZK127" s="24"/>
      <c r="QZL127" s="211"/>
      <c r="QZM127" s="24"/>
      <c r="QZN127" s="211"/>
      <c r="QZO127" s="24"/>
      <c r="QZP127" s="211"/>
      <c r="QZQ127" s="24"/>
      <c r="QZR127" s="211"/>
      <c r="QZS127" s="24"/>
      <c r="QZT127" s="211"/>
      <c r="QZU127" s="24"/>
      <c r="QZV127" s="211"/>
      <c r="QZW127" s="24"/>
      <c r="QZX127" s="211"/>
      <c r="QZY127" s="24"/>
      <c r="QZZ127" s="211"/>
      <c r="RAA127" s="24"/>
      <c r="RAB127" s="211"/>
      <c r="RAC127" s="24"/>
      <c r="RAD127" s="211"/>
      <c r="RAE127" s="24"/>
      <c r="RAF127" s="211"/>
      <c r="RAG127" s="24"/>
      <c r="RAH127" s="211"/>
      <c r="RAI127" s="24"/>
      <c r="RAJ127" s="211"/>
      <c r="RAK127" s="24"/>
      <c r="RAL127" s="211"/>
      <c r="RAM127" s="24"/>
      <c r="RAN127" s="211"/>
      <c r="RAO127" s="24"/>
      <c r="RAP127" s="211"/>
      <c r="RAQ127" s="24"/>
      <c r="RAR127" s="211"/>
      <c r="RAS127" s="24"/>
      <c r="RAT127" s="211"/>
      <c r="RAU127" s="24"/>
      <c r="RAV127" s="211"/>
      <c r="RAW127" s="24"/>
      <c r="RAX127" s="211"/>
      <c r="RAY127" s="24"/>
      <c r="RAZ127" s="211"/>
      <c r="RBA127" s="24"/>
      <c r="RBB127" s="211"/>
      <c r="RBC127" s="24"/>
      <c r="RBD127" s="211"/>
      <c r="RBE127" s="24"/>
      <c r="RBF127" s="211"/>
      <c r="RBG127" s="24"/>
      <c r="RBH127" s="211"/>
      <c r="RBI127" s="24"/>
      <c r="RBJ127" s="211"/>
      <c r="RBK127" s="24"/>
      <c r="RBL127" s="211"/>
      <c r="RBM127" s="24"/>
      <c r="RBN127" s="211"/>
      <c r="RBO127" s="24"/>
      <c r="RBP127" s="211"/>
      <c r="RBQ127" s="24"/>
      <c r="RBR127" s="211"/>
      <c r="RBS127" s="24"/>
      <c r="RBT127" s="211"/>
      <c r="RBU127" s="24"/>
      <c r="RBV127" s="211"/>
      <c r="RBW127" s="24"/>
      <c r="RBX127" s="211"/>
      <c r="RBY127" s="24"/>
      <c r="RBZ127" s="211"/>
      <c r="RCA127" s="24"/>
      <c r="RCB127" s="211"/>
      <c r="RCC127" s="24"/>
      <c r="RCD127" s="211"/>
      <c r="RCE127" s="24"/>
      <c r="RCF127" s="211"/>
      <c r="RCG127" s="24"/>
      <c r="RCH127" s="211"/>
      <c r="RCI127" s="24"/>
      <c r="RCJ127" s="211"/>
      <c r="RCK127" s="24"/>
      <c r="RCL127" s="211"/>
      <c r="RCM127" s="24"/>
      <c r="RCN127" s="211"/>
      <c r="RCO127" s="24"/>
      <c r="RCP127" s="211"/>
      <c r="RCQ127" s="24"/>
      <c r="RCR127" s="211"/>
      <c r="RCS127" s="24"/>
      <c r="RCT127" s="211"/>
      <c r="RCU127" s="24"/>
      <c r="RCV127" s="211"/>
      <c r="RCW127" s="24"/>
      <c r="RCX127" s="211"/>
      <c r="RCY127" s="24"/>
      <c r="RCZ127" s="211"/>
      <c r="RDA127" s="24"/>
      <c r="RDB127" s="211"/>
      <c r="RDC127" s="24"/>
      <c r="RDD127" s="211"/>
      <c r="RDE127" s="24"/>
      <c r="RDF127" s="211"/>
      <c r="RDG127" s="24"/>
      <c r="RDH127" s="211"/>
      <c r="RDI127" s="24"/>
      <c r="RDJ127" s="211"/>
      <c r="RDK127" s="24"/>
      <c r="RDL127" s="211"/>
      <c r="RDM127" s="24"/>
      <c r="RDN127" s="211"/>
      <c r="RDO127" s="24"/>
      <c r="RDP127" s="211"/>
      <c r="RDQ127" s="24"/>
      <c r="RDR127" s="211"/>
      <c r="RDS127" s="24"/>
      <c r="RDT127" s="211"/>
      <c r="RDU127" s="24"/>
      <c r="RDV127" s="211"/>
      <c r="RDW127" s="24"/>
      <c r="RDX127" s="211"/>
      <c r="RDY127" s="24"/>
      <c r="RDZ127" s="211"/>
      <c r="REA127" s="24"/>
      <c r="REB127" s="211"/>
      <c r="REC127" s="24"/>
      <c r="RED127" s="211"/>
      <c r="REE127" s="24"/>
      <c r="REF127" s="211"/>
      <c r="REG127" s="24"/>
      <c r="REH127" s="211"/>
      <c r="REI127" s="24"/>
      <c r="REJ127" s="211"/>
      <c r="REK127" s="24"/>
      <c r="REL127" s="211"/>
      <c r="REM127" s="24"/>
      <c r="REN127" s="211"/>
      <c r="REO127" s="24"/>
      <c r="REP127" s="211"/>
      <c r="REQ127" s="24"/>
      <c r="RER127" s="211"/>
      <c r="RES127" s="24"/>
      <c r="RET127" s="211"/>
      <c r="REU127" s="24"/>
      <c r="REV127" s="211"/>
      <c r="REW127" s="24"/>
      <c r="REX127" s="211"/>
      <c r="REY127" s="24"/>
      <c r="REZ127" s="211"/>
      <c r="RFA127" s="24"/>
      <c r="RFB127" s="211"/>
      <c r="RFC127" s="24"/>
      <c r="RFD127" s="211"/>
      <c r="RFE127" s="24"/>
      <c r="RFF127" s="211"/>
      <c r="RFG127" s="24"/>
      <c r="RFH127" s="211"/>
      <c r="RFI127" s="24"/>
      <c r="RFJ127" s="211"/>
      <c r="RFK127" s="24"/>
      <c r="RFL127" s="211"/>
      <c r="RFM127" s="24"/>
      <c r="RFN127" s="211"/>
      <c r="RFO127" s="24"/>
      <c r="RFP127" s="211"/>
      <c r="RFQ127" s="24"/>
      <c r="RFR127" s="211"/>
      <c r="RFS127" s="24"/>
      <c r="RFT127" s="211"/>
      <c r="RFU127" s="24"/>
      <c r="RFV127" s="211"/>
      <c r="RFW127" s="24"/>
      <c r="RFX127" s="211"/>
      <c r="RFY127" s="24"/>
      <c r="RFZ127" s="211"/>
      <c r="RGA127" s="24"/>
      <c r="RGB127" s="211"/>
      <c r="RGC127" s="24"/>
      <c r="RGD127" s="211"/>
      <c r="RGE127" s="24"/>
      <c r="RGF127" s="211"/>
      <c r="RGG127" s="24"/>
      <c r="RGH127" s="211"/>
      <c r="RGI127" s="24"/>
      <c r="RGJ127" s="211"/>
      <c r="RGK127" s="24"/>
      <c r="RGL127" s="211"/>
      <c r="RGM127" s="24"/>
      <c r="RGN127" s="211"/>
      <c r="RGO127" s="24"/>
      <c r="RGP127" s="211"/>
      <c r="RGQ127" s="24"/>
      <c r="RGR127" s="211"/>
      <c r="RGS127" s="24"/>
      <c r="RGT127" s="211"/>
      <c r="RGU127" s="24"/>
      <c r="RGV127" s="211"/>
      <c r="RGW127" s="24"/>
      <c r="RGX127" s="211"/>
      <c r="RGY127" s="24"/>
      <c r="RGZ127" s="211"/>
      <c r="RHA127" s="24"/>
      <c r="RHB127" s="211"/>
      <c r="RHC127" s="24"/>
      <c r="RHD127" s="211"/>
      <c r="RHE127" s="24"/>
      <c r="RHF127" s="211"/>
      <c r="RHG127" s="24"/>
      <c r="RHH127" s="211"/>
      <c r="RHI127" s="24"/>
      <c r="RHJ127" s="211"/>
      <c r="RHK127" s="24"/>
      <c r="RHL127" s="211"/>
      <c r="RHM127" s="24"/>
      <c r="RHN127" s="211"/>
      <c r="RHO127" s="24"/>
      <c r="RHP127" s="211"/>
      <c r="RHQ127" s="24"/>
      <c r="RHR127" s="211"/>
      <c r="RHS127" s="24"/>
      <c r="RHT127" s="211"/>
      <c r="RHU127" s="24"/>
      <c r="RHV127" s="211"/>
      <c r="RHW127" s="24"/>
      <c r="RHX127" s="211"/>
      <c r="RHY127" s="24"/>
      <c r="RHZ127" s="211"/>
      <c r="RIA127" s="24"/>
      <c r="RIB127" s="211"/>
      <c r="RIC127" s="24"/>
      <c r="RID127" s="211"/>
      <c r="RIE127" s="24"/>
      <c r="RIF127" s="211"/>
      <c r="RIG127" s="24"/>
      <c r="RIH127" s="211"/>
      <c r="RII127" s="24"/>
      <c r="RIJ127" s="211"/>
      <c r="RIK127" s="24"/>
      <c r="RIL127" s="211"/>
      <c r="RIM127" s="24"/>
      <c r="RIN127" s="211"/>
      <c r="RIO127" s="24"/>
      <c r="RIP127" s="211"/>
      <c r="RIQ127" s="24"/>
      <c r="RIR127" s="211"/>
      <c r="RIS127" s="24"/>
      <c r="RIT127" s="211"/>
      <c r="RIU127" s="24"/>
      <c r="RIV127" s="211"/>
      <c r="RIW127" s="24"/>
      <c r="RIX127" s="211"/>
      <c r="RIY127" s="24"/>
      <c r="RIZ127" s="211"/>
      <c r="RJA127" s="24"/>
      <c r="RJB127" s="211"/>
      <c r="RJC127" s="24"/>
      <c r="RJD127" s="211"/>
      <c r="RJE127" s="24"/>
      <c r="RJF127" s="211"/>
      <c r="RJG127" s="24"/>
      <c r="RJH127" s="211"/>
      <c r="RJI127" s="24"/>
      <c r="RJJ127" s="211"/>
      <c r="RJK127" s="24"/>
      <c r="RJL127" s="211"/>
      <c r="RJM127" s="24"/>
      <c r="RJN127" s="211"/>
      <c r="RJO127" s="24"/>
      <c r="RJP127" s="211"/>
      <c r="RJQ127" s="24"/>
      <c r="RJR127" s="211"/>
      <c r="RJS127" s="24"/>
      <c r="RJT127" s="211"/>
      <c r="RJU127" s="24"/>
      <c r="RJV127" s="211"/>
      <c r="RJW127" s="24"/>
      <c r="RJX127" s="211"/>
      <c r="RJY127" s="24"/>
      <c r="RJZ127" s="211"/>
      <c r="RKA127" s="24"/>
      <c r="RKB127" s="211"/>
      <c r="RKC127" s="24"/>
      <c r="RKD127" s="211"/>
      <c r="RKE127" s="24"/>
      <c r="RKF127" s="211"/>
      <c r="RKG127" s="24"/>
      <c r="RKH127" s="211"/>
      <c r="RKI127" s="24"/>
      <c r="RKJ127" s="211"/>
      <c r="RKK127" s="24"/>
      <c r="RKL127" s="211"/>
      <c r="RKM127" s="24"/>
      <c r="RKN127" s="211"/>
      <c r="RKO127" s="24"/>
      <c r="RKP127" s="211"/>
      <c r="RKQ127" s="24"/>
      <c r="RKR127" s="211"/>
      <c r="RKS127" s="24"/>
      <c r="RKT127" s="211"/>
      <c r="RKU127" s="24"/>
      <c r="RKV127" s="211"/>
      <c r="RKW127" s="24"/>
      <c r="RKX127" s="211"/>
      <c r="RKY127" s="24"/>
      <c r="RKZ127" s="211"/>
      <c r="RLA127" s="24"/>
      <c r="RLB127" s="211"/>
      <c r="RLC127" s="24"/>
      <c r="RLD127" s="211"/>
      <c r="RLE127" s="24"/>
      <c r="RLF127" s="211"/>
      <c r="RLG127" s="24"/>
      <c r="RLH127" s="211"/>
      <c r="RLI127" s="24"/>
      <c r="RLJ127" s="211"/>
      <c r="RLK127" s="24"/>
      <c r="RLL127" s="211"/>
      <c r="RLM127" s="24"/>
      <c r="RLN127" s="211"/>
      <c r="RLO127" s="24"/>
      <c r="RLP127" s="211"/>
      <c r="RLQ127" s="24"/>
      <c r="RLR127" s="211"/>
      <c r="RLS127" s="24"/>
      <c r="RLT127" s="211"/>
      <c r="RLU127" s="24"/>
      <c r="RLV127" s="211"/>
      <c r="RLW127" s="24"/>
      <c r="RLX127" s="211"/>
      <c r="RLY127" s="24"/>
      <c r="RLZ127" s="211"/>
      <c r="RMA127" s="24"/>
      <c r="RMB127" s="211"/>
      <c r="RMC127" s="24"/>
      <c r="RMD127" s="211"/>
      <c r="RME127" s="24"/>
      <c r="RMF127" s="211"/>
      <c r="RMG127" s="24"/>
      <c r="RMH127" s="211"/>
      <c r="RMI127" s="24"/>
      <c r="RMJ127" s="211"/>
      <c r="RMK127" s="24"/>
      <c r="RML127" s="211"/>
      <c r="RMM127" s="24"/>
      <c r="RMN127" s="211"/>
      <c r="RMO127" s="24"/>
      <c r="RMP127" s="211"/>
      <c r="RMQ127" s="24"/>
      <c r="RMR127" s="211"/>
      <c r="RMS127" s="24"/>
      <c r="RMT127" s="211"/>
      <c r="RMU127" s="24"/>
      <c r="RMV127" s="211"/>
      <c r="RMW127" s="24"/>
      <c r="RMX127" s="211"/>
      <c r="RMY127" s="24"/>
      <c r="RMZ127" s="211"/>
      <c r="RNA127" s="24"/>
      <c r="RNB127" s="211"/>
      <c r="RNC127" s="24"/>
      <c r="RND127" s="211"/>
      <c r="RNE127" s="24"/>
      <c r="RNF127" s="211"/>
      <c r="RNG127" s="24"/>
      <c r="RNH127" s="211"/>
      <c r="RNI127" s="24"/>
      <c r="RNJ127" s="211"/>
      <c r="RNK127" s="24"/>
      <c r="RNL127" s="211"/>
      <c r="RNM127" s="24"/>
      <c r="RNN127" s="211"/>
      <c r="RNO127" s="24"/>
      <c r="RNP127" s="211"/>
      <c r="RNQ127" s="24"/>
      <c r="RNR127" s="211"/>
      <c r="RNS127" s="24"/>
      <c r="RNT127" s="211"/>
      <c r="RNU127" s="24"/>
      <c r="RNV127" s="211"/>
      <c r="RNW127" s="24"/>
      <c r="RNX127" s="211"/>
      <c r="RNY127" s="24"/>
      <c r="RNZ127" s="211"/>
      <c r="ROA127" s="24"/>
      <c r="ROB127" s="211"/>
      <c r="ROC127" s="24"/>
      <c r="ROD127" s="211"/>
      <c r="ROE127" s="24"/>
      <c r="ROF127" s="211"/>
      <c r="ROG127" s="24"/>
      <c r="ROH127" s="211"/>
      <c r="ROI127" s="24"/>
      <c r="ROJ127" s="211"/>
      <c r="ROK127" s="24"/>
      <c r="ROL127" s="211"/>
      <c r="ROM127" s="24"/>
      <c r="RON127" s="211"/>
      <c r="ROO127" s="24"/>
      <c r="ROP127" s="211"/>
      <c r="ROQ127" s="24"/>
      <c r="ROR127" s="211"/>
      <c r="ROS127" s="24"/>
      <c r="ROT127" s="211"/>
      <c r="ROU127" s="24"/>
      <c r="ROV127" s="211"/>
      <c r="ROW127" s="24"/>
      <c r="ROX127" s="211"/>
      <c r="ROY127" s="24"/>
      <c r="ROZ127" s="211"/>
      <c r="RPA127" s="24"/>
      <c r="RPB127" s="211"/>
      <c r="RPC127" s="24"/>
      <c r="RPD127" s="211"/>
      <c r="RPE127" s="24"/>
      <c r="RPF127" s="211"/>
      <c r="RPG127" s="24"/>
      <c r="RPH127" s="211"/>
      <c r="RPI127" s="24"/>
      <c r="RPJ127" s="211"/>
      <c r="RPK127" s="24"/>
      <c r="RPL127" s="211"/>
      <c r="RPM127" s="24"/>
      <c r="RPN127" s="211"/>
      <c r="RPO127" s="24"/>
      <c r="RPP127" s="211"/>
      <c r="RPQ127" s="24"/>
      <c r="RPR127" s="211"/>
      <c r="RPS127" s="24"/>
      <c r="RPT127" s="211"/>
      <c r="RPU127" s="24"/>
      <c r="RPV127" s="211"/>
      <c r="RPW127" s="24"/>
      <c r="RPX127" s="211"/>
      <c r="RPY127" s="24"/>
      <c r="RPZ127" s="211"/>
      <c r="RQA127" s="24"/>
      <c r="RQB127" s="211"/>
      <c r="RQC127" s="24"/>
      <c r="RQD127" s="211"/>
      <c r="RQE127" s="24"/>
      <c r="RQF127" s="211"/>
      <c r="RQG127" s="24"/>
      <c r="RQH127" s="211"/>
      <c r="RQI127" s="24"/>
      <c r="RQJ127" s="211"/>
      <c r="RQK127" s="24"/>
      <c r="RQL127" s="211"/>
      <c r="RQM127" s="24"/>
      <c r="RQN127" s="211"/>
      <c r="RQO127" s="24"/>
      <c r="RQP127" s="211"/>
      <c r="RQQ127" s="24"/>
      <c r="RQR127" s="211"/>
      <c r="RQS127" s="24"/>
      <c r="RQT127" s="211"/>
      <c r="RQU127" s="24"/>
      <c r="RQV127" s="211"/>
      <c r="RQW127" s="24"/>
      <c r="RQX127" s="211"/>
      <c r="RQY127" s="24"/>
      <c r="RQZ127" s="211"/>
      <c r="RRA127" s="24"/>
      <c r="RRB127" s="211"/>
      <c r="RRC127" s="24"/>
      <c r="RRD127" s="211"/>
      <c r="RRE127" s="24"/>
      <c r="RRF127" s="211"/>
      <c r="RRG127" s="24"/>
      <c r="RRH127" s="211"/>
      <c r="RRI127" s="24"/>
      <c r="RRJ127" s="211"/>
      <c r="RRK127" s="24"/>
      <c r="RRL127" s="211"/>
      <c r="RRM127" s="24"/>
      <c r="RRN127" s="211"/>
      <c r="RRO127" s="24"/>
      <c r="RRP127" s="211"/>
      <c r="RRQ127" s="24"/>
      <c r="RRR127" s="211"/>
      <c r="RRS127" s="24"/>
      <c r="RRT127" s="211"/>
      <c r="RRU127" s="24"/>
      <c r="RRV127" s="211"/>
      <c r="RRW127" s="24"/>
      <c r="RRX127" s="211"/>
      <c r="RRY127" s="24"/>
      <c r="RRZ127" s="211"/>
      <c r="RSA127" s="24"/>
      <c r="RSB127" s="211"/>
      <c r="RSC127" s="24"/>
      <c r="RSD127" s="211"/>
      <c r="RSE127" s="24"/>
      <c r="RSF127" s="211"/>
      <c r="RSG127" s="24"/>
      <c r="RSH127" s="211"/>
      <c r="RSI127" s="24"/>
      <c r="RSJ127" s="211"/>
      <c r="RSK127" s="24"/>
      <c r="RSL127" s="211"/>
      <c r="RSM127" s="24"/>
      <c r="RSN127" s="211"/>
      <c r="RSO127" s="24"/>
      <c r="RSP127" s="211"/>
      <c r="RSQ127" s="24"/>
      <c r="RSR127" s="211"/>
      <c r="RSS127" s="24"/>
      <c r="RST127" s="211"/>
      <c r="RSU127" s="24"/>
      <c r="RSV127" s="211"/>
      <c r="RSW127" s="24"/>
      <c r="RSX127" s="211"/>
      <c r="RSY127" s="24"/>
      <c r="RSZ127" s="211"/>
      <c r="RTA127" s="24"/>
      <c r="RTB127" s="211"/>
      <c r="RTC127" s="24"/>
      <c r="RTD127" s="211"/>
      <c r="RTE127" s="24"/>
      <c r="RTF127" s="211"/>
      <c r="RTG127" s="24"/>
      <c r="RTH127" s="211"/>
      <c r="RTI127" s="24"/>
      <c r="RTJ127" s="211"/>
      <c r="RTK127" s="24"/>
      <c r="RTL127" s="211"/>
      <c r="RTM127" s="24"/>
      <c r="RTN127" s="211"/>
      <c r="RTO127" s="24"/>
      <c r="RTP127" s="211"/>
      <c r="RTQ127" s="24"/>
      <c r="RTR127" s="211"/>
      <c r="RTS127" s="24"/>
      <c r="RTT127" s="211"/>
      <c r="RTU127" s="24"/>
      <c r="RTV127" s="211"/>
      <c r="RTW127" s="24"/>
      <c r="RTX127" s="211"/>
      <c r="RTY127" s="24"/>
      <c r="RTZ127" s="211"/>
      <c r="RUA127" s="24"/>
      <c r="RUB127" s="211"/>
      <c r="RUC127" s="24"/>
      <c r="RUD127" s="211"/>
      <c r="RUE127" s="24"/>
      <c r="RUF127" s="211"/>
      <c r="RUG127" s="24"/>
      <c r="RUH127" s="211"/>
      <c r="RUI127" s="24"/>
      <c r="RUJ127" s="211"/>
      <c r="RUK127" s="24"/>
      <c r="RUL127" s="211"/>
      <c r="RUM127" s="24"/>
      <c r="RUN127" s="211"/>
      <c r="RUO127" s="24"/>
      <c r="RUP127" s="211"/>
      <c r="RUQ127" s="24"/>
      <c r="RUR127" s="211"/>
      <c r="RUS127" s="24"/>
      <c r="RUT127" s="211"/>
      <c r="RUU127" s="24"/>
      <c r="RUV127" s="211"/>
      <c r="RUW127" s="24"/>
      <c r="RUX127" s="211"/>
      <c r="RUY127" s="24"/>
      <c r="RUZ127" s="211"/>
      <c r="RVA127" s="24"/>
      <c r="RVB127" s="211"/>
      <c r="RVC127" s="24"/>
      <c r="RVD127" s="211"/>
      <c r="RVE127" s="24"/>
      <c r="RVF127" s="211"/>
      <c r="RVG127" s="24"/>
      <c r="RVH127" s="211"/>
      <c r="RVI127" s="24"/>
      <c r="RVJ127" s="211"/>
      <c r="RVK127" s="24"/>
      <c r="RVL127" s="211"/>
      <c r="RVM127" s="24"/>
      <c r="RVN127" s="211"/>
      <c r="RVO127" s="24"/>
      <c r="RVP127" s="211"/>
      <c r="RVQ127" s="24"/>
      <c r="RVR127" s="211"/>
      <c r="RVS127" s="24"/>
      <c r="RVT127" s="211"/>
      <c r="RVU127" s="24"/>
      <c r="RVV127" s="211"/>
      <c r="RVW127" s="24"/>
      <c r="RVX127" s="211"/>
      <c r="RVY127" s="24"/>
      <c r="RVZ127" s="211"/>
      <c r="RWA127" s="24"/>
      <c r="RWB127" s="211"/>
      <c r="RWC127" s="24"/>
      <c r="RWD127" s="211"/>
      <c r="RWE127" s="24"/>
      <c r="RWF127" s="211"/>
      <c r="RWG127" s="24"/>
      <c r="RWH127" s="211"/>
      <c r="RWI127" s="24"/>
      <c r="RWJ127" s="211"/>
      <c r="RWK127" s="24"/>
      <c r="RWL127" s="211"/>
      <c r="RWM127" s="24"/>
      <c r="RWN127" s="211"/>
      <c r="RWO127" s="24"/>
      <c r="RWP127" s="211"/>
      <c r="RWQ127" s="24"/>
      <c r="RWR127" s="211"/>
      <c r="RWS127" s="24"/>
      <c r="RWT127" s="211"/>
      <c r="RWU127" s="24"/>
      <c r="RWV127" s="211"/>
      <c r="RWW127" s="24"/>
      <c r="RWX127" s="211"/>
      <c r="RWY127" s="24"/>
      <c r="RWZ127" s="211"/>
      <c r="RXA127" s="24"/>
      <c r="RXB127" s="211"/>
      <c r="RXC127" s="24"/>
      <c r="RXD127" s="211"/>
      <c r="RXE127" s="24"/>
      <c r="RXF127" s="211"/>
      <c r="RXG127" s="24"/>
      <c r="RXH127" s="211"/>
      <c r="RXI127" s="24"/>
      <c r="RXJ127" s="211"/>
      <c r="RXK127" s="24"/>
      <c r="RXL127" s="211"/>
      <c r="RXM127" s="24"/>
      <c r="RXN127" s="211"/>
      <c r="RXO127" s="24"/>
      <c r="RXP127" s="211"/>
      <c r="RXQ127" s="24"/>
      <c r="RXR127" s="211"/>
      <c r="RXS127" s="24"/>
      <c r="RXT127" s="211"/>
      <c r="RXU127" s="24"/>
      <c r="RXV127" s="211"/>
      <c r="RXW127" s="24"/>
      <c r="RXX127" s="211"/>
      <c r="RXY127" s="24"/>
      <c r="RXZ127" s="211"/>
      <c r="RYA127" s="24"/>
      <c r="RYB127" s="211"/>
      <c r="RYC127" s="24"/>
      <c r="RYD127" s="211"/>
      <c r="RYE127" s="24"/>
      <c r="RYF127" s="211"/>
      <c r="RYG127" s="24"/>
      <c r="RYH127" s="211"/>
      <c r="RYI127" s="24"/>
      <c r="RYJ127" s="211"/>
      <c r="RYK127" s="24"/>
      <c r="RYL127" s="211"/>
      <c r="RYM127" s="24"/>
      <c r="RYN127" s="211"/>
      <c r="RYO127" s="24"/>
      <c r="RYP127" s="211"/>
      <c r="RYQ127" s="24"/>
      <c r="RYR127" s="211"/>
      <c r="RYS127" s="24"/>
      <c r="RYT127" s="211"/>
      <c r="RYU127" s="24"/>
      <c r="RYV127" s="211"/>
      <c r="RYW127" s="24"/>
      <c r="RYX127" s="211"/>
      <c r="RYY127" s="24"/>
      <c r="RYZ127" s="211"/>
      <c r="RZA127" s="24"/>
      <c r="RZB127" s="211"/>
      <c r="RZC127" s="24"/>
      <c r="RZD127" s="211"/>
      <c r="RZE127" s="24"/>
      <c r="RZF127" s="211"/>
      <c r="RZG127" s="24"/>
      <c r="RZH127" s="211"/>
      <c r="RZI127" s="24"/>
      <c r="RZJ127" s="211"/>
      <c r="RZK127" s="24"/>
      <c r="RZL127" s="211"/>
      <c r="RZM127" s="24"/>
      <c r="RZN127" s="211"/>
      <c r="RZO127" s="24"/>
      <c r="RZP127" s="211"/>
      <c r="RZQ127" s="24"/>
      <c r="RZR127" s="211"/>
      <c r="RZS127" s="24"/>
      <c r="RZT127" s="211"/>
      <c r="RZU127" s="24"/>
      <c r="RZV127" s="211"/>
      <c r="RZW127" s="24"/>
      <c r="RZX127" s="211"/>
      <c r="RZY127" s="24"/>
      <c r="RZZ127" s="211"/>
      <c r="SAA127" s="24"/>
      <c r="SAB127" s="211"/>
      <c r="SAC127" s="24"/>
      <c r="SAD127" s="211"/>
      <c r="SAE127" s="24"/>
      <c r="SAF127" s="211"/>
      <c r="SAG127" s="24"/>
      <c r="SAH127" s="211"/>
      <c r="SAI127" s="24"/>
      <c r="SAJ127" s="211"/>
      <c r="SAK127" s="24"/>
      <c r="SAL127" s="211"/>
      <c r="SAM127" s="24"/>
      <c r="SAN127" s="211"/>
      <c r="SAO127" s="24"/>
      <c r="SAP127" s="211"/>
      <c r="SAQ127" s="24"/>
      <c r="SAR127" s="211"/>
      <c r="SAS127" s="24"/>
      <c r="SAT127" s="211"/>
      <c r="SAU127" s="24"/>
      <c r="SAV127" s="211"/>
      <c r="SAW127" s="24"/>
      <c r="SAX127" s="211"/>
      <c r="SAY127" s="24"/>
      <c r="SAZ127" s="211"/>
      <c r="SBA127" s="24"/>
      <c r="SBB127" s="211"/>
      <c r="SBC127" s="24"/>
      <c r="SBD127" s="211"/>
      <c r="SBE127" s="24"/>
      <c r="SBF127" s="211"/>
      <c r="SBG127" s="24"/>
      <c r="SBH127" s="211"/>
      <c r="SBI127" s="24"/>
      <c r="SBJ127" s="211"/>
      <c r="SBK127" s="24"/>
      <c r="SBL127" s="211"/>
      <c r="SBM127" s="24"/>
      <c r="SBN127" s="211"/>
      <c r="SBO127" s="24"/>
      <c r="SBP127" s="211"/>
      <c r="SBQ127" s="24"/>
      <c r="SBR127" s="211"/>
      <c r="SBS127" s="24"/>
      <c r="SBT127" s="211"/>
      <c r="SBU127" s="24"/>
      <c r="SBV127" s="211"/>
      <c r="SBW127" s="24"/>
      <c r="SBX127" s="211"/>
      <c r="SBY127" s="24"/>
      <c r="SBZ127" s="211"/>
      <c r="SCA127" s="24"/>
      <c r="SCB127" s="211"/>
      <c r="SCC127" s="24"/>
      <c r="SCD127" s="211"/>
      <c r="SCE127" s="24"/>
      <c r="SCF127" s="211"/>
      <c r="SCG127" s="24"/>
      <c r="SCH127" s="211"/>
      <c r="SCI127" s="24"/>
      <c r="SCJ127" s="211"/>
      <c r="SCK127" s="24"/>
      <c r="SCL127" s="211"/>
      <c r="SCM127" s="24"/>
      <c r="SCN127" s="211"/>
      <c r="SCO127" s="24"/>
      <c r="SCP127" s="211"/>
      <c r="SCQ127" s="24"/>
      <c r="SCR127" s="211"/>
      <c r="SCS127" s="24"/>
      <c r="SCT127" s="211"/>
      <c r="SCU127" s="24"/>
      <c r="SCV127" s="211"/>
      <c r="SCW127" s="24"/>
      <c r="SCX127" s="211"/>
      <c r="SCY127" s="24"/>
      <c r="SCZ127" s="211"/>
      <c r="SDA127" s="24"/>
      <c r="SDB127" s="211"/>
      <c r="SDC127" s="24"/>
      <c r="SDD127" s="211"/>
      <c r="SDE127" s="24"/>
      <c r="SDF127" s="211"/>
      <c r="SDG127" s="24"/>
      <c r="SDH127" s="211"/>
      <c r="SDI127" s="24"/>
      <c r="SDJ127" s="211"/>
      <c r="SDK127" s="24"/>
      <c r="SDL127" s="211"/>
      <c r="SDM127" s="24"/>
      <c r="SDN127" s="211"/>
      <c r="SDO127" s="24"/>
      <c r="SDP127" s="211"/>
      <c r="SDQ127" s="24"/>
      <c r="SDR127" s="211"/>
      <c r="SDS127" s="24"/>
      <c r="SDT127" s="211"/>
      <c r="SDU127" s="24"/>
      <c r="SDV127" s="211"/>
      <c r="SDW127" s="24"/>
      <c r="SDX127" s="211"/>
      <c r="SDY127" s="24"/>
      <c r="SDZ127" s="211"/>
      <c r="SEA127" s="24"/>
      <c r="SEB127" s="211"/>
      <c r="SEC127" s="24"/>
      <c r="SED127" s="211"/>
      <c r="SEE127" s="24"/>
      <c r="SEF127" s="211"/>
      <c r="SEG127" s="24"/>
      <c r="SEH127" s="211"/>
      <c r="SEI127" s="24"/>
      <c r="SEJ127" s="211"/>
      <c r="SEK127" s="24"/>
      <c r="SEL127" s="211"/>
      <c r="SEM127" s="24"/>
      <c r="SEN127" s="211"/>
      <c r="SEO127" s="24"/>
      <c r="SEP127" s="211"/>
      <c r="SEQ127" s="24"/>
      <c r="SER127" s="211"/>
      <c r="SES127" s="24"/>
      <c r="SET127" s="211"/>
      <c r="SEU127" s="24"/>
      <c r="SEV127" s="211"/>
      <c r="SEW127" s="24"/>
      <c r="SEX127" s="211"/>
      <c r="SEY127" s="24"/>
      <c r="SEZ127" s="211"/>
      <c r="SFA127" s="24"/>
      <c r="SFB127" s="211"/>
      <c r="SFC127" s="24"/>
      <c r="SFD127" s="211"/>
      <c r="SFE127" s="24"/>
      <c r="SFF127" s="211"/>
      <c r="SFG127" s="24"/>
      <c r="SFH127" s="211"/>
      <c r="SFI127" s="24"/>
      <c r="SFJ127" s="211"/>
      <c r="SFK127" s="24"/>
      <c r="SFL127" s="211"/>
      <c r="SFM127" s="24"/>
      <c r="SFN127" s="211"/>
      <c r="SFO127" s="24"/>
      <c r="SFP127" s="211"/>
      <c r="SFQ127" s="24"/>
      <c r="SFR127" s="211"/>
      <c r="SFS127" s="24"/>
      <c r="SFT127" s="211"/>
      <c r="SFU127" s="24"/>
      <c r="SFV127" s="211"/>
      <c r="SFW127" s="24"/>
      <c r="SFX127" s="211"/>
      <c r="SFY127" s="24"/>
      <c r="SFZ127" s="211"/>
      <c r="SGA127" s="24"/>
      <c r="SGB127" s="211"/>
      <c r="SGC127" s="24"/>
      <c r="SGD127" s="211"/>
      <c r="SGE127" s="24"/>
      <c r="SGF127" s="211"/>
      <c r="SGG127" s="24"/>
      <c r="SGH127" s="211"/>
      <c r="SGI127" s="24"/>
      <c r="SGJ127" s="211"/>
      <c r="SGK127" s="24"/>
      <c r="SGL127" s="211"/>
      <c r="SGM127" s="24"/>
      <c r="SGN127" s="211"/>
      <c r="SGO127" s="24"/>
      <c r="SGP127" s="211"/>
      <c r="SGQ127" s="24"/>
      <c r="SGR127" s="211"/>
      <c r="SGS127" s="24"/>
      <c r="SGT127" s="211"/>
      <c r="SGU127" s="24"/>
      <c r="SGV127" s="211"/>
      <c r="SGW127" s="24"/>
      <c r="SGX127" s="211"/>
      <c r="SGY127" s="24"/>
      <c r="SGZ127" s="211"/>
      <c r="SHA127" s="24"/>
      <c r="SHB127" s="211"/>
      <c r="SHC127" s="24"/>
      <c r="SHD127" s="211"/>
      <c r="SHE127" s="24"/>
      <c r="SHF127" s="211"/>
      <c r="SHG127" s="24"/>
      <c r="SHH127" s="211"/>
      <c r="SHI127" s="24"/>
      <c r="SHJ127" s="211"/>
      <c r="SHK127" s="24"/>
      <c r="SHL127" s="211"/>
      <c r="SHM127" s="24"/>
      <c r="SHN127" s="211"/>
      <c r="SHO127" s="24"/>
      <c r="SHP127" s="211"/>
      <c r="SHQ127" s="24"/>
      <c r="SHR127" s="211"/>
      <c r="SHS127" s="24"/>
      <c r="SHT127" s="211"/>
      <c r="SHU127" s="24"/>
      <c r="SHV127" s="211"/>
      <c r="SHW127" s="24"/>
      <c r="SHX127" s="211"/>
      <c r="SHY127" s="24"/>
      <c r="SHZ127" s="211"/>
      <c r="SIA127" s="24"/>
      <c r="SIB127" s="211"/>
      <c r="SIC127" s="24"/>
      <c r="SID127" s="211"/>
      <c r="SIE127" s="24"/>
      <c r="SIF127" s="211"/>
      <c r="SIG127" s="24"/>
      <c r="SIH127" s="211"/>
      <c r="SII127" s="24"/>
      <c r="SIJ127" s="211"/>
      <c r="SIK127" s="24"/>
      <c r="SIL127" s="211"/>
      <c r="SIM127" s="24"/>
      <c r="SIN127" s="211"/>
      <c r="SIO127" s="24"/>
      <c r="SIP127" s="211"/>
      <c r="SIQ127" s="24"/>
      <c r="SIR127" s="211"/>
      <c r="SIS127" s="24"/>
      <c r="SIT127" s="211"/>
      <c r="SIU127" s="24"/>
      <c r="SIV127" s="211"/>
      <c r="SIW127" s="24"/>
      <c r="SIX127" s="211"/>
      <c r="SIY127" s="24"/>
      <c r="SIZ127" s="211"/>
      <c r="SJA127" s="24"/>
      <c r="SJB127" s="211"/>
      <c r="SJC127" s="24"/>
      <c r="SJD127" s="211"/>
      <c r="SJE127" s="24"/>
      <c r="SJF127" s="211"/>
      <c r="SJG127" s="24"/>
      <c r="SJH127" s="211"/>
      <c r="SJI127" s="24"/>
      <c r="SJJ127" s="211"/>
      <c r="SJK127" s="24"/>
      <c r="SJL127" s="211"/>
      <c r="SJM127" s="24"/>
      <c r="SJN127" s="211"/>
      <c r="SJO127" s="24"/>
      <c r="SJP127" s="211"/>
      <c r="SJQ127" s="24"/>
      <c r="SJR127" s="211"/>
      <c r="SJS127" s="24"/>
      <c r="SJT127" s="211"/>
      <c r="SJU127" s="24"/>
      <c r="SJV127" s="211"/>
      <c r="SJW127" s="24"/>
      <c r="SJX127" s="211"/>
      <c r="SJY127" s="24"/>
      <c r="SJZ127" s="211"/>
      <c r="SKA127" s="24"/>
      <c r="SKB127" s="211"/>
      <c r="SKC127" s="24"/>
      <c r="SKD127" s="211"/>
      <c r="SKE127" s="24"/>
      <c r="SKF127" s="211"/>
      <c r="SKG127" s="24"/>
      <c r="SKH127" s="211"/>
      <c r="SKI127" s="24"/>
      <c r="SKJ127" s="211"/>
      <c r="SKK127" s="24"/>
      <c r="SKL127" s="211"/>
      <c r="SKM127" s="24"/>
      <c r="SKN127" s="211"/>
      <c r="SKO127" s="24"/>
      <c r="SKP127" s="211"/>
      <c r="SKQ127" s="24"/>
      <c r="SKR127" s="211"/>
      <c r="SKS127" s="24"/>
      <c r="SKT127" s="211"/>
      <c r="SKU127" s="24"/>
      <c r="SKV127" s="211"/>
      <c r="SKW127" s="24"/>
      <c r="SKX127" s="211"/>
      <c r="SKY127" s="24"/>
      <c r="SKZ127" s="211"/>
      <c r="SLA127" s="24"/>
      <c r="SLB127" s="211"/>
      <c r="SLC127" s="24"/>
      <c r="SLD127" s="211"/>
      <c r="SLE127" s="24"/>
      <c r="SLF127" s="211"/>
      <c r="SLG127" s="24"/>
      <c r="SLH127" s="211"/>
      <c r="SLI127" s="24"/>
      <c r="SLJ127" s="211"/>
      <c r="SLK127" s="24"/>
      <c r="SLL127" s="211"/>
      <c r="SLM127" s="24"/>
      <c r="SLN127" s="211"/>
      <c r="SLO127" s="24"/>
      <c r="SLP127" s="211"/>
      <c r="SLQ127" s="24"/>
      <c r="SLR127" s="211"/>
      <c r="SLS127" s="24"/>
      <c r="SLT127" s="211"/>
      <c r="SLU127" s="24"/>
      <c r="SLV127" s="211"/>
      <c r="SLW127" s="24"/>
      <c r="SLX127" s="211"/>
      <c r="SLY127" s="24"/>
      <c r="SLZ127" s="211"/>
      <c r="SMA127" s="24"/>
      <c r="SMB127" s="211"/>
      <c r="SMC127" s="24"/>
      <c r="SMD127" s="211"/>
      <c r="SME127" s="24"/>
      <c r="SMF127" s="211"/>
      <c r="SMG127" s="24"/>
      <c r="SMH127" s="211"/>
      <c r="SMI127" s="24"/>
      <c r="SMJ127" s="211"/>
      <c r="SMK127" s="24"/>
      <c r="SML127" s="211"/>
      <c r="SMM127" s="24"/>
      <c r="SMN127" s="211"/>
      <c r="SMO127" s="24"/>
      <c r="SMP127" s="211"/>
      <c r="SMQ127" s="24"/>
      <c r="SMR127" s="211"/>
      <c r="SMS127" s="24"/>
      <c r="SMT127" s="211"/>
      <c r="SMU127" s="24"/>
      <c r="SMV127" s="211"/>
      <c r="SMW127" s="24"/>
      <c r="SMX127" s="211"/>
      <c r="SMY127" s="24"/>
      <c r="SMZ127" s="211"/>
      <c r="SNA127" s="24"/>
      <c r="SNB127" s="211"/>
      <c r="SNC127" s="24"/>
      <c r="SND127" s="211"/>
      <c r="SNE127" s="24"/>
      <c r="SNF127" s="211"/>
      <c r="SNG127" s="24"/>
      <c r="SNH127" s="211"/>
      <c r="SNI127" s="24"/>
      <c r="SNJ127" s="211"/>
      <c r="SNK127" s="24"/>
      <c r="SNL127" s="211"/>
      <c r="SNM127" s="24"/>
      <c r="SNN127" s="211"/>
      <c r="SNO127" s="24"/>
      <c r="SNP127" s="211"/>
      <c r="SNQ127" s="24"/>
      <c r="SNR127" s="211"/>
      <c r="SNS127" s="24"/>
      <c r="SNT127" s="211"/>
      <c r="SNU127" s="24"/>
      <c r="SNV127" s="211"/>
      <c r="SNW127" s="24"/>
      <c r="SNX127" s="211"/>
      <c r="SNY127" s="24"/>
      <c r="SNZ127" s="211"/>
      <c r="SOA127" s="24"/>
      <c r="SOB127" s="211"/>
      <c r="SOC127" s="24"/>
      <c r="SOD127" s="211"/>
      <c r="SOE127" s="24"/>
      <c r="SOF127" s="211"/>
      <c r="SOG127" s="24"/>
      <c r="SOH127" s="211"/>
      <c r="SOI127" s="24"/>
      <c r="SOJ127" s="211"/>
      <c r="SOK127" s="24"/>
      <c r="SOL127" s="211"/>
      <c r="SOM127" s="24"/>
      <c r="SON127" s="211"/>
      <c r="SOO127" s="24"/>
      <c r="SOP127" s="211"/>
      <c r="SOQ127" s="24"/>
      <c r="SOR127" s="211"/>
      <c r="SOS127" s="24"/>
      <c r="SOT127" s="211"/>
      <c r="SOU127" s="24"/>
      <c r="SOV127" s="211"/>
      <c r="SOW127" s="24"/>
      <c r="SOX127" s="211"/>
      <c r="SOY127" s="24"/>
      <c r="SOZ127" s="211"/>
      <c r="SPA127" s="24"/>
      <c r="SPB127" s="211"/>
      <c r="SPC127" s="24"/>
      <c r="SPD127" s="211"/>
      <c r="SPE127" s="24"/>
      <c r="SPF127" s="211"/>
      <c r="SPG127" s="24"/>
      <c r="SPH127" s="211"/>
      <c r="SPI127" s="24"/>
      <c r="SPJ127" s="211"/>
      <c r="SPK127" s="24"/>
      <c r="SPL127" s="211"/>
      <c r="SPM127" s="24"/>
      <c r="SPN127" s="211"/>
      <c r="SPO127" s="24"/>
      <c r="SPP127" s="211"/>
      <c r="SPQ127" s="24"/>
      <c r="SPR127" s="211"/>
      <c r="SPS127" s="24"/>
      <c r="SPT127" s="211"/>
      <c r="SPU127" s="24"/>
      <c r="SPV127" s="211"/>
      <c r="SPW127" s="24"/>
      <c r="SPX127" s="211"/>
      <c r="SPY127" s="24"/>
      <c r="SPZ127" s="211"/>
      <c r="SQA127" s="24"/>
      <c r="SQB127" s="211"/>
      <c r="SQC127" s="24"/>
      <c r="SQD127" s="211"/>
      <c r="SQE127" s="24"/>
      <c r="SQF127" s="211"/>
      <c r="SQG127" s="24"/>
      <c r="SQH127" s="211"/>
      <c r="SQI127" s="24"/>
      <c r="SQJ127" s="211"/>
      <c r="SQK127" s="24"/>
      <c r="SQL127" s="211"/>
      <c r="SQM127" s="24"/>
      <c r="SQN127" s="211"/>
      <c r="SQO127" s="24"/>
      <c r="SQP127" s="211"/>
      <c r="SQQ127" s="24"/>
      <c r="SQR127" s="211"/>
      <c r="SQS127" s="24"/>
      <c r="SQT127" s="211"/>
      <c r="SQU127" s="24"/>
      <c r="SQV127" s="211"/>
      <c r="SQW127" s="24"/>
      <c r="SQX127" s="211"/>
      <c r="SQY127" s="24"/>
      <c r="SQZ127" s="211"/>
      <c r="SRA127" s="24"/>
      <c r="SRB127" s="211"/>
      <c r="SRC127" s="24"/>
      <c r="SRD127" s="211"/>
      <c r="SRE127" s="24"/>
      <c r="SRF127" s="211"/>
      <c r="SRG127" s="24"/>
      <c r="SRH127" s="211"/>
      <c r="SRI127" s="24"/>
      <c r="SRJ127" s="211"/>
      <c r="SRK127" s="24"/>
      <c r="SRL127" s="211"/>
      <c r="SRM127" s="24"/>
      <c r="SRN127" s="211"/>
      <c r="SRO127" s="24"/>
      <c r="SRP127" s="211"/>
      <c r="SRQ127" s="24"/>
      <c r="SRR127" s="211"/>
      <c r="SRS127" s="24"/>
      <c r="SRT127" s="211"/>
      <c r="SRU127" s="24"/>
      <c r="SRV127" s="211"/>
      <c r="SRW127" s="24"/>
      <c r="SRX127" s="211"/>
      <c r="SRY127" s="24"/>
      <c r="SRZ127" s="211"/>
      <c r="SSA127" s="24"/>
      <c r="SSB127" s="211"/>
      <c r="SSC127" s="24"/>
      <c r="SSD127" s="211"/>
      <c r="SSE127" s="24"/>
      <c r="SSF127" s="211"/>
      <c r="SSG127" s="24"/>
      <c r="SSH127" s="211"/>
      <c r="SSI127" s="24"/>
      <c r="SSJ127" s="211"/>
      <c r="SSK127" s="24"/>
      <c r="SSL127" s="211"/>
      <c r="SSM127" s="24"/>
      <c r="SSN127" s="211"/>
      <c r="SSO127" s="24"/>
      <c r="SSP127" s="211"/>
      <c r="SSQ127" s="24"/>
      <c r="SSR127" s="211"/>
      <c r="SSS127" s="24"/>
      <c r="SST127" s="211"/>
      <c r="SSU127" s="24"/>
      <c r="SSV127" s="211"/>
      <c r="SSW127" s="24"/>
      <c r="SSX127" s="211"/>
      <c r="SSY127" s="24"/>
      <c r="SSZ127" s="211"/>
      <c r="STA127" s="24"/>
      <c r="STB127" s="211"/>
      <c r="STC127" s="24"/>
      <c r="STD127" s="211"/>
      <c r="STE127" s="24"/>
      <c r="STF127" s="211"/>
      <c r="STG127" s="24"/>
      <c r="STH127" s="211"/>
      <c r="STI127" s="24"/>
      <c r="STJ127" s="211"/>
      <c r="STK127" s="24"/>
      <c r="STL127" s="211"/>
      <c r="STM127" s="24"/>
      <c r="STN127" s="211"/>
      <c r="STO127" s="24"/>
      <c r="STP127" s="211"/>
      <c r="STQ127" s="24"/>
      <c r="STR127" s="211"/>
      <c r="STS127" s="24"/>
      <c r="STT127" s="211"/>
      <c r="STU127" s="24"/>
      <c r="STV127" s="211"/>
      <c r="STW127" s="24"/>
      <c r="STX127" s="211"/>
      <c r="STY127" s="24"/>
      <c r="STZ127" s="211"/>
      <c r="SUA127" s="24"/>
      <c r="SUB127" s="211"/>
      <c r="SUC127" s="24"/>
      <c r="SUD127" s="211"/>
      <c r="SUE127" s="24"/>
      <c r="SUF127" s="211"/>
      <c r="SUG127" s="24"/>
      <c r="SUH127" s="211"/>
      <c r="SUI127" s="24"/>
      <c r="SUJ127" s="211"/>
      <c r="SUK127" s="24"/>
      <c r="SUL127" s="211"/>
      <c r="SUM127" s="24"/>
      <c r="SUN127" s="211"/>
      <c r="SUO127" s="24"/>
      <c r="SUP127" s="211"/>
      <c r="SUQ127" s="24"/>
      <c r="SUR127" s="211"/>
      <c r="SUS127" s="24"/>
      <c r="SUT127" s="211"/>
      <c r="SUU127" s="24"/>
      <c r="SUV127" s="211"/>
      <c r="SUW127" s="24"/>
      <c r="SUX127" s="211"/>
      <c r="SUY127" s="24"/>
      <c r="SUZ127" s="211"/>
      <c r="SVA127" s="24"/>
      <c r="SVB127" s="211"/>
      <c r="SVC127" s="24"/>
      <c r="SVD127" s="211"/>
      <c r="SVE127" s="24"/>
      <c r="SVF127" s="211"/>
      <c r="SVG127" s="24"/>
      <c r="SVH127" s="211"/>
      <c r="SVI127" s="24"/>
      <c r="SVJ127" s="211"/>
      <c r="SVK127" s="24"/>
      <c r="SVL127" s="211"/>
      <c r="SVM127" s="24"/>
      <c r="SVN127" s="211"/>
      <c r="SVO127" s="24"/>
      <c r="SVP127" s="211"/>
      <c r="SVQ127" s="24"/>
      <c r="SVR127" s="211"/>
      <c r="SVS127" s="24"/>
      <c r="SVT127" s="211"/>
      <c r="SVU127" s="24"/>
      <c r="SVV127" s="211"/>
      <c r="SVW127" s="24"/>
      <c r="SVX127" s="211"/>
      <c r="SVY127" s="24"/>
      <c r="SVZ127" s="211"/>
      <c r="SWA127" s="24"/>
      <c r="SWB127" s="211"/>
      <c r="SWC127" s="24"/>
      <c r="SWD127" s="211"/>
      <c r="SWE127" s="24"/>
      <c r="SWF127" s="211"/>
      <c r="SWG127" s="24"/>
      <c r="SWH127" s="211"/>
      <c r="SWI127" s="24"/>
      <c r="SWJ127" s="211"/>
      <c r="SWK127" s="24"/>
      <c r="SWL127" s="211"/>
      <c r="SWM127" s="24"/>
      <c r="SWN127" s="211"/>
      <c r="SWO127" s="24"/>
      <c r="SWP127" s="211"/>
      <c r="SWQ127" s="24"/>
      <c r="SWR127" s="211"/>
      <c r="SWS127" s="24"/>
      <c r="SWT127" s="211"/>
      <c r="SWU127" s="24"/>
      <c r="SWV127" s="211"/>
      <c r="SWW127" s="24"/>
      <c r="SWX127" s="211"/>
      <c r="SWY127" s="24"/>
      <c r="SWZ127" s="211"/>
      <c r="SXA127" s="24"/>
      <c r="SXB127" s="211"/>
      <c r="SXC127" s="24"/>
      <c r="SXD127" s="211"/>
      <c r="SXE127" s="24"/>
      <c r="SXF127" s="211"/>
      <c r="SXG127" s="24"/>
      <c r="SXH127" s="211"/>
      <c r="SXI127" s="24"/>
      <c r="SXJ127" s="211"/>
      <c r="SXK127" s="24"/>
      <c r="SXL127" s="211"/>
      <c r="SXM127" s="24"/>
      <c r="SXN127" s="211"/>
      <c r="SXO127" s="24"/>
      <c r="SXP127" s="211"/>
      <c r="SXQ127" s="24"/>
      <c r="SXR127" s="211"/>
      <c r="SXS127" s="24"/>
      <c r="SXT127" s="211"/>
      <c r="SXU127" s="24"/>
      <c r="SXV127" s="211"/>
      <c r="SXW127" s="24"/>
      <c r="SXX127" s="211"/>
      <c r="SXY127" s="24"/>
      <c r="SXZ127" s="211"/>
      <c r="SYA127" s="24"/>
      <c r="SYB127" s="211"/>
      <c r="SYC127" s="24"/>
      <c r="SYD127" s="211"/>
      <c r="SYE127" s="24"/>
      <c r="SYF127" s="211"/>
      <c r="SYG127" s="24"/>
      <c r="SYH127" s="211"/>
      <c r="SYI127" s="24"/>
      <c r="SYJ127" s="211"/>
      <c r="SYK127" s="24"/>
      <c r="SYL127" s="211"/>
      <c r="SYM127" s="24"/>
      <c r="SYN127" s="211"/>
      <c r="SYO127" s="24"/>
      <c r="SYP127" s="211"/>
      <c r="SYQ127" s="24"/>
      <c r="SYR127" s="211"/>
      <c r="SYS127" s="24"/>
      <c r="SYT127" s="211"/>
      <c r="SYU127" s="24"/>
      <c r="SYV127" s="211"/>
      <c r="SYW127" s="24"/>
      <c r="SYX127" s="211"/>
      <c r="SYY127" s="24"/>
      <c r="SYZ127" s="211"/>
      <c r="SZA127" s="24"/>
      <c r="SZB127" s="211"/>
      <c r="SZC127" s="24"/>
      <c r="SZD127" s="211"/>
      <c r="SZE127" s="24"/>
      <c r="SZF127" s="211"/>
      <c r="SZG127" s="24"/>
      <c r="SZH127" s="211"/>
      <c r="SZI127" s="24"/>
      <c r="SZJ127" s="211"/>
      <c r="SZK127" s="24"/>
      <c r="SZL127" s="211"/>
      <c r="SZM127" s="24"/>
      <c r="SZN127" s="211"/>
      <c r="SZO127" s="24"/>
      <c r="SZP127" s="211"/>
      <c r="SZQ127" s="24"/>
      <c r="SZR127" s="211"/>
      <c r="SZS127" s="24"/>
      <c r="SZT127" s="211"/>
      <c r="SZU127" s="24"/>
      <c r="SZV127" s="211"/>
      <c r="SZW127" s="24"/>
      <c r="SZX127" s="211"/>
      <c r="SZY127" s="24"/>
      <c r="SZZ127" s="211"/>
      <c r="TAA127" s="24"/>
      <c r="TAB127" s="211"/>
      <c r="TAC127" s="24"/>
      <c r="TAD127" s="211"/>
      <c r="TAE127" s="24"/>
      <c r="TAF127" s="211"/>
      <c r="TAG127" s="24"/>
      <c r="TAH127" s="211"/>
      <c r="TAI127" s="24"/>
      <c r="TAJ127" s="211"/>
      <c r="TAK127" s="24"/>
      <c r="TAL127" s="211"/>
      <c r="TAM127" s="24"/>
      <c r="TAN127" s="211"/>
      <c r="TAO127" s="24"/>
      <c r="TAP127" s="211"/>
      <c r="TAQ127" s="24"/>
      <c r="TAR127" s="211"/>
      <c r="TAS127" s="24"/>
      <c r="TAT127" s="211"/>
      <c r="TAU127" s="24"/>
      <c r="TAV127" s="211"/>
      <c r="TAW127" s="24"/>
      <c r="TAX127" s="211"/>
      <c r="TAY127" s="24"/>
      <c r="TAZ127" s="211"/>
      <c r="TBA127" s="24"/>
      <c r="TBB127" s="211"/>
      <c r="TBC127" s="24"/>
      <c r="TBD127" s="211"/>
      <c r="TBE127" s="24"/>
      <c r="TBF127" s="211"/>
      <c r="TBG127" s="24"/>
      <c r="TBH127" s="211"/>
      <c r="TBI127" s="24"/>
      <c r="TBJ127" s="211"/>
      <c r="TBK127" s="24"/>
      <c r="TBL127" s="211"/>
      <c r="TBM127" s="24"/>
      <c r="TBN127" s="211"/>
      <c r="TBO127" s="24"/>
      <c r="TBP127" s="211"/>
      <c r="TBQ127" s="24"/>
      <c r="TBR127" s="211"/>
      <c r="TBS127" s="24"/>
      <c r="TBT127" s="211"/>
      <c r="TBU127" s="24"/>
      <c r="TBV127" s="211"/>
      <c r="TBW127" s="24"/>
      <c r="TBX127" s="211"/>
      <c r="TBY127" s="24"/>
      <c r="TBZ127" s="211"/>
      <c r="TCA127" s="24"/>
      <c r="TCB127" s="211"/>
      <c r="TCC127" s="24"/>
      <c r="TCD127" s="211"/>
      <c r="TCE127" s="24"/>
      <c r="TCF127" s="211"/>
      <c r="TCG127" s="24"/>
      <c r="TCH127" s="211"/>
      <c r="TCI127" s="24"/>
      <c r="TCJ127" s="211"/>
      <c r="TCK127" s="24"/>
      <c r="TCL127" s="211"/>
      <c r="TCM127" s="24"/>
      <c r="TCN127" s="211"/>
      <c r="TCO127" s="24"/>
      <c r="TCP127" s="211"/>
      <c r="TCQ127" s="24"/>
      <c r="TCR127" s="211"/>
      <c r="TCS127" s="24"/>
      <c r="TCT127" s="211"/>
      <c r="TCU127" s="24"/>
      <c r="TCV127" s="211"/>
      <c r="TCW127" s="24"/>
      <c r="TCX127" s="211"/>
      <c r="TCY127" s="24"/>
      <c r="TCZ127" s="211"/>
      <c r="TDA127" s="24"/>
      <c r="TDB127" s="211"/>
      <c r="TDC127" s="24"/>
      <c r="TDD127" s="211"/>
      <c r="TDE127" s="24"/>
      <c r="TDF127" s="211"/>
      <c r="TDG127" s="24"/>
      <c r="TDH127" s="211"/>
      <c r="TDI127" s="24"/>
      <c r="TDJ127" s="211"/>
      <c r="TDK127" s="24"/>
      <c r="TDL127" s="211"/>
      <c r="TDM127" s="24"/>
      <c r="TDN127" s="211"/>
      <c r="TDO127" s="24"/>
      <c r="TDP127" s="211"/>
      <c r="TDQ127" s="24"/>
      <c r="TDR127" s="211"/>
      <c r="TDS127" s="24"/>
      <c r="TDT127" s="211"/>
      <c r="TDU127" s="24"/>
      <c r="TDV127" s="211"/>
      <c r="TDW127" s="24"/>
      <c r="TDX127" s="211"/>
      <c r="TDY127" s="24"/>
      <c r="TDZ127" s="211"/>
      <c r="TEA127" s="24"/>
      <c r="TEB127" s="211"/>
      <c r="TEC127" s="24"/>
      <c r="TED127" s="211"/>
      <c r="TEE127" s="24"/>
      <c r="TEF127" s="211"/>
      <c r="TEG127" s="24"/>
      <c r="TEH127" s="211"/>
      <c r="TEI127" s="24"/>
      <c r="TEJ127" s="211"/>
      <c r="TEK127" s="24"/>
      <c r="TEL127" s="211"/>
      <c r="TEM127" s="24"/>
      <c r="TEN127" s="211"/>
      <c r="TEO127" s="24"/>
      <c r="TEP127" s="211"/>
      <c r="TEQ127" s="24"/>
      <c r="TER127" s="211"/>
      <c r="TES127" s="24"/>
      <c r="TET127" s="211"/>
      <c r="TEU127" s="24"/>
      <c r="TEV127" s="211"/>
      <c r="TEW127" s="24"/>
      <c r="TEX127" s="211"/>
      <c r="TEY127" s="24"/>
      <c r="TEZ127" s="211"/>
      <c r="TFA127" s="24"/>
      <c r="TFB127" s="211"/>
      <c r="TFC127" s="24"/>
      <c r="TFD127" s="211"/>
      <c r="TFE127" s="24"/>
      <c r="TFF127" s="211"/>
      <c r="TFG127" s="24"/>
      <c r="TFH127" s="211"/>
      <c r="TFI127" s="24"/>
      <c r="TFJ127" s="211"/>
      <c r="TFK127" s="24"/>
      <c r="TFL127" s="211"/>
      <c r="TFM127" s="24"/>
      <c r="TFN127" s="211"/>
      <c r="TFO127" s="24"/>
      <c r="TFP127" s="211"/>
      <c r="TFQ127" s="24"/>
      <c r="TFR127" s="211"/>
      <c r="TFS127" s="24"/>
      <c r="TFT127" s="211"/>
      <c r="TFU127" s="24"/>
      <c r="TFV127" s="211"/>
      <c r="TFW127" s="24"/>
      <c r="TFX127" s="211"/>
      <c r="TFY127" s="24"/>
      <c r="TFZ127" s="211"/>
      <c r="TGA127" s="24"/>
      <c r="TGB127" s="211"/>
      <c r="TGC127" s="24"/>
      <c r="TGD127" s="211"/>
      <c r="TGE127" s="24"/>
      <c r="TGF127" s="211"/>
      <c r="TGG127" s="24"/>
      <c r="TGH127" s="211"/>
      <c r="TGI127" s="24"/>
      <c r="TGJ127" s="211"/>
      <c r="TGK127" s="24"/>
      <c r="TGL127" s="211"/>
      <c r="TGM127" s="24"/>
      <c r="TGN127" s="211"/>
      <c r="TGO127" s="24"/>
      <c r="TGP127" s="211"/>
      <c r="TGQ127" s="24"/>
      <c r="TGR127" s="211"/>
      <c r="TGS127" s="24"/>
      <c r="TGT127" s="211"/>
      <c r="TGU127" s="24"/>
      <c r="TGV127" s="211"/>
      <c r="TGW127" s="24"/>
      <c r="TGX127" s="211"/>
      <c r="TGY127" s="24"/>
      <c r="TGZ127" s="211"/>
      <c r="THA127" s="24"/>
      <c r="THB127" s="211"/>
      <c r="THC127" s="24"/>
      <c r="THD127" s="211"/>
      <c r="THE127" s="24"/>
      <c r="THF127" s="211"/>
      <c r="THG127" s="24"/>
      <c r="THH127" s="211"/>
      <c r="THI127" s="24"/>
      <c r="THJ127" s="211"/>
      <c r="THK127" s="24"/>
      <c r="THL127" s="211"/>
      <c r="THM127" s="24"/>
      <c r="THN127" s="211"/>
      <c r="THO127" s="24"/>
      <c r="THP127" s="211"/>
      <c r="THQ127" s="24"/>
      <c r="THR127" s="211"/>
      <c r="THS127" s="24"/>
      <c r="THT127" s="211"/>
      <c r="THU127" s="24"/>
      <c r="THV127" s="211"/>
      <c r="THW127" s="24"/>
      <c r="THX127" s="211"/>
      <c r="THY127" s="24"/>
      <c r="THZ127" s="211"/>
      <c r="TIA127" s="24"/>
      <c r="TIB127" s="211"/>
      <c r="TIC127" s="24"/>
      <c r="TID127" s="211"/>
      <c r="TIE127" s="24"/>
      <c r="TIF127" s="211"/>
      <c r="TIG127" s="24"/>
      <c r="TIH127" s="211"/>
      <c r="TII127" s="24"/>
      <c r="TIJ127" s="211"/>
      <c r="TIK127" s="24"/>
      <c r="TIL127" s="211"/>
      <c r="TIM127" s="24"/>
      <c r="TIN127" s="211"/>
      <c r="TIO127" s="24"/>
      <c r="TIP127" s="211"/>
      <c r="TIQ127" s="24"/>
      <c r="TIR127" s="211"/>
      <c r="TIS127" s="24"/>
      <c r="TIT127" s="211"/>
      <c r="TIU127" s="24"/>
      <c r="TIV127" s="211"/>
      <c r="TIW127" s="24"/>
      <c r="TIX127" s="211"/>
      <c r="TIY127" s="24"/>
      <c r="TIZ127" s="211"/>
      <c r="TJA127" s="24"/>
      <c r="TJB127" s="211"/>
      <c r="TJC127" s="24"/>
      <c r="TJD127" s="211"/>
      <c r="TJE127" s="24"/>
      <c r="TJF127" s="211"/>
      <c r="TJG127" s="24"/>
      <c r="TJH127" s="211"/>
      <c r="TJI127" s="24"/>
      <c r="TJJ127" s="211"/>
      <c r="TJK127" s="24"/>
      <c r="TJL127" s="211"/>
      <c r="TJM127" s="24"/>
      <c r="TJN127" s="211"/>
      <c r="TJO127" s="24"/>
      <c r="TJP127" s="211"/>
      <c r="TJQ127" s="24"/>
      <c r="TJR127" s="211"/>
      <c r="TJS127" s="24"/>
      <c r="TJT127" s="211"/>
      <c r="TJU127" s="24"/>
      <c r="TJV127" s="211"/>
      <c r="TJW127" s="24"/>
      <c r="TJX127" s="211"/>
      <c r="TJY127" s="24"/>
      <c r="TJZ127" s="211"/>
      <c r="TKA127" s="24"/>
      <c r="TKB127" s="211"/>
      <c r="TKC127" s="24"/>
      <c r="TKD127" s="211"/>
      <c r="TKE127" s="24"/>
      <c r="TKF127" s="211"/>
      <c r="TKG127" s="24"/>
      <c r="TKH127" s="211"/>
      <c r="TKI127" s="24"/>
      <c r="TKJ127" s="211"/>
      <c r="TKK127" s="24"/>
      <c r="TKL127" s="211"/>
      <c r="TKM127" s="24"/>
      <c r="TKN127" s="211"/>
      <c r="TKO127" s="24"/>
      <c r="TKP127" s="211"/>
      <c r="TKQ127" s="24"/>
      <c r="TKR127" s="211"/>
      <c r="TKS127" s="24"/>
      <c r="TKT127" s="211"/>
      <c r="TKU127" s="24"/>
      <c r="TKV127" s="211"/>
      <c r="TKW127" s="24"/>
      <c r="TKX127" s="211"/>
      <c r="TKY127" s="24"/>
      <c r="TKZ127" s="211"/>
      <c r="TLA127" s="24"/>
      <c r="TLB127" s="211"/>
      <c r="TLC127" s="24"/>
      <c r="TLD127" s="211"/>
      <c r="TLE127" s="24"/>
      <c r="TLF127" s="211"/>
      <c r="TLG127" s="24"/>
      <c r="TLH127" s="211"/>
      <c r="TLI127" s="24"/>
      <c r="TLJ127" s="211"/>
      <c r="TLK127" s="24"/>
      <c r="TLL127" s="211"/>
      <c r="TLM127" s="24"/>
      <c r="TLN127" s="211"/>
      <c r="TLO127" s="24"/>
      <c r="TLP127" s="211"/>
      <c r="TLQ127" s="24"/>
      <c r="TLR127" s="211"/>
      <c r="TLS127" s="24"/>
      <c r="TLT127" s="211"/>
      <c r="TLU127" s="24"/>
      <c r="TLV127" s="211"/>
      <c r="TLW127" s="24"/>
      <c r="TLX127" s="211"/>
      <c r="TLY127" s="24"/>
      <c r="TLZ127" s="211"/>
      <c r="TMA127" s="24"/>
      <c r="TMB127" s="211"/>
      <c r="TMC127" s="24"/>
      <c r="TMD127" s="211"/>
      <c r="TME127" s="24"/>
      <c r="TMF127" s="211"/>
      <c r="TMG127" s="24"/>
      <c r="TMH127" s="211"/>
      <c r="TMI127" s="24"/>
      <c r="TMJ127" s="211"/>
      <c r="TMK127" s="24"/>
      <c r="TML127" s="211"/>
      <c r="TMM127" s="24"/>
      <c r="TMN127" s="211"/>
      <c r="TMO127" s="24"/>
      <c r="TMP127" s="211"/>
      <c r="TMQ127" s="24"/>
      <c r="TMR127" s="211"/>
      <c r="TMS127" s="24"/>
      <c r="TMT127" s="211"/>
      <c r="TMU127" s="24"/>
      <c r="TMV127" s="211"/>
      <c r="TMW127" s="24"/>
      <c r="TMX127" s="211"/>
      <c r="TMY127" s="24"/>
      <c r="TMZ127" s="211"/>
      <c r="TNA127" s="24"/>
      <c r="TNB127" s="211"/>
      <c r="TNC127" s="24"/>
      <c r="TND127" s="211"/>
      <c r="TNE127" s="24"/>
      <c r="TNF127" s="211"/>
      <c r="TNG127" s="24"/>
      <c r="TNH127" s="211"/>
      <c r="TNI127" s="24"/>
      <c r="TNJ127" s="211"/>
      <c r="TNK127" s="24"/>
      <c r="TNL127" s="211"/>
      <c r="TNM127" s="24"/>
      <c r="TNN127" s="211"/>
      <c r="TNO127" s="24"/>
      <c r="TNP127" s="211"/>
      <c r="TNQ127" s="24"/>
      <c r="TNR127" s="211"/>
      <c r="TNS127" s="24"/>
      <c r="TNT127" s="211"/>
      <c r="TNU127" s="24"/>
      <c r="TNV127" s="211"/>
      <c r="TNW127" s="24"/>
      <c r="TNX127" s="211"/>
      <c r="TNY127" s="24"/>
      <c r="TNZ127" s="211"/>
      <c r="TOA127" s="24"/>
      <c r="TOB127" s="211"/>
      <c r="TOC127" s="24"/>
      <c r="TOD127" s="211"/>
      <c r="TOE127" s="24"/>
      <c r="TOF127" s="211"/>
      <c r="TOG127" s="24"/>
      <c r="TOH127" s="211"/>
      <c r="TOI127" s="24"/>
      <c r="TOJ127" s="211"/>
      <c r="TOK127" s="24"/>
      <c r="TOL127" s="211"/>
      <c r="TOM127" s="24"/>
      <c r="TON127" s="211"/>
      <c r="TOO127" s="24"/>
      <c r="TOP127" s="211"/>
      <c r="TOQ127" s="24"/>
      <c r="TOR127" s="211"/>
      <c r="TOS127" s="24"/>
      <c r="TOT127" s="211"/>
      <c r="TOU127" s="24"/>
      <c r="TOV127" s="211"/>
      <c r="TOW127" s="24"/>
      <c r="TOX127" s="211"/>
      <c r="TOY127" s="24"/>
      <c r="TOZ127" s="211"/>
      <c r="TPA127" s="24"/>
      <c r="TPB127" s="211"/>
      <c r="TPC127" s="24"/>
      <c r="TPD127" s="211"/>
      <c r="TPE127" s="24"/>
      <c r="TPF127" s="211"/>
      <c r="TPG127" s="24"/>
      <c r="TPH127" s="211"/>
      <c r="TPI127" s="24"/>
      <c r="TPJ127" s="211"/>
      <c r="TPK127" s="24"/>
      <c r="TPL127" s="211"/>
      <c r="TPM127" s="24"/>
      <c r="TPN127" s="211"/>
      <c r="TPO127" s="24"/>
      <c r="TPP127" s="211"/>
      <c r="TPQ127" s="24"/>
      <c r="TPR127" s="211"/>
      <c r="TPS127" s="24"/>
      <c r="TPT127" s="211"/>
      <c r="TPU127" s="24"/>
      <c r="TPV127" s="211"/>
      <c r="TPW127" s="24"/>
      <c r="TPX127" s="211"/>
      <c r="TPY127" s="24"/>
      <c r="TPZ127" s="211"/>
      <c r="TQA127" s="24"/>
      <c r="TQB127" s="211"/>
      <c r="TQC127" s="24"/>
      <c r="TQD127" s="211"/>
      <c r="TQE127" s="24"/>
      <c r="TQF127" s="211"/>
      <c r="TQG127" s="24"/>
      <c r="TQH127" s="211"/>
      <c r="TQI127" s="24"/>
      <c r="TQJ127" s="211"/>
      <c r="TQK127" s="24"/>
      <c r="TQL127" s="211"/>
      <c r="TQM127" s="24"/>
      <c r="TQN127" s="211"/>
      <c r="TQO127" s="24"/>
      <c r="TQP127" s="211"/>
      <c r="TQQ127" s="24"/>
      <c r="TQR127" s="211"/>
      <c r="TQS127" s="24"/>
      <c r="TQT127" s="211"/>
      <c r="TQU127" s="24"/>
      <c r="TQV127" s="211"/>
      <c r="TQW127" s="24"/>
      <c r="TQX127" s="211"/>
      <c r="TQY127" s="24"/>
      <c r="TQZ127" s="211"/>
      <c r="TRA127" s="24"/>
      <c r="TRB127" s="211"/>
      <c r="TRC127" s="24"/>
      <c r="TRD127" s="211"/>
      <c r="TRE127" s="24"/>
      <c r="TRF127" s="211"/>
      <c r="TRG127" s="24"/>
      <c r="TRH127" s="211"/>
      <c r="TRI127" s="24"/>
      <c r="TRJ127" s="211"/>
      <c r="TRK127" s="24"/>
      <c r="TRL127" s="211"/>
      <c r="TRM127" s="24"/>
      <c r="TRN127" s="211"/>
      <c r="TRO127" s="24"/>
      <c r="TRP127" s="211"/>
      <c r="TRQ127" s="24"/>
      <c r="TRR127" s="211"/>
      <c r="TRS127" s="24"/>
      <c r="TRT127" s="211"/>
      <c r="TRU127" s="24"/>
      <c r="TRV127" s="211"/>
      <c r="TRW127" s="24"/>
      <c r="TRX127" s="211"/>
      <c r="TRY127" s="24"/>
      <c r="TRZ127" s="211"/>
      <c r="TSA127" s="24"/>
      <c r="TSB127" s="211"/>
      <c r="TSC127" s="24"/>
      <c r="TSD127" s="211"/>
      <c r="TSE127" s="24"/>
      <c r="TSF127" s="211"/>
      <c r="TSG127" s="24"/>
      <c r="TSH127" s="211"/>
      <c r="TSI127" s="24"/>
      <c r="TSJ127" s="211"/>
      <c r="TSK127" s="24"/>
      <c r="TSL127" s="211"/>
      <c r="TSM127" s="24"/>
      <c r="TSN127" s="211"/>
      <c r="TSO127" s="24"/>
      <c r="TSP127" s="211"/>
      <c r="TSQ127" s="24"/>
      <c r="TSR127" s="211"/>
      <c r="TSS127" s="24"/>
      <c r="TST127" s="211"/>
      <c r="TSU127" s="24"/>
      <c r="TSV127" s="211"/>
      <c r="TSW127" s="24"/>
      <c r="TSX127" s="211"/>
      <c r="TSY127" s="24"/>
      <c r="TSZ127" s="211"/>
      <c r="TTA127" s="24"/>
      <c r="TTB127" s="211"/>
      <c r="TTC127" s="24"/>
      <c r="TTD127" s="211"/>
      <c r="TTE127" s="24"/>
      <c r="TTF127" s="211"/>
      <c r="TTG127" s="24"/>
      <c r="TTH127" s="211"/>
      <c r="TTI127" s="24"/>
      <c r="TTJ127" s="211"/>
      <c r="TTK127" s="24"/>
      <c r="TTL127" s="211"/>
      <c r="TTM127" s="24"/>
      <c r="TTN127" s="211"/>
      <c r="TTO127" s="24"/>
      <c r="TTP127" s="211"/>
      <c r="TTQ127" s="24"/>
      <c r="TTR127" s="211"/>
      <c r="TTS127" s="24"/>
      <c r="TTT127" s="211"/>
      <c r="TTU127" s="24"/>
      <c r="TTV127" s="211"/>
      <c r="TTW127" s="24"/>
      <c r="TTX127" s="211"/>
      <c r="TTY127" s="24"/>
      <c r="TTZ127" s="211"/>
      <c r="TUA127" s="24"/>
      <c r="TUB127" s="211"/>
      <c r="TUC127" s="24"/>
      <c r="TUD127" s="211"/>
      <c r="TUE127" s="24"/>
      <c r="TUF127" s="211"/>
      <c r="TUG127" s="24"/>
      <c r="TUH127" s="211"/>
      <c r="TUI127" s="24"/>
      <c r="TUJ127" s="211"/>
      <c r="TUK127" s="24"/>
      <c r="TUL127" s="211"/>
      <c r="TUM127" s="24"/>
      <c r="TUN127" s="211"/>
      <c r="TUO127" s="24"/>
      <c r="TUP127" s="211"/>
      <c r="TUQ127" s="24"/>
      <c r="TUR127" s="211"/>
      <c r="TUS127" s="24"/>
      <c r="TUT127" s="211"/>
      <c r="TUU127" s="24"/>
      <c r="TUV127" s="211"/>
      <c r="TUW127" s="24"/>
      <c r="TUX127" s="211"/>
      <c r="TUY127" s="24"/>
      <c r="TUZ127" s="211"/>
      <c r="TVA127" s="24"/>
      <c r="TVB127" s="211"/>
      <c r="TVC127" s="24"/>
      <c r="TVD127" s="211"/>
      <c r="TVE127" s="24"/>
      <c r="TVF127" s="211"/>
      <c r="TVG127" s="24"/>
      <c r="TVH127" s="211"/>
      <c r="TVI127" s="24"/>
      <c r="TVJ127" s="211"/>
      <c r="TVK127" s="24"/>
      <c r="TVL127" s="211"/>
      <c r="TVM127" s="24"/>
      <c r="TVN127" s="211"/>
      <c r="TVO127" s="24"/>
      <c r="TVP127" s="211"/>
      <c r="TVQ127" s="24"/>
      <c r="TVR127" s="211"/>
      <c r="TVS127" s="24"/>
      <c r="TVT127" s="211"/>
      <c r="TVU127" s="24"/>
      <c r="TVV127" s="211"/>
      <c r="TVW127" s="24"/>
      <c r="TVX127" s="211"/>
      <c r="TVY127" s="24"/>
      <c r="TVZ127" s="211"/>
      <c r="TWA127" s="24"/>
      <c r="TWB127" s="211"/>
      <c r="TWC127" s="24"/>
      <c r="TWD127" s="211"/>
      <c r="TWE127" s="24"/>
      <c r="TWF127" s="211"/>
      <c r="TWG127" s="24"/>
      <c r="TWH127" s="211"/>
      <c r="TWI127" s="24"/>
      <c r="TWJ127" s="211"/>
      <c r="TWK127" s="24"/>
      <c r="TWL127" s="211"/>
      <c r="TWM127" s="24"/>
      <c r="TWN127" s="211"/>
      <c r="TWO127" s="24"/>
      <c r="TWP127" s="211"/>
      <c r="TWQ127" s="24"/>
      <c r="TWR127" s="211"/>
      <c r="TWS127" s="24"/>
      <c r="TWT127" s="211"/>
      <c r="TWU127" s="24"/>
      <c r="TWV127" s="211"/>
      <c r="TWW127" s="24"/>
      <c r="TWX127" s="211"/>
      <c r="TWY127" s="24"/>
      <c r="TWZ127" s="211"/>
      <c r="TXA127" s="24"/>
      <c r="TXB127" s="211"/>
      <c r="TXC127" s="24"/>
      <c r="TXD127" s="211"/>
      <c r="TXE127" s="24"/>
      <c r="TXF127" s="211"/>
      <c r="TXG127" s="24"/>
      <c r="TXH127" s="211"/>
      <c r="TXI127" s="24"/>
      <c r="TXJ127" s="211"/>
      <c r="TXK127" s="24"/>
      <c r="TXL127" s="211"/>
      <c r="TXM127" s="24"/>
      <c r="TXN127" s="211"/>
      <c r="TXO127" s="24"/>
      <c r="TXP127" s="211"/>
      <c r="TXQ127" s="24"/>
      <c r="TXR127" s="211"/>
      <c r="TXS127" s="24"/>
      <c r="TXT127" s="211"/>
      <c r="TXU127" s="24"/>
      <c r="TXV127" s="211"/>
      <c r="TXW127" s="24"/>
      <c r="TXX127" s="211"/>
      <c r="TXY127" s="24"/>
      <c r="TXZ127" s="211"/>
      <c r="TYA127" s="24"/>
      <c r="TYB127" s="211"/>
      <c r="TYC127" s="24"/>
      <c r="TYD127" s="211"/>
      <c r="TYE127" s="24"/>
      <c r="TYF127" s="211"/>
      <c r="TYG127" s="24"/>
      <c r="TYH127" s="211"/>
      <c r="TYI127" s="24"/>
      <c r="TYJ127" s="211"/>
      <c r="TYK127" s="24"/>
      <c r="TYL127" s="211"/>
      <c r="TYM127" s="24"/>
      <c r="TYN127" s="211"/>
      <c r="TYO127" s="24"/>
      <c r="TYP127" s="211"/>
      <c r="TYQ127" s="24"/>
      <c r="TYR127" s="211"/>
      <c r="TYS127" s="24"/>
      <c r="TYT127" s="211"/>
      <c r="TYU127" s="24"/>
      <c r="TYV127" s="211"/>
      <c r="TYW127" s="24"/>
      <c r="TYX127" s="211"/>
      <c r="TYY127" s="24"/>
      <c r="TYZ127" s="211"/>
      <c r="TZA127" s="24"/>
      <c r="TZB127" s="211"/>
      <c r="TZC127" s="24"/>
      <c r="TZD127" s="211"/>
      <c r="TZE127" s="24"/>
      <c r="TZF127" s="211"/>
      <c r="TZG127" s="24"/>
      <c r="TZH127" s="211"/>
      <c r="TZI127" s="24"/>
      <c r="TZJ127" s="211"/>
      <c r="TZK127" s="24"/>
      <c r="TZL127" s="211"/>
      <c r="TZM127" s="24"/>
      <c r="TZN127" s="211"/>
      <c r="TZO127" s="24"/>
      <c r="TZP127" s="211"/>
      <c r="TZQ127" s="24"/>
      <c r="TZR127" s="211"/>
      <c r="TZS127" s="24"/>
      <c r="TZT127" s="211"/>
      <c r="TZU127" s="24"/>
      <c r="TZV127" s="211"/>
      <c r="TZW127" s="24"/>
      <c r="TZX127" s="211"/>
      <c r="TZY127" s="24"/>
      <c r="TZZ127" s="211"/>
      <c r="UAA127" s="24"/>
      <c r="UAB127" s="211"/>
      <c r="UAC127" s="24"/>
      <c r="UAD127" s="211"/>
      <c r="UAE127" s="24"/>
      <c r="UAF127" s="211"/>
      <c r="UAG127" s="24"/>
      <c r="UAH127" s="211"/>
      <c r="UAI127" s="24"/>
      <c r="UAJ127" s="211"/>
      <c r="UAK127" s="24"/>
      <c r="UAL127" s="211"/>
      <c r="UAM127" s="24"/>
      <c r="UAN127" s="211"/>
      <c r="UAO127" s="24"/>
      <c r="UAP127" s="211"/>
      <c r="UAQ127" s="24"/>
      <c r="UAR127" s="211"/>
      <c r="UAS127" s="24"/>
      <c r="UAT127" s="211"/>
      <c r="UAU127" s="24"/>
      <c r="UAV127" s="211"/>
      <c r="UAW127" s="24"/>
      <c r="UAX127" s="211"/>
      <c r="UAY127" s="24"/>
      <c r="UAZ127" s="211"/>
      <c r="UBA127" s="24"/>
      <c r="UBB127" s="211"/>
      <c r="UBC127" s="24"/>
      <c r="UBD127" s="211"/>
      <c r="UBE127" s="24"/>
      <c r="UBF127" s="211"/>
      <c r="UBG127" s="24"/>
      <c r="UBH127" s="211"/>
      <c r="UBI127" s="24"/>
      <c r="UBJ127" s="211"/>
      <c r="UBK127" s="24"/>
      <c r="UBL127" s="211"/>
      <c r="UBM127" s="24"/>
      <c r="UBN127" s="211"/>
      <c r="UBO127" s="24"/>
      <c r="UBP127" s="211"/>
      <c r="UBQ127" s="24"/>
      <c r="UBR127" s="211"/>
      <c r="UBS127" s="24"/>
      <c r="UBT127" s="211"/>
      <c r="UBU127" s="24"/>
      <c r="UBV127" s="211"/>
      <c r="UBW127" s="24"/>
      <c r="UBX127" s="211"/>
      <c r="UBY127" s="24"/>
      <c r="UBZ127" s="211"/>
      <c r="UCA127" s="24"/>
      <c r="UCB127" s="211"/>
      <c r="UCC127" s="24"/>
      <c r="UCD127" s="211"/>
      <c r="UCE127" s="24"/>
      <c r="UCF127" s="211"/>
      <c r="UCG127" s="24"/>
      <c r="UCH127" s="211"/>
      <c r="UCI127" s="24"/>
      <c r="UCJ127" s="211"/>
      <c r="UCK127" s="24"/>
      <c r="UCL127" s="211"/>
      <c r="UCM127" s="24"/>
      <c r="UCN127" s="211"/>
      <c r="UCO127" s="24"/>
      <c r="UCP127" s="211"/>
      <c r="UCQ127" s="24"/>
      <c r="UCR127" s="211"/>
      <c r="UCS127" s="24"/>
      <c r="UCT127" s="211"/>
      <c r="UCU127" s="24"/>
      <c r="UCV127" s="211"/>
      <c r="UCW127" s="24"/>
      <c r="UCX127" s="211"/>
      <c r="UCY127" s="24"/>
      <c r="UCZ127" s="211"/>
      <c r="UDA127" s="24"/>
      <c r="UDB127" s="211"/>
      <c r="UDC127" s="24"/>
      <c r="UDD127" s="211"/>
      <c r="UDE127" s="24"/>
      <c r="UDF127" s="211"/>
      <c r="UDG127" s="24"/>
      <c r="UDH127" s="211"/>
      <c r="UDI127" s="24"/>
      <c r="UDJ127" s="211"/>
      <c r="UDK127" s="24"/>
      <c r="UDL127" s="211"/>
      <c r="UDM127" s="24"/>
      <c r="UDN127" s="211"/>
      <c r="UDO127" s="24"/>
      <c r="UDP127" s="211"/>
      <c r="UDQ127" s="24"/>
      <c r="UDR127" s="211"/>
      <c r="UDS127" s="24"/>
      <c r="UDT127" s="211"/>
      <c r="UDU127" s="24"/>
      <c r="UDV127" s="211"/>
      <c r="UDW127" s="24"/>
      <c r="UDX127" s="211"/>
      <c r="UDY127" s="24"/>
      <c r="UDZ127" s="211"/>
      <c r="UEA127" s="24"/>
      <c r="UEB127" s="211"/>
      <c r="UEC127" s="24"/>
      <c r="UED127" s="211"/>
      <c r="UEE127" s="24"/>
      <c r="UEF127" s="211"/>
      <c r="UEG127" s="24"/>
      <c r="UEH127" s="211"/>
      <c r="UEI127" s="24"/>
      <c r="UEJ127" s="211"/>
      <c r="UEK127" s="24"/>
      <c r="UEL127" s="211"/>
      <c r="UEM127" s="24"/>
      <c r="UEN127" s="211"/>
      <c r="UEO127" s="24"/>
      <c r="UEP127" s="211"/>
      <c r="UEQ127" s="24"/>
      <c r="UER127" s="211"/>
      <c r="UES127" s="24"/>
      <c r="UET127" s="211"/>
      <c r="UEU127" s="24"/>
      <c r="UEV127" s="211"/>
      <c r="UEW127" s="24"/>
      <c r="UEX127" s="211"/>
      <c r="UEY127" s="24"/>
      <c r="UEZ127" s="211"/>
      <c r="UFA127" s="24"/>
      <c r="UFB127" s="211"/>
      <c r="UFC127" s="24"/>
      <c r="UFD127" s="211"/>
      <c r="UFE127" s="24"/>
      <c r="UFF127" s="211"/>
      <c r="UFG127" s="24"/>
      <c r="UFH127" s="211"/>
      <c r="UFI127" s="24"/>
      <c r="UFJ127" s="211"/>
      <c r="UFK127" s="24"/>
      <c r="UFL127" s="211"/>
      <c r="UFM127" s="24"/>
      <c r="UFN127" s="211"/>
      <c r="UFO127" s="24"/>
      <c r="UFP127" s="211"/>
      <c r="UFQ127" s="24"/>
      <c r="UFR127" s="211"/>
      <c r="UFS127" s="24"/>
      <c r="UFT127" s="211"/>
      <c r="UFU127" s="24"/>
      <c r="UFV127" s="211"/>
      <c r="UFW127" s="24"/>
      <c r="UFX127" s="211"/>
      <c r="UFY127" s="24"/>
      <c r="UFZ127" s="211"/>
      <c r="UGA127" s="24"/>
      <c r="UGB127" s="211"/>
      <c r="UGC127" s="24"/>
      <c r="UGD127" s="211"/>
      <c r="UGE127" s="24"/>
      <c r="UGF127" s="211"/>
      <c r="UGG127" s="24"/>
      <c r="UGH127" s="211"/>
      <c r="UGI127" s="24"/>
      <c r="UGJ127" s="211"/>
      <c r="UGK127" s="24"/>
      <c r="UGL127" s="211"/>
      <c r="UGM127" s="24"/>
      <c r="UGN127" s="211"/>
      <c r="UGO127" s="24"/>
      <c r="UGP127" s="211"/>
      <c r="UGQ127" s="24"/>
      <c r="UGR127" s="211"/>
      <c r="UGS127" s="24"/>
      <c r="UGT127" s="211"/>
      <c r="UGU127" s="24"/>
      <c r="UGV127" s="211"/>
      <c r="UGW127" s="24"/>
      <c r="UGX127" s="211"/>
      <c r="UGY127" s="24"/>
      <c r="UGZ127" s="211"/>
      <c r="UHA127" s="24"/>
      <c r="UHB127" s="211"/>
      <c r="UHC127" s="24"/>
      <c r="UHD127" s="211"/>
      <c r="UHE127" s="24"/>
      <c r="UHF127" s="211"/>
      <c r="UHG127" s="24"/>
      <c r="UHH127" s="211"/>
      <c r="UHI127" s="24"/>
      <c r="UHJ127" s="211"/>
      <c r="UHK127" s="24"/>
      <c r="UHL127" s="211"/>
      <c r="UHM127" s="24"/>
      <c r="UHN127" s="211"/>
      <c r="UHO127" s="24"/>
      <c r="UHP127" s="211"/>
      <c r="UHQ127" s="24"/>
      <c r="UHR127" s="211"/>
      <c r="UHS127" s="24"/>
      <c r="UHT127" s="211"/>
      <c r="UHU127" s="24"/>
      <c r="UHV127" s="211"/>
      <c r="UHW127" s="24"/>
      <c r="UHX127" s="211"/>
      <c r="UHY127" s="24"/>
      <c r="UHZ127" s="211"/>
      <c r="UIA127" s="24"/>
      <c r="UIB127" s="211"/>
      <c r="UIC127" s="24"/>
      <c r="UID127" s="211"/>
      <c r="UIE127" s="24"/>
      <c r="UIF127" s="211"/>
      <c r="UIG127" s="24"/>
      <c r="UIH127" s="211"/>
      <c r="UII127" s="24"/>
      <c r="UIJ127" s="211"/>
      <c r="UIK127" s="24"/>
      <c r="UIL127" s="211"/>
      <c r="UIM127" s="24"/>
      <c r="UIN127" s="211"/>
      <c r="UIO127" s="24"/>
      <c r="UIP127" s="211"/>
      <c r="UIQ127" s="24"/>
      <c r="UIR127" s="211"/>
      <c r="UIS127" s="24"/>
      <c r="UIT127" s="211"/>
      <c r="UIU127" s="24"/>
      <c r="UIV127" s="211"/>
      <c r="UIW127" s="24"/>
      <c r="UIX127" s="211"/>
      <c r="UIY127" s="24"/>
      <c r="UIZ127" s="211"/>
      <c r="UJA127" s="24"/>
      <c r="UJB127" s="211"/>
      <c r="UJC127" s="24"/>
      <c r="UJD127" s="211"/>
      <c r="UJE127" s="24"/>
      <c r="UJF127" s="211"/>
      <c r="UJG127" s="24"/>
      <c r="UJH127" s="211"/>
      <c r="UJI127" s="24"/>
      <c r="UJJ127" s="211"/>
      <c r="UJK127" s="24"/>
      <c r="UJL127" s="211"/>
      <c r="UJM127" s="24"/>
      <c r="UJN127" s="211"/>
      <c r="UJO127" s="24"/>
      <c r="UJP127" s="211"/>
      <c r="UJQ127" s="24"/>
      <c r="UJR127" s="211"/>
      <c r="UJS127" s="24"/>
      <c r="UJT127" s="211"/>
      <c r="UJU127" s="24"/>
      <c r="UJV127" s="211"/>
      <c r="UJW127" s="24"/>
      <c r="UJX127" s="211"/>
      <c r="UJY127" s="24"/>
      <c r="UJZ127" s="211"/>
      <c r="UKA127" s="24"/>
      <c r="UKB127" s="211"/>
      <c r="UKC127" s="24"/>
      <c r="UKD127" s="211"/>
      <c r="UKE127" s="24"/>
      <c r="UKF127" s="211"/>
      <c r="UKG127" s="24"/>
      <c r="UKH127" s="211"/>
      <c r="UKI127" s="24"/>
      <c r="UKJ127" s="211"/>
      <c r="UKK127" s="24"/>
      <c r="UKL127" s="211"/>
      <c r="UKM127" s="24"/>
      <c r="UKN127" s="211"/>
      <c r="UKO127" s="24"/>
      <c r="UKP127" s="211"/>
      <c r="UKQ127" s="24"/>
      <c r="UKR127" s="211"/>
      <c r="UKS127" s="24"/>
      <c r="UKT127" s="211"/>
      <c r="UKU127" s="24"/>
      <c r="UKV127" s="211"/>
      <c r="UKW127" s="24"/>
      <c r="UKX127" s="211"/>
      <c r="UKY127" s="24"/>
      <c r="UKZ127" s="211"/>
      <c r="ULA127" s="24"/>
      <c r="ULB127" s="211"/>
      <c r="ULC127" s="24"/>
      <c r="ULD127" s="211"/>
      <c r="ULE127" s="24"/>
      <c r="ULF127" s="211"/>
      <c r="ULG127" s="24"/>
      <c r="ULH127" s="211"/>
      <c r="ULI127" s="24"/>
      <c r="ULJ127" s="211"/>
      <c r="ULK127" s="24"/>
      <c r="ULL127" s="211"/>
      <c r="ULM127" s="24"/>
      <c r="ULN127" s="211"/>
      <c r="ULO127" s="24"/>
      <c r="ULP127" s="211"/>
      <c r="ULQ127" s="24"/>
      <c r="ULR127" s="211"/>
      <c r="ULS127" s="24"/>
      <c r="ULT127" s="211"/>
      <c r="ULU127" s="24"/>
      <c r="ULV127" s="211"/>
      <c r="ULW127" s="24"/>
      <c r="ULX127" s="211"/>
      <c r="ULY127" s="24"/>
      <c r="ULZ127" s="211"/>
      <c r="UMA127" s="24"/>
      <c r="UMB127" s="211"/>
      <c r="UMC127" s="24"/>
      <c r="UMD127" s="211"/>
      <c r="UME127" s="24"/>
      <c r="UMF127" s="211"/>
      <c r="UMG127" s="24"/>
      <c r="UMH127" s="211"/>
      <c r="UMI127" s="24"/>
      <c r="UMJ127" s="211"/>
      <c r="UMK127" s="24"/>
      <c r="UML127" s="211"/>
      <c r="UMM127" s="24"/>
      <c r="UMN127" s="211"/>
      <c r="UMO127" s="24"/>
      <c r="UMP127" s="211"/>
      <c r="UMQ127" s="24"/>
      <c r="UMR127" s="211"/>
      <c r="UMS127" s="24"/>
      <c r="UMT127" s="211"/>
      <c r="UMU127" s="24"/>
      <c r="UMV127" s="211"/>
      <c r="UMW127" s="24"/>
      <c r="UMX127" s="211"/>
      <c r="UMY127" s="24"/>
      <c r="UMZ127" s="211"/>
      <c r="UNA127" s="24"/>
      <c r="UNB127" s="211"/>
      <c r="UNC127" s="24"/>
      <c r="UND127" s="211"/>
      <c r="UNE127" s="24"/>
      <c r="UNF127" s="211"/>
      <c r="UNG127" s="24"/>
      <c r="UNH127" s="211"/>
      <c r="UNI127" s="24"/>
      <c r="UNJ127" s="211"/>
      <c r="UNK127" s="24"/>
      <c r="UNL127" s="211"/>
      <c r="UNM127" s="24"/>
      <c r="UNN127" s="211"/>
      <c r="UNO127" s="24"/>
      <c r="UNP127" s="211"/>
      <c r="UNQ127" s="24"/>
      <c r="UNR127" s="211"/>
      <c r="UNS127" s="24"/>
      <c r="UNT127" s="211"/>
      <c r="UNU127" s="24"/>
      <c r="UNV127" s="211"/>
      <c r="UNW127" s="24"/>
      <c r="UNX127" s="211"/>
      <c r="UNY127" s="24"/>
      <c r="UNZ127" s="211"/>
      <c r="UOA127" s="24"/>
      <c r="UOB127" s="211"/>
      <c r="UOC127" s="24"/>
      <c r="UOD127" s="211"/>
      <c r="UOE127" s="24"/>
      <c r="UOF127" s="211"/>
      <c r="UOG127" s="24"/>
      <c r="UOH127" s="211"/>
      <c r="UOI127" s="24"/>
      <c r="UOJ127" s="211"/>
      <c r="UOK127" s="24"/>
      <c r="UOL127" s="211"/>
      <c r="UOM127" s="24"/>
      <c r="UON127" s="211"/>
      <c r="UOO127" s="24"/>
      <c r="UOP127" s="211"/>
      <c r="UOQ127" s="24"/>
      <c r="UOR127" s="211"/>
      <c r="UOS127" s="24"/>
      <c r="UOT127" s="211"/>
      <c r="UOU127" s="24"/>
      <c r="UOV127" s="211"/>
      <c r="UOW127" s="24"/>
      <c r="UOX127" s="211"/>
      <c r="UOY127" s="24"/>
      <c r="UOZ127" s="211"/>
      <c r="UPA127" s="24"/>
      <c r="UPB127" s="211"/>
      <c r="UPC127" s="24"/>
      <c r="UPD127" s="211"/>
      <c r="UPE127" s="24"/>
      <c r="UPF127" s="211"/>
      <c r="UPG127" s="24"/>
      <c r="UPH127" s="211"/>
      <c r="UPI127" s="24"/>
      <c r="UPJ127" s="211"/>
      <c r="UPK127" s="24"/>
      <c r="UPL127" s="211"/>
      <c r="UPM127" s="24"/>
      <c r="UPN127" s="211"/>
      <c r="UPO127" s="24"/>
      <c r="UPP127" s="211"/>
      <c r="UPQ127" s="24"/>
      <c r="UPR127" s="211"/>
      <c r="UPS127" s="24"/>
      <c r="UPT127" s="211"/>
      <c r="UPU127" s="24"/>
      <c r="UPV127" s="211"/>
      <c r="UPW127" s="24"/>
      <c r="UPX127" s="211"/>
      <c r="UPY127" s="24"/>
      <c r="UPZ127" s="211"/>
      <c r="UQA127" s="24"/>
      <c r="UQB127" s="211"/>
      <c r="UQC127" s="24"/>
      <c r="UQD127" s="211"/>
      <c r="UQE127" s="24"/>
      <c r="UQF127" s="211"/>
      <c r="UQG127" s="24"/>
      <c r="UQH127" s="211"/>
      <c r="UQI127" s="24"/>
      <c r="UQJ127" s="211"/>
      <c r="UQK127" s="24"/>
      <c r="UQL127" s="211"/>
      <c r="UQM127" s="24"/>
      <c r="UQN127" s="211"/>
      <c r="UQO127" s="24"/>
      <c r="UQP127" s="211"/>
      <c r="UQQ127" s="24"/>
      <c r="UQR127" s="211"/>
      <c r="UQS127" s="24"/>
      <c r="UQT127" s="211"/>
      <c r="UQU127" s="24"/>
      <c r="UQV127" s="211"/>
      <c r="UQW127" s="24"/>
      <c r="UQX127" s="211"/>
      <c r="UQY127" s="24"/>
      <c r="UQZ127" s="211"/>
      <c r="URA127" s="24"/>
      <c r="URB127" s="211"/>
      <c r="URC127" s="24"/>
      <c r="URD127" s="211"/>
      <c r="URE127" s="24"/>
      <c r="URF127" s="211"/>
      <c r="URG127" s="24"/>
      <c r="URH127" s="211"/>
      <c r="URI127" s="24"/>
      <c r="URJ127" s="211"/>
      <c r="URK127" s="24"/>
      <c r="URL127" s="211"/>
      <c r="URM127" s="24"/>
      <c r="URN127" s="211"/>
      <c r="URO127" s="24"/>
      <c r="URP127" s="211"/>
      <c r="URQ127" s="24"/>
      <c r="URR127" s="211"/>
      <c r="URS127" s="24"/>
      <c r="URT127" s="211"/>
      <c r="URU127" s="24"/>
      <c r="URV127" s="211"/>
      <c r="URW127" s="24"/>
      <c r="URX127" s="211"/>
      <c r="URY127" s="24"/>
      <c r="URZ127" s="211"/>
      <c r="USA127" s="24"/>
      <c r="USB127" s="211"/>
      <c r="USC127" s="24"/>
      <c r="USD127" s="211"/>
      <c r="USE127" s="24"/>
      <c r="USF127" s="211"/>
      <c r="USG127" s="24"/>
      <c r="USH127" s="211"/>
      <c r="USI127" s="24"/>
      <c r="USJ127" s="211"/>
      <c r="USK127" s="24"/>
      <c r="USL127" s="211"/>
      <c r="USM127" s="24"/>
      <c r="USN127" s="211"/>
      <c r="USO127" s="24"/>
      <c r="USP127" s="211"/>
      <c r="USQ127" s="24"/>
      <c r="USR127" s="211"/>
      <c r="USS127" s="24"/>
      <c r="UST127" s="211"/>
      <c r="USU127" s="24"/>
      <c r="USV127" s="211"/>
      <c r="USW127" s="24"/>
      <c r="USX127" s="211"/>
      <c r="USY127" s="24"/>
      <c r="USZ127" s="211"/>
      <c r="UTA127" s="24"/>
      <c r="UTB127" s="211"/>
      <c r="UTC127" s="24"/>
      <c r="UTD127" s="211"/>
      <c r="UTE127" s="24"/>
      <c r="UTF127" s="211"/>
      <c r="UTG127" s="24"/>
      <c r="UTH127" s="211"/>
      <c r="UTI127" s="24"/>
      <c r="UTJ127" s="211"/>
      <c r="UTK127" s="24"/>
      <c r="UTL127" s="211"/>
      <c r="UTM127" s="24"/>
      <c r="UTN127" s="211"/>
      <c r="UTO127" s="24"/>
      <c r="UTP127" s="211"/>
      <c r="UTQ127" s="24"/>
      <c r="UTR127" s="211"/>
      <c r="UTS127" s="24"/>
      <c r="UTT127" s="211"/>
      <c r="UTU127" s="24"/>
      <c r="UTV127" s="211"/>
      <c r="UTW127" s="24"/>
      <c r="UTX127" s="211"/>
      <c r="UTY127" s="24"/>
      <c r="UTZ127" s="211"/>
      <c r="UUA127" s="24"/>
      <c r="UUB127" s="211"/>
      <c r="UUC127" s="24"/>
      <c r="UUD127" s="211"/>
      <c r="UUE127" s="24"/>
      <c r="UUF127" s="211"/>
      <c r="UUG127" s="24"/>
      <c r="UUH127" s="211"/>
      <c r="UUI127" s="24"/>
      <c r="UUJ127" s="211"/>
      <c r="UUK127" s="24"/>
      <c r="UUL127" s="211"/>
      <c r="UUM127" s="24"/>
      <c r="UUN127" s="211"/>
      <c r="UUO127" s="24"/>
      <c r="UUP127" s="211"/>
      <c r="UUQ127" s="24"/>
      <c r="UUR127" s="211"/>
      <c r="UUS127" s="24"/>
      <c r="UUT127" s="211"/>
      <c r="UUU127" s="24"/>
      <c r="UUV127" s="211"/>
      <c r="UUW127" s="24"/>
      <c r="UUX127" s="211"/>
      <c r="UUY127" s="24"/>
      <c r="UUZ127" s="211"/>
      <c r="UVA127" s="24"/>
      <c r="UVB127" s="211"/>
      <c r="UVC127" s="24"/>
      <c r="UVD127" s="211"/>
      <c r="UVE127" s="24"/>
      <c r="UVF127" s="211"/>
      <c r="UVG127" s="24"/>
      <c r="UVH127" s="211"/>
      <c r="UVI127" s="24"/>
      <c r="UVJ127" s="211"/>
      <c r="UVK127" s="24"/>
      <c r="UVL127" s="211"/>
      <c r="UVM127" s="24"/>
      <c r="UVN127" s="211"/>
      <c r="UVO127" s="24"/>
      <c r="UVP127" s="211"/>
      <c r="UVQ127" s="24"/>
      <c r="UVR127" s="211"/>
      <c r="UVS127" s="24"/>
      <c r="UVT127" s="211"/>
      <c r="UVU127" s="24"/>
      <c r="UVV127" s="211"/>
      <c r="UVW127" s="24"/>
      <c r="UVX127" s="211"/>
      <c r="UVY127" s="24"/>
      <c r="UVZ127" s="211"/>
      <c r="UWA127" s="24"/>
      <c r="UWB127" s="211"/>
      <c r="UWC127" s="24"/>
      <c r="UWD127" s="211"/>
      <c r="UWE127" s="24"/>
      <c r="UWF127" s="211"/>
      <c r="UWG127" s="24"/>
      <c r="UWH127" s="211"/>
      <c r="UWI127" s="24"/>
      <c r="UWJ127" s="211"/>
      <c r="UWK127" s="24"/>
      <c r="UWL127" s="211"/>
      <c r="UWM127" s="24"/>
      <c r="UWN127" s="211"/>
      <c r="UWO127" s="24"/>
      <c r="UWP127" s="211"/>
      <c r="UWQ127" s="24"/>
      <c r="UWR127" s="211"/>
      <c r="UWS127" s="24"/>
      <c r="UWT127" s="211"/>
      <c r="UWU127" s="24"/>
      <c r="UWV127" s="211"/>
      <c r="UWW127" s="24"/>
      <c r="UWX127" s="211"/>
      <c r="UWY127" s="24"/>
      <c r="UWZ127" s="211"/>
      <c r="UXA127" s="24"/>
      <c r="UXB127" s="211"/>
      <c r="UXC127" s="24"/>
      <c r="UXD127" s="211"/>
      <c r="UXE127" s="24"/>
      <c r="UXF127" s="211"/>
      <c r="UXG127" s="24"/>
      <c r="UXH127" s="211"/>
      <c r="UXI127" s="24"/>
      <c r="UXJ127" s="211"/>
      <c r="UXK127" s="24"/>
      <c r="UXL127" s="211"/>
      <c r="UXM127" s="24"/>
      <c r="UXN127" s="211"/>
      <c r="UXO127" s="24"/>
      <c r="UXP127" s="211"/>
      <c r="UXQ127" s="24"/>
      <c r="UXR127" s="211"/>
      <c r="UXS127" s="24"/>
      <c r="UXT127" s="211"/>
      <c r="UXU127" s="24"/>
      <c r="UXV127" s="211"/>
      <c r="UXW127" s="24"/>
      <c r="UXX127" s="211"/>
      <c r="UXY127" s="24"/>
      <c r="UXZ127" s="211"/>
      <c r="UYA127" s="24"/>
      <c r="UYB127" s="211"/>
      <c r="UYC127" s="24"/>
      <c r="UYD127" s="211"/>
      <c r="UYE127" s="24"/>
      <c r="UYF127" s="211"/>
      <c r="UYG127" s="24"/>
      <c r="UYH127" s="211"/>
      <c r="UYI127" s="24"/>
      <c r="UYJ127" s="211"/>
      <c r="UYK127" s="24"/>
      <c r="UYL127" s="211"/>
      <c r="UYM127" s="24"/>
      <c r="UYN127" s="211"/>
      <c r="UYO127" s="24"/>
      <c r="UYP127" s="211"/>
      <c r="UYQ127" s="24"/>
      <c r="UYR127" s="211"/>
      <c r="UYS127" s="24"/>
      <c r="UYT127" s="211"/>
      <c r="UYU127" s="24"/>
      <c r="UYV127" s="211"/>
      <c r="UYW127" s="24"/>
      <c r="UYX127" s="211"/>
      <c r="UYY127" s="24"/>
      <c r="UYZ127" s="211"/>
      <c r="UZA127" s="24"/>
      <c r="UZB127" s="211"/>
      <c r="UZC127" s="24"/>
      <c r="UZD127" s="211"/>
      <c r="UZE127" s="24"/>
      <c r="UZF127" s="211"/>
      <c r="UZG127" s="24"/>
      <c r="UZH127" s="211"/>
      <c r="UZI127" s="24"/>
      <c r="UZJ127" s="211"/>
      <c r="UZK127" s="24"/>
      <c r="UZL127" s="211"/>
      <c r="UZM127" s="24"/>
      <c r="UZN127" s="211"/>
      <c r="UZO127" s="24"/>
      <c r="UZP127" s="211"/>
      <c r="UZQ127" s="24"/>
      <c r="UZR127" s="211"/>
      <c r="UZS127" s="24"/>
      <c r="UZT127" s="211"/>
      <c r="UZU127" s="24"/>
      <c r="UZV127" s="211"/>
      <c r="UZW127" s="24"/>
      <c r="UZX127" s="211"/>
      <c r="UZY127" s="24"/>
      <c r="UZZ127" s="211"/>
      <c r="VAA127" s="24"/>
      <c r="VAB127" s="211"/>
      <c r="VAC127" s="24"/>
      <c r="VAD127" s="211"/>
      <c r="VAE127" s="24"/>
      <c r="VAF127" s="211"/>
      <c r="VAG127" s="24"/>
      <c r="VAH127" s="211"/>
      <c r="VAI127" s="24"/>
      <c r="VAJ127" s="211"/>
      <c r="VAK127" s="24"/>
      <c r="VAL127" s="211"/>
      <c r="VAM127" s="24"/>
      <c r="VAN127" s="211"/>
      <c r="VAO127" s="24"/>
      <c r="VAP127" s="211"/>
      <c r="VAQ127" s="24"/>
      <c r="VAR127" s="211"/>
      <c r="VAS127" s="24"/>
      <c r="VAT127" s="211"/>
      <c r="VAU127" s="24"/>
      <c r="VAV127" s="211"/>
      <c r="VAW127" s="24"/>
      <c r="VAX127" s="211"/>
      <c r="VAY127" s="24"/>
      <c r="VAZ127" s="211"/>
      <c r="VBA127" s="24"/>
      <c r="VBB127" s="211"/>
      <c r="VBC127" s="24"/>
      <c r="VBD127" s="211"/>
      <c r="VBE127" s="24"/>
      <c r="VBF127" s="211"/>
      <c r="VBG127" s="24"/>
      <c r="VBH127" s="211"/>
      <c r="VBI127" s="24"/>
      <c r="VBJ127" s="211"/>
      <c r="VBK127" s="24"/>
      <c r="VBL127" s="211"/>
      <c r="VBM127" s="24"/>
      <c r="VBN127" s="211"/>
      <c r="VBO127" s="24"/>
      <c r="VBP127" s="211"/>
      <c r="VBQ127" s="24"/>
      <c r="VBR127" s="211"/>
      <c r="VBS127" s="24"/>
      <c r="VBT127" s="211"/>
      <c r="VBU127" s="24"/>
      <c r="VBV127" s="211"/>
      <c r="VBW127" s="24"/>
      <c r="VBX127" s="211"/>
      <c r="VBY127" s="24"/>
      <c r="VBZ127" s="211"/>
      <c r="VCA127" s="24"/>
      <c r="VCB127" s="211"/>
      <c r="VCC127" s="24"/>
      <c r="VCD127" s="211"/>
      <c r="VCE127" s="24"/>
      <c r="VCF127" s="211"/>
      <c r="VCG127" s="24"/>
      <c r="VCH127" s="211"/>
      <c r="VCI127" s="24"/>
      <c r="VCJ127" s="211"/>
      <c r="VCK127" s="24"/>
      <c r="VCL127" s="211"/>
      <c r="VCM127" s="24"/>
      <c r="VCN127" s="211"/>
      <c r="VCO127" s="24"/>
      <c r="VCP127" s="211"/>
      <c r="VCQ127" s="24"/>
      <c r="VCR127" s="211"/>
      <c r="VCS127" s="24"/>
      <c r="VCT127" s="211"/>
      <c r="VCU127" s="24"/>
      <c r="VCV127" s="211"/>
      <c r="VCW127" s="24"/>
      <c r="VCX127" s="211"/>
      <c r="VCY127" s="24"/>
      <c r="VCZ127" s="211"/>
      <c r="VDA127" s="24"/>
      <c r="VDB127" s="211"/>
      <c r="VDC127" s="24"/>
      <c r="VDD127" s="211"/>
      <c r="VDE127" s="24"/>
      <c r="VDF127" s="211"/>
      <c r="VDG127" s="24"/>
      <c r="VDH127" s="211"/>
      <c r="VDI127" s="24"/>
      <c r="VDJ127" s="211"/>
      <c r="VDK127" s="24"/>
      <c r="VDL127" s="211"/>
      <c r="VDM127" s="24"/>
      <c r="VDN127" s="211"/>
      <c r="VDO127" s="24"/>
      <c r="VDP127" s="211"/>
      <c r="VDQ127" s="24"/>
      <c r="VDR127" s="211"/>
      <c r="VDS127" s="24"/>
      <c r="VDT127" s="211"/>
      <c r="VDU127" s="24"/>
      <c r="VDV127" s="211"/>
      <c r="VDW127" s="24"/>
      <c r="VDX127" s="211"/>
      <c r="VDY127" s="24"/>
      <c r="VDZ127" s="211"/>
      <c r="VEA127" s="24"/>
      <c r="VEB127" s="211"/>
      <c r="VEC127" s="24"/>
      <c r="VED127" s="211"/>
      <c r="VEE127" s="24"/>
      <c r="VEF127" s="211"/>
      <c r="VEG127" s="24"/>
      <c r="VEH127" s="211"/>
      <c r="VEI127" s="24"/>
      <c r="VEJ127" s="211"/>
      <c r="VEK127" s="24"/>
      <c r="VEL127" s="211"/>
      <c r="VEM127" s="24"/>
      <c r="VEN127" s="211"/>
      <c r="VEO127" s="24"/>
      <c r="VEP127" s="211"/>
      <c r="VEQ127" s="24"/>
      <c r="VER127" s="211"/>
      <c r="VES127" s="24"/>
      <c r="VET127" s="211"/>
      <c r="VEU127" s="24"/>
      <c r="VEV127" s="211"/>
      <c r="VEW127" s="24"/>
      <c r="VEX127" s="211"/>
      <c r="VEY127" s="24"/>
      <c r="VEZ127" s="211"/>
      <c r="VFA127" s="24"/>
      <c r="VFB127" s="211"/>
      <c r="VFC127" s="24"/>
      <c r="VFD127" s="211"/>
      <c r="VFE127" s="24"/>
      <c r="VFF127" s="211"/>
      <c r="VFG127" s="24"/>
      <c r="VFH127" s="211"/>
      <c r="VFI127" s="24"/>
      <c r="VFJ127" s="211"/>
      <c r="VFK127" s="24"/>
      <c r="VFL127" s="211"/>
      <c r="VFM127" s="24"/>
      <c r="VFN127" s="211"/>
      <c r="VFO127" s="24"/>
      <c r="VFP127" s="211"/>
      <c r="VFQ127" s="24"/>
      <c r="VFR127" s="211"/>
      <c r="VFS127" s="24"/>
      <c r="VFT127" s="211"/>
      <c r="VFU127" s="24"/>
      <c r="VFV127" s="211"/>
      <c r="VFW127" s="24"/>
      <c r="VFX127" s="211"/>
      <c r="VFY127" s="24"/>
      <c r="VFZ127" s="211"/>
      <c r="VGA127" s="24"/>
      <c r="VGB127" s="211"/>
      <c r="VGC127" s="24"/>
      <c r="VGD127" s="211"/>
      <c r="VGE127" s="24"/>
      <c r="VGF127" s="211"/>
      <c r="VGG127" s="24"/>
      <c r="VGH127" s="211"/>
      <c r="VGI127" s="24"/>
      <c r="VGJ127" s="211"/>
      <c r="VGK127" s="24"/>
      <c r="VGL127" s="211"/>
      <c r="VGM127" s="24"/>
      <c r="VGN127" s="211"/>
      <c r="VGO127" s="24"/>
      <c r="VGP127" s="211"/>
      <c r="VGQ127" s="24"/>
      <c r="VGR127" s="211"/>
      <c r="VGS127" s="24"/>
      <c r="VGT127" s="211"/>
      <c r="VGU127" s="24"/>
      <c r="VGV127" s="211"/>
      <c r="VGW127" s="24"/>
      <c r="VGX127" s="211"/>
      <c r="VGY127" s="24"/>
      <c r="VGZ127" s="211"/>
      <c r="VHA127" s="24"/>
      <c r="VHB127" s="211"/>
      <c r="VHC127" s="24"/>
      <c r="VHD127" s="211"/>
      <c r="VHE127" s="24"/>
      <c r="VHF127" s="211"/>
      <c r="VHG127" s="24"/>
      <c r="VHH127" s="211"/>
      <c r="VHI127" s="24"/>
      <c r="VHJ127" s="211"/>
      <c r="VHK127" s="24"/>
      <c r="VHL127" s="211"/>
      <c r="VHM127" s="24"/>
      <c r="VHN127" s="211"/>
      <c r="VHO127" s="24"/>
      <c r="VHP127" s="211"/>
      <c r="VHQ127" s="24"/>
      <c r="VHR127" s="211"/>
      <c r="VHS127" s="24"/>
      <c r="VHT127" s="211"/>
      <c r="VHU127" s="24"/>
      <c r="VHV127" s="211"/>
      <c r="VHW127" s="24"/>
      <c r="VHX127" s="211"/>
      <c r="VHY127" s="24"/>
      <c r="VHZ127" s="211"/>
      <c r="VIA127" s="24"/>
      <c r="VIB127" s="211"/>
      <c r="VIC127" s="24"/>
      <c r="VID127" s="211"/>
      <c r="VIE127" s="24"/>
      <c r="VIF127" s="211"/>
      <c r="VIG127" s="24"/>
      <c r="VIH127" s="211"/>
      <c r="VII127" s="24"/>
      <c r="VIJ127" s="211"/>
      <c r="VIK127" s="24"/>
      <c r="VIL127" s="211"/>
      <c r="VIM127" s="24"/>
      <c r="VIN127" s="211"/>
      <c r="VIO127" s="24"/>
      <c r="VIP127" s="211"/>
      <c r="VIQ127" s="24"/>
      <c r="VIR127" s="211"/>
      <c r="VIS127" s="24"/>
      <c r="VIT127" s="211"/>
      <c r="VIU127" s="24"/>
      <c r="VIV127" s="211"/>
      <c r="VIW127" s="24"/>
      <c r="VIX127" s="211"/>
      <c r="VIY127" s="24"/>
      <c r="VIZ127" s="211"/>
      <c r="VJA127" s="24"/>
      <c r="VJB127" s="211"/>
      <c r="VJC127" s="24"/>
      <c r="VJD127" s="211"/>
      <c r="VJE127" s="24"/>
      <c r="VJF127" s="211"/>
      <c r="VJG127" s="24"/>
      <c r="VJH127" s="211"/>
      <c r="VJI127" s="24"/>
      <c r="VJJ127" s="211"/>
      <c r="VJK127" s="24"/>
      <c r="VJL127" s="211"/>
      <c r="VJM127" s="24"/>
      <c r="VJN127" s="211"/>
      <c r="VJO127" s="24"/>
      <c r="VJP127" s="211"/>
      <c r="VJQ127" s="24"/>
      <c r="VJR127" s="211"/>
      <c r="VJS127" s="24"/>
      <c r="VJT127" s="211"/>
      <c r="VJU127" s="24"/>
      <c r="VJV127" s="211"/>
      <c r="VJW127" s="24"/>
      <c r="VJX127" s="211"/>
      <c r="VJY127" s="24"/>
      <c r="VJZ127" s="211"/>
      <c r="VKA127" s="24"/>
      <c r="VKB127" s="211"/>
      <c r="VKC127" s="24"/>
      <c r="VKD127" s="211"/>
      <c r="VKE127" s="24"/>
      <c r="VKF127" s="211"/>
      <c r="VKG127" s="24"/>
      <c r="VKH127" s="211"/>
      <c r="VKI127" s="24"/>
      <c r="VKJ127" s="211"/>
      <c r="VKK127" s="24"/>
      <c r="VKL127" s="211"/>
      <c r="VKM127" s="24"/>
      <c r="VKN127" s="211"/>
      <c r="VKO127" s="24"/>
      <c r="VKP127" s="211"/>
      <c r="VKQ127" s="24"/>
      <c r="VKR127" s="211"/>
      <c r="VKS127" s="24"/>
      <c r="VKT127" s="211"/>
      <c r="VKU127" s="24"/>
      <c r="VKV127" s="211"/>
      <c r="VKW127" s="24"/>
      <c r="VKX127" s="211"/>
      <c r="VKY127" s="24"/>
      <c r="VKZ127" s="211"/>
      <c r="VLA127" s="24"/>
      <c r="VLB127" s="211"/>
      <c r="VLC127" s="24"/>
      <c r="VLD127" s="211"/>
      <c r="VLE127" s="24"/>
      <c r="VLF127" s="211"/>
      <c r="VLG127" s="24"/>
      <c r="VLH127" s="211"/>
      <c r="VLI127" s="24"/>
      <c r="VLJ127" s="211"/>
      <c r="VLK127" s="24"/>
      <c r="VLL127" s="211"/>
      <c r="VLM127" s="24"/>
      <c r="VLN127" s="211"/>
      <c r="VLO127" s="24"/>
      <c r="VLP127" s="211"/>
      <c r="VLQ127" s="24"/>
      <c r="VLR127" s="211"/>
      <c r="VLS127" s="24"/>
      <c r="VLT127" s="211"/>
      <c r="VLU127" s="24"/>
      <c r="VLV127" s="211"/>
      <c r="VLW127" s="24"/>
      <c r="VLX127" s="211"/>
      <c r="VLY127" s="24"/>
      <c r="VLZ127" s="211"/>
      <c r="VMA127" s="24"/>
      <c r="VMB127" s="211"/>
      <c r="VMC127" s="24"/>
      <c r="VMD127" s="211"/>
      <c r="VME127" s="24"/>
      <c r="VMF127" s="211"/>
      <c r="VMG127" s="24"/>
      <c r="VMH127" s="211"/>
      <c r="VMI127" s="24"/>
      <c r="VMJ127" s="211"/>
      <c r="VMK127" s="24"/>
      <c r="VML127" s="211"/>
      <c r="VMM127" s="24"/>
      <c r="VMN127" s="211"/>
      <c r="VMO127" s="24"/>
      <c r="VMP127" s="211"/>
      <c r="VMQ127" s="24"/>
      <c r="VMR127" s="211"/>
      <c r="VMS127" s="24"/>
      <c r="VMT127" s="211"/>
      <c r="VMU127" s="24"/>
      <c r="VMV127" s="211"/>
      <c r="VMW127" s="24"/>
      <c r="VMX127" s="211"/>
      <c r="VMY127" s="24"/>
      <c r="VMZ127" s="211"/>
      <c r="VNA127" s="24"/>
      <c r="VNB127" s="211"/>
      <c r="VNC127" s="24"/>
      <c r="VND127" s="211"/>
      <c r="VNE127" s="24"/>
      <c r="VNF127" s="211"/>
      <c r="VNG127" s="24"/>
      <c r="VNH127" s="211"/>
      <c r="VNI127" s="24"/>
      <c r="VNJ127" s="211"/>
      <c r="VNK127" s="24"/>
      <c r="VNL127" s="211"/>
      <c r="VNM127" s="24"/>
      <c r="VNN127" s="211"/>
      <c r="VNO127" s="24"/>
      <c r="VNP127" s="211"/>
      <c r="VNQ127" s="24"/>
      <c r="VNR127" s="211"/>
      <c r="VNS127" s="24"/>
      <c r="VNT127" s="211"/>
      <c r="VNU127" s="24"/>
      <c r="VNV127" s="211"/>
      <c r="VNW127" s="24"/>
      <c r="VNX127" s="211"/>
      <c r="VNY127" s="24"/>
      <c r="VNZ127" s="211"/>
      <c r="VOA127" s="24"/>
      <c r="VOB127" s="211"/>
      <c r="VOC127" s="24"/>
      <c r="VOD127" s="211"/>
      <c r="VOE127" s="24"/>
      <c r="VOF127" s="211"/>
      <c r="VOG127" s="24"/>
      <c r="VOH127" s="211"/>
      <c r="VOI127" s="24"/>
      <c r="VOJ127" s="211"/>
      <c r="VOK127" s="24"/>
      <c r="VOL127" s="211"/>
      <c r="VOM127" s="24"/>
      <c r="VON127" s="211"/>
      <c r="VOO127" s="24"/>
      <c r="VOP127" s="211"/>
      <c r="VOQ127" s="24"/>
      <c r="VOR127" s="211"/>
      <c r="VOS127" s="24"/>
      <c r="VOT127" s="211"/>
      <c r="VOU127" s="24"/>
      <c r="VOV127" s="211"/>
      <c r="VOW127" s="24"/>
      <c r="VOX127" s="211"/>
      <c r="VOY127" s="24"/>
      <c r="VOZ127" s="211"/>
      <c r="VPA127" s="24"/>
      <c r="VPB127" s="211"/>
      <c r="VPC127" s="24"/>
      <c r="VPD127" s="211"/>
      <c r="VPE127" s="24"/>
      <c r="VPF127" s="211"/>
      <c r="VPG127" s="24"/>
      <c r="VPH127" s="211"/>
      <c r="VPI127" s="24"/>
      <c r="VPJ127" s="211"/>
      <c r="VPK127" s="24"/>
      <c r="VPL127" s="211"/>
      <c r="VPM127" s="24"/>
      <c r="VPN127" s="211"/>
      <c r="VPO127" s="24"/>
      <c r="VPP127" s="211"/>
      <c r="VPQ127" s="24"/>
      <c r="VPR127" s="211"/>
      <c r="VPS127" s="24"/>
      <c r="VPT127" s="211"/>
      <c r="VPU127" s="24"/>
      <c r="VPV127" s="211"/>
      <c r="VPW127" s="24"/>
      <c r="VPX127" s="211"/>
      <c r="VPY127" s="24"/>
      <c r="VPZ127" s="211"/>
      <c r="VQA127" s="24"/>
      <c r="VQB127" s="211"/>
      <c r="VQC127" s="24"/>
      <c r="VQD127" s="211"/>
      <c r="VQE127" s="24"/>
      <c r="VQF127" s="211"/>
      <c r="VQG127" s="24"/>
      <c r="VQH127" s="211"/>
      <c r="VQI127" s="24"/>
      <c r="VQJ127" s="211"/>
      <c r="VQK127" s="24"/>
      <c r="VQL127" s="211"/>
      <c r="VQM127" s="24"/>
      <c r="VQN127" s="211"/>
      <c r="VQO127" s="24"/>
      <c r="VQP127" s="211"/>
      <c r="VQQ127" s="24"/>
      <c r="VQR127" s="211"/>
      <c r="VQS127" s="24"/>
      <c r="VQT127" s="211"/>
      <c r="VQU127" s="24"/>
      <c r="VQV127" s="211"/>
      <c r="VQW127" s="24"/>
      <c r="VQX127" s="211"/>
      <c r="VQY127" s="24"/>
      <c r="VQZ127" s="211"/>
      <c r="VRA127" s="24"/>
      <c r="VRB127" s="211"/>
      <c r="VRC127" s="24"/>
      <c r="VRD127" s="211"/>
      <c r="VRE127" s="24"/>
      <c r="VRF127" s="211"/>
      <c r="VRG127" s="24"/>
      <c r="VRH127" s="211"/>
      <c r="VRI127" s="24"/>
      <c r="VRJ127" s="211"/>
      <c r="VRK127" s="24"/>
      <c r="VRL127" s="211"/>
      <c r="VRM127" s="24"/>
      <c r="VRN127" s="211"/>
      <c r="VRO127" s="24"/>
      <c r="VRP127" s="211"/>
      <c r="VRQ127" s="24"/>
      <c r="VRR127" s="211"/>
      <c r="VRS127" s="24"/>
      <c r="VRT127" s="211"/>
      <c r="VRU127" s="24"/>
      <c r="VRV127" s="211"/>
      <c r="VRW127" s="24"/>
      <c r="VRX127" s="211"/>
      <c r="VRY127" s="24"/>
      <c r="VRZ127" s="211"/>
      <c r="VSA127" s="24"/>
      <c r="VSB127" s="211"/>
      <c r="VSC127" s="24"/>
      <c r="VSD127" s="211"/>
      <c r="VSE127" s="24"/>
      <c r="VSF127" s="211"/>
      <c r="VSG127" s="24"/>
      <c r="VSH127" s="211"/>
      <c r="VSI127" s="24"/>
      <c r="VSJ127" s="211"/>
      <c r="VSK127" s="24"/>
      <c r="VSL127" s="211"/>
      <c r="VSM127" s="24"/>
      <c r="VSN127" s="211"/>
      <c r="VSO127" s="24"/>
      <c r="VSP127" s="211"/>
      <c r="VSQ127" s="24"/>
      <c r="VSR127" s="211"/>
      <c r="VSS127" s="24"/>
      <c r="VST127" s="211"/>
      <c r="VSU127" s="24"/>
      <c r="VSV127" s="211"/>
      <c r="VSW127" s="24"/>
      <c r="VSX127" s="211"/>
      <c r="VSY127" s="24"/>
      <c r="VSZ127" s="211"/>
      <c r="VTA127" s="24"/>
      <c r="VTB127" s="211"/>
      <c r="VTC127" s="24"/>
      <c r="VTD127" s="211"/>
      <c r="VTE127" s="24"/>
      <c r="VTF127" s="211"/>
      <c r="VTG127" s="24"/>
      <c r="VTH127" s="211"/>
      <c r="VTI127" s="24"/>
      <c r="VTJ127" s="211"/>
      <c r="VTK127" s="24"/>
      <c r="VTL127" s="211"/>
      <c r="VTM127" s="24"/>
      <c r="VTN127" s="211"/>
      <c r="VTO127" s="24"/>
      <c r="VTP127" s="211"/>
      <c r="VTQ127" s="24"/>
      <c r="VTR127" s="211"/>
      <c r="VTS127" s="24"/>
      <c r="VTT127" s="211"/>
      <c r="VTU127" s="24"/>
      <c r="VTV127" s="211"/>
      <c r="VTW127" s="24"/>
      <c r="VTX127" s="211"/>
      <c r="VTY127" s="24"/>
      <c r="VTZ127" s="211"/>
      <c r="VUA127" s="24"/>
      <c r="VUB127" s="211"/>
      <c r="VUC127" s="24"/>
      <c r="VUD127" s="211"/>
      <c r="VUE127" s="24"/>
      <c r="VUF127" s="211"/>
      <c r="VUG127" s="24"/>
      <c r="VUH127" s="211"/>
      <c r="VUI127" s="24"/>
      <c r="VUJ127" s="211"/>
      <c r="VUK127" s="24"/>
      <c r="VUL127" s="211"/>
      <c r="VUM127" s="24"/>
      <c r="VUN127" s="211"/>
      <c r="VUO127" s="24"/>
      <c r="VUP127" s="211"/>
      <c r="VUQ127" s="24"/>
      <c r="VUR127" s="211"/>
      <c r="VUS127" s="24"/>
      <c r="VUT127" s="211"/>
      <c r="VUU127" s="24"/>
      <c r="VUV127" s="211"/>
      <c r="VUW127" s="24"/>
      <c r="VUX127" s="211"/>
      <c r="VUY127" s="24"/>
      <c r="VUZ127" s="211"/>
      <c r="VVA127" s="24"/>
      <c r="VVB127" s="211"/>
      <c r="VVC127" s="24"/>
      <c r="VVD127" s="211"/>
      <c r="VVE127" s="24"/>
      <c r="VVF127" s="211"/>
      <c r="VVG127" s="24"/>
      <c r="VVH127" s="211"/>
      <c r="VVI127" s="24"/>
      <c r="VVJ127" s="211"/>
      <c r="VVK127" s="24"/>
      <c r="VVL127" s="211"/>
      <c r="VVM127" s="24"/>
      <c r="VVN127" s="211"/>
      <c r="VVO127" s="24"/>
      <c r="VVP127" s="211"/>
      <c r="VVQ127" s="24"/>
      <c r="VVR127" s="211"/>
      <c r="VVS127" s="24"/>
      <c r="VVT127" s="211"/>
      <c r="VVU127" s="24"/>
      <c r="VVV127" s="211"/>
      <c r="VVW127" s="24"/>
      <c r="VVX127" s="211"/>
      <c r="VVY127" s="24"/>
      <c r="VVZ127" s="211"/>
      <c r="VWA127" s="24"/>
      <c r="VWB127" s="211"/>
      <c r="VWC127" s="24"/>
      <c r="VWD127" s="211"/>
      <c r="VWE127" s="24"/>
      <c r="VWF127" s="211"/>
      <c r="VWG127" s="24"/>
      <c r="VWH127" s="211"/>
      <c r="VWI127" s="24"/>
      <c r="VWJ127" s="211"/>
      <c r="VWK127" s="24"/>
      <c r="VWL127" s="211"/>
      <c r="VWM127" s="24"/>
      <c r="VWN127" s="211"/>
      <c r="VWO127" s="24"/>
      <c r="VWP127" s="211"/>
      <c r="VWQ127" s="24"/>
      <c r="VWR127" s="211"/>
      <c r="VWS127" s="24"/>
      <c r="VWT127" s="211"/>
      <c r="VWU127" s="24"/>
      <c r="VWV127" s="211"/>
      <c r="VWW127" s="24"/>
      <c r="VWX127" s="211"/>
      <c r="VWY127" s="24"/>
      <c r="VWZ127" s="211"/>
      <c r="VXA127" s="24"/>
      <c r="VXB127" s="211"/>
      <c r="VXC127" s="24"/>
      <c r="VXD127" s="211"/>
      <c r="VXE127" s="24"/>
      <c r="VXF127" s="211"/>
      <c r="VXG127" s="24"/>
      <c r="VXH127" s="211"/>
      <c r="VXI127" s="24"/>
      <c r="VXJ127" s="211"/>
      <c r="VXK127" s="24"/>
      <c r="VXL127" s="211"/>
      <c r="VXM127" s="24"/>
      <c r="VXN127" s="211"/>
      <c r="VXO127" s="24"/>
      <c r="VXP127" s="211"/>
      <c r="VXQ127" s="24"/>
      <c r="VXR127" s="211"/>
      <c r="VXS127" s="24"/>
      <c r="VXT127" s="211"/>
      <c r="VXU127" s="24"/>
      <c r="VXV127" s="211"/>
      <c r="VXW127" s="24"/>
      <c r="VXX127" s="211"/>
      <c r="VXY127" s="24"/>
      <c r="VXZ127" s="211"/>
      <c r="VYA127" s="24"/>
      <c r="VYB127" s="211"/>
      <c r="VYC127" s="24"/>
      <c r="VYD127" s="211"/>
      <c r="VYE127" s="24"/>
      <c r="VYF127" s="211"/>
      <c r="VYG127" s="24"/>
      <c r="VYH127" s="211"/>
      <c r="VYI127" s="24"/>
      <c r="VYJ127" s="211"/>
      <c r="VYK127" s="24"/>
      <c r="VYL127" s="211"/>
      <c r="VYM127" s="24"/>
      <c r="VYN127" s="211"/>
      <c r="VYO127" s="24"/>
      <c r="VYP127" s="211"/>
      <c r="VYQ127" s="24"/>
      <c r="VYR127" s="211"/>
      <c r="VYS127" s="24"/>
      <c r="VYT127" s="211"/>
      <c r="VYU127" s="24"/>
      <c r="VYV127" s="211"/>
      <c r="VYW127" s="24"/>
      <c r="VYX127" s="211"/>
      <c r="VYY127" s="24"/>
      <c r="VYZ127" s="211"/>
      <c r="VZA127" s="24"/>
      <c r="VZB127" s="211"/>
      <c r="VZC127" s="24"/>
      <c r="VZD127" s="211"/>
      <c r="VZE127" s="24"/>
      <c r="VZF127" s="211"/>
      <c r="VZG127" s="24"/>
      <c r="VZH127" s="211"/>
      <c r="VZI127" s="24"/>
      <c r="VZJ127" s="211"/>
      <c r="VZK127" s="24"/>
      <c r="VZL127" s="211"/>
      <c r="VZM127" s="24"/>
      <c r="VZN127" s="211"/>
      <c r="VZO127" s="24"/>
      <c r="VZP127" s="211"/>
      <c r="VZQ127" s="24"/>
      <c r="VZR127" s="211"/>
      <c r="VZS127" s="24"/>
      <c r="VZT127" s="211"/>
      <c r="VZU127" s="24"/>
      <c r="VZV127" s="211"/>
      <c r="VZW127" s="24"/>
      <c r="VZX127" s="211"/>
      <c r="VZY127" s="24"/>
      <c r="VZZ127" s="211"/>
      <c r="WAA127" s="24"/>
      <c r="WAB127" s="211"/>
      <c r="WAC127" s="24"/>
      <c r="WAD127" s="211"/>
      <c r="WAE127" s="24"/>
      <c r="WAF127" s="211"/>
      <c r="WAG127" s="24"/>
      <c r="WAH127" s="211"/>
      <c r="WAI127" s="24"/>
      <c r="WAJ127" s="211"/>
      <c r="WAK127" s="24"/>
      <c r="WAL127" s="211"/>
      <c r="WAM127" s="24"/>
      <c r="WAN127" s="211"/>
      <c r="WAO127" s="24"/>
      <c r="WAP127" s="211"/>
      <c r="WAQ127" s="24"/>
      <c r="WAR127" s="211"/>
      <c r="WAS127" s="24"/>
      <c r="WAT127" s="211"/>
      <c r="WAU127" s="24"/>
      <c r="WAV127" s="211"/>
      <c r="WAW127" s="24"/>
      <c r="WAX127" s="211"/>
      <c r="WAY127" s="24"/>
      <c r="WAZ127" s="211"/>
      <c r="WBA127" s="24"/>
      <c r="WBB127" s="211"/>
      <c r="WBC127" s="24"/>
      <c r="WBD127" s="211"/>
      <c r="WBE127" s="24"/>
      <c r="WBF127" s="211"/>
      <c r="WBG127" s="24"/>
      <c r="WBH127" s="211"/>
      <c r="WBI127" s="24"/>
      <c r="WBJ127" s="211"/>
      <c r="WBK127" s="24"/>
      <c r="WBL127" s="211"/>
      <c r="WBM127" s="24"/>
      <c r="WBN127" s="211"/>
      <c r="WBO127" s="24"/>
      <c r="WBP127" s="211"/>
      <c r="WBQ127" s="24"/>
      <c r="WBR127" s="211"/>
      <c r="WBS127" s="24"/>
      <c r="WBT127" s="211"/>
      <c r="WBU127" s="24"/>
      <c r="WBV127" s="211"/>
      <c r="WBW127" s="24"/>
      <c r="WBX127" s="211"/>
      <c r="WBY127" s="24"/>
      <c r="WBZ127" s="211"/>
      <c r="WCA127" s="24"/>
      <c r="WCB127" s="211"/>
      <c r="WCC127" s="24"/>
      <c r="WCD127" s="211"/>
      <c r="WCE127" s="24"/>
      <c r="WCF127" s="211"/>
      <c r="WCG127" s="24"/>
      <c r="WCH127" s="211"/>
      <c r="WCI127" s="24"/>
      <c r="WCJ127" s="211"/>
      <c r="WCK127" s="24"/>
      <c r="WCL127" s="211"/>
      <c r="WCM127" s="24"/>
      <c r="WCN127" s="211"/>
      <c r="WCO127" s="24"/>
      <c r="WCP127" s="211"/>
      <c r="WCQ127" s="24"/>
      <c r="WCR127" s="211"/>
      <c r="WCS127" s="24"/>
      <c r="WCT127" s="211"/>
      <c r="WCU127" s="24"/>
      <c r="WCV127" s="211"/>
      <c r="WCW127" s="24"/>
      <c r="WCX127" s="211"/>
      <c r="WCY127" s="24"/>
      <c r="WCZ127" s="211"/>
      <c r="WDA127" s="24"/>
      <c r="WDB127" s="211"/>
      <c r="WDC127" s="24"/>
      <c r="WDD127" s="211"/>
      <c r="WDE127" s="24"/>
      <c r="WDF127" s="211"/>
      <c r="WDG127" s="24"/>
      <c r="WDH127" s="211"/>
      <c r="WDI127" s="24"/>
      <c r="WDJ127" s="211"/>
      <c r="WDK127" s="24"/>
      <c r="WDL127" s="211"/>
      <c r="WDM127" s="24"/>
      <c r="WDN127" s="211"/>
      <c r="WDO127" s="24"/>
      <c r="WDP127" s="211"/>
      <c r="WDQ127" s="24"/>
      <c r="WDR127" s="211"/>
      <c r="WDS127" s="24"/>
      <c r="WDT127" s="211"/>
      <c r="WDU127" s="24"/>
      <c r="WDV127" s="211"/>
      <c r="WDW127" s="24"/>
      <c r="WDX127" s="211"/>
      <c r="WDY127" s="24"/>
      <c r="WDZ127" s="211"/>
      <c r="WEA127" s="24"/>
      <c r="WEB127" s="211"/>
      <c r="WEC127" s="24"/>
      <c r="WED127" s="211"/>
      <c r="WEE127" s="24"/>
      <c r="WEF127" s="211"/>
      <c r="WEG127" s="24"/>
      <c r="WEH127" s="211"/>
      <c r="WEI127" s="24"/>
      <c r="WEJ127" s="211"/>
      <c r="WEK127" s="24"/>
      <c r="WEL127" s="211"/>
      <c r="WEM127" s="24"/>
      <c r="WEN127" s="211"/>
      <c r="WEO127" s="24"/>
      <c r="WEP127" s="211"/>
      <c r="WEQ127" s="24"/>
      <c r="WER127" s="211"/>
      <c r="WES127" s="24"/>
      <c r="WET127" s="211"/>
      <c r="WEU127" s="24"/>
      <c r="WEV127" s="211"/>
      <c r="WEW127" s="24"/>
      <c r="WEX127" s="211"/>
      <c r="WEY127" s="24"/>
      <c r="WEZ127" s="211"/>
      <c r="WFA127" s="24"/>
      <c r="WFB127" s="211"/>
      <c r="WFC127" s="24"/>
      <c r="WFD127" s="211"/>
      <c r="WFE127" s="24"/>
      <c r="WFF127" s="211"/>
      <c r="WFG127" s="24"/>
      <c r="WFH127" s="211"/>
      <c r="WFI127" s="24"/>
      <c r="WFJ127" s="211"/>
      <c r="WFK127" s="24"/>
      <c r="WFL127" s="211"/>
      <c r="WFM127" s="24"/>
      <c r="WFN127" s="211"/>
      <c r="WFO127" s="24"/>
      <c r="WFP127" s="211"/>
      <c r="WFQ127" s="24"/>
      <c r="WFR127" s="211"/>
      <c r="WFS127" s="24"/>
      <c r="WFT127" s="211"/>
      <c r="WFU127" s="24"/>
      <c r="WFV127" s="211"/>
      <c r="WFW127" s="24"/>
      <c r="WFX127" s="211"/>
      <c r="WFY127" s="24"/>
      <c r="WFZ127" s="211"/>
      <c r="WGA127" s="24"/>
      <c r="WGB127" s="211"/>
      <c r="WGC127" s="24"/>
      <c r="WGD127" s="211"/>
      <c r="WGE127" s="24"/>
      <c r="WGF127" s="211"/>
      <c r="WGG127" s="24"/>
      <c r="WGH127" s="211"/>
      <c r="WGI127" s="24"/>
      <c r="WGJ127" s="211"/>
      <c r="WGK127" s="24"/>
      <c r="WGL127" s="211"/>
      <c r="WGM127" s="24"/>
      <c r="WGN127" s="211"/>
      <c r="WGO127" s="24"/>
      <c r="WGP127" s="211"/>
      <c r="WGQ127" s="24"/>
      <c r="WGR127" s="211"/>
      <c r="WGS127" s="24"/>
      <c r="WGT127" s="211"/>
      <c r="WGU127" s="24"/>
      <c r="WGV127" s="211"/>
      <c r="WGW127" s="24"/>
      <c r="WGX127" s="211"/>
      <c r="WGY127" s="24"/>
      <c r="WGZ127" s="211"/>
      <c r="WHA127" s="24"/>
      <c r="WHB127" s="211"/>
      <c r="WHC127" s="24"/>
      <c r="WHD127" s="211"/>
      <c r="WHE127" s="24"/>
      <c r="WHF127" s="211"/>
      <c r="WHG127" s="24"/>
      <c r="WHH127" s="211"/>
      <c r="WHI127" s="24"/>
      <c r="WHJ127" s="211"/>
      <c r="WHK127" s="24"/>
      <c r="WHL127" s="211"/>
      <c r="WHM127" s="24"/>
      <c r="WHN127" s="211"/>
      <c r="WHO127" s="24"/>
      <c r="WHP127" s="211"/>
      <c r="WHQ127" s="24"/>
      <c r="WHR127" s="211"/>
      <c r="WHS127" s="24"/>
      <c r="WHT127" s="211"/>
      <c r="WHU127" s="24"/>
      <c r="WHV127" s="211"/>
      <c r="WHW127" s="24"/>
      <c r="WHX127" s="211"/>
      <c r="WHY127" s="24"/>
      <c r="WHZ127" s="211"/>
      <c r="WIA127" s="24"/>
      <c r="WIB127" s="211"/>
      <c r="WIC127" s="24"/>
      <c r="WID127" s="211"/>
      <c r="WIE127" s="24"/>
      <c r="WIF127" s="211"/>
      <c r="WIG127" s="24"/>
      <c r="WIH127" s="211"/>
      <c r="WII127" s="24"/>
      <c r="WIJ127" s="211"/>
      <c r="WIK127" s="24"/>
      <c r="WIL127" s="211"/>
      <c r="WIM127" s="24"/>
      <c r="WIN127" s="211"/>
      <c r="WIO127" s="24"/>
      <c r="WIP127" s="211"/>
      <c r="WIQ127" s="24"/>
      <c r="WIR127" s="211"/>
      <c r="WIS127" s="24"/>
      <c r="WIT127" s="211"/>
      <c r="WIU127" s="24"/>
      <c r="WIV127" s="211"/>
      <c r="WIW127" s="24"/>
      <c r="WIX127" s="211"/>
      <c r="WIY127" s="24"/>
      <c r="WIZ127" s="211"/>
      <c r="WJA127" s="24"/>
      <c r="WJB127" s="211"/>
      <c r="WJC127" s="24"/>
      <c r="WJD127" s="211"/>
      <c r="WJE127" s="24"/>
      <c r="WJF127" s="211"/>
      <c r="WJG127" s="24"/>
      <c r="WJH127" s="211"/>
      <c r="WJI127" s="24"/>
      <c r="WJJ127" s="211"/>
      <c r="WJK127" s="24"/>
      <c r="WJL127" s="211"/>
      <c r="WJM127" s="24"/>
      <c r="WJN127" s="211"/>
      <c r="WJO127" s="24"/>
      <c r="WJP127" s="211"/>
      <c r="WJQ127" s="24"/>
      <c r="WJR127" s="211"/>
      <c r="WJS127" s="24"/>
      <c r="WJT127" s="211"/>
      <c r="WJU127" s="24"/>
      <c r="WJV127" s="211"/>
      <c r="WJW127" s="24"/>
      <c r="WJX127" s="211"/>
      <c r="WJY127" s="24"/>
      <c r="WJZ127" s="211"/>
      <c r="WKA127" s="24"/>
      <c r="WKB127" s="211"/>
      <c r="WKC127" s="24"/>
      <c r="WKD127" s="211"/>
      <c r="WKE127" s="24"/>
      <c r="WKF127" s="211"/>
      <c r="WKG127" s="24"/>
      <c r="WKH127" s="211"/>
      <c r="WKI127" s="24"/>
      <c r="WKJ127" s="211"/>
      <c r="WKK127" s="24"/>
      <c r="WKL127" s="211"/>
      <c r="WKM127" s="24"/>
      <c r="WKN127" s="211"/>
      <c r="WKO127" s="24"/>
      <c r="WKP127" s="211"/>
      <c r="WKQ127" s="24"/>
      <c r="WKR127" s="211"/>
      <c r="WKS127" s="24"/>
      <c r="WKT127" s="211"/>
      <c r="WKU127" s="24"/>
      <c r="WKV127" s="211"/>
      <c r="WKW127" s="24"/>
      <c r="WKX127" s="211"/>
      <c r="WKY127" s="24"/>
      <c r="WKZ127" s="211"/>
      <c r="WLA127" s="24"/>
      <c r="WLB127" s="211"/>
      <c r="WLC127" s="24"/>
      <c r="WLD127" s="211"/>
      <c r="WLE127" s="24"/>
      <c r="WLF127" s="211"/>
      <c r="WLG127" s="24"/>
      <c r="WLH127" s="211"/>
      <c r="WLI127" s="24"/>
      <c r="WLJ127" s="211"/>
      <c r="WLK127" s="24"/>
      <c r="WLL127" s="211"/>
      <c r="WLM127" s="24"/>
      <c r="WLN127" s="211"/>
      <c r="WLO127" s="24"/>
      <c r="WLP127" s="211"/>
      <c r="WLQ127" s="24"/>
      <c r="WLR127" s="211"/>
      <c r="WLS127" s="24"/>
      <c r="WLT127" s="211"/>
      <c r="WLU127" s="24"/>
      <c r="WLV127" s="211"/>
      <c r="WLW127" s="24"/>
      <c r="WLX127" s="211"/>
      <c r="WLY127" s="24"/>
      <c r="WLZ127" s="211"/>
      <c r="WMA127" s="24"/>
      <c r="WMB127" s="211"/>
      <c r="WMC127" s="24"/>
      <c r="WMD127" s="211"/>
      <c r="WME127" s="24"/>
      <c r="WMF127" s="211"/>
      <c r="WMG127" s="24"/>
      <c r="WMH127" s="211"/>
      <c r="WMI127" s="24"/>
      <c r="WMJ127" s="211"/>
      <c r="WMK127" s="24"/>
      <c r="WML127" s="211"/>
      <c r="WMM127" s="24"/>
      <c r="WMN127" s="211"/>
      <c r="WMO127" s="24"/>
      <c r="WMP127" s="211"/>
      <c r="WMQ127" s="24"/>
      <c r="WMR127" s="211"/>
      <c r="WMS127" s="24"/>
      <c r="WMT127" s="211"/>
      <c r="WMU127" s="24"/>
      <c r="WMV127" s="211"/>
      <c r="WMW127" s="24"/>
      <c r="WMX127" s="211"/>
      <c r="WMY127" s="24"/>
      <c r="WMZ127" s="211"/>
      <c r="WNA127" s="24"/>
      <c r="WNB127" s="211"/>
      <c r="WNC127" s="24"/>
      <c r="WND127" s="211"/>
      <c r="WNE127" s="24"/>
      <c r="WNF127" s="211"/>
      <c r="WNG127" s="24"/>
      <c r="WNH127" s="211"/>
      <c r="WNI127" s="24"/>
      <c r="WNJ127" s="211"/>
      <c r="WNK127" s="24"/>
      <c r="WNL127" s="211"/>
      <c r="WNM127" s="24"/>
      <c r="WNN127" s="211"/>
      <c r="WNO127" s="24"/>
      <c r="WNP127" s="211"/>
      <c r="WNQ127" s="24"/>
      <c r="WNR127" s="211"/>
      <c r="WNS127" s="24"/>
      <c r="WNT127" s="211"/>
      <c r="WNU127" s="24"/>
      <c r="WNV127" s="211"/>
      <c r="WNW127" s="24"/>
      <c r="WNX127" s="211"/>
      <c r="WNY127" s="24"/>
      <c r="WNZ127" s="211"/>
      <c r="WOA127" s="24"/>
      <c r="WOB127" s="211"/>
      <c r="WOC127" s="24"/>
      <c r="WOD127" s="211"/>
      <c r="WOE127" s="24"/>
      <c r="WOF127" s="211"/>
      <c r="WOG127" s="24"/>
      <c r="WOH127" s="211"/>
      <c r="WOI127" s="24"/>
      <c r="WOJ127" s="211"/>
      <c r="WOK127" s="24"/>
      <c r="WOL127" s="211"/>
      <c r="WOM127" s="24"/>
      <c r="WON127" s="211"/>
      <c r="WOO127" s="24"/>
      <c r="WOP127" s="211"/>
      <c r="WOQ127" s="24"/>
      <c r="WOR127" s="211"/>
      <c r="WOS127" s="24"/>
      <c r="WOT127" s="211"/>
      <c r="WOU127" s="24"/>
      <c r="WOV127" s="211"/>
      <c r="WOW127" s="24"/>
      <c r="WOX127" s="211"/>
      <c r="WOY127" s="24"/>
      <c r="WOZ127" s="211"/>
      <c r="WPA127" s="24"/>
      <c r="WPB127" s="211"/>
      <c r="WPC127" s="24"/>
      <c r="WPD127" s="211"/>
      <c r="WPE127" s="24"/>
      <c r="WPF127" s="211"/>
      <c r="WPG127" s="24"/>
      <c r="WPH127" s="211"/>
      <c r="WPI127" s="24"/>
      <c r="WPJ127" s="211"/>
      <c r="WPK127" s="24"/>
      <c r="WPL127" s="211"/>
      <c r="WPM127" s="24"/>
      <c r="WPN127" s="211"/>
      <c r="WPO127" s="24"/>
      <c r="WPP127" s="211"/>
      <c r="WPQ127" s="24"/>
      <c r="WPR127" s="211"/>
      <c r="WPS127" s="24"/>
      <c r="WPT127" s="211"/>
      <c r="WPU127" s="24"/>
      <c r="WPV127" s="211"/>
      <c r="WPW127" s="24"/>
      <c r="WPX127" s="211"/>
      <c r="WPY127" s="24"/>
      <c r="WPZ127" s="211"/>
      <c r="WQA127" s="24"/>
      <c r="WQB127" s="211"/>
      <c r="WQC127" s="24"/>
      <c r="WQD127" s="211"/>
      <c r="WQE127" s="24"/>
      <c r="WQF127" s="211"/>
      <c r="WQG127" s="24"/>
      <c r="WQH127" s="211"/>
      <c r="WQI127" s="24"/>
      <c r="WQJ127" s="211"/>
      <c r="WQK127" s="24"/>
      <c r="WQL127" s="211"/>
      <c r="WQM127" s="24"/>
      <c r="WQN127" s="211"/>
      <c r="WQO127" s="24"/>
      <c r="WQP127" s="211"/>
      <c r="WQQ127" s="24"/>
      <c r="WQR127" s="211"/>
      <c r="WQS127" s="24"/>
      <c r="WQT127" s="211"/>
      <c r="WQU127" s="24"/>
      <c r="WQV127" s="211"/>
      <c r="WQW127" s="24"/>
      <c r="WQX127" s="211"/>
      <c r="WQY127" s="24"/>
      <c r="WQZ127" s="211"/>
      <c r="WRA127" s="24"/>
      <c r="WRB127" s="211"/>
      <c r="WRC127" s="24"/>
      <c r="WRD127" s="211"/>
      <c r="WRE127" s="24"/>
      <c r="WRF127" s="211"/>
      <c r="WRG127" s="24"/>
      <c r="WRH127" s="211"/>
      <c r="WRI127" s="24"/>
      <c r="WRJ127" s="211"/>
      <c r="WRK127" s="24"/>
      <c r="WRL127" s="211"/>
      <c r="WRM127" s="24"/>
      <c r="WRN127" s="211"/>
      <c r="WRO127" s="24"/>
      <c r="WRP127" s="211"/>
      <c r="WRQ127" s="24"/>
      <c r="WRR127" s="211"/>
      <c r="WRS127" s="24"/>
      <c r="WRT127" s="211"/>
      <c r="WRU127" s="24"/>
      <c r="WRV127" s="211"/>
      <c r="WRW127" s="24"/>
      <c r="WRX127" s="211"/>
      <c r="WRY127" s="24"/>
      <c r="WRZ127" s="211"/>
      <c r="WSA127" s="24"/>
      <c r="WSB127" s="211"/>
      <c r="WSC127" s="24"/>
      <c r="WSD127" s="211"/>
      <c r="WSE127" s="24"/>
      <c r="WSF127" s="211"/>
      <c r="WSG127" s="24"/>
      <c r="WSH127" s="211"/>
      <c r="WSI127" s="24"/>
      <c r="WSJ127" s="211"/>
      <c r="WSK127" s="24"/>
      <c r="WSL127" s="211"/>
      <c r="WSM127" s="24"/>
      <c r="WSN127" s="211"/>
      <c r="WSO127" s="24"/>
      <c r="WSP127" s="211"/>
      <c r="WSQ127" s="24"/>
      <c r="WSR127" s="211"/>
      <c r="WSS127" s="24"/>
      <c r="WST127" s="211"/>
      <c r="WSU127" s="24"/>
      <c r="WSV127" s="211"/>
      <c r="WSW127" s="24"/>
      <c r="WSX127" s="211"/>
      <c r="WSY127" s="24"/>
      <c r="WSZ127" s="211"/>
      <c r="WTA127" s="24"/>
      <c r="WTB127" s="211"/>
      <c r="WTC127" s="24"/>
      <c r="WTD127" s="211"/>
      <c r="WTE127" s="24"/>
      <c r="WTF127" s="211"/>
      <c r="WTG127" s="24"/>
      <c r="WTH127" s="211"/>
      <c r="WTI127" s="24"/>
      <c r="WTJ127" s="211"/>
      <c r="WTK127" s="24"/>
      <c r="WTL127" s="211"/>
      <c r="WTM127" s="24"/>
      <c r="WTN127" s="211"/>
      <c r="WTO127" s="24"/>
      <c r="WTP127" s="211"/>
      <c r="WTQ127" s="24"/>
      <c r="WTR127" s="211"/>
      <c r="WTS127" s="24"/>
      <c r="WTT127" s="211"/>
      <c r="WTU127" s="24"/>
      <c r="WTV127" s="211"/>
      <c r="WTW127" s="24"/>
      <c r="WTX127" s="211"/>
      <c r="WTY127" s="24"/>
      <c r="WTZ127" s="211"/>
      <c r="WUA127" s="24"/>
      <c r="WUB127" s="211"/>
      <c r="WUC127" s="24"/>
      <c r="WUD127" s="211"/>
      <c r="WUE127" s="24"/>
      <c r="WUF127" s="211"/>
      <c r="WUG127" s="24"/>
      <c r="WUH127" s="211"/>
      <c r="WUI127" s="24"/>
      <c r="WUJ127" s="211"/>
      <c r="WUK127" s="24"/>
      <c r="WUL127" s="211"/>
      <c r="WUM127" s="24"/>
      <c r="WUN127" s="211"/>
      <c r="WUO127" s="24"/>
      <c r="WUP127" s="211"/>
      <c r="WUQ127" s="24"/>
      <c r="WUR127" s="211"/>
      <c r="WUS127" s="24"/>
      <c r="WUT127" s="211"/>
      <c r="WUU127" s="24"/>
      <c r="WUV127" s="211"/>
      <c r="WUW127" s="24"/>
      <c r="WUX127" s="211"/>
      <c r="WUY127" s="24"/>
      <c r="WUZ127" s="211"/>
      <c r="WVA127" s="24"/>
      <c r="WVB127" s="211"/>
      <c r="WVC127" s="24"/>
      <c r="WVD127" s="211"/>
      <c r="WVE127" s="24"/>
      <c r="WVF127" s="211"/>
      <c r="WVG127" s="24"/>
      <c r="WVH127" s="211"/>
      <c r="WVI127" s="24"/>
      <c r="WVJ127" s="211"/>
      <c r="WVK127" s="24"/>
      <c r="WVL127" s="211"/>
      <c r="WVM127" s="24"/>
      <c r="WVN127" s="211"/>
      <c r="WVO127" s="24"/>
      <c r="WVP127" s="211"/>
      <c r="WVQ127" s="24"/>
      <c r="WVR127" s="211"/>
      <c r="WVS127" s="24"/>
      <c r="WVT127" s="211"/>
      <c r="WVU127" s="24"/>
      <c r="WVV127" s="211"/>
      <c r="WVW127" s="24"/>
      <c r="WVX127" s="211"/>
      <c r="WVY127" s="24"/>
      <c r="WVZ127" s="211"/>
      <c r="WWA127" s="24"/>
      <c r="WWB127" s="211"/>
      <c r="WWC127" s="24"/>
      <c r="WWD127" s="211"/>
      <c r="WWE127" s="24"/>
      <c r="WWF127" s="211"/>
      <c r="WWG127" s="24"/>
      <c r="WWH127" s="211"/>
      <c r="WWI127" s="24"/>
      <c r="WWJ127" s="211"/>
      <c r="WWK127" s="24"/>
      <c r="WWL127" s="211"/>
      <c r="WWM127" s="24"/>
      <c r="WWN127" s="211"/>
      <c r="WWO127" s="24"/>
      <c r="WWP127" s="211"/>
      <c r="WWQ127" s="24"/>
      <c r="WWR127" s="211"/>
      <c r="WWS127" s="24"/>
      <c r="WWT127" s="211"/>
      <c r="WWU127" s="24"/>
      <c r="WWV127" s="211"/>
      <c r="WWW127" s="24"/>
      <c r="WWX127" s="211"/>
      <c r="WWY127" s="24"/>
      <c r="WWZ127" s="211"/>
      <c r="WXA127" s="24"/>
      <c r="WXB127" s="211"/>
      <c r="WXC127" s="24"/>
      <c r="WXD127" s="211"/>
      <c r="WXE127" s="24"/>
      <c r="WXF127" s="211"/>
      <c r="WXG127" s="24"/>
      <c r="WXH127" s="211"/>
      <c r="WXI127" s="24"/>
      <c r="WXJ127" s="211"/>
      <c r="WXK127" s="24"/>
      <c r="WXL127" s="211"/>
      <c r="WXM127" s="24"/>
      <c r="WXN127" s="211"/>
      <c r="WXO127" s="24"/>
      <c r="WXP127" s="211"/>
      <c r="WXQ127" s="24"/>
      <c r="WXR127" s="211"/>
      <c r="WXS127" s="24"/>
      <c r="WXT127" s="211"/>
      <c r="WXU127" s="24"/>
      <c r="WXV127" s="211"/>
      <c r="WXW127" s="24"/>
      <c r="WXX127" s="211"/>
      <c r="WXY127" s="24"/>
      <c r="WXZ127" s="211"/>
      <c r="WYA127" s="24"/>
      <c r="WYB127" s="211"/>
      <c r="WYC127" s="24"/>
      <c r="WYD127" s="211"/>
      <c r="WYE127" s="24"/>
      <c r="WYF127" s="211"/>
      <c r="WYG127" s="24"/>
      <c r="WYH127" s="211"/>
      <c r="WYI127" s="24"/>
      <c r="WYJ127" s="211"/>
      <c r="WYK127" s="24"/>
      <c r="WYL127" s="211"/>
      <c r="WYM127" s="24"/>
      <c r="WYN127" s="211"/>
      <c r="WYO127" s="24"/>
      <c r="WYP127" s="211"/>
      <c r="WYQ127" s="24"/>
      <c r="WYR127" s="211"/>
      <c r="WYS127" s="24"/>
      <c r="WYT127" s="211"/>
      <c r="WYU127" s="24"/>
      <c r="WYV127" s="211"/>
      <c r="WYW127" s="24"/>
      <c r="WYX127" s="211"/>
      <c r="WYY127" s="24"/>
      <c r="WYZ127" s="211"/>
      <c r="WZA127" s="24"/>
      <c r="WZB127" s="211"/>
      <c r="WZC127" s="24"/>
      <c r="WZD127" s="211"/>
      <c r="WZE127" s="24"/>
      <c r="WZF127" s="211"/>
      <c r="WZG127" s="24"/>
      <c r="WZH127" s="211"/>
      <c r="WZI127" s="24"/>
      <c r="WZJ127" s="211"/>
      <c r="WZK127" s="24"/>
      <c r="WZL127" s="211"/>
      <c r="WZM127" s="24"/>
      <c r="WZN127" s="211"/>
      <c r="WZO127" s="24"/>
      <c r="WZP127" s="211"/>
      <c r="WZQ127" s="24"/>
      <c r="WZR127" s="211"/>
      <c r="WZS127" s="24"/>
      <c r="WZT127" s="211"/>
      <c r="WZU127" s="24"/>
      <c r="WZV127" s="211"/>
      <c r="WZW127" s="24"/>
      <c r="WZX127" s="211"/>
      <c r="WZY127" s="24"/>
      <c r="WZZ127" s="211"/>
      <c r="XAA127" s="24"/>
      <c r="XAB127" s="211"/>
      <c r="XAC127" s="24"/>
      <c r="XAD127" s="211"/>
      <c r="XAE127" s="24"/>
      <c r="XAF127" s="211"/>
      <c r="XAG127" s="24"/>
      <c r="XAH127" s="211"/>
      <c r="XAI127" s="24"/>
      <c r="XAJ127" s="211"/>
      <c r="XAK127" s="24"/>
      <c r="XAL127" s="211"/>
      <c r="XAM127" s="24"/>
      <c r="XAN127" s="211"/>
      <c r="XAO127" s="24"/>
      <c r="XAP127" s="211"/>
      <c r="XAQ127" s="24"/>
      <c r="XAR127" s="211"/>
      <c r="XAS127" s="24"/>
      <c r="XAT127" s="211"/>
      <c r="XAU127" s="24"/>
      <c r="XAV127" s="211"/>
      <c r="XAW127" s="24"/>
      <c r="XAX127" s="211"/>
      <c r="XAY127" s="24"/>
      <c r="XAZ127" s="211"/>
      <c r="XBA127" s="24"/>
      <c r="XBB127" s="211"/>
      <c r="XBC127" s="24"/>
      <c r="XBD127" s="211"/>
      <c r="XBE127" s="24"/>
      <c r="XBF127" s="211"/>
      <c r="XBG127" s="24"/>
      <c r="XBH127" s="211"/>
      <c r="XBI127" s="24"/>
      <c r="XBJ127" s="211"/>
      <c r="XBK127" s="24"/>
      <c r="XBL127" s="211"/>
      <c r="XBM127" s="24"/>
      <c r="XBN127" s="211"/>
      <c r="XBO127" s="24"/>
      <c r="XBP127" s="211"/>
      <c r="XBQ127" s="24"/>
      <c r="XBR127" s="211"/>
      <c r="XBS127" s="24"/>
      <c r="XBT127" s="211"/>
      <c r="XBU127" s="24"/>
      <c r="XBV127" s="211"/>
      <c r="XBW127" s="24"/>
      <c r="XBX127" s="211"/>
      <c r="XBY127" s="24"/>
      <c r="XBZ127" s="211"/>
      <c r="XCA127" s="24"/>
      <c r="XCB127" s="211"/>
      <c r="XCC127" s="24"/>
      <c r="XCD127" s="211"/>
      <c r="XCE127" s="24"/>
      <c r="XCF127" s="211"/>
      <c r="XCG127" s="24"/>
      <c r="XCH127" s="211"/>
      <c r="XCI127" s="24"/>
      <c r="XCJ127" s="211"/>
      <c r="XCK127" s="24"/>
      <c r="XCL127" s="211"/>
      <c r="XCM127" s="24"/>
      <c r="XCN127" s="211"/>
      <c r="XCO127" s="24"/>
      <c r="XCP127" s="211"/>
      <c r="XCQ127" s="24"/>
      <c r="XCR127" s="211"/>
      <c r="XCS127" s="24"/>
      <c r="XCT127" s="211"/>
      <c r="XCU127" s="24"/>
      <c r="XCV127" s="211"/>
      <c r="XCW127" s="24"/>
      <c r="XCX127" s="211"/>
      <c r="XCY127" s="24"/>
      <c r="XCZ127" s="211"/>
      <c r="XDA127" s="24"/>
      <c r="XDB127" s="211"/>
      <c r="XDC127" s="24"/>
      <c r="XDD127" s="211"/>
      <c r="XDE127" s="24"/>
      <c r="XDF127" s="211"/>
      <c r="XDG127" s="24"/>
      <c r="XDH127" s="211"/>
      <c r="XDI127" s="24"/>
      <c r="XDJ127" s="211"/>
      <c r="XDK127" s="24"/>
      <c r="XDL127" s="211"/>
      <c r="XDM127" s="24"/>
      <c r="XDN127" s="211"/>
      <c r="XDO127" s="24"/>
      <c r="XDP127" s="211"/>
      <c r="XDQ127" s="24"/>
      <c r="XDR127" s="211"/>
      <c r="XDS127" s="24"/>
      <c r="XDT127" s="211"/>
      <c r="XDU127" s="24"/>
      <c r="XDV127" s="211"/>
      <c r="XDW127" s="24"/>
      <c r="XDX127" s="211"/>
      <c r="XDY127" s="24"/>
      <c r="XDZ127" s="211"/>
      <c r="XEA127" s="24"/>
      <c r="XEB127" s="211"/>
      <c r="XEC127" s="24"/>
      <c r="XED127" s="211"/>
      <c r="XEE127" s="24"/>
      <c r="XEF127" s="211"/>
      <c r="XEG127" s="24"/>
      <c r="XEH127" s="211"/>
      <c r="XEI127" s="24"/>
      <c r="XEJ127" s="211"/>
      <c r="XEK127" s="24"/>
      <c r="XEL127" s="211"/>
      <c r="XEM127" s="24"/>
      <c r="XEN127" s="211"/>
      <c r="XEO127" s="24"/>
      <c r="XEP127" s="211"/>
      <c r="XEQ127" s="24"/>
      <c r="XER127" s="211"/>
      <c r="XES127" s="24"/>
      <c r="XET127" s="211"/>
      <c r="XEU127" s="24"/>
      <c r="XEV127" s="211"/>
      <c r="XEW127" s="24"/>
      <c r="XEX127" s="211"/>
      <c r="XEY127" s="24"/>
      <c r="XEZ127" s="211"/>
      <c r="XFA127" s="24"/>
      <c r="XFB127" s="211"/>
      <c r="XFC127" s="24"/>
      <c r="XFD127" s="211"/>
    </row>
    <row r="128" spans="1:16384" hidden="1" x14ac:dyDescent="0.25">
      <c r="A128" s="24"/>
      <c r="B128" s="40"/>
      <c r="C128" s="24"/>
      <c r="D128" s="40"/>
      <c r="E128" s="24"/>
      <c r="F128" s="40"/>
      <c r="G128" s="24"/>
      <c r="H128" s="40"/>
      <c r="I128" s="169"/>
      <c r="J128" s="642"/>
      <c r="K128" s="169"/>
      <c r="L128" s="642"/>
      <c r="M128" s="169"/>
      <c r="N128" s="642"/>
      <c r="O128" s="169"/>
      <c r="P128" s="642"/>
      <c r="Q128" s="169"/>
      <c r="R128" s="642"/>
      <c r="S128" s="169"/>
      <c r="T128" s="642"/>
      <c r="U128" s="169"/>
      <c r="V128" s="642"/>
      <c r="W128" s="169"/>
      <c r="X128" s="642"/>
      <c r="Y128" s="169"/>
      <c r="Z128" s="642"/>
      <c r="AA128" s="169"/>
      <c r="AB128" s="642"/>
      <c r="AC128" s="169"/>
      <c r="AD128" s="642"/>
      <c r="AE128" s="169"/>
      <c r="AF128" s="642"/>
      <c r="AG128" s="169"/>
      <c r="AH128" s="642"/>
      <c r="AI128" s="169"/>
      <c r="AJ128" s="642"/>
      <c r="AK128" s="24"/>
      <c r="AL128" s="40"/>
      <c r="AM128" s="24"/>
      <c r="AN128" s="40"/>
      <c r="AO128" s="24"/>
      <c r="AP128" s="40"/>
      <c r="AQ128" s="24"/>
      <c r="AR128" s="40"/>
      <c r="AS128" s="24"/>
      <c r="AT128" s="40"/>
      <c r="AU128" s="24"/>
      <c r="AV128" s="40"/>
      <c r="AW128" s="24"/>
      <c r="AX128" s="40"/>
      <c r="AY128" s="24"/>
      <c r="AZ128" s="40"/>
      <c r="BA128" s="24"/>
      <c r="BB128" s="40"/>
      <c r="BC128" s="24"/>
      <c r="BD128" s="40"/>
      <c r="BE128" s="24"/>
      <c r="BF128" s="40"/>
      <c r="BG128" s="24"/>
      <c r="BH128" s="40"/>
      <c r="BI128" s="24"/>
      <c r="BJ128" s="40"/>
      <c r="BK128" s="24"/>
      <c r="BL128" s="40"/>
      <c r="BM128" s="24"/>
      <c r="BN128" s="40"/>
      <c r="BO128" s="24"/>
      <c r="BP128" s="40"/>
      <c r="BQ128" s="24"/>
      <c r="BR128" s="40"/>
      <c r="BS128" s="24"/>
      <c r="BT128" s="40"/>
      <c r="BU128" s="24"/>
      <c r="BV128" s="40"/>
      <c r="BW128" s="24"/>
      <c r="BX128" s="40"/>
      <c r="BY128" s="24"/>
      <c r="BZ128" s="40"/>
      <c r="CA128" s="24"/>
      <c r="CB128" s="40"/>
      <c r="CC128" s="24"/>
      <c r="CD128" s="40"/>
      <c r="CE128" s="24"/>
      <c r="CF128" s="40"/>
      <c r="CG128" s="24"/>
      <c r="CH128" s="40"/>
      <c r="CI128" s="24"/>
      <c r="CJ128" s="40"/>
      <c r="CK128" s="24"/>
      <c r="CL128" s="40"/>
      <c r="CM128" s="24"/>
      <c r="CN128" s="40"/>
      <c r="CO128" s="24"/>
      <c r="CP128" s="40"/>
      <c r="CQ128" s="24"/>
      <c r="CR128" s="40"/>
      <c r="CS128" s="24"/>
      <c r="CT128" s="40"/>
      <c r="CU128" s="24"/>
      <c r="CV128" s="40"/>
      <c r="CW128" s="24"/>
      <c r="CX128" s="40"/>
      <c r="CY128" s="24"/>
      <c r="CZ128" s="40"/>
      <c r="DA128" s="24"/>
      <c r="DB128" s="40"/>
      <c r="DC128" s="24"/>
      <c r="DD128" s="40"/>
      <c r="DE128" s="24"/>
      <c r="DF128" s="40"/>
      <c r="DG128" s="24"/>
      <c r="DH128" s="40"/>
      <c r="DI128" s="24"/>
      <c r="DJ128" s="40"/>
      <c r="DK128" s="24"/>
      <c r="DL128" s="40"/>
      <c r="DM128" s="24"/>
      <c r="DN128" s="40"/>
      <c r="DO128" s="24"/>
      <c r="DP128" s="40"/>
      <c r="DQ128" s="24"/>
      <c r="DR128" s="40"/>
      <c r="DS128" s="24"/>
      <c r="DT128" s="40"/>
      <c r="DU128" s="24"/>
      <c r="DV128" s="40"/>
      <c r="DW128" s="24"/>
      <c r="DX128" s="40"/>
      <c r="DY128" s="24"/>
      <c r="DZ128" s="40"/>
      <c r="EA128" s="24"/>
      <c r="EB128" s="40"/>
      <c r="EC128" s="24"/>
      <c r="ED128" s="40"/>
      <c r="EE128" s="24"/>
      <c r="EF128" s="40"/>
      <c r="EG128" s="24"/>
      <c r="EH128" s="40"/>
      <c r="EI128" s="24"/>
      <c r="EJ128" s="40"/>
      <c r="EK128" s="24"/>
      <c r="EL128" s="40"/>
      <c r="EM128" s="24"/>
      <c r="EN128" s="40"/>
      <c r="EO128" s="24"/>
      <c r="EP128" s="40"/>
      <c r="EQ128" s="24"/>
      <c r="ER128" s="40"/>
      <c r="ES128" s="24"/>
      <c r="ET128" s="40"/>
      <c r="EU128" s="24"/>
      <c r="EV128" s="40"/>
      <c r="EW128" s="24"/>
      <c r="EX128" s="40"/>
      <c r="EY128" s="24"/>
      <c r="EZ128" s="40"/>
      <c r="FA128" s="24"/>
      <c r="FB128" s="40"/>
      <c r="FC128" s="24"/>
      <c r="FD128" s="40"/>
      <c r="FE128" s="24"/>
      <c r="FF128" s="40"/>
      <c r="FG128" s="24"/>
      <c r="FH128" s="40"/>
      <c r="FI128" s="24"/>
      <c r="FJ128" s="40"/>
      <c r="FK128" s="24"/>
      <c r="FL128" s="40"/>
      <c r="FM128" s="24"/>
      <c r="FN128" s="40"/>
      <c r="FO128" s="24"/>
      <c r="FP128" s="40"/>
      <c r="FQ128" s="24"/>
      <c r="FR128" s="40"/>
      <c r="FS128" s="24"/>
      <c r="FT128" s="40"/>
      <c r="FU128" s="24"/>
      <c r="FV128" s="40"/>
      <c r="FW128" s="24"/>
      <c r="FX128" s="40"/>
      <c r="FY128" s="24"/>
      <c r="FZ128" s="40"/>
      <c r="GA128" s="24"/>
      <c r="GB128" s="40"/>
      <c r="GC128" s="24"/>
      <c r="GD128" s="40"/>
      <c r="GE128" s="24"/>
      <c r="GF128" s="40"/>
      <c r="GG128" s="24"/>
      <c r="GH128" s="40"/>
      <c r="GI128" s="24"/>
      <c r="GJ128" s="40"/>
      <c r="GK128" s="24"/>
      <c r="GL128" s="40"/>
      <c r="GM128" s="24"/>
      <c r="GN128" s="40"/>
      <c r="GO128" s="24"/>
      <c r="GP128" s="40"/>
      <c r="GQ128" s="24"/>
      <c r="GR128" s="40"/>
      <c r="GS128" s="24"/>
      <c r="GT128" s="40"/>
      <c r="GU128" s="24"/>
      <c r="GV128" s="40"/>
      <c r="GW128" s="24"/>
      <c r="GX128" s="40"/>
      <c r="GY128" s="24"/>
      <c r="GZ128" s="40"/>
      <c r="HA128" s="24"/>
      <c r="HB128" s="40"/>
      <c r="HC128" s="24"/>
      <c r="HD128" s="40"/>
      <c r="HE128" s="24"/>
      <c r="HF128" s="40"/>
      <c r="HG128" s="24"/>
      <c r="HH128" s="40"/>
      <c r="HI128" s="24"/>
      <c r="HJ128" s="40"/>
      <c r="HK128" s="24"/>
      <c r="HL128" s="40"/>
      <c r="HM128" s="24"/>
      <c r="HN128" s="40"/>
      <c r="HO128" s="24"/>
      <c r="HP128" s="40"/>
      <c r="HQ128" s="24"/>
      <c r="HR128" s="40"/>
      <c r="HS128" s="24"/>
      <c r="HT128" s="40"/>
      <c r="HU128" s="24"/>
      <c r="HV128" s="40"/>
      <c r="HW128" s="24"/>
      <c r="HX128" s="40"/>
      <c r="HY128" s="24"/>
      <c r="HZ128" s="40"/>
      <c r="IA128" s="24"/>
      <c r="IB128" s="40"/>
      <c r="IC128" s="24"/>
      <c r="ID128" s="40"/>
      <c r="IE128" s="24"/>
      <c r="IF128" s="40"/>
      <c r="IG128" s="24"/>
      <c r="IH128" s="40"/>
      <c r="II128" s="24"/>
      <c r="IJ128" s="40"/>
      <c r="IK128" s="24"/>
      <c r="IL128" s="40"/>
      <c r="IM128" s="24"/>
      <c r="IN128" s="40"/>
      <c r="IO128" s="24"/>
      <c r="IP128" s="40"/>
      <c r="IQ128" s="24"/>
      <c r="IR128" s="40"/>
      <c r="IS128" s="24"/>
      <c r="IT128" s="40"/>
      <c r="IU128" s="24"/>
      <c r="IV128" s="40"/>
      <c r="IW128" s="24"/>
      <c r="IX128" s="40"/>
      <c r="IY128" s="24"/>
      <c r="IZ128" s="40"/>
      <c r="JA128" s="24"/>
      <c r="JB128" s="40"/>
      <c r="JC128" s="24"/>
      <c r="JD128" s="40"/>
      <c r="JE128" s="24"/>
      <c r="JF128" s="40"/>
      <c r="JG128" s="24"/>
      <c r="JH128" s="40"/>
      <c r="JI128" s="24"/>
      <c r="JJ128" s="40"/>
      <c r="JK128" s="24"/>
      <c r="JL128" s="40"/>
      <c r="JM128" s="24"/>
      <c r="JN128" s="40"/>
      <c r="JO128" s="24"/>
      <c r="JP128" s="40"/>
      <c r="JQ128" s="24"/>
      <c r="JR128" s="40"/>
      <c r="JS128" s="24"/>
      <c r="JT128" s="40"/>
      <c r="JU128" s="24"/>
      <c r="JV128" s="40"/>
      <c r="JW128" s="24"/>
      <c r="JX128" s="40"/>
      <c r="JY128" s="24"/>
      <c r="JZ128" s="40"/>
      <c r="KA128" s="24"/>
      <c r="KB128" s="40"/>
      <c r="KC128" s="24"/>
      <c r="KD128" s="40"/>
      <c r="KE128" s="24"/>
      <c r="KF128" s="40"/>
      <c r="KG128" s="24"/>
      <c r="KH128" s="40"/>
      <c r="KI128" s="24"/>
      <c r="KJ128" s="40"/>
      <c r="KK128" s="24"/>
      <c r="KL128" s="40"/>
      <c r="KM128" s="24"/>
      <c r="KN128" s="40"/>
      <c r="KO128" s="24"/>
      <c r="KP128" s="40"/>
      <c r="KQ128" s="24"/>
      <c r="KR128" s="40"/>
      <c r="KS128" s="24"/>
      <c r="KT128" s="40"/>
      <c r="KU128" s="24"/>
      <c r="KV128" s="40"/>
      <c r="KW128" s="24"/>
      <c r="KX128" s="40"/>
      <c r="KY128" s="24"/>
      <c r="KZ128" s="40"/>
      <c r="LA128" s="24"/>
      <c r="LB128" s="40"/>
      <c r="LC128" s="24"/>
      <c r="LD128" s="40"/>
      <c r="LE128" s="24"/>
      <c r="LF128" s="40"/>
      <c r="LG128" s="24"/>
      <c r="LH128" s="40"/>
      <c r="LI128" s="24"/>
      <c r="LJ128" s="40"/>
      <c r="LK128" s="24"/>
      <c r="LL128" s="40"/>
      <c r="LM128" s="24"/>
      <c r="LN128" s="40"/>
      <c r="LO128" s="24"/>
      <c r="LP128" s="40"/>
      <c r="LQ128" s="24"/>
      <c r="LR128" s="40"/>
      <c r="LS128" s="24"/>
      <c r="LT128" s="40"/>
      <c r="LU128" s="24"/>
      <c r="LV128" s="40"/>
      <c r="LW128" s="24"/>
      <c r="LX128" s="40"/>
      <c r="LY128" s="24"/>
      <c r="LZ128" s="40"/>
      <c r="MA128" s="24"/>
      <c r="MB128" s="40"/>
      <c r="MC128" s="24"/>
      <c r="MD128" s="40"/>
      <c r="ME128" s="24"/>
      <c r="MF128" s="40"/>
      <c r="MG128" s="24"/>
      <c r="MH128" s="40"/>
      <c r="MI128" s="24"/>
      <c r="MJ128" s="40"/>
      <c r="MK128" s="24"/>
      <c r="ML128" s="40"/>
      <c r="MM128" s="24"/>
      <c r="MN128" s="40"/>
      <c r="MO128" s="24"/>
      <c r="MP128" s="40"/>
      <c r="MQ128" s="24"/>
      <c r="MR128" s="40"/>
      <c r="MS128" s="24"/>
      <c r="MT128" s="40"/>
      <c r="MU128" s="24"/>
      <c r="MV128" s="40"/>
      <c r="MW128" s="24"/>
      <c r="MX128" s="40"/>
      <c r="MY128" s="24"/>
      <c r="MZ128" s="40"/>
      <c r="NA128" s="24"/>
      <c r="NB128" s="40"/>
      <c r="NC128" s="24"/>
      <c r="ND128" s="40"/>
      <c r="NE128" s="24"/>
      <c r="NF128" s="40"/>
      <c r="NG128" s="24"/>
      <c r="NH128" s="40"/>
      <c r="NI128" s="24"/>
      <c r="NJ128" s="40"/>
      <c r="NK128" s="24"/>
      <c r="NL128" s="40"/>
      <c r="NM128" s="24"/>
      <c r="NN128" s="40"/>
      <c r="NO128" s="24"/>
      <c r="NP128" s="40"/>
      <c r="NQ128" s="24"/>
      <c r="NR128" s="40"/>
      <c r="NS128" s="24"/>
      <c r="NT128" s="40"/>
      <c r="NU128" s="24"/>
      <c r="NV128" s="40"/>
      <c r="NW128" s="24"/>
      <c r="NX128" s="40"/>
      <c r="NY128" s="24"/>
      <c r="NZ128" s="40"/>
      <c r="OA128" s="24"/>
      <c r="OB128" s="40"/>
      <c r="OC128" s="24"/>
      <c r="OD128" s="40"/>
      <c r="OE128" s="24"/>
      <c r="OF128" s="40"/>
      <c r="OG128" s="24"/>
      <c r="OH128" s="40"/>
      <c r="OI128" s="24"/>
      <c r="OJ128" s="40"/>
      <c r="OK128" s="24"/>
      <c r="OL128" s="40"/>
      <c r="OM128" s="24"/>
      <c r="ON128" s="40"/>
      <c r="OO128" s="24"/>
      <c r="OP128" s="40"/>
      <c r="OQ128" s="24"/>
      <c r="OR128" s="40"/>
      <c r="OS128" s="24"/>
      <c r="OT128" s="40"/>
      <c r="OU128" s="24"/>
      <c r="OV128" s="40"/>
      <c r="OW128" s="24"/>
      <c r="OX128" s="40"/>
      <c r="OY128" s="24"/>
      <c r="OZ128" s="40"/>
      <c r="PA128" s="24"/>
      <c r="PB128" s="40"/>
      <c r="PC128" s="24"/>
      <c r="PD128" s="40"/>
      <c r="PE128" s="24"/>
      <c r="PF128" s="40"/>
      <c r="PG128" s="24"/>
      <c r="PH128" s="40"/>
      <c r="PI128" s="24"/>
      <c r="PJ128" s="40"/>
      <c r="PK128" s="24"/>
      <c r="PL128" s="40"/>
      <c r="PM128" s="24"/>
      <c r="PN128" s="40"/>
      <c r="PO128" s="24"/>
      <c r="PP128" s="40"/>
      <c r="PQ128" s="24"/>
      <c r="PR128" s="40"/>
      <c r="PS128" s="24"/>
      <c r="PT128" s="40"/>
      <c r="PU128" s="24"/>
      <c r="PV128" s="40"/>
      <c r="PW128" s="24"/>
      <c r="PX128" s="40"/>
      <c r="PY128" s="24"/>
      <c r="PZ128" s="40"/>
      <c r="QA128" s="24"/>
      <c r="QB128" s="40"/>
      <c r="QC128" s="24"/>
      <c r="QD128" s="40"/>
      <c r="QE128" s="24"/>
      <c r="QF128" s="40"/>
      <c r="QG128" s="24"/>
      <c r="QH128" s="40"/>
      <c r="QI128" s="24"/>
      <c r="QJ128" s="40"/>
      <c r="QK128" s="24"/>
      <c r="QL128" s="40"/>
      <c r="QM128" s="24"/>
      <c r="QN128" s="40"/>
      <c r="QO128" s="24"/>
      <c r="QP128" s="40"/>
      <c r="QQ128" s="24"/>
      <c r="QR128" s="40"/>
      <c r="QS128" s="24"/>
      <c r="QT128" s="40"/>
      <c r="QU128" s="24"/>
      <c r="QV128" s="40"/>
      <c r="QW128" s="24"/>
      <c r="QX128" s="40"/>
      <c r="QY128" s="24"/>
      <c r="QZ128" s="40"/>
      <c r="RA128" s="24"/>
      <c r="RB128" s="40"/>
      <c r="RC128" s="24"/>
      <c r="RD128" s="40"/>
      <c r="RE128" s="24"/>
      <c r="RF128" s="40"/>
      <c r="RG128" s="24"/>
      <c r="RH128" s="40"/>
      <c r="RI128" s="24"/>
      <c r="RJ128" s="40"/>
      <c r="RK128" s="24"/>
      <c r="RL128" s="40"/>
      <c r="RM128" s="24"/>
      <c r="RN128" s="40"/>
      <c r="RO128" s="24"/>
      <c r="RP128" s="40"/>
      <c r="RQ128" s="24"/>
      <c r="RR128" s="40"/>
      <c r="RS128" s="24"/>
      <c r="RT128" s="40"/>
      <c r="RU128" s="24"/>
      <c r="RV128" s="40"/>
      <c r="RW128" s="24"/>
      <c r="RX128" s="40"/>
      <c r="RY128" s="24"/>
      <c r="RZ128" s="40"/>
      <c r="SA128" s="24"/>
      <c r="SB128" s="40"/>
      <c r="SC128" s="24"/>
      <c r="SD128" s="40"/>
      <c r="SE128" s="24"/>
      <c r="SF128" s="40"/>
      <c r="SG128" s="24"/>
      <c r="SH128" s="40"/>
      <c r="SI128" s="24"/>
      <c r="SJ128" s="40"/>
      <c r="SK128" s="24"/>
      <c r="SL128" s="40"/>
      <c r="SM128" s="24"/>
      <c r="SN128" s="40"/>
      <c r="SO128" s="24"/>
      <c r="SP128" s="40"/>
      <c r="SQ128" s="24"/>
      <c r="SR128" s="40"/>
      <c r="SS128" s="24"/>
      <c r="ST128" s="40"/>
      <c r="SU128" s="24"/>
      <c r="SV128" s="40"/>
      <c r="SW128" s="24"/>
      <c r="SX128" s="40"/>
      <c r="SY128" s="24"/>
      <c r="SZ128" s="40"/>
      <c r="TA128" s="24"/>
      <c r="TB128" s="40"/>
      <c r="TC128" s="24"/>
      <c r="TD128" s="40"/>
      <c r="TE128" s="24"/>
      <c r="TF128" s="40"/>
      <c r="TG128" s="24"/>
      <c r="TH128" s="40"/>
      <c r="TI128" s="24"/>
      <c r="TJ128" s="40"/>
      <c r="TK128" s="24"/>
      <c r="TL128" s="40"/>
      <c r="TM128" s="24"/>
      <c r="TN128" s="40"/>
      <c r="TO128" s="24"/>
      <c r="TP128" s="40"/>
      <c r="TQ128" s="24"/>
      <c r="TR128" s="40"/>
      <c r="TS128" s="24"/>
      <c r="TT128" s="40"/>
      <c r="TU128" s="24"/>
      <c r="TV128" s="40"/>
      <c r="TW128" s="24"/>
      <c r="TX128" s="40"/>
      <c r="TY128" s="24"/>
      <c r="TZ128" s="40"/>
      <c r="UA128" s="24"/>
      <c r="UB128" s="40"/>
      <c r="UC128" s="24"/>
      <c r="UD128" s="40"/>
      <c r="UE128" s="24"/>
      <c r="UF128" s="40"/>
      <c r="UG128" s="24"/>
      <c r="UH128" s="40"/>
      <c r="UI128" s="24"/>
      <c r="UJ128" s="40"/>
      <c r="UK128" s="24"/>
      <c r="UL128" s="40"/>
      <c r="UM128" s="24"/>
      <c r="UN128" s="40"/>
      <c r="UO128" s="24"/>
      <c r="UP128" s="40"/>
      <c r="UQ128" s="24"/>
      <c r="UR128" s="40"/>
      <c r="US128" s="24"/>
      <c r="UT128" s="40"/>
      <c r="UU128" s="24"/>
      <c r="UV128" s="40"/>
      <c r="UW128" s="24"/>
      <c r="UX128" s="40"/>
      <c r="UY128" s="24"/>
      <c r="UZ128" s="40"/>
      <c r="VA128" s="24"/>
      <c r="VB128" s="40"/>
      <c r="VC128" s="24"/>
      <c r="VD128" s="40"/>
      <c r="VE128" s="24"/>
      <c r="VF128" s="40"/>
      <c r="VG128" s="24"/>
      <c r="VH128" s="40"/>
      <c r="VI128" s="24"/>
      <c r="VJ128" s="40"/>
      <c r="VK128" s="24"/>
      <c r="VL128" s="40"/>
      <c r="VM128" s="24"/>
      <c r="VN128" s="40"/>
      <c r="VO128" s="24"/>
      <c r="VP128" s="40"/>
      <c r="VQ128" s="24"/>
      <c r="VR128" s="40"/>
      <c r="VS128" s="24"/>
      <c r="VT128" s="40"/>
      <c r="VU128" s="24"/>
      <c r="VV128" s="40"/>
      <c r="VW128" s="24"/>
      <c r="VX128" s="40"/>
      <c r="VY128" s="24"/>
      <c r="VZ128" s="40"/>
      <c r="WA128" s="24"/>
      <c r="WB128" s="40"/>
      <c r="WC128" s="24"/>
      <c r="WD128" s="40"/>
      <c r="WE128" s="24"/>
      <c r="WF128" s="40"/>
      <c r="WG128" s="24"/>
      <c r="WH128" s="40"/>
      <c r="WI128" s="24"/>
      <c r="WJ128" s="40"/>
      <c r="WK128" s="24"/>
      <c r="WL128" s="40"/>
      <c r="WM128" s="24"/>
      <c r="WN128" s="40"/>
      <c r="WO128" s="24"/>
      <c r="WP128" s="40"/>
      <c r="WQ128" s="24"/>
      <c r="WR128" s="40"/>
      <c r="WS128" s="24"/>
      <c r="WT128" s="40"/>
      <c r="WU128" s="24"/>
      <c r="WV128" s="40"/>
      <c r="WW128" s="24"/>
      <c r="WX128" s="40"/>
      <c r="WY128" s="24"/>
      <c r="WZ128" s="40"/>
      <c r="XA128" s="24"/>
      <c r="XB128" s="40"/>
      <c r="XC128" s="24"/>
      <c r="XD128" s="40"/>
      <c r="XE128" s="24"/>
      <c r="XF128" s="40"/>
      <c r="XG128" s="24"/>
      <c r="XH128" s="40"/>
      <c r="XI128" s="24"/>
      <c r="XJ128" s="40"/>
      <c r="XK128" s="24"/>
      <c r="XL128" s="40"/>
      <c r="XM128" s="24"/>
      <c r="XN128" s="40"/>
      <c r="XO128" s="24"/>
      <c r="XP128" s="40"/>
      <c r="XQ128" s="24"/>
      <c r="XR128" s="40"/>
      <c r="XS128" s="24"/>
      <c r="XT128" s="40"/>
      <c r="XU128" s="24"/>
      <c r="XV128" s="40"/>
      <c r="XW128" s="24"/>
      <c r="XX128" s="40"/>
      <c r="XY128" s="24"/>
      <c r="XZ128" s="40"/>
      <c r="YA128" s="24"/>
      <c r="YB128" s="40"/>
      <c r="YC128" s="24"/>
      <c r="YD128" s="40"/>
      <c r="YE128" s="24"/>
      <c r="YF128" s="40"/>
      <c r="YG128" s="24"/>
      <c r="YH128" s="40"/>
      <c r="YI128" s="24"/>
      <c r="YJ128" s="40"/>
      <c r="YK128" s="24"/>
      <c r="YL128" s="40"/>
      <c r="YM128" s="24"/>
      <c r="YN128" s="40"/>
      <c r="YO128" s="24"/>
      <c r="YP128" s="40"/>
      <c r="YQ128" s="24"/>
      <c r="YR128" s="40"/>
      <c r="YS128" s="24"/>
      <c r="YT128" s="40"/>
      <c r="YU128" s="24"/>
      <c r="YV128" s="40"/>
      <c r="YW128" s="24"/>
      <c r="YX128" s="40"/>
      <c r="YY128" s="24"/>
      <c r="YZ128" s="40"/>
      <c r="ZA128" s="24"/>
      <c r="ZB128" s="40"/>
      <c r="ZC128" s="24"/>
      <c r="ZD128" s="40"/>
      <c r="ZE128" s="24"/>
      <c r="ZF128" s="40"/>
      <c r="ZG128" s="24"/>
      <c r="ZH128" s="40"/>
      <c r="ZI128" s="24"/>
      <c r="ZJ128" s="40"/>
      <c r="ZK128" s="24"/>
      <c r="ZL128" s="40"/>
      <c r="ZM128" s="24"/>
      <c r="ZN128" s="40"/>
      <c r="ZO128" s="24"/>
      <c r="ZP128" s="40"/>
      <c r="ZQ128" s="24"/>
      <c r="ZR128" s="40"/>
      <c r="ZS128" s="24"/>
      <c r="ZT128" s="40"/>
      <c r="ZU128" s="24"/>
      <c r="ZV128" s="40"/>
      <c r="ZW128" s="24"/>
      <c r="ZX128" s="40"/>
      <c r="ZY128" s="24"/>
      <c r="ZZ128" s="40"/>
      <c r="AAA128" s="24"/>
      <c r="AAB128" s="40"/>
      <c r="AAC128" s="24"/>
      <c r="AAD128" s="40"/>
      <c r="AAE128" s="24"/>
      <c r="AAF128" s="40"/>
      <c r="AAG128" s="24"/>
      <c r="AAH128" s="40"/>
      <c r="AAI128" s="24"/>
      <c r="AAJ128" s="40"/>
      <c r="AAK128" s="24"/>
      <c r="AAL128" s="40"/>
      <c r="AAM128" s="24"/>
      <c r="AAN128" s="40"/>
      <c r="AAO128" s="24"/>
      <c r="AAP128" s="40"/>
      <c r="AAQ128" s="24"/>
      <c r="AAR128" s="40"/>
      <c r="AAS128" s="24"/>
      <c r="AAT128" s="40"/>
      <c r="AAU128" s="24"/>
      <c r="AAV128" s="40"/>
      <c r="AAW128" s="24"/>
      <c r="AAX128" s="40"/>
      <c r="AAY128" s="24"/>
      <c r="AAZ128" s="40"/>
      <c r="ABA128" s="24"/>
      <c r="ABB128" s="40"/>
      <c r="ABC128" s="24"/>
      <c r="ABD128" s="40"/>
      <c r="ABE128" s="24"/>
      <c r="ABF128" s="40"/>
      <c r="ABG128" s="24"/>
      <c r="ABH128" s="40"/>
      <c r="ABI128" s="24"/>
      <c r="ABJ128" s="40"/>
      <c r="ABK128" s="24"/>
      <c r="ABL128" s="40"/>
      <c r="ABM128" s="24"/>
      <c r="ABN128" s="40"/>
      <c r="ABO128" s="24"/>
      <c r="ABP128" s="40"/>
      <c r="ABQ128" s="24"/>
      <c r="ABR128" s="40"/>
      <c r="ABS128" s="24"/>
      <c r="ABT128" s="40"/>
      <c r="ABU128" s="24"/>
      <c r="ABV128" s="40"/>
      <c r="ABW128" s="24"/>
      <c r="ABX128" s="40"/>
      <c r="ABY128" s="24"/>
      <c r="ABZ128" s="40"/>
      <c r="ACA128" s="24"/>
      <c r="ACB128" s="40"/>
      <c r="ACC128" s="24"/>
      <c r="ACD128" s="40"/>
      <c r="ACE128" s="24"/>
      <c r="ACF128" s="40"/>
      <c r="ACG128" s="24"/>
      <c r="ACH128" s="40"/>
      <c r="ACI128" s="24"/>
      <c r="ACJ128" s="40"/>
      <c r="ACK128" s="24"/>
      <c r="ACL128" s="40"/>
      <c r="ACM128" s="24"/>
      <c r="ACN128" s="40"/>
      <c r="ACO128" s="24"/>
      <c r="ACP128" s="40"/>
      <c r="ACQ128" s="24"/>
      <c r="ACR128" s="40"/>
      <c r="ACS128" s="24"/>
      <c r="ACT128" s="40"/>
      <c r="ACU128" s="24"/>
      <c r="ACV128" s="40"/>
      <c r="ACW128" s="24"/>
      <c r="ACX128" s="40"/>
      <c r="ACY128" s="24"/>
      <c r="ACZ128" s="40"/>
      <c r="ADA128" s="24"/>
      <c r="ADB128" s="40"/>
      <c r="ADC128" s="24"/>
      <c r="ADD128" s="40"/>
      <c r="ADE128" s="24"/>
      <c r="ADF128" s="40"/>
      <c r="ADG128" s="24"/>
      <c r="ADH128" s="40"/>
      <c r="ADI128" s="24"/>
      <c r="ADJ128" s="40"/>
      <c r="ADK128" s="24"/>
      <c r="ADL128" s="40"/>
      <c r="ADM128" s="24"/>
      <c r="ADN128" s="40"/>
      <c r="ADO128" s="24"/>
      <c r="ADP128" s="40"/>
      <c r="ADQ128" s="24"/>
      <c r="ADR128" s="40"/>
      <c r="ADS128" s="24"/>
      <c r="ADT128" s="40"/>
      <c r="ADU128" s="24"/>
      <c r="ADV128" s="40"/>
      <c r="ADW128" s="24"/>
      <c r="ADX128" s="40"/>
      <c r="ADY128" s="24"/>
      <c r="ADZ128" s="40"/>
      <c r="AEA128" s="24"/>
      <c r="AEB128" s="40"/>
      <c r="AEC128" s="24"/>
      <c r="AED128" s="40"/>
      <c r="AEE128" s="24"/>
      <c r="AEF128" s="40"/>
      <c r="AEG128" s="24"/>
      <c r="AEH128" s="40"/>
      <c r="AEI128" s="24"/>
      <c r="AEJ128" s="40"/>
      <c r="AEK128" s="24"/>
      <c r="AEL128" s="40"/>
      <c r="AEM128" s="24"/>
      <c r="AEN128" s="40"/>
      <c r="AEO128" s="24"/>
      <c r="AEP128" s="40"/>
      <c r="AEQ128" s="24"/>
      <c r="AER128" s="40"/>
      <c r="AES128" s="24"/>
      <c r="AET128" s="40"/>
      <c r="AEU128" s="24"/>
      <c r="AEV128" s="40"/>
      <c r="AEW128" s="24"/>
      <c r="AEX128" s="40"/>
      <c r="AEY128" s="24"/>
      <c r="AEZ128" s="40"/>
      <c r="AFA128" s="24"/>
      <c r="AFB128" s="40"/>
      <c r="AFC128" s="24"/>
      <c r="AFD128" s="40"/>
      <c r="AFE128" s="24"/>
      <c r="AFF128" s="40"/>
      <c r="AFG128" s="24"/>
      <c r="AFH128" s="40"/>
      <c r="AFI128" s="24"/>
      <c r="AFJ128" s="40"/>
      <c r="AFK128" s="24"/>
      <c r="AFL128" s="40"/>
      <c r="AFM128" s="24"/>
      <c r="AFN128" s="40"/>
      <c r="AFO128" s="24"/>
      <c r="AFP128" s="40"/>
      <c r="AFQ128" s="24"/>
      <c r="AFR128" s="40"/>
      <c r="AFS128" s="24"/>
      <c r="AFT128" s="40"/>
      <c r="AFU128" s="24"/>
      <c r="AFV128" s="40"/>
      <c r="AFW128" s="24"/>
      <c r="AFX128" s="40"/>
      <c r="AFY128" s="24"/>
      <c r="AFZ128" s="40"/>
      <c r="AGA128" s="24"/>
      <c r="AGB128" s="40"/>
      <c r="AGC128" s="24"/>
      <c r="AGD128" s="40"/>
      <c r="AGE128" s="24"/>
      <c r="AGF128" s="40"/>
      <c r="AGG128" s="24"/>
      <c r="AGH128" s="40"/>
      <c r="AGI128" s="24"/>
      <c r="AGJ128" s="40"/>
      <c r="AGK128" s="24"/>
      <c r="AGL128" s="40"/>
      <c r="AGM128" s="24"/>
      <c r="AGN128" s="40"/>
      <c r="AGO128" s="24"/>
      <c r="AGP128" s="40"/>
      <c r="AGQ128" s="24"/>
      <c r="AGR128" s="40"/>
      <c r="AGS128" s="24"/>
      <c r="AGT128" s="40"/>
      <c r="AGU128" s="24"/>
      <c r="AGV128" s="40"/>
      <c r="AGW128" s="24"/>
      <c r="AGX128" s="40"/>
      <c r="AGY128" s="24"/>
      <c r="AGZ128" s="40"/>
      <c r="AHA128" s="24"/>
      <c r="AHB128" s="40"/>
      <c r="AHC128" s="24"/>
      <c r="AHD128" s="40"/>
      <c r="AHE128" s="24"/>
      <c r="AHF128" s="40"/>
      <c r="AHG128" s="24"/>
      <c r="AHH128" s="40"/>
      <c r="AHI128" s="24"/>
      <c r="AHJ128" s="40"/>
      <c r="AHK128" s="24"/>
      <c r="AHL128" s="40"/>
      <c r="AHM128" s="24"/>
      <c r="AHN128" s="40"/>
      <c r="AHO128" s="24"/>
      <c r="AHP128" s="40"/>
      <c r="AHQ128" s="24"/>
      <c r="AHR128" s="40"/>
      <c r="AHS128" s="24"/>
      <c r="AHT128" s="40"/>
      <c r="AHU128" s="24"/>
      <c r="AHV128" s="40"/>
      <c r="AHW128" s="24"/>
      <c r="AHX128" s="40"/>
      <c r="AHY128" s="24"/>
      <c r="AHZ128" s="40"/>
      <c r="AIA128" s="24"/>
      <c r="AIB128" s="40"/>
      <c r="AIC128" s="24"/>
      <c r="AID128" s="40"/>
      <c r="AIE128" s="24"/>
      <c r="AIF128" s="40"/>
      <c r="AIG128" s="24"/>
      <c r="AIH128" s="40"/>
      <c r="AII128" s="24"/>
      <c r="AIJ128" s="40"/>
      <c r="AIK128" s="24"/>
      <c r="AIL128" s="40"/>
      <c r="AIM128" s="24"/>
      <c r="AIN128" s="40"/>
      <c r="AIO128" s="24"/>
      <c r="AIP128" s="40"/>
      <c r="AIQ128" s="24"/>
      <c r="AIR128" s="40"/>
      <c r="AIS128" s="24"/>
      <c r="AIT128" s="40"/>
      <c r="AIU128" s="24"/>
      <c r="AIV128" s="40"/>
      <c r="AIW128" s="24"/>
      <c r="AIX128" s="40"/>
      <c r="AIY128" s="24"/>
      <c r="AIZ128" s="40"/>
      <c r="AJA128" s="24"/>
      <c r="AJB128" s="40"/>
      <c r="AJC128" s="24"/>
      <c r="AJD128" s="40"/>
      <c r="AJE128" s="24"/>
      <c r="AJF128" s="40"/>
      <c r="AJG128" s="24"/>
      <c r="AJH128" s="40"/>
      <c r="AJI128" s="24"/>
      <c r="AJJ128" s="40"/>
      <c r="AJK128" s="24"/>
      <c r="AJL128" s="40"/>
      <c r="AJM128" s="24"/>
      <c r="AJN128" s="40"/>
      <c r="AJO128" s="24"/>
      <c r="AJP128" s="40"/>
      <c r="AJQ128" s="24"/>
      <c r="AJR128" s="40"/>
      <c r="AJS128" s="24"/>
      <c r="AJT128" s="40"/>
      <c r="AJU128" s="24"/>
      <c r="AJV128" s="40"/>
      <c r="AJW128" s="24"/>
      <c r="AJX128" s="40"/>
      <c r="AJY128" s="24"/>
      <c r="AJZ128" s="40"/>
      <c r="AKA128" s="24"/>
      <c r="AKB128" s="40"/>
      <c r="AKC128" s="24"/>
      <c r="AKD128" s="40"/>
      <c r="AKE128" s="24"/>
      <c r="AKF128" s="40"/>
      <c r="AKG128" s="24"/>
      <c r="AKH128" s="40"/>
      <c r="AKI128" s="24"/>
      <c r="AKJ128" s="40"/>
      <c r="AKK128" s="24"/>
      <c r="AKL128" s="40"/>
      <c r="AKM128" s="24"/>
      <c r="AKN128" s="40"/>
      <c r="AKO128" s="24"/>
      <c r="AKP128" s="40"/>
      <c r="AKQ128" s="24"/>
      <c r="AKR128" s="40"/>
      <c r="AKS128" s="24"/>
      <c r="AKT128" s="40"/>
      <c r="AKU128" s="24"/>
      <c r="AKV128" s="40"/>
      <c r="AKW128" s="24"/>
      <c r="AKX128" s="40"/>
      <c r="AKY128" s="24"/>
      <c r="AKZ128" s="40"/>
      <c r="ALA128" s="24"/>
      <c r="ALB128" s="40"/>
      <c r="ALC128" s="24"/>
      <c r="ALD128" s="40"/>
      <c r="ALE128" s="24"/>
      <c r="ALF128" s="40"/>
      <c r="ALG128" s="24"/>
      <c r="ALH128" s="40"/>
      <c r="ALI128" s="24"/>
      <c r="ALJ128" s="40"/>
      <c r="ALK128" s="24"/>
      <c r="ALL128" s="40"/>
      <c r="ALM128" s="24"/>
      <c r="ALN128" s="40"/>
      <c r="ALO128" s="24"/>
      <c r="ALP128" s="40"/>
      <c r="ALQ128" s="24"/>
      <c r="ALR128" s="40"/>
      <c r="ALS128" s="24"/>
      <c r="ALT128" s="40"/>
      <c r="ALU128" s="24"/>
      <c r="ALV128" s="40"/>
      <c r="ALW128" s="24"/>
      <c r="ALX128" s="40"/>
      <c r="ALY128" s="24"/>
      <c r="ALZ128" s="40"/>
      <c r="AMA128" s="24"/>
      <c r="AMB128" s="40"/>
      <c r="AMC128" s="24"/>
      <c r="AMD128" s="40"/>
      <c r="AME128" s="24"/>
      <c r="AMF128" s="40"/>
      <c r="AMG128" s="24"/>
      <c r="AMH128" s="40"/>
      <c r="AMI128" s="24"/>
      <c r="AMJ128" s="40"/>
      <c r="AMK128" s="24"/>
      <c r="AML128" s="40"/>
      <c r="AMM128" s="24"/>
      <c r="AMN128" s="40"/>
      <c r="AMO128" s="24"/>
      <c r="AMP128" s="40"/>
      <c r="AMQ128" s="24"/>
      <c r="AMR128" s="40"/>
      <c r="AMS128" s="24"/>
      <c r="AMT128" s="40"/>
      <c r="AMU128" s="24"/>
      <c r="AMV128" s="40"/>
      <c r="AMW128" s="24"/>
      <c r="AMX128" s="40"/>
      <c r="AMY128" s="24"/>
      <c r="AMZ128" s="40"/>
      <c r="ANA128" s="24"/>
      <c r="ANB128" s="40"/>
      <c r="ANC128" s="24"/>
      <c r="AND128" s="40"/>
      <c r="ANE128" s="24"/>
      <c r="ANF128" s="40"/>
      <c r="ANG128" s="24"/>
      <c r="ANH128" s="40"/>
      <c r="ANI128" s="24"/>
      <c r="ANJ128" s="40"/>
      <c r="ANK128" s="24"/>
      <c r="ANL128" s="40"/>
      <c r="ANM128" s="24"/>
      <c r="ANN128" s="40"/>
      <c r="ANO128" s="24"/>
      <c r="ANP128" s="40"/>
      <c r="ANQ128" s="24"/>
      <c r="ANR128" s="40"/>
      <c r="ANS128" s="24"/>
      <c r="ANT128" s="40"/>
      <c r="ANU128" s="24"/>
      <c r="ANV128" s="40"/>
      <c r="ANW128" s="24"/>
      <c r="ANX128" s="40"/>
      <c r="ANY128" s="24"/>
      <c r="ANZ128" s="40"/>
      <c r="AOA128" s="24"/>
      <c r="AOB128" s="40"/>
      <c r="AOC128" s="24"/>
      <c r="AOD128" s="40"/>
      <c r="AOE128" s="24"/>
      <c r="AOF128" s="40"/>
      <c r="AOG128" s="24"/>
      <c r="AOH128" s="40"/>
      <c r="AOI128" s="24"/>
      <c r="AOJ128" s="40"/>
      <c r="AOK128" s="24"/>
      <c r="AOL128" s="40"/>
      <c r="AOM128" s="24"/>
      <c r="AON128" s="40"/>
      <c r="AOO128" s="24"/>
      <c r="AOP128" s="40"/>
      <c r="AOQ128" s="24"/>
      <c r="AOR128" s="40"/>
      <c r="AOS128" s="24"/>
      <c r="AOT128" s="40"/>
      <c r="AOU128" s="24"/>
      <c r="AOV128" s="40"/>
      <c r="AOW128" s="24"/>
      <c r="AOX128" s="40"/>
      <c r="AOY128" s="24"/>
      <c r="AOZ128" s="40"/>
      <c r="APA128" s="24"/>
      <c r="APB128" s="40"/>
      <c r="APC128" s="24"/>
      <c r="APD128" s="40"/>
      <c r="APE128" s="24"/>
      <c r="APF128" s="40"/>
      <c r="APG128" s="24"/>
      <c r="APH128" s="40"/>
      <c r="API128" s="24"/>
      <c r="APJ128" s="40"/>
      <c r="APK128" s="24"/>
      <c r="APL128" s="40"/>
      <c r="APM128" s="24"/>
      <c r="APN128" s="40"/>
      <c r="APO128" s="24"/>
      <c r="APP128" s="40"/>
      <c r="APQ128" s="24"/>
      <c r="APR128" s="40"/>
      <c r="APS128" s="24"/>
      <c r="APT128" s="40"/>
      <c r="APU128" s="24"/>
      <c r="APV128" s="40"/>
      <c r="APW128" s="24"/>
      <c r="APX128" s="40"/>
      <c r="APY128" s="24"/>
      <c r="APZ128" s="40"/>
      <c r="AQA128" s="24"/>
      <c r="AQB128" s="40"/>
      <c r="AQC128" s="24"/>
      <c r="AQD128" s="40"/>
      <c r="AQE128" s="24"/>
      <c r="AQF128" s="40"/>
      <c r="AQG128" s="24"/>
      <c r="AQH128" s="40"/>
      <c r="AQI128" s="24"/>
      <c r="AQJ128" s="40"/>
      <c r="AQK128" s="24"/>
      <c r="AQL128" s="40"/>
      <c r="AQM128" s="24"/>
      <c r="AQN128" s="40"/>
      <c r="AQO128" s="24"/>
      <c r="AQP128" s="40"/>
      <c r="AQQ128" s="24"/>
      <c r="AQR128" s="40"/>
      <c r="AQS128" s="24"/>
      <c r="AQT128" s="40"/>
      <c r="AQU128" s="24"/>
      <c r="AQV128" s="40"/>
      <c r="AQW128" s="24"/>
      <c r="AQX128" s="40"/>
      <c r="AQY128" s="24"/>
      <c r="AQZ128" s="40"/>
      <c r="ARA128" s="24"/>
      <c r="ARB128" s="40"/>
      <c r="ARC128" s="24"/>
      <c r="ARD128" s="40"/>
      <c r="ARE128" s="24"/>
      <c r="ARF128" s="40"/>
      <c r="ARG128" s="24"/>
      <c r="ARH128" s="40"/>
      <c r="ARI128" s="24"/>
      <c r="ARJ128" s="40"/>
      <c r="ARK128" s="24"/>
      <c r="ARL128" s="40"/>
      <c r="ARM128" s="24"/>
      <c r="ARN128" s="40"/>
      <c r="ARO128" s="24"/>
      <c r="ARP128" s="40"/>
      <c r="ARQ128" s="24"/>
      <c r="ARR128" s="40"/>
      <c r="ARS128" s="24"/>
      <c r="ART128" s="40"/>
      <c r="ARU128" s="24"/>
      <c r="ARV128" s="40"/>
      <c r="ARW128" s="24"/>
      <c r="ARX128" s="40"/>
      <c r="ARY128" s="24"/>
      <c r="ARZ128" s="40"/>
      <c r="ASA128" s="24"/>
      <c r="ASB128" s="40"/>
      <c r="ASC128" s="24"/>
      <c r="ASD128" s="40"/>
      <c r="ASE128" s="24"/>
      <c r="ASF128" s="40"/>
      <c r="ASG128" s="24"/>
      <c r="ASH128" s="40"/>
      <c r="ASI128" s="24"/>
      <c r="ASJ128" s="40"/>
      <c r="ASK128" s="24"/>
      <c r="ASL128" s="40"/>
      <c r="ASM128" s="24"/>
      <c r="ASN128" s="40"/>
      <c r="ASO128" s="24"/>
      <c r="ASP128" s="40"/>
      <c r="ASQ128" s="24"/>
      <c r="ASR128" s="40"/>
      <c r="ASS128" s="24"/>
      <c r="AST128" s="40"/>
      <c r="ASU128" s="24"/>
      <c r="ASV128" s="40"/>
      <c r="ASW128" s="24"/>
      <c r="ASX128" s="40"/>
      <c r="ASY128" s="24"/>
      <c r="ASZ128" s="40"/>
      <c r="ATA128" s="24"/>
      <c r="ATB128" s="40"/>
      <c r="ATC128" s="24"/>
      <c r="ATD128" s="40"/>
      <c r="ATE128" s="24"/>
      <c r="ATF128" s="40"/>
      <c r="ATG128" s="24"/>
      <c r="ATH128" s="40"/>
      <c r="ATI128" s="24"/>
      <c r="ATJ128" s="40"/>
      <c r="ATK128" s="24"/>
      <c r="ATL128" s="40"/>
      <c r="ATM128" s="24"/>
      <c r="ATN128" s="40"/>
      <c r="ATO128" s="24"/>
      <c r="ATP128" s="40"/>
      <c r="ATQ128" s="24"/>
      <c r="ATR128" s="40"/>
      <c r="ATS128" s="24"/>
      <c r="ATT128" s="40"/>
      <c r="ATU128" s="24"/>
      <c r="ATV128" s="40"/>
      <c r="ATW128" s="24"/>
      <c r="ATX128" s="40"/>
      <c r="ATY128" s="24"/>
      <c r="ATZ128" s="40"/>
      <c r="AUA128" s="24"/>
      <c r="AUB128" s="40"/>
      <c r="AUC128" s="24"/>
      <c r="AUD128" s="40"/>
      <c r="AUE128" s="24"/>
      <c r="AUF128" s="40"/>
      <c r="AUG128" s="24"/>
      <c r="AUH128" s="40"/>
      <c r="AUI128" s="24"/>
      <c r="AUJ128" s="40"/>
      <c r="AUK128" s="24"/>
      <c r="AUL128" s="40"/>
      <c r="AUM128" s="24"/>
      <c r="AUN128" s="40"/>
      <c r="AUO128" s="24"/>
      <c r="AUP128" s="40"/>
      <c r="AUQ128" s="24"/>
      <c r="AUR128" s="40"/>
      <c r="AUS128" s="24"/>
      <c r="AUT128" s="40"/>
      <c r="AUU128" s="24"/>
      <c r="AUV128" s="40"/>
      <c r="AUW128" s="24"/>
      <c r="AUX128" s="40"/>
      <c r="AUY128" s="24"/>
      <c r="AUZ128" s="40"/>
      <c r="AVA128" s="24"/>
      <c r="AVB128" s="40"/>
      <c r="AVC128" s="24"/>
      <c r="AVD128" s="40"/>
      <c r="AVE128" s="24"/>
      <c r="AVF128" s="40"/>
      <c r="AVG128" s="24"/>
      <c r="AVH128" s="40"/>
      <c r="AVI128" s="24"/>
      <c r="AVJ128" s="40"/>
      <c r="AVK128" s="24"/>
      <c r="AVL128" s="40"/>
      <c r="AVM128" s="24"/>
      <c r="AVN128" s="40"/>
      <c r="AVO128" s="24"/>
      <c r="AVP128" s="40"/>
      <c r="AVQ128" s="24"/>
      <c r="AVR128" s="40"/>
      <c r="AVS128" s="24"/>
      <c r="AVT128" s="40"/>
      <c r="AVU128" s="24"/>
      <c r="AVV128" s="40"/>
      <c r="AVW128" s="24"/>
      <c r="AVX128" s="40"/>
      <c r="AVY128" s="24"/>
      <c r="AVZ128" s="40"/>
      <c r="AWA128" s="24"/>
      <c r="AWB128" s="40"/>
      <c r="AWC128" s="24"/>
      <c r="AWD128" s="40"/>
      <c r="AWE128" s="24"/>
      <c r="AWF128" s="40"/>
      <c r="AWG128" s="24"/>
      <c r="AWH128" s="40"/>
      <c r="AWI128" s="24"/>
      <c r="AWJ128" s="40"/>
      <c r="AWK128" s="24"/>
      <c r="AWL128" s="40"/>
      <c r="AWM128" s="24"/>
      <c r="AWN128" s="40"/>
      <c r="AWO128" s="24"/>
      <c r="AWP128" s="40"/>
      <c r="AWQ128" s="24"/>
      <c r="AWR128" s="40"/>
      <c r="AWS128" s="24"/>
      <c r="AWT128" s="40"/>
      <c r="AWU128" s="24"/>
      <c r="AWV128" s="40"/>
      <c r="AWW128" s="24"/>
      <c r="AWX128" s="40"/>
      <c r="AWY128" s="24"/>
      <c r="AWZ128" s="40"/>
      <c r="AXA128" s="24"/>
      <c r="AXB128" s="40"/>
      <c r="AXC128" s="24"/>
      <c r="AXD128" s="40"/>
      <c r="AXE128" s="24"/>
      <c r="AXF128" s="40"/>
      <c r="AXG128" s="24"/>
      <c r="AXH128" s="40"/>
      <c r="AXI128" s="24"/>
      <c r="AXJ128" s="40"/>
      <c r="AXK128" s="24"/>
      <c r="AXL128" s="40"/>
      <c r="AXM128" s="24"/>
      <c r="AXN128" s="40"/>
      <c r="AXO128" s="24"/>
      <c r="AXP128" s="40"/>
      <c r="AXQ128" s="24"/>
      <c r="AXR128" s="40"/>
      <c r="AXS128" s="24"/>
      <c r="AXT128" s="40"/>
      <c r="AXU128" s="24"/>
      <c r="AXV128" s="40"/>
      <c r="AXW128" s="24"/>
      <c r="AXX128" s="40"/>
      <c r="AXY128" s="24"/>
      <c r="AXZ128" s="40"/>
      <c r="AYA128" s="24"/>
      <c r="AYB128" s="40"/>
      <c r="AYC128" s="24"/>
      <c r="AYD128" s="40"/>
      <c r="AYE128" s="24"/>
      <c r="AYF128" s="40"/>
      <c r="AYG128" s="24"/>
      <c r="AYH128" s="40"/>
      <c r="AYI128" s="24"/>
      <c r="AYJ128" s="40"/>
      <c r="AYK128" s="24"/>
      <c r="AYL128" s="40"/>
      <c r="AYM128" s="24"/>
      <c r="AYN128" s="40"/>
      <c r="AYO128" s="24"/>
      <c r="AYP128" s="40"/>
      <c r="AYQ128" s="24"/>
      <c r="AYR128" s="40"/>
      <c r="AYS128" s="24"/>
      <c r="AYT128" s="40"/>
      <c r="AYU128" s="24"/>
      <c r="AYV128" s="40"/>
      <c r="AYW128" s="24"/>
      <c r="AYX128" s="40"/>
      <c r="AYY128" s="24"/>
      <c r="AYZ128" s="40"/>
      <c r="AZA128" s="24"/>
      <c r="AZB128" s="40"/>
      <c r="AZC128" s="24"/>
      <c r="AZD128" s="40"/>
      <c r="AZE128" s="24"/>
      <c r="AZF128" s="40"/>
      <c r="AZG128" s="24"/>
      <c r="AZH128" s="40"/>
      <c r="AZI128" s="24"/>
      <c r="AZJ128" s="40"/>
      <c r="AZK128" s="24"/>
      <c r="AZL128" s="40"/>
      <c r="AZM128" s="24"/>
      <c r="AZN128" s="40"/>
      <c r="AZO128" s="24"/>
      <c r="AZP128" s="40"/>
      <c r="AZQ128" s="24"/>
      <c r="AZR128" s="40"/>
      <c r="AZS128" s="24"/>
      <c r="AZT128" s="40"/>
      <c r="AZU128" s="24"/>
      <c r="AZV128" s="40"/>
      <c r="AZW128" s="24"/>
      <c r="AZX128" s="40"/>
      <c r="AZY128" s="24"/>
      <c r="AZZ128" s="40"/>
      <c r="BAA128" s="24"/>
      <c r="BAB128" s="40"/>
      <c r="BAC128" s="24"/>
      <c r="BAD128" s="40"/>
      <c r="BAE128" s="24"/>
      <c r="BAF128" s="40"/>
      <c r="BAG128" s="24"/>
      <c r="BAH128" s="40"/>
      <c r="BAI128" s="24"/>
      <c r="BAJ128" s="40"/>
      <c r="BAK128" s="24"/>
      <c r="BAL128" s="40"/>
      <c r="BAM128" s="24"/>
      <c r="BAN128" s="40"/>
      <c r="BAO128" s="24"/>
      <c r="BAP128" s="40"/>
      <c r="BAQ128" s="24"/>
      <c r="BAR128" s="40"/>
      <c r="BAS128" s="24"/>
      <c r="BAT128" s="40"/>
      <c r="BAU128" s="24"/>
      <c r="BAV128" s="40"/>
      <c r="BAW128" s="24"/>
      <c r="BAX128" s="40"/>
      <c r="BAY128" s="24"/>
      <c r="BAZ128" s="40"/>
      <c r="BBA128" s="24"/>
      <c r="BBB128" s="40"/>
      <c r="BBC128" s="24"/>
      <c r="BBD128" s="40"/>
      <c r="BBE128" s="24"/>
      <c r="BBF128" s="40"/>
      <c r="BBG128" s="24"/>
      <c r="BBH128" s="40"/>
      <c r="BBI128" s="24"/>
      <c r="BBJ128" s="40"/>
      <c r="BBK128" s="24"/>
      <c r="BBL128" s="40"/>
      <c r="BBM128" s="24"/>
      <c r="BBN128" s="40"/>
      <c r="BBO128" s="24"/>
      <c r="BBP128" s="40"/>
      <c r="BBQ128" s="24"/>
      <c r="BBR128" s="40"/>
      <c r="BBS128" s="24"/>
      <c r="BBT128" s="40"/>
      <c r="BBU128" s="24"/>
      <c r="BBV128" s="40"/>
      <c r="BBW128" s="24"/>
      <c r="BBX128" s="40"/>
      <c r="BBY128" s="24"/>
      <c r="BBZ128" s="40"/>
      <c r="BCA128" s="24"/>
      <c r="BCB128" s="40"/>
      <c r="BCC128" s="24"/>
      <c r="BCD128" s="40"/>
      <c r="BCE128" s="24"/>
      <c r="BCF128" s="40"/>
      <c r="BCG128" s="24"/>
      <c r="BCH128" s="40"/>
      <c r="BCI128" s="24"/>
      <c r="BCJ128" s="40"/>
      <c r="BCK128" s="24"/>
      <c r="BCL128" s="40"/>
      <c r="BCM128" s="24"/>
      <c r="BCN128" s="40"/>
      <c r="BCO128" s="24"/>
      <c r="BCP128" s="40"/>
      <c r="BCQ128" s="24"/>
      <c r="BCR128" s="40"/>
      <c r="BCS128" s="24"/>
      <c r="BCT128" s="40"/>
      <c r="BCU128" s="24"/>
      <c r="BCV128" s="40"/>
      <c r="BCW128" s="24"/>
      <c r="BCX128" s="40"/>
      <c r="BCY128" s="24"/>
      <c r="BCZ128" s="40"/>
      <c r="BDA128" s="24"/>
      <c r="BDB128" s="40"/>
      <c r="BDC128" s="24"/>
      <c r="BDD128" s="40"/>
      <c r="BDE128" s="24"/>
      <c r="BDF128" s="40"/>
      <c r="BDG128" s="24"/>
      <c r="BDH128" s="40"/>
      <c r="BDI128" s="24"/>
      <c r="BDJ128" s="40"/>
      <c r="BDK128" s="24"/>
      <c r="BDL128" s="40"/>
      <c r="BDM128" s="24"/>
      <c r="BDN128" s="40"/>
      <c r="BDO128" s="24"/>
      <c r="BDP128" s="40"/>
      <c r="BDQ128" s="24"/>
      <c r="BDR128" s="40"/>
      <c r="BDS128" s="24"/>
      <c r="BDT128" s="40"/>
      <c r="BDU128" s="24"/>
      <c r="BDV128" s="40"/>
      <c r="BDW128" s="24"/>
      <c r="BDX128" s="40"/>
      <c r="BDY128" s="24"/>
      <c r="BDZ128" s="40"/>
      <c r="BEA128" s="24"/>
      <c r="BEB128" s="40"/>
      <c r="BEC128" s="24"/>
      <c r="BED128" s="40"/>
      <c r="BEE128" s="24"/>
      <c r="BEF128" s="40"/>
      <c r="BEG128" s="24"/>
      <c r="BEH128" s="40"/>
      <c r="BEI128" s="24"/>
      <c r="BEJ128" s="40"/>
      <c r="BEK128" s="24"/>
      <c r="BEL128" s="40"/>
      <c r="BEM128" s="24"/>
      <c r="BEN128" s="40"/>
      <c r="BEO128" s="24"/>
      <c r="BEP128" s="40"/>
      <c r="BEQ128" s="24"/>
      <c r="BER128" s="40"/>
      <c r="BES128" s="24"/>
      <c r="BET128" s="40"/>
      <c r="BEU128" s="24"/>
      <c r="BEV128" s="40"/>
      <c r="BEW128" s="24"/>
      <c r="BEX128" s="40"/>
      <c r="BEY128" s="24"/>
      <c r="BEZ128" s="40"/>
      <c r="BFA128" s="24"/>
      <c r="BFB128" s="40"/>
      <c r="BFC128" s="24"/>
      <c r="BFD128" s="40"/>
      <c r="BFE128" s="24"/>
      <c r="BFF128" s="40"/>
      <c r="BFG128" s="24"/>
      <c r="BFH128" s="40"/>
      <c r="BFI128" s="24"/>
      <c r="BFJ128" s="40"/>
      <c r="BFK128" s="24"/>
      <c r="BFL128" s="40"/>
      <c r="BFM128" s="24"/>
      <c r="BFN128" s="40"/>
      <c r="BFO128" s="24"/>
      <c r="BFP128" s="40"/>
      <c r="BFQ128" s="24"/>
      <c r="BFR128" s="40"/>
      <c r="BFS128" s="24"/>
      <c r="BFT128" s="40"/>
      <c r="BFU128" s="24"/>
      <c r="BFV128" s="40"/>
      <c r="BFW128" s="24"/>
      <c r="BFX128" s="40"/>
      <c r="BFY128" s="24"/>
      <c r="BFZ128" s="40"/>
      <c r="BGA128" s="24"/>
      <c r="BGB128" s="40"/>
      <c r="BGC128" s="24"/>
      <c r="BGD128" s="40"/>
      <c r="BGE128" s="24"/>
      <c r="BGF128" s="40"/>
      <c r="BGG128" s="24"/>
      <c r="BGH128" s="40"/>
      <c r="BGI128" s="24"/>
      <c r="BGJ128" s="40"/>
      <c r="BGK128" s="24"/>
      <c r="BGL128" s="40"/>
      <c r="BGM128" s="24"/>
      <c r="BGN128" s="40"/>
      <c r="BGO128" s="24"/>
      <c r="BGP128" s="40"/>
      <c r="BGQ128" s="24"/>
      <c r="BGR128" s="40"/>
      <c r="BGS128" s="24"/>
      <c r="BGT128" s="40"/>
      <c r="BGU128" s="24"/>
      <c r="BGV128" s="40"/>
      <c r="BGW128" s="24"/>
      <c r="BGX128" s="40"/>
      <c r="BGY128" s="24"/>
      <c r="BGZ128" s="40"/>
      <c r="BHA128" s="24"/>
      <c r="BHB128" s="40"/>
      <c r="BHC128" s="24"/>
      <c r="BHD128" s="40"/>
      <c r="BHE128" s="24"/>
      <c r="BHF128" s="40"/>
      <c r="BHG128" s="24"/>
      <c r="BHH128" s="40"/>
      <c r="BHI128" s="24"/>
      <c r="BHJ128" s="40"/>
      <c r="BHK128" s="24"/>
      <c r="BHL128" s="40"/>
      <c r="BHM128" s="24"/>
      <c r="BHN128" s="40"/>
      <c r="BHO128" s="24"/>
      <c r="BHP128" s="40"/>
      <c r="BHQ128" s="24"/>
      <c r="BHR128" s="40"/>
      <c r="BHS128" s="24"/>
      <c r="BHT128" s="40"/>
      <c r="BHU128" s="24"/>
      <c r="BHV128" s="40"/>
      <c r="BHW128" s="24"/>
      <c r="BHX128" s="40"/>
      <c r="BHY128" s="24"/>
      <c r="BHZ128" s="40"/>
      <c r="BIA128" s="24"/>
      <c r="BIB128" s="40"/>
      <c r="BIC128" s="24"/>
      <c r="BID128" s="40"/>
      <c r="BIE128" s="24"/>
      <c r="BIF128" s="40"/>
      <c r="BIG128" s="24"/>
      <c r="BIH128" s="40"/>
      <c r="BII128" s="24"/>
      <c r="BIJ128" s="40"/>
      <c r="BIK128" s="24"/>
      <c r="BIL128" s="40"/>
      <c r="BIM128" s="24"/>
      <c r="BIN128" s="40"/>
      <c r="BIO128" s="24"/>
      <c r="BIP128" s="40"/>
      <c r="BIQ128" s="24"/>
      <c r="BIR128" s="40"/>
      <c r="BIS128" s="24"/>
      <c r="BIT128" s="40"/>
      <c r="BIU128" s="24"/>
      <c r="BIV128" s="40"/>
      <c r="BIW128" s="24"/>
      <c r="BIX128" s="40"/>
      <c r="BIY128" s="24"/>
      <c r="BIZ128" s="40"/>
      <c r="BJA128" s="24"/>
      <c r="BJB128" s="40"/>
      <c r="BJC128" s="24"/>
      <c r="BJD128" s="40"/>
      <c r="BJE128" s="24"/>
      <c r="BJF128" s="40"/>
      <c r="BJG128" s="24"/>
      <c r="BJH128" s="40"/>
      <c r="BJI128" s="24"/>
      <c r="BJJ128" s="40"/>
      <c r="BJK128" s="24"/>
      <c r="BJL128" s="40"/>
      <c r="BJM128" s="24"/>
      <c r="BJN128" s="40"/>
      <c r="BJO128" s="24"/>
      <c r="BJP128" s="40"/>
      <c r="BJQ128" s="24"/>
      <c r="BJR128" s="40"/>
      <c r="BJS128" s="24"/>
      <c r="BJT128" s="40"/>
      <c r="BJU128" s="24"/>
      <c r="BJV128" s="40"/>
      <c r="BJW128" s="24"/>
      <c r="BJX128" s="40"/>
      <c r="BJY128" s="24"/>
      <c r="BJZ128" s="40"/>
      <c r="BKA128" s="24"/>
      <c r="BKB128" s="40"/>
      <c r="BKC128" s="24"/>
      <c r="BKD128" s="40"/>
      <c r="BKE128" s="24"/>
      <c r="BKF128" s="40"/>
      <c r="BKG128" s="24"/>
      <c r="BKH128" s="40"/>
      <c r="BKI128" s="24"/>
      <c r="BKJ128" s="40"/>
      <c r="BKK128" s="24"/>
      <c r="BKL128" s="40"/>
      <c r="BKM128" s="24"/>
      <c r="BKN128" s="40"/>
      <c r="BKO128" s="24"/>
      <c r="BKP128" s="40"/>
      <c r="BKQ128" s="24"/>
      <c r="BKR128" s="40"/>
      <c r="BKS128" s="24"/>
      <c r="BKT128" s="40"/>
      <c r="BKU128" s="24"/>
      <c r="BKV128" s="40"/>
      <c r="BKW128" s="24"/>
      <c r="BKX128" s="40"/>
      <c r="BKY128" s="24"/>
      <c r="BKZ128" s="40"/>
      <c r="BLA128" s="24"/>
      <c r="BLB128" s="40"/>
      <c r="BLC128" s="24"/>
      <c r="BLD128" s="40"/>
      <c r="BLE128" s="24"/>
      <c r="BLF128" s="40"/>
      <c r="BLG128" s="24"/>
      <c r="BLH128" s="40"/>
      <c r="BLI128" s="24"/>
      <c r="BLJ128" s="40"/>
      <c r="BLK128" s="24"/>
      <c r="BLL128" s="40"/>
      <c r="BLM128" s="24"/>
      <c r="BLN128" s="40"/>
      <c r="BLO128" s="24"/>
      <c r="BLP128" s="40"/>
      <c r="BLQ128" s="24"/>
      <c r="BLR128" s="40"/>
      <c r="BLS128" s="24"/>
      <c r="BLT128" s="40"/>
      <c r="BLU128" s="24"/>
      <c r="BLV128" s="40"/>
      <c r="BLW128" s="24"/>
      <c r="BLX128" s="40"/>
      <c r="BLY128" s="24"/>
      <c r="BLZ128" s="40"/>
      <c r="BMA128" s="24"/>
      <c r="BMB128" s="40"/>
      <c r="BMC128" s="24"/>
      <c r="BMD128" s="40"/>
      <c r="BME128" s="24"/>
      <c r="BMF128" s="40"/>
      <c r="BMG128" s="24"/>
      <c r="BMH128" s="40"/>
      <c r="BMI128" s="24"/>
      <c r="BMJ128" s="40"/>
      <c r="BMK128" s="24"/>
      <c r="BML128" s="40"/>
      <c r="BMM128" s="24"/>
      <c r="BMN128" s="40"/>
      <c r="BMO128" s="24"/>
      <c r="BMP128" s="40"/>
      <c r="BMQ128" s="24"/>
      <c r="BMR128" s="40"/>
      <c r="BMS128" s="24"/>
      <c r="BMT128" s="40"/>
      <c r="BMU128" s="24"/>
      <c r="BMV128" s="40"/>
      <c r="BMW128" s="24"/>
      <c r="BMX128" s="40"/>
      <c r="BMY128" s="24"/>
      <c r="BMZ128" s="40"/>
      <c r="BNA128" s="24"/>
      <c r="BNB128" s="40"/>
      <c r="BNC128" s="24"/>
      <c r="BND128" s="40"/>
      <c r="BNE128" s="24"/>
      <c r="BNF128" s="40"/>
      <c r="BNG128" s="24"/>
      <c r="BNH128" s="40"/>
      <c r="BNI128" s="24"/>
      <c r="BNJ128" s="40"/>
      <c r="BNK128" s="24"/>
      <c r="BNL128" s="40"/>
      <c r="BNM128" s="24"/>
      <c r="BNN128" s="40"/>
      <c r="BNO128" s="24"/>
      <c r="BNP128" s="40"/>
      <c r="BNQ128" s="24"/>
      <c r="BNR128" s="40"/>
      <c r="BNS128" s="24"/>
      <c r="BNT128" s="40"/>
      <c r="BNU128" s="24"/>
      <c r="BNV128" s="40"/>
      <c r="BNW128" s="24"/>
      <c r="BNX128" s="40"/>
      <c r="BNY128" s="24"/>
      <c r="BNZ128" s="40"/>
      <c r="BOA128" s="24"/>
      <c r="BOB128" s="40"/>
      <c r="BOC128" s="24"/>
      <c r="BOD128" s="40"/>
      <c r="BOE128" s="24"/>
      <c r="BOF128" s="40"/>
      <c r="BOG128" s="24"/>
      <c r="BOH128" s="40"/>
      <c r="BOI128" s="24"/>
      <c r="BOJ128" s="40"/>
      <c r="BOK128" s="24"/>
      <c r="BOL128" s="40"/>
      <c r="BOM128" s="24"/>
      <c r="BON128" s="40"/>
      <c r="BOO128" s="24"/>
      <c r="BOP128" s="40"/>
      <c r="BOQ128" s="24"/>
      <c r="BOR128" s="40"/>
      <c r="BOS128" s="24"/>
      <c r="BOT128" s="40"/>
      <c r="BOU128" s="24"/>
      <c r="BOV128" s="40"/>
      <c r="BOW128" s="24"/>
      <c r="BOX128" s="40"/>
      <c r="BOY128" s="24"/>
      <c r="BOZ128" s="40"/>
      <c r="BPA128" s="24"/>
      <c r="BPB128" s="40"/>
      <c r="BPC128" s="24"/>
      <c r="BPD128" s="40"/>
      <c r="BPE128" s="24"/>
      <c r="BPF128" s="40"/>
      <c r="BPG128" s="24"/>
      <c r="BPH128" s="40"/>
      <c r="BPI128" s="24"/>
      <c r="BPJ128" s="40"/>
      <c r="BPK128" s="24"/>
      <c r="BPL128" s="40"/>
      <c r="BPM128" s="24"/>
      <c r="BPN128" s="40"/>
      <c r="BPO128" s="24"/>
      <c r="BPP128" s="40"/>
      <c r="BPQ128" s="24"/>
      <c r="BPR128" s="40"/>
      <c r="BPS128" s="24"/>
      <c r="BPT128" s="40"/>
      <c r="BPU128" s="24"/>
      <c r="BPV128" s="40"/>
      <c r="BPW128" s="24"/>
      <c r="BPX128" s="40"/>
      <c r="BPY128" s="24"/>
      <c r="BPZ128" s="40"/>
      <c r="BQA128" s="24"/>
      <c r="BQB128" s="40"/>
      <c r="BQC128" s="24"/>
      <c r="BQD128" s="40"/>
      <c r="BQE128" s="24"/>
      <c r="BQF128" s="40"/>
      <c r="BQG128" s="24"/>
      <c r="BQH128" s="40"/>
      <c r="BQI128" s="24"/>
      <c r="BQJ128" s="40"/>
      <c r="BQK128" s="24"/>
      <c r="BQL128" s="40"/>
      <c r="BQM128" s="24"/>
      <c r="BQN128" s="40"/>
      <c r="BQO128" s="24"/>
      <c r="BQP128" s="40"/>
      <c r="BQQ128" s="24"/>
      <c r="BQR128" s="40"/>
      <c r="BQS128" s="24"/>
      <c r="BQT128" s="40"/>
      <c r="BQU128" s="24"/>
      <c r="BQV128" s="40"/>
      <c r="BQW128" s="24"/>
      <c r="BQX128" s="40"/>
      <c r="BQY128" s="24"/>
      <c r="BQZ128" s="40"/>
      <c r="BRA128" s="24"/>
      <c r="BRB128" s="40"/>
      <c r="BRC128" s="24"/>
      <c r="BRD128" s="40"/>
      <c r="BRE128" s="24"/>
      <c r="BRF128" s="40"/>
      <c r="BRG128" s="24"/>
      <c r="BRH128" s="40"/>
      <c r="BRI128" s="24"/>
      <c r="BRJ128" s="40"/>
      <c r="BRK128" s="24"/>
      <c r="BRL128" s="40"/>
      <c r="BRM128" s="24"/>
      <c r="BRN128" s="40"/>
      <c r="BRO128" s="24"/>
      <c r="BRP128" s="40"/>
      <c r="BRQ128" s="24"/>
      <c r="BRR128" s="40"/>
      <c r="BRS128" s="24"/>
      <c r="BRT128" s="40"/>
      <c r="BRU128" s="24"/>
      <c r="BRV128" s="40"/>
      <c r="BRW128" s="24"/>
      <c r="BRX128" s="40"/>
      <c r="BRY128" s="24"/>
      <c r="BRZ128" s="40"/>
      <c r="BSA128" s="24"/>
      <c r="BSB128" s="40"/>
      <c r="BSC128" s="24"/>
      <c r="BSD128" s="40"/>
      <c r="BSE128" s="24"/>
      <c r="BSF128" s="40"/>
      <c r="BSG128" s="24"/>
      <c r="BSH128" s="40"/>
      <c r="BSI128" s="24"/>
      <c r="BSJ128" s="40"/>
      <c r="BSK128" s="24"/>
      <c r="BSL128" s="40"/>
      <c r="BSM128" s="24"/>
      <c r="BSN128" s="40"/>
      <c r="BSO128" s="24"/>
      <c r="BSP128" s="40"/>
      <c r="BSQ128" s="24"/>
      <c r="BSR128" s="40"/>
      <c r="BSS128" s="24"/>
      <c r="BST128" s="40"/>
      <c r="BSU128" s="24"/>
      <c r="BSV128" s="40"/>
      <c r="BSW128" s="24"/>
      <c r="BSX128" s="40"/>
      <c r="BSY128" s="24"/>
      <c r="BSZ128" s="40"/>
      <c r="BTA128" s="24"/>
      <c r="BTB128" s="40"/>
      <c r="BTC128" s="24"/>
      <c r="BTD128" s="40"/>
      <c r="BTE128" s="24"/>
      <c r="BTF128" s="40"/>
      <c r="BTG128" s="24"/>
      <c r="BTH128" s="40"/>
      <c r="BTI128" s="24"/>
      <c r="BTJ128" s="40"/>
      <c r="BTK128" s="24"/>
      <c r="BTL128" s="40"/>
      <c r="BTM128" s="24"/>
      <c r="BTN128" s="40"/>
      <c r="BTO128" s="24"/>
      <c r="BTP128" s="40"/>
      <c r="BTQ128" s="24"/>
      <c r="BTR128" s="40"/>
      <c r="BTS128" s="24"/>
      <c r="BTT128" s="40"/>
      <c r="BTU128" s="24"/>
      <c r="BTV128" s="40"/>
      <c r="BTW128" s="24"/>
      <c r="BTX128" s="40"/>
      <c r="BTY128" s="24"/>
      <c r="BTZ128" s="40"/>
      <c r="BUA128" s="24"/>
      <c r="BUB128" s="40"/>
      <c r="BUC128" s="24"/>
      <c r="BUD128" s="40"/>
      <c r="BUE128" s="24"/>
      <c r="BUF128" s="40"/>
      <c r="BUG128" s="24"/>
      <c r="BUH128" s="40"/>
      <c r="BUI128" s="24"/>
      <c r="BUJ128" s="40"/>
      <c r="BUK128" s="24"/>
      <c r="BUL128" s="40"/>
      <c r="BUM128" s="24"/>
      <c r="BUN128" s="40"/>
      <c r="BUO128" s="24"/>
      <c r="BUP128" s="40"/>
      <c r="BUQ128" s="24"/>
      <c r="BUR128" s="40"/>
      <c r="BUS128" s="24"/>
      <c r="BUT128" s="40"/>
      <c r="BUU128" s="24"/>
      <c r="BUV128" s="40"/>
      <c r="BUW128" s="24"/>
      <c r="BUX128" s="40"/>
      <c r="BUY128" s="24"/>
      <c r="BUZ128" s="40"/>
      <c r="BVA128" s="24"/>
      <c r="BVB128" s="40"/>
      <c r="BVC128" s="24"/>
      <c r="BVD128" s="40"/>
      <c r="BVE128" s="24"/>
      <c r="BVF128" s="40"/>
      <c r="BVG128" s="24"/>
      <c r="BVH128" s="40"/>
      <c r="BVI128" s="24"/>
      <c r="BVJ128" s="40"/>
      <c r="BVK128" s="24"/>
      <c r="BVL128" s="40"/>
      <c r="BVM128" s="24"/>
      <c r="BVN128" s="40"/>
      <c r="BVO128" s="24"/>
      <c r="BVP128" s="40"/>
      <c r="BVQ128" s="24"/>
      <c r="BVR128" s="40"/>
      <c r="BVS128" s="24"/>
      <c r="BVT128" s="40"/>
      <c r="BVU128" s="24"/>
      <c r="BVV128" s="40"/>
      <c r="BVW128" s="24"/>
      <c r="BVX128" s="40"/>
      <c r="BVY128" s="24"/>
      <c r="BVZ128" s="40"/>
      <c r="BWA128" s="24"/>
      <c r="BWB128" s="40"/>
      <c r="BWC128" s="24"/>
      <c r="BWD128" s="40"/>
      <c r="BWE128" s="24"/>
      <c r="BWF128" s="40"/>
      <c r="BWG128" s="24"/>
      <c r="BWH128" s="40"/>
      <c r="BWI128" s="24"/>
      <c r="BWJ128" s="40"/>
      <c r="BWK128" s="24"/>
      <c r="BWL128" s="40"/>
      <c r="BWM128" s="24"/>
      <c r="BWN128" s="40"/>
      <c r="BWO128" s="24"/>
      <c r="BWP128" s="40"/>
      <c r="BWQ128" s="24"/>
      <c r="BWR128" s="40"/>
      <c r="BWS128" s="24"/>
      <c r="BWT128" s="40"/>
      <c r="BWU128" s="24"/>
      <c r="BWV128" s="40"/>
      <c r="BWW128" s="24"/>
      <c r="BWX128" s="40"/>
      <c r="BWY128" s="24"/>
      <c r="BWZ128" s="40"/>
      <c r="BXA128" s="24"/>
      <c r="BXB128" s="40"/>
      <c r="BXC128" s="24"/>
      <c r="BXD128" s="40"/>
      <c r="BXE128" s="24"/>
      <c r="BXF128" s="40"/>
      <c r="BXG128" s="24"/>
      <c r="BXH128" s="40"/>
      <c r="BXI128" s="24"/>
      <c r="BXJ128" s="40"/>
      <c r="BXK128" s="24"/>
      <c r="BXL128" s="40"/>
      <c r="BXM128" s="24"/>
      <c r="BXN128" s="40"/>
      <c r="BXO128" s="24"/>
      <c r="BXP128" s="40"/>
      <c r="BXQ128" s="24"/>
      <c r="BXR128" s="40"/>
      <c r="BXS128" s="24"/>
      <c r="BXT128" s="40"/>
      <c r="BXU128" s="24"/>
      <c r="BXV128" s="40"/>
      <c r="BXW128" s="24"/>
      <c r="BXX128" s="40"/>
      <c r="BXY128" s="24"/>
      <c r="BXZ128" s="40"/>
      <c r="BYA128" s="24"/>
      <c r="BYB128" s="40"/>
      <c r="BYC128" s="24"/>
      <c r="BYD128" s="40"/>
      <c r="BYE128" s="24"/>
      <c r="BYF128" s="40"/>
      <c r="BYG128" s="24"/>
      <c r="BYH128" s="40"/>
      <c r="BYI128" s="24"/>
      <c r="BYJ128" s="40"/>
      <c r="BYK128" s="24"/>
      <c r="BYL128" s="40"/>
      <c r="BYM128" s="24"/>
      <c r="BYN128" s="40"/>
      <c r="BYO128" s="24"/>
      <c r="BYP128" s="40"/>
      <c r="BYQ128" s="24"/>
      <c r="BYR128" s="40"/>
      <c r="BYS128" s="24"/>
      <c r="BYT128" s="40"/>
      <c r="BYU128" s="24"/>
      <c r="BYV128" s="40"/>
      <c r="BYW128" s="24"/>
      <c r="BYX128" s="40"/>
      <c r="BYY128" s="24"/>
      <c r="BYZ128" s="40"/>
      <c r="BZA128" s="24"/>
      <c r="BZB128" s="40"/>
      <c r="BZC128" s="24"/>
      <c r="BZD128" s="40"/>
      <c r="BZE128" s="24"/>
      <c r="BZF128" s="40"/>
      <c r="BZG128" s="24"/>
      <c r="BZH128" s="40"/>
      <c r="BZI128" s="24"/>
      <c r="BZJ128" s="40"/>
      <c r="BZK128" s="24"/>
      <c r="BZL128" s="40"/>
      <c r="BZM128" s="24"/>
      <c r="BZN128" s="40"/>
      <c r="BZO128" s="24"/>
      <c r="BZP128" s="40"/>
      <c r="BZQ128" s="24"/>
      <c r="BZR128" s="40"/>
      <c r="BZS128" s="24"/>
      <c r="BZT128" s="40"/>
      <c r="BZU128" s="24"/>
      <c r="BZV128" s="40"/>
      <c r="BZW128" s="24"/>
      <c r="BZX128" s="40"/>
      <c r="BZY128" s="24"/>
      <c r="BZZ128" s="40"/>
      <c r="CAA128" s="24"/>
      <c r="CAB128" s="40"/>
      <c r="CAC128" s="24"/>
      <c r="CAD128" s="40"/>
      <c r="CAE128" s="24"/>
      <c r="CAF128" s="40"/>
      <c r="CAG128" s="24"/>
      <c r="CAH128" s="40"/>
      <c r="CAI128" s="24"/>
      <c r="CAJ128" s="40"/>
      <c r="CAK128" s="24"/>
      <c r="CAL128" s="40"/>
      <c r="CAM128" s="24"/>
      <c r="CAN128" s="40"/>
      <c r="CAO128" s="24"/>
      <c r="CAP128" s="40"/>
      <c r="CAQ128" s="24"/>
      <c r="CAR128" s="40"/>
      <c r="CAS128" s="24"/>
      <c r="CAT128" s="40"/>
      <c r="CAU128" s="24"/>
      <c r="CAV128" s="40"/>
      <c r="CAW128" s="24"/>
      <c r="CAX128" s="40"/>
      <c r="CAY128" s="24"/>
      <c r="CAZ128" s="40"/>
      <c r="CBA128" s="24"/>
      <c r="CBB128" s="40"/>
      <c r="CBC128" s="24"/>
      <c r="CBD128" s="40"/>
      <c r="CBE128" s="24"/>
      <c r="CBF128" s="40"/>
      <c r="CBG128" s="24"/>
      <c r="CBH128" s="40"/>
      <c r="CBI128" s="24"/>
      <c r="CBJ128" s="40"/>
      <c r="CBK128" s="24"/>
      <c r="CBL128" s="40"/>
      <c r="CBM128" s="24"/>
      <c r="CBN128" s="40"/>
      <c r="CBO128" s="24"/>
      <c r="CBP128" s="40"/>
      <c r="CBQ128" s="24"/>
      <c r="CBR128" s="40"/>
      <c r="CBS128" s="24"/>
      <c r="CBT128" s="40"/>
      <c r="CBU128" s="24"/>
      <c r="CBV128" s="40"/>
      <c r="CBW128" s="24"/>
      <c r="CBX128" s="40"/>
      <c r="CBY128" s="24"/>
      <c r="CBZ128" s="40"/>
      <c r="CCA128" s="24"/>
      <c r="CCB128" s="40"/>
      <c r="CCC128" s="24"/>
      <c r="CCD128" s="40"/>
      <c r="CCE128" s="24"/>
      <c r="CCF128" s="40"/>
      <c r="CCG128" s="24"/>
      <c r="CCH128" s="40"/>
      <c r="CCI128" s="24"/>
      <c r="CCJ128" s="40"/>
      <c r="CCK128" s="24"/>
      <c r="CCL128" s="40"/>
      <c r="CCM128" s="24"/>
      <c r="CCN128" s="40"/>
      <c r="CCO128" s="24"/>
      <c r="CCP128" s="40"/>
      <c r="CCQ128" s="24"/>
      <c r="CCR128" s="40"/>
      <c r="CCS128" s="24"/>
      <c r="CCT128" s="40"/>
      <c r="CCU128" s="24"/>
      <c r="CCV128" s="40"/>
      <c r="CCW128" s="24"/>
      <c r="CCX128" s="40"/>
      <c r="CCY128" s="24"/>
      <c r="CCZ128" s="40"/>
      <c r="CDA128" s="24"/>
      <c r="CDB128" s="40"/>
      <c r="CDC128" s="24"/>
      <c r="CDD128" s="40"/>
      <c r="CDE128" s="24"/>
      <c r="CDF128" s="40"/>
      <c r="CDG128" s="24"/>
      <c r="CDH128" s="40"/>
      <c r="CDI128" s="24"/>
      <c r="CDJ128" s="40"/>
      <c r="CDK128" s="24"/>
      <c r="CDL128" s="40"/>
      <c r="CDM128" s="24"/>
      <c r="CDN128" s="40"/>
      <c r="CDO128" s="24"/>
      <c r="CDP128" s="40"/>
      <c r="CDQ128" s="24"/>
      <c r="CDR128" s="40"/>
      <c r="CDS128" s="24"/>
      <c r="CDT128" s="40"/>
      <c r="CDU128" s="24"/>
      <c r="CDV128" s="40"/>
      <c r="CDW128" s="24"/>
      <c r="CDX128" s="40"/>
      <c r="CDY128" s="24"/>
      <c r="CDZ128" s="40"/>
      <c r="CEA128" s="24"/>
      <c r="CEB128" s="40"/>
      <c r="CEC128" s="24"/>
      <c r="CED128" s="40"/>
      <c r="CEE128" s="24"/>
      <c r="CEF128" s="40"/>
      <c r="CEG128" s="24"/>
      <c r="CEH128" s="40"/>
      <c r="CEI128" s="24"/>
      <c r="CEJ128" s="40"/>
      <c r="CEK128" s="24"/>
      <c r="CEL128" s="40"/>
      <c r="CEM128" s="24"/>
      <c r="CEN128" s="40"/>
      <c r="CEO128" s="24"/>
      <c r="CEP128" s="40"/>
      <c r="CEQ128" s="24"/>
      <c r="CER128" s="40"/>
      <c r="CES128" s="24"/>
      <c r="CET128" s="40"/>
      <c r="CEU128" s="24"/>
      <c r="CEV128" s="40"/>
      <c r="CEW128" s="24"/>
      <c r="CEX128" s="40"/>
      <c r="CEY128" s="24"/>
      <c r="CEZ128" s="40"/>
      <c r="CFA128" s="24"/>
      <c r="CFB128" s="40"/>
      <c r="CFC128" s="24"/>
      <c r="CFD128" s="40"/>
      <c r="CFE128" s="24"/>
      <c r="CFF128" s="40"/>
      <c r="CFG128" s="24"/>
      <c r="CFH128" s="40"/>
      <c r="CFI128" s="24"/>
      <c r="CFJ128" s="40"/>
      <c r="CFK128" s="24"/>
      <c r="CFL128" s="40"/>
      <c r="CFM128" s="24"/>
      <c r="CFN128" s="40"/>
      <c r="CFO128" s="24"/>
      <c r="CFP128" s="40"/>
      <c r="CFQ128" s="24"/>
      <c r="CFR128" s="40"/>
      <c r="CFS128" s="24"/>
      <c r="CFT128" s="40"/>
      <c r="CFU128" s="24"/>
      <c r="CFV128" s="40"/>
      <c r="CFW128" s="24"/>
      <c r="CFX128" s="40"/>
      <c r="CFY128" s="24"/>
      <c r="CFZ128" s="40"/>
      <c r="CGA128" s="24"/>
      <c r="CGB128" s="40"/>
      <c r="CGC128" s="24"/>
      <c r="CGD128" s="40"/>
      <c r="CGE128" s="24"/>
      <c r="CGF128" s="40"/>
      <c r="CGG128" s="24"/>
      <c r="CGH128" s="40"/>
      <c r="CGI128" s="24"/>
      <c r="CGJ128" s="40"/>
      <c r="CGK128" s="24"/>
      <c r="CGL128" s="40"/>
      <c r="CGM128" s="24"/>
      <c r="CGN128" s="40"/>
      <c r="CGO128" s="24"/>
      <c r="CGP128" s="40"/>
      <c r="CGQ128" s="24"/>
      <c r="CGR128" s="40"/>
      <c r="CGS128" s="24"/>
      <c r="CGT128" s="40"/>
      <c r="CGU128" s="24"/>
      <c r="CGV128" s="40"/>
      <c r="CGW128" s="24"/>
      <c r="CGX128" s="40"/>
      <c r="CGY128" s="24"/>
      <c r="CGZ128" s="40"/>
      <c r="CHA128" s="24"/>
      <c r="CHB128" s="40"/>
      <c r="CHC128" s="24"/>
      <c r="CHD128" s="40"/>
      <c r="CHE128" s="24"/>
      <c r="CHF128" s="40"/>
      <c r="CHG128" s="24"/>
      <c r="CHH128" s="40"/>
      <c r="CHI128" s="24"/>
      <c r="CHJ128" s="40"/>
      <c r="CHK128" s="24"/>
      <c r="CHL128" s="40"/>
      <c r="CHM128" s="24"/>
      <c r="CHN128" s="40"/>
      <c r="CHO128" s="24"/>
      <c r="CHP128" s="40"/>
      <c r="CHQ128" s="24"/>
      <c r="CHR128" s="40"/>
      <c r="CHS128" s="24"/>
      <c r="CHT128" s="40"/>
      <c r="CHU128" s="24"/>
      <c r="CHV128" s="40"/>
      <c r="CHW128" s="24"/>
      <c r="CHX128" s="40"/>
      <c r="CHY128" s="24"/>
      <c r="CHZ128" s="40"/>
      <c r="CIA128" s="24"/>
      <c r="CIB128" s="40"/>
      <c r="CIC128" s="24"/>
      <c r="CID128" s="40"/>
      <c r="CIE128" s="24"/>
      <c r="CIF128" s="40"/>
      <c r="CIG128" s="24"/>
      <c r="CIH128" s="40"/>
      <c r="CII128" s="24"/>
      <c r="CIJ128" s="40"/>
      <c r="CIK128" s="24"/>
      <c r="CIL128" s="40"/>
      <c r="CIM128" s="24"/>
      <c r="CIN128" s="40"/>
      <c r="CIO128" s="24"/>
      <c r="CIP128" s="40"/>
      <c r="CIQ128" s="24"/>
      <c r="CIR128" s="40"/>
      <c r="CIS128" s="24"/>
      <c r="CIT128" s="40"/>
      <c r="CIU128" s="24"/>
      <c r="CIV128" s="40"/>
      <c r="CIW128" s="24"/>
      <c r="CIX128" s="40"/>
      <c r="CIY128" s="24"/>
      <c r="CIZ128" s="40"/>
      <c r="CJA128" s="24"/>
      <c r="CJB128" s="40"/>
      <c r="CJC128" s="24"/>
      <c r="CJD128" s="40"/>
      <c r="CJE128" s="24"/>
      <c r="CJF128" s="40"/>
      <c r="CJG128" s="24"/>
      <c r="CJH128" s="40"/>
      <c r="CJI128" s="24"/>
      <c r="CJJ128" s="40"/>
      <c r="CJK128" s="24"/>
      <c r="CJL128" s="40"/>
      <c r="CJM128" s="24"/>
      <c r="CJN128" s="40"/>
      <c r="CJO128" s="24"/>
      <c r="CJP128" s="40"/>
      <c r="CJQ128" s="24"/>
      <c r="CJR128" s="40"/>
      <c r="CJS128" s="24"/>
      <c r="CJT128" s="40"/>
      <c r="CJU128" s="24"/>
      <c r="CJV128" s="40"/>
      <c r="CJW128" s="24"/>
      <c r="CJX128" s="40"/>
      <c r="CJY128" s="24"/>
      <c r="CJZ128" s="40"/>
      <c r="CKA128" s="24"/>
      <c r="CKB128" s="40"/>
      <c r="CKC128" s="24"/>
      <c r="CKD128" s="40"/>
      <c r="CKE128" s="24"/>
      <c r="CKF128" s="40"/>
      <c r="CKG128" s="24"/>
      <c r="CKH128" s="40"/>
      <c r="CKI128" s="24"/>
      <c r="CKJ128" s="40"/>
      <c r="CKK128" s="24"/>
      <c r="CKL128" s="40"/>
      <c r="CKM128" s="24"/>
      <c r="CKN128" s="40"/>
      <c r="CKO128" s="24"/>
      <c r="CKP128" s="40"/>
      <c r="CKQ128" s="24"/>
      <c r="CKR128" s="40"/>
      <c r="CKS128" s="24"/>
      <c r="CKT128" s="40"/>
      <c r="CKU128" s="24"/>
      <c r="CKV128" s="40"/>
      <c r="CKW128" s="24"/>
      <c r="CKX128" s="40"/>
      <c r="CKY128" s="24"/>
      <c r="CKZ128" s="40"/>
      <c r="CLA128" s="24"/>
      <c r="CLB128" s="40"/>
      <c r="CLC128" s="24"/>
      <c r="CLD128" s="40"/>
      <c r="CLE128" s="24"/>
      <c r="CLF128" s="40"/>
      <c r="CLG128" s="24"/>
      <c r="CLH128" s="40"/>
      <c r="CLI128" s="24"/>
      <c r="CLJ128" s="40"/>
      <c r="CLK128" s="24"/>
      <c r="CLL128" s="40"/>
      <c r="CLM128" s="24"/>
      <c r="CLN128" s="40"/>
      <c r="CLO128" s="24"/>
      <c r="CLP128" s="40"/>
      <c r="CLQ128" s="24"/>
      <c r="CLR128" s="40"/>
      <c r="CLS128" s="24"/>
      <c r="CLT128" s="40"/>
      <c r="CLU128" s="24"/>
      <c r="CLV128" s="40"/>
      <c r="CLW128" s="24"/>
      <c r="CLX128" s="40"/>
      <c r="CLY128" s="24"/>
      <c r="CLZ128" s="40"/>
      <c r="CMA128" s="24"/>
      <c r="CMB128" s="40"/>
      <c r="CMC128" s="24"/>
      <c r="CMD128" s="40"/>
      <c r="CME128" s="24"/>
      <c r="CMF128" s="40"/>
      <c r="CMG128" s="24"/>
      <c r="CMH128" s="40"/>
      <c r="CMI128" s="24"/>
      <c r="CMJ128" s="40"/>
      <c r="CMK128" s="24"/>
      <c r="CML128" s="40"/>
      <c r="CMM128" s="24"/>
      <c r="CMN128" s="40"/>
      <c r="CMO128" s="24"/>
      <c r="CMP128" s="40"/>
      <c r="CMQ128" s="24"/>
      <c r="CMR128" s="40"/>
      <c r="CMS128" s="24"/>
      <c r="CMT128" s="40"/>
      <c r="CMU128" s="24"/>
      <c r="CMV128" s="40"/>
      <c r="CMW128" s="24"/>
      <c r="CMX128" s="40"/>
      <c r="CMY128" s="24"/>
      <c r="CMZ128" s="40"/>
      <c r="CNA128" s="24"/>
      <c r="CNB128" s="40"/>
      <c r="CNC128" s="24"/>
      <c r="CND128" s="40"/>
      <c r="CNE128" s="24"/>
      <c r="CNF128" s="40"/>
      <c r="CNG128" s="24"/>
      <c r="CNH128" s="40"/>
      <c r="CNI128" s="24"/>
      <c r="CNJ128" s="40"/>
      <c r="CNK128" s="24"/>
      <c r="CNL128" s="40"/>
      <c r="CNM128" s="24"/>
      <c r="CNN128" s="40"/>
      <c r="CNO128" s="24"/>
      <c r="CNP128" s="40"/>
      <c r="CNQ128" s="24"/>
      <c r="CNR128" s="40"/>
      <c r="CNS128" s="24"/>
      <c r="CNT128" s="40"/>
      <c r="CNU128" s="24"/>
      <c r="CNV128" s="40"/>
      <c r="CNW128" s="24"/>
      <c r="CNX128" s="40"/>
      <c r="CNY128" s="24"/>
      <c r="CNZ128" s="40"/>
      <c r="COA128" s="24"/>
      <c r="COB128" s="40"/>
      <c r="COC128" s="24"/>
      <c r="COD128" s="40"/>
      <c r="COE128" s="24"/>
      <c r="COF128" s="40"/>
      <c r="COG128" s="24"/>
      <c r="COH128" s="40"/>
      <c r="COI128" s="24"/>
      <c r="COJ128" s="40"/>
      <c r="COK128" s="24"/>
      <c r="COL128" s="40"/>
      <c r="COM128" s="24"/>
      <c r="CON128" s="40"/>
      <c r="COO128" s="24"/>
      <c r="COP128" s="40"/>
      <c r="COQ128" s="24"/>
      <c r="COR128" s="40"/>
      <c r="COS128" s="24"/>
      <c r="COT128" s="40"/>
      <c r="COU128" s="24"/>
      <c r="COV128" s="40"/>
      <c r="COW128" s="24"/>
      <c r="COX128" s="40"/>
      <c r="COY128" s="24"/>
      <c r="COZ128" s="40"/>
      <c r="CPA128" s="24"/>
      <c r="CPB128" s="40"/>
      <c r="CPC128" s="24"/>
      <c r="CPD128" s="40"/>
      <c r="CPE128" s="24"/>
      <c r="CPF128" s="40"/>
      <c r="CPG128" s="24"/>
      <c r="CPH128" s="40"/>
      <c r="CPI128" s="24"/>
      <c r="CPJ128" s="40"/>
      <c r="CPK128" s="24"/>
      <c r="CPL128" s="40"/>
      <c r="CPM128" s="24"/>
      <c r="CPN128" s="40"/>
      <c r="CPO128" s="24"/>
      <c r="CPP128" s="40"/>
      <c r="CPQ128" s="24"/>
      <c r="CPR128" s="40"/>
      <c r="CPS128" s="24"/>
      <c r="CPT128" s="40"/>
      <c r="CPU128" s="24"/>
      <c r="CPV128" s="40"/>
      <c r="CPW128" s="24"/>
      <c r="CPX128" s="40"/>
      <c r="CPY128" s="24"/>
      <c r="CPZ128" s="40"/>
      <c r="CQA128" s="24"/>
      <c r="CQB128" s="40"/>
      <c r="CQC128" s="24"/>
      <c r="CQD128" s="40"/>
      <c r="CQE128" s="24"/>
      <c r="CQF128" s="40"/>
      <c r="CQG128" s="24"/>
      <c r="CQH128" s="40"/>
      <c r="CQI128" s="24"/>
      <c r="CQJ128" s="40"/>
      <c r="CQK128" s="24"/>
      <c r="CQL128" s="40"/>
      <c r="CQM128" s="24"/>
      <c r="CQN128" s="40"/>
      <c r="CQO128" s="24"/>
      <c r="CQP128" s="40"/>
      <c r="CQQ128" s="24"/>
      <c r="CQR128" s="40"/>
      <c r="CQS128" s="24"/>
      <c r="CQT128" s="40"/>
      <c r="CQU128" s="24"/>
      <c r="CQV128" s="40"/>
      <c r="CQW128" s="24"/>
      <c r="CQX128" s="40"/>
      <c r="CQY128" s="24"/>
      <c r="CQZ128" s="40"/>
      <c r="CRA128" s="24"/>
      <c r="CRB128" s="40"/>
      <c r="CRC128" s="24"/>
      <c r="CRD128" s="40"/>
      <c r="CRE128" s="24"/>
      <c r="CRF128" s="40"/>
      <c r="CRG128" s="24"/>
      <c r="CRH128" s="40"/>
      <c r="CRI128" s="24"/>
      <c r="CRJ128" s="40"/>
      <c r="CRK128" s="24"/>
      <c r="CRL128" s="40"/>
      <c r="CRM128" s="24"/>
      <c r="CRN128" s="40"/>
      <c r="CRO128" s="24"/>
      <c r="CRP128" s="40"/>
      <c r="CRQ128" s="24"/>
      <c r="CRR128" s="40"/>
      <c r="CRS128" s="24"/>
      <c r="CRT128" s="40"/>
      <c r="CRU128" s="24"/>
      <c r="CRV128" s="40"/>
      <c r="CRW128" s="24"/>
      <c r="CRX128" s="40"/>
      <c r="CRY128" s="24"/>
      <c r="CRZ128" s="40"/>
      <c r="CSA128" s="24"/>
      <c r="CSB128" s="40"/>
      <c r="CSC128" s="24"/>
      <c r="CSD128" s="40"/>
      <c r="CSE128" s="24"/>
      <c r="CSF128" s="40"/>
      <c r="CSG128" s="24"/>
      <c r="CSH128" s="40"/>
      <c r="CSI128" s="24"/>
      <c r="CSJ128" s="40"/>
      <c r="CSK128" s="24"/>
      <c r="CSL128" s="40"/>
      <c r="CSM128" s="24"/>
      <c r="CSN128" s="40"/>
      <c r="CSO128" s="24"/>
      <c r="CSP128" s="40"/>
      <c r="CSQ128" s="24"/>
      <c r="CSR128" s="40"/>
      <c r="CSS128" s="24"/>
      <c r="CST128" s="40"/>
      <c r="CSU128" s="24"/>
      <c r="CSV128" s="40"/>
      <c r="CSW128" s="24"/>
      <c r="CSX128" s="40"/>
      <c r="CSY128" s="24"/>
      <c r="CSZ128" s="40"/>
      <c r="CTA128" s="24"/>
      <c r="CTB128" s="40"/>
      <c r="CTC128" s="24"/>
      <c r="CTD128" s="40"/>
      <c r="CTE128" s="24"/>
      <c r="CTF128" s="40"/>
      <c r="CTG128" s="24"/>
      <c r="CTH128" s="40"/>
      <c r="CTI128" s="24"/>
      <c r="CTJ128" s="40"/>
      <c r="CTK128" s="24"/>
      <c r="CTL128" s="40"/>
      <c r="CTM128" s="24"/>
      <c r="CTN128" s="40"/>
      <c r="CTO128" s="24"/>
      <c r="CTP128" s="40"/>
      <c r="CTQ128" s="24"/>
      <c r="CTR128" s="40"/>
      <c r="CTS128" s="24"/>
      <c r="CTT128" s="40"/>
      <c r="CTU128" s="24"/>
      <c r="CTV128" s="40"/>
      <c r="CTW128" s="24"/>
      <c r="CTX128" s="40"/>
      <c r="CTY128" s="24"/>
      <c r="CTZ128" s="40"/>
      <c r="CUA128" s="24"/>
      <c r="CUB128" s="40"/>
      <c r="CUC128" s="24"/>
      <c r="CUD128" s="40"/>
      <c r="CUE128" s="24"/>
      <c r="CUF128" s="40"/>
      <c r="CUG128" s="24"/>
      <c r="CUH128" s="40"/>
      <c r="CUI128" s="24"/>
      <c r="CUJ128" s="40"/>
      <c r="CUK128" s="24"/>
      <c r="CUL128" s="40"/>
      <c r="CUM128" s="24"/>
      <c r="CUN128" s="40"/>
      <c r="CUO128" s="24"/>
      <c r="CUP128" s="40"/>
      <c r="CUQ128" s="24"/>
      <c r="CUR128" s="40"/>
      <c r="CUS128" s="24"/>
      <c r="CUT128" s="40"/>
      <c r="CUU128" s="24"/>
      <c r="CUV128" s="40"/>
      <c r="CUW128" s="24"/>
      <c r="CUX128" s="40"/>
      <c r="CUY128" s="24"/>
      <c r="CUZ128" s="40"/>
      <c r="CVA128" s="24"/>
      <c r="CVB128" s="40"/>
      <c r="CVC128" s="24"/>
      <c r="CVD128" s="40"/>
      <c r="CVE128" s="24"/>
      <c r="CVF128" s="40"/>
      <c r="CVG128" s="24"/>
      <c r="CVH128" s="40"/>
      <c r="CVI128" s="24"/>
      <c r="CVJ128" s="40"/>
      <c r="CVK128" s="24"/>
      <c r="CVL128" s="40"/>
      <c r="CVM128" s="24"/>
      <c r="CVN128" s="40"/>
      <c r="CVO128" s="24"/>
      <c r="CVP128" s="40"/>
      <c r="CVQ128" s="24"/>
      <c r="CVR128" s="40"/>
      <c r="CVS128" s="24"/>
      <c r="CVT128" s="40"/>
      <c r="CVU128" s="24"/>
      <c r="CVV128" s="40"/>
      <c r="CVW128" s="24"/>
      <c r="CVX128" s="40"/>
      <c r="CVY128" s="24"/>
      <c r="CVZ128" s="40"/>
      <c r="CWA128" s="24"/>
      <c r="CWB128" s="40"/>
      <c r="CWC128" s="24"/>
      <c r="CWD128" s="40"/>
      <c r="CWE128" s="24"/>
      <c r="CWF128" s="40"/>
      <c r="CWG128" s="24"/>
      <c r="CWH128" s="40"/>
      <c r="CWI128" s="24"/>
      <c r="CWJ128" s="40"/>
      <c r="CWK128" s="24"/>
      <c r="CWL128" s="40"/>
      <c r="CWM128" s="24"/>
      <c r="CWN128" s="40"/>
      <c r="CWO128" s="24"/>
      <c r="CWP128" s="40"/>
      <c r="CWQ128" s="24"/>
      <c r="CWR128" s="40"/>
      <c r="CWS128" s="24"/>
      <c r="CWT128" s="40"/>
      <c r="CWU128" s="24"/>
      <c r="CWV128" s="40"/>
      <c r="CWW128" s="24"/>
      <c r="CWX128" s="40"/>
      <c r="CWY128" s="24"/>
      <c r="CWZ128" s="40"/>
      <c r="CXA128" s="24"/>
      <c r="CXB128" s="40"/>
      <c r="CXC128" s="24"/>
      <c r="CXD128" s="40"/>
      <c r="CXE128" s="24"/>
      <c r="CXF128" s="40"/>
      <c r="CXG128" s="24"/>
      <c r="CXH128" s="40"/>
      <c r="CXI128" s="24"/>
      <c r="CXJ128" s="40"/>
      <c r="CXK128" s="24"/>
      <c r="CXL128" s="40"/>
      <c r="CXM128" s="24"/>
      <c r="CXN128" s="40"/>
      <c r="CXO128" s="24"/>
      <c r="CXP128" s="40"/>
      <c r="CXQ128" s="24"/>
      <c r="CXR128" s="40"/>
      <c r="CXS128" s="24"/>
      <c r="CXT128" s="40"/>
      <c r="CXU128" s="24"/>
      <c r="CXV128" s="40"/>
      <c r="CXW128" s="24"/>
      <c r="CXX128" s="40"/>
      <c r="CXY128" s="24"/>
      <c r="CXZ128" s="40"/>
      <c r="CYA128" s="24"/>
      <c r="CYB128" s="40"/>
      <c r="CYC128" s="24"/>
      <c r="CYD128" s="40"/>
      <c r="CYE128" s="24"/>
      <c r="CYF128" s="40"/>
      <c r="CYG128" s="24"/>
      <c r="CYH128" s="40"/>
      <c r="CYI128" s="24"/>
      <c r="CYJ128" s="40"/>
      <c r="CYK128" s="24"/>
      <c r="CYL128" s="40"/>
      <c r="CYM128" s="24"/>
      <c r="CYN128" s="40"/>
      <c r="CYO128" s="24"/>
      <c r="CYP128" s="40"/>
      <c r="CYQ128" s="24"/>
      <c r="CYR128" s="40"/>
      <c r="CYS128" s="24"/>
      <c r="CYT128" s="40"/>
      <c r="CYU128" s="24"/>
      <c r="CYV128" s="40"/>
      <c r="CYW128" s="24"/>
      <c r="CYX128" s="40"/>
      <c r="CYY128" s="24"/>
      <c r="CYZ128" s="40"/>
      <c r="CZA128" s="24"/>
      <c r="CZB128" s="40"/>
      <c r="CZC128" s="24"/>
      <c r="CZD128" s="40"/>
      <c r="CZE128" s="24"/>
      <c r="CZF128" s="40"/>
      <c r="CZG128" s="24"/>
      <c r="CZH128" s="40"/>
      <c r="CZI128" s="24"/>
      <c r="CZJ128" s="40"/>
      <c r="CZK128" s="24"/>
      <c r="CZL128" s="40"/>
      <c r="CZM128" s="24"/>
      <c r="CZN128" s="40"/>
      <c r="CZO128" s="24"/>
      <c r="CZP128" s="40"/>
      <c r="CZQ128" s="24"/>
      <c r="CZR128" s="40"/>
      <c r="CZS128" s="24"/>
      <c r="CZT128" s="40"/>
      <c r="CZU128" s="24"/>
      <c r="CZV128" s="40"/>
      <c r="CZW128" s="24"/>
      <c r="CZX128" s="40"/>
      <c r="CZY128" s="24"/>
      <c r="CZZ128" s="40"/>
      <c r="DAA128" s="24"/>
      <c r="DAB128" s="40"/>
      <c r="DAC128" s="24"/>
      <c r="DAD128" s="40"/>
      <c r="DAE128" s="24"/>
      <c r="DAF128" s="40"/>
      <c r="DAG128" s="24"/>
      <c r="DAH128" s="40"/>
      <c r="DAI128" s="24"/>
      <c r="DAJ128" s="40"/>
      <c r="DAK128" s="24"/>
      <c r="DAL128" s="40"/>
      <c r="DAM128" s="24"/>
      <c r="DAN128" s="40"/>
      <c r="DAO128" s="24"/>
      <c r="DAP128" s="40"/>
      <c r="DAQ128" s="24"/>
      <c r="DAR128" s="40"/>
      <c r="DAS128" s="24"/>
      <c r="DAT128" s="40"/>
      <c r="DAU128" s="24"/>
      <c r="DAV128" s="40"/>
      <c r="DAW128" s="24"/>
      <c r="DAX128" s="40"/>
      <c r="DAY128" s="24"/>
      <c r="DAZ128" s="40"/>
      <c r="DBA128" s="24"/>
      <c r="DBB128" s="40"/>
      <c r="DBC128" s="24"/>
      <c r="DBD128" s="40"/>
      <c r="DBE128" s="24"/>
      <c r="DBF128" s="40"/>
      <c r="DBG128" s="24"/>
      <c r="DBH128" s="40"/>
      <c r="DBI128" s="24"/>
      <c r="DBJ128" s="40"/>
      <c r="DBK128" s="24"/>
      <c r="DBL128" s="40"/>
      <c r="DBM128" s="24"/>
      <c r="DBN128" s="40"/>
      <c r="DBO128" s="24"/>
      <c r="DBP128" s="40"/>
      <c r="DBQ128" s="24"/>
      <c r="DBR128" s="40"/>
      <c r="DBS128" s="24"/>
      <c r="DBT128" s="40"/>
      <c r="DBU128" s="24"/>
      <c r="DBV128" s="40"/>
      <c r="DBW128" s="24"/>
      <c r="DBX128" s="40"/>
      <c r="DBY128" s="24"/>
      <c r="DBZ128" s="40"/>
      <c r="DCA128" s="24"/>
      <c r="DCB128" s="40"/>
      <c r="DCC128" s="24"/>
      <c r="DCD128" s="40"/>
      <c r="DCE128" s="24"/>
      <c r="DCF128" s="40"/>
      <c r="DCG128" s="24"/>
      <c r="DCH128" s="40"/>
      <c r="DCI128" s="24"/>
      <c r="DCJ128" s="40"/>
      <c r="DCK128" s="24"/>
      <c r="DCL128" s="40"/>
      <c r="DCM128" s="24"/>
      <c r="DCN128" s="40"/>
      <c r="DCO128" s="24"/>
      <c r="DCP128" s="40"/>
      <c r="DCQ128" s="24"/>
      <c r="DCR128" s="40"/>
      <c r="DCS128" s="24"/>
      <c r="DCT128" s="40"/>
      <c r="DCU128" s="24"/>
      <c r="DCV128" s="40"/>
      <c r="DCW128" s="24"/>
      <c r="DCX128" s="40"/>
      <c r="DCY128" s="24"/>
      <c r="DCZ128" s="40"/>
      <c r="DDA128" s="24"/>
      <c r="DDB128" s="40"/>
      <c r="DDC128" s="24"/>
      <c r="DDD128" s="40"/>
      <c r="DDE128" s="24"/>
      <c r="DDF128" s="40"/>
      <c r="DDG128" s="24"/>
      <c r="DDH128" s="40"/>
      <c r="DDI128" s="24"/>
      <c r="DDJ128" s="40"/>
      <c r="DDK128" s="24"/>
      <c r="DDL128" s="40"/>
      <c r="DDM128" s="24"/>
      <c r="DDN128" s="40"/>
      <c r="DDO128" s="24"/>
      <c r="DDP128" s="40"/>
      <c r="DDQ128" s="24"/>
      <c r="DDR128" s="40"/>
      <c r="DDS128" s="24"/>
      <c r="DDT128" s="40"/>
      <c r="DDU128" s="24"/>
      <c r="DDV128" s="40"/>
      <c r="DDW128" s="24"/>
      <c r="DDX128" s="40"/>
      <c r="DDY128" s="24"/>
      <c r="DDZ128" s="40"/>
      <c r="DEA128" s="24"/>
      <c r="DEB128" s="40"/>
      <c r="DEC128" s="24"/>
      <c r="DED128" s="40"/>
      <c r="DEE128" s="24"/>
      <c r="DEF128" s="40"/>
      <c r="DEG128" s="24"/>
      <c r="DEH128" s="40"/>
      <c r="DEI128" s="24"/>
      <c r="DEJ128" s="40"/>
      <c r="DEK128" s="24"/>
      <c r="DEL128" s="40"/>
      <c r="DEM128" s="24"/>
      <c r="DEN128" s="40"/>
      <c r="DEO128" s="24"/>
      <c r="DEP128" s="40"/>
      <c r="DEQ128" s="24"/>
      <c r="DER128" s="40"/>
      <c r="DES128" s="24"/>
      <c r="DET128" s="40"/>
      <c r="DEU128" s="24"/>
      <c r="DEV128" s="40"/>
      <c r="DEW128" s="24"/>
      <c r="DEX128" s="40"/>
      <c r="DEY128" s="24"/>
      <c r="DEZ128" s="40"/>
      <c r="DFA128" s="24"/>
      <c r="DFB128" s="40"/>
      <c r="DFC128" s="24"/>
      <c r="DFD128" s="40"/>
      <c r="DFE128" s="24"/>
      <c r="DFF128" s="40"/>
      <c r="DFG128" s="24"/>
      <c r="DFH128" s="40"/>
      <c r="DFI128" s="24"/>
      <c r="DFJ128" s="40"/>
      <c r="DFK128" s="24"/>
      <c r="DFL128" s="40"/>
      <c r="DFM128" s="24"/>
      <c r="DFN128" s="40"/>
      <c r="DFO128" s="24"/>
      <c r="DFP128" s="40"/>
      <c r="DFQ128" s="24"/>
      <c r="DFR128" s="40"/>
      <c r="DFS128" s="24"/>
      <c r="DFT128" s="40"/>
      <c r="DFU128" s="24"/>
      <c r="DFV128" s="40"/>
      <c r="DFW128" s="24"/>
      <c r="DFX128" s="40"/>
      <c r="DFY128" s="24"/>
      <c r="DFZ128" s="40"/>
      <c r="DGA128" s="24"/>
      <c r="DGB128" s="40"/>
      <c r="DGC128" s="24"/>
      <c r="DGD128" s="40"/>
      <c r="DGE128" s="24"/>
      <c r="DGF128" s="40"/>
      <c r="DGG128" s="24"/>
      <c r="DGH128" s="40"/>
      <c r="DGI128" s="24"/>
      <c r="DGJ128" s="40"/>
      <c r="DGK128" s="24"/>
      <c r="DGL128" s="40"/>
      <c r="DGM128" s="24"/>
      <c r="DGN128" s="40"/>
      <c r="DGO128" s="24"/>
      <c r="DGP128" s="40"/>
      <c r="DGQ128" s="24"/>
      <c r="DGR128" s="40"/>
      <c r="DGS128" s="24"/>
      <c r="DGT128" s="40"/>
      <c r="DGU128" s="24"/>
      <c r="DGV128" s="40"/>
      <c r="DGW128" s="24"/>
      <c r="DGX128" s="40"/>
      <c r="DGY128" s="24"/>
      <c r="DGZ128" s="40"/>
      <c r="DHA128" s="24"/>
      <c r="DHB128" s="40"/>
      <c r="DHC128" s="24"/>
      <c r="DHD128" s="40"/>
      <c r="DHE128" s="24"/>
      <c r="DHF128" s="40"/>
      <c r="DHG128" s="24"/>
      <c r="DHH128" s="40"/>
      <c r="DHI128" s="24"/>
      <c r="DHJ128" s="40"/>
      <c r="DHK128" s="24"/>
      <c r="DHL128" s="40"/>
      <c r="DHM128" s="24"/>
      <c r="DHN128" s="40"/>
      <c r="DHO128" s="24"/>
      <c r="DHP128" s="40"/>
      <c r="DHQ128" s="24"/>
      <c r="DHR128" s="40"/>
      <c r="DHS128" s="24"/>
      <c r="DHT128" s="40"/>
      <c r="DHU128" s="24"/>
      <c r="DHV128" s="40"/>
      <c r="DHW128" s="24"/>
      <c r="DHX128" s="40"/>
      <c r="DHY128" s="24"/>
      <c r="DHZ128" s="40"/>
      <c r="DIA128" s="24"/>
      <c r="DIB128" s="40"/>
      <c r="DIC128" s="24"/>
      <c r="DID128" s="40"/>
      <c r="DIE128" s="24"/>
      <c r="DIF128" s="40"/>
      <c r="DIG128" s="24"/>
      <c r="DIH128" s="40"/>
      <c r="DII128" s="24"/>
      <c r="DIJ128" s="40"/>
      <c r="DIK128" s="24"/>
      <c r="DIL128" s="40"/>
      <c r="DIM128" s="24"/>
      <c r="DIN128" s="40"/>
      <c r="DIO128" s="24"/>
      <c r="DIP128" s="40"/>
      <c r="DIQ128" s="24"/>
      <c r="DIR128" s="40"/>
      <c r="DIS128" s="24"/>
      <c r="DIT128" s="40"/>
      <c r="DIU128" s="24"/>
      <c r="DIV128" s="40"/>
      <c r="DIW128" s="24"/>
      <c r="DIX128" s="40"/>
      <c r="DIY128" s="24"/>
      <c r="DIZ128" s="40"/>
      <c r="DJA128" s="24"/>
      <c r="DJB128" s="40"/>
      <c r="DJC128" s="24"/>
      <c r="DJD128" s="40"/>
      <c r="DJE128" s="24"/>
      <c r="DJF128" s="40"/>
      <c r="DJG128" s="24"/>
      <c r="DJH128" s="40"/>
      <c r="DJI128" s="24"/>
      <c r="DJJ128" s="40"/>
      <c r="DJK128" s="24"/>
      <c r="DJL128" s="40"/>
      <c r="DJM128" s="24"/>
      <c r="DJN128" s="40"/>
      <c r="DJO128" s="24"/>
      <c r="DJP128" s="40"/>
      <c r="DJQ128" s="24"/>
      <c r="DJR128" s="40"/>
      <c r="DJS128" s="24"/>
      <c r="DJT128" s="40"/>
      <c r="DJU128" s="24"/>
      <c r="DJV128" s="40"/>
      <c r="DJW128" s="24"/>
      <c r="DJX128" s="40"/>
      <c r="DJY128" s="24"/>
      <c r="DJZ128" s="40"/>
      <c r="DKA128" s="24"/>
      <c r="DKB128" s="40"/>
      <c r="DKC128" s="24"/>
      <c r="DKD128" s="40"/>
      <c r="DKE128" s="24"/>
      <c r="DKF128" s="40"/>
      <c r="DKG128" s="24"/>
      <c r="DKH128" s="40"/>
      <c r="DKI128" s="24"/>
      <c r="DKJ128" s="40"/>
      <c r="DKK128" s="24"/>
      <c r="DKL128" s="40"/>
      <c r="DKM128" s="24"/>
      <c r="DKN128" s="40"/>
      <c r="DKO128" s="24"/>
      <c r="DKP128" s="40"/>
      <c r="DKQ128" s="24"/>
      <c r="DKR128" s="40"/>
      <c r="DKS128" s="24"/>
      <c r="DKT128" s="40"/>
      <c r="DKU128" s="24"/>
      <c r="DKV128" s="40"/>
      <c r="DKW128" s="24"/>
      <c r="DKX128" s="40"/>
      <c r="DKY128" s="24"/>
      <c r="DKZ128" s="40"/>
      <c r="DLA128" s="24"/>
      <c r="DLB128" s="40"/>
      <c r="DLC128" s="24"/>
      <c r="DLD128" s="40"/>
      <c r="DLE128" s="24"/>
      <c r="DLF128" s="40"/>
      <c r="DLG128" s="24"/>
      <c r="DLH128" s="40"/>
      <c r="DLI128" s="24"/>
      <c r="DLJ128" s="40"/>
      <c r="DLK128" s="24"/>
      <c r="DLL128" s="40"/>
      <c r="DLM128" s="24"/>
      <c r="DLN128" s="40"/>
      <c r="DLO128" s="24"/>
      <c r="DLP128" s="40"/>
      <c r="DLQ128" s="24"/>
      <c r="DLR128" s="40"/>
      <c r="DLS128" s="24"/>
      <c r="DLT128" s="40"/>
      <c r="DLU128" s="24"/>
      <c r="DLV128" s="40"/>
      <c r="DLW128" s="24"/>
      <c r="DLX128" s="40"/>
      <c r="DLY128" s="24"/>
      <c r="DLZ128" s="40"/>
      <c r="DMA128" s="24"/>
      <c r="DMB128" s="40"/>
      <c r="DMC128" s="24"/>
      <c r="DMD128" s="40"/>
      <c r="DME128" s="24"/>
      <c r="DMF128" s="40"/>
      <c r="DMG128" s="24"/>
      <c r="DMH128" s="40"/>
      <c r="DMI128" s="24"/>
      <c r="DMJ128" s="40"/>
      <c r="DMK128" s="24"/>
      <c r="DML128" s="40"/>
      <c r="DMM128" s="24"/>
      <c r="DMN128" s="40"/>
      <c r="DMO128" s="24"/>
      <c r="DMP128" s="40"/>
      <c r="DMQ128" s="24"/>
      <c r="DMR128" s="40"/>
      <c r="DMS128" s="24"/>
      <c r="DMT128" s="40"/>
      <c r="DMU128" s="24"/>
      <c r="DMV128" s="40"/>
      <c r="DMW128" s="24"/>
      <c r="DMX128" s="40"/>
      <c r="DMY128" s="24"/>
      <c r="DMZ128" s="40"/>
      <c r="DNA128" s="24"/>
      <c r="DNB128" s="40"/>
      <c r="DNC128" s="24"/>
      <c r="DND128" s="40"/>
      <c r="DNE128" s="24"/>
      <c r="DNF128" s="40"/>
      <c r="DNG128" s="24"/>
      <c r="DNH128" s="40"/>
      <c r="DNI128" s="24"/>
      <c r="DNJ128" s="40"/>
      <c r="DNK128" s="24"/>
      <c r="DNL128" s="40"/>
      <c r="DNM128" s="24"/>
      <c r="DNN128" s="40"/>
      <c r="DNO128" s="24"/>
      <c r="DNP128" s="40"/>
      <c r="DNQ128" s="24"/>
      <c r="DNR128" s="40"/>
      <c r="DNS128" s="24"/>
      <c r="DNT128" s="40"/>
      <c r="DNU128" s="24"/>
      <c r="DNV128" s="40"/>
      <c r="DNW128" s="24"/>
      <c r="DNX128" s="40"/>
      <c r="DNY128" s="24"/>
      <c r="DNZ128" s="40"/>
      <c r="DOA128" s="24"/>
      <c r="DOB128" s="40"/>
      <c r="DOC128" s="24"/>
      <c r="DOD128" s="40"/>
      <c r="DOE128" s="24"/>
      <c r="DOF128" s="40"/>
      <c r="DOG128" s="24"/>
      <c r="DOH128" s="40"/>
      <c r="DOI128" s="24"/>
      <c r="DOJ128" s="40"/>
      <c r="DOK128" s="24"/>
      <c r="DOL128" s="40"/>
      <c r="DOM128" s="24"/>
      <c r="DON128" s="40"/>
      <c r="DOO128" s="24"/>
      <c r="DOP128" s="40"/>
      <c r="DOQ128" s="24"/>
      <c r="DOR128" s="40"/>
      <c r="DOS128" s="24"/>
      <c r="DOT128" s="40"/>
      <c r="DOU128" s="24"/>
      <c r="DOV128" s="40"/>
      <c r="DOW128" s="24"/>
      <c r="DOX128" s="40"/>
      <c r="DOY128" s="24"/>
      <c r="DOZ128" s="40"/>
      <c r="DPA128" s="24"/>
      <c r="DPB128" s="40"/>
      <c r="DPC128" s="24"/>
      <c r="DPD128" s="40"/>
      <c r="DPE128" s="24"/>
      <c r="DPF128" s="40"/>
      <c r="DPG128" s="24"/>
      <c r="DPH128" s="40"/>
      <c r="DPI128" s="24"/>
      <c r="DPJ128" s="40"/>
      <c r="DPK128" s="24"/>
      <c r="DPL128" s="40"/>
      <c r="DPM128" s="24"/>
      <c r="DPN128" s="40"/>
      <c r="DPO128" s="24"/>
      <c r="DPP128" s="40"/>
      <c r="DPQ128" s="24"/>
      <c r="DPR128" s="40"/>
      <c r="DPS128" s="24"/>
      <c r="DPT128" s="40"/>
      <c r="DPU128" s="24"/>
      <c r="DPV128" s="40"/>
      <c r="DPW128" s="24"/>
      <c r="DPX128" s="40"/>
      <c r="DPY128" s="24"/>
      <c r="DPZ128" s="40"/>
      <c r="DQA128" s="24"/>
      <c r="DQB128" s="40"/>
      <c r="DQC128" s="24"/>
      <c r="DQD128" s="40"/>
      <c r="DQE128" s="24"/>
      <c r="DQF128" s="40"/>
      <c r="DQG128" s="24"/>
      <c r="DQH128" s="40"/>
      <c r="DQI128" s="24"/>
      <c r="DQJ128" s="40"/>
      <c r="DQK128" s="24"/>
      <c r="DQL128" s="40"/>
      <c r="DQM128" s="24"/>
      <c r="DQN128" s="40"/>
      <c r="DQO128" s="24"/>
      <c r="DQP128" s="40"/>
      <c r="DQQ128" s="24"/>
      <c r="DQR128" s="40"/>
      <c r="DQS128" s="24"/>
      <c r="DQT128" s="40"/>
      <c r="DQU128" s="24"/>
      <c r="DQV128" s="40"/>
      <c r="DQW128" s="24"/>
      <c r="DQX128" s="40"/>
      <c r="DQY128" s="24"/>
      <c r="DQZ128" s="40"/>
      <c r="DRA128" s="24"/>
      <c r="DRB128" s="40"/>
      <c r="DRC128" s="24"/>
      <c r="DRD128" s="40"/>
      <c r="DRE128" s="24"/>
      <c r="DRF128" s="40"/>
      <c r="DRG128" s="24"/>
      <c r="DRH128" s="40"/>
      <c r="DRI128" s="24"/>
      <c r="DRJ128" s="40"/>
      <c r="DRK128" s="24"/>
      <c r="DRL128" s="40"/>
      <c r="DRM128" s="24"/>
      <c r="DRN128" s="40"/>
      <c r="DRO128" s="24"/>
      <c r="DRP128" s="40"/>
      <c r="DRQ128" s="24"/>
      <c r="DRR128" s="40"/>
      <c r="DRS128" s="24"/>
      <c r="DRT128" s="40"/>
      <c r="DRU128" s="24"/>
      <c r="DRV128" s="40"/>
      <c r="DRW128" s="24"/>
      <c r="DRX128" s="40"/>
      <c r="DRY128" s="24"/>
      <c r="DRZ128" s="40"/>
      <c r="DSA128" s="24"/>
      <c r="DSB128" s="40"/>
      <c r="DSC128" s="24"/>
      <c r="DSD128" s="40"/>
      <c r="DSE128" s="24"/>
      <c r="DSF128" s="40"/>
      <c r="DSG128" s="24"/>
      <c r="DSH128" s="40"/>
      <c r="DSI128" s="24"/>
      <c r="DSJ128" s="40"/>
      <c r="DSK128" s="24"/>
      <c r="DSL128" s="40"/>
      <c r="DSM128" s="24"/>
      <c r="DSN128" s="40"/>
      <c r="DSO128" s="24"/>
      <c r="DSP128" s="40"/>
      <c r="DSQ128" s="24"/>
      <c r="DSR128" s="40"/>
      <c r="DSS128" s="24"/>
      <c r="DST128" s="40"/>
      <c r="DSU128" s="24"/>
      <c r="DSV128" s="40"/>
      <c r="DSW128" s="24"/>
      <c r="DSX128" s="40"/>
      <c r="DSY128" s="24"/>
      <c r="DSZ128" s="40"/>
      <c r="DTA128" s="24"/>
      <c r="DTB128" s="40"/>
      <c r="DTC128" s="24"/>
      <c r="DTD128" s="40"/>
      <c r="DTE128" s="24"/>
      <c r="DTF128" s="40"/>
      <c r="DTG128" s="24"/>
      <c r="DTH128" s="40"/>
      <c r="DTI128" s="24"/>
      <c r="DTJ128" s="40"/>
      <c r="DTK128" s="24"/>
      <c r="DTL128" s="40"/>
      <c r="DTM128" s="24"/>
      <c r="DTN128" s="40"/>
      <c r="DTO128" s="24"/>
      <c r="DTP128" s="40"/>
      <c r="DTQ128" s="24"/>
      <c r="DTR128" s="40"/>
      <c r="DTS128" s="24"/>
      <c r="DTT128" s="40"/>
      <c r="DTU128" s="24"/>
      <c r="DTV128" s="40"/>
      <c r="DTW128" s="24"/>
      <c r="DTX128" s="40"/>
      <c r="DTY128" s="24"/>
      <c r="DTZ128" s="40"/>
      <c r="DUA128" s="24"/>
      <c r="DUB128" s="40"/>
      <c r="DUC128" s="24"/>
      <c r="DUD128" s="40"/>
      <c r="DUE128" s="24"/>
      <c r="DUF128" s="40"/>
      <c r="DUG128" s="24"/>
      <c r="DUH128" s="40"/>
      <c r="DUI128" s="24"/>
      <c r="DUJ128" s="40"/>
      <c r="DUK128" s="24"/>
      <c r="DUL128" s="40"/>
      <c r="DUM128" s="24"/>
      <c r="DUN128" s="40"/>
      <c r="DUO128" s="24"/>
      <c r="DUP128" s="40"/>
      <c r="DUQ128" s="24"/>
      <c r="DUR128" s="40"/>
      <c r="DUS128" s="24"/>
      <c r="DUT128" s="40"/>
      <c r="DUU128" s="24"/>
      <c r="DUV128" s="40"/>
      <c r="DUW128" s="24"/>
      <c r="DUX128" s="40"/>
      <c r="DUY128" s="24"/>
      <c r="DUZ128" s="40"/>
      <c r="DVA128" s="24"/>
      <c r="DVB128" s="40"/>
      <c r="DVC128" s="24"/>
      <c r="DVD128" s="40"/>
      <c r="DVE128" s="24"/>
      <c r="DVF128" s="40"/>
      <c r="DVG128" s="24"/>
      <c r="DVH128" s="40"/>
      <c r="DVI128" s="24"/>
      <c r="DVJ128" s="40"/>
      <c r="DVK128" s="24"/>
      <c r="DVL128" s="40"/>
      <c r="DVM128" s="24"/>
      <c r="DVN128" s="40"/>
      <c r="DVO128" s="24"/>
      <c r="DVP128" s="40"/>
      <c r="DVQ128" s="24"/>
      <c r="DVR128" s="40"/>
      <c r="DVS128" s="24"/>
      <c r="DVT128" s="40"/>
      <c r="DVU128" s="24"/>
      <c r="DVV128" s="40"/>
      <c r="DVW128" s="24"/>
      <c r="DVX128" s="40"/>
      <c r="DVY128" s="24"/>
      <c r="DVZ128" s="40"/>
      <c r="DWA128" s="24"/>
      <c r="DWB128" s="40"/>
      <c r="DWC128" s="24"/>
      <c r="DWD128" s="40"/>
      <c r="DWE128" s="24"/>
      <c r="DWF128" s="40"/>
      <c r="DWG128" s="24"/>
      <c r="DWH128" s="40"/>
      <c r="DWI128" s="24"/>
      <c r="DWJ128" s="40"/>
      <c r="DWK128" s="24"/>
      <c r="DWL128" s="40"/>
      <c r="DWM128" s="24"/>
      <c r="DWN128" s="40"/>
      <c r="DWO128" s="24"/>
      <c r="DWP128" s="40"/>
      <c r="DWQ128" s="24"/>
      <c r="DWR128" s="40"/>
      <c r="DWS128" s="24"/>
      <c r="DWT128" s="40"/>
      <c r="DWU128" s="24"/>
      <c r="DWV128" s="40"/>
      <c r="DWW128" s="24"/>
      <c r="DWX128" s="40"/>
      <c r="DWY128" s="24"/>
      <c r="DWZ128" s="40"/>
      <c r="DXA128" s="24"/>
      <c r="DXB128" s="40"/>
      <c r="DXC128" s="24"/>
      <c r="DXD128" s="40"/>
      <c r="DXE128" s="24"/>
      <c r="DXF128" s="40"/>
      <c r="DXG128" s="24"/>
      <c r="DXH128" s="40"/>
      <c r="DXI128" s="24"/>
      <c r="DXJ128" s="40"/>
      <c r="DXK128" s="24"/>
      <c r="DXL128" s="40"/>
      <c r="DXM128" s="24"/>
      <c r="DXN128" s="40"/>
      <c r="DXO128" s="24"/>
      <c r="DXP128" s="40"/>
      <c r="DXQ128" s="24"/>
      <c r="DXR128" s="40"/>
      <c r="DXS128" s="24"/>
      <c r="DXT128" s="40"/>
      <c r="DXU128" s="24"/>
      <c r="DXV128" s="40"/>
      <c r="DXW128" s="24"/>
      <c r="DXX128" s="40"/>
      <c r="DXY128" s="24"/>
      <c r="DXZ128" s="40"/>
      <c r="DYA128" s="24"/>
      <c r="DYB128" s="40"/>
      <c r="DYC128" s="24"/>
      <c r="DYD128" s="40"/>
      <c r="DYE128" s="24"/>
      <c r="DYF128" s="40"/>
      <c r="DYG128" s="24"/>
      <c r="DYH128" s="40"/>
      <c r="DYI128" s="24"/>
      <c r="DYJ128" s="40"/>
      <c r="DYK128" s="24"/>
      <c r="DYL128" s="40"/>
      <c r="DYM128" s="24"/>
      <c r="DYN128" s="40"/>
      <c r="DYO128" s="24"/>
      <c r="DYP128" s="40"/>
      <c r="DYQ128" s="24"/>
      <c r="DYR128" s="40"/>
      <c r="DYS128" s="24"/>
      <c r="DYT128" s="40"/>
      <c r="DYU128" s="24"/>
      <c r="DYV128" s="40"/>
      <c r="DYW128" s="24"/>
      <c r="DYX128" s="40"/>
      <c r="DYY128" s="24"/>
      <c r="DYZ128" s="40"/>
      <c r="DZA128" s="24"/>
      <c r="DZB128" s="40"/>
      <c r="DZC128" s="24"/>
      <c r="DZD128" s="40"/>
      <c r="DZE128" s="24"/>
      <c r="DZF128" s="40"/>
      <c r="DZG128" s="24"/>
      <c r="DZH128" s="40"/>
      <c r="DZI128" s="24"/>
      <c r="DZJ128" s="40"/>
      <c r="DZK128" s="24"/>
      <c r="DZL128" s="40"/>
      <c r="DZM128" s="24"/>
      <c r="DZN128" s="40"/>
      <c r="DZO128" s="24"/>
      <c r="DZP128" s="40"/>
      <c r="DZQ128" s="24"/>
      <c r="DZR128" s="40"/>
      <c r="DZS128" s="24"/>
      <c r="DZT128" s="40"/>
      <c r="DZU128" s="24"/>
      <c r="DZV128" s="40"/>
      <c r="DZW128" s="24"/>
      <c r="DZX128" s="40"/>
      <c r="DZY128" s="24"/>
      <c r="DZZ128" s="40"/>
      <c r="EAA128" s="24"/>
      <c r="EAB128" s="40"/>
      <c r="EAC128" s="24"/>
      <c r="EAD128" s="40"/>
      <c r="EAE128" s="24"/>
      <c r="EAF128" s="40"/>
      <c r="EAG128" s="24"/>
      <c r="EAH128" s="40"/>
      <c r="EAI128" s="24"/>
      <c r="EAJ128" s="40"/>
      <c r="EAK128" s="24"/>
      <c r="EAL128" s="40"/>
      <c r="EAM128" s="24"/>
      <c r="EAN128" s="40"/>
      <c r="EAO128" s="24"/>
      <c r="EAP128" s="40"/>
      <c r="EAQ128" s="24"/>
      <c r="EAR128" s="40"/>
      <c r="EAS128" s="24"/>
      <c r="EAT128" s="40"/>
      <c r="EAU128" s="24"/>
      <c r="EAV128" s="40"/>
      <c r="EAW128" s="24"/>
      <c r="EAX128" s="40"/>
      <c r="EAY128" s="24"/>
      <c r="EAZ128" s="40"/>
      <c r="EBA128" s="24"/>
      <c r="EBB128" s="40"/>
      <c r="EBC128" s="24"/>
      <c r="EBD128" s="40"/>
      <c r="EBE128" s="24"/>
      <c r="EBF128" s="40"/>
      <c r="EBG128" s="24"/>
      <c r="EBH128" s="40"/>
      <c r="EBI128" s="24"/>
      <c r="EBJ128" s="40"/>
      <c r="EBK128" s="24"/>
      <c r="EBL128" s="40"/>
      <c r="EBM128" s="24"/>
      <c r="EBN128" s="40"/>
      <c r="EBO128" s="24"/>
      <c r="EBP128" s="40"/>
      <c r="EBQ128" s="24"/>
      <c r="EBR128" s="40"/>
      <c r="EBS128" s="24"/>
      <c r="EBT128" s="40"/>
      <c r="EBU128" s="24"/>
      <c r="EBV128" s="40"/>
      <c r="EBW128" s="24"/>
      <c r="EBX128" s="40"/>
      <c r="EBY128" s="24"/>
      <c r="EBZ128" s="40"/>
      <c r="ECA128" s="24"/>
      <c r="ECB128" s="40"/>
      <c r="ECC128" s="24"/>
      <c r="ECD128" s="40"/>
      <c r="ECE128" s="24"/>
      <c r="ECF128" s="40"/>
      <c r="ECG128" s="24"/>
      <c r="ECH128" s="40"/>
      <c r="ECI128" s="24"/>
      <c r="ECJ128" s="40"/>
      <c r="ECK128" s="24"/>
      <c r="ECL128" s="40"/>
      <c r="ECM128" s="24"/>
      <c r="ECN128" s="40"/>
      <c r="ECO128" s="24"/>
      <c r="ECP128" s="40"/>
      <c r="ECQ128" s="24"/>
      <c r="ECR128" s="40"/>
      <c r="ECS128" s="24"/>
      <c r="ECT128" s="40"/>
      <c r="ECU128" s="24"/>
      <c r="ECV128" s="40"/>
      <c r="ECW128" s="24"/>
      <c r="ECX128" s="40"/>
      <c r="ECY128" s="24"/>
      <c r="ECZ128" s="40"/>
      <c r="EDA128" s="24"/>
      <c r="EDB128" s="40"/>
      <c r="EDC128" s="24"/>
      <c r="EDD128" s="40"/>
      <c r="EDE128" s="24"/>
      <c r="EDF128" s="40"/>
      <c r="EDG128" s="24"/>
      <c r="EDH128" s="40"/>
      <c r="EDI128" s="24"/>
      <c r="EDJ128" s="40"/>
      <c r="EDK128" s="24"/>
      <c r="EDL128" s="40"/>
      <c r="EDM128" s="24"/>
      <c r="EDN128" s="40"/>
      <c r="EDO128" s="24"/>
      <c r="EDP128" s="40"/>
      <c r="EDQ128" s="24"/>
      <c r="EDR128" s="40"/>
      <c r="EDS128" s="24"/>
      <c r="EDT128" s="40"/>
      <c r="EDU128" s="24"/>
      <c r="EDV128" s="40"/>
      <c r="EDW128" s="24"/>
      <c r="EDX128" s="40"/>
      <c r="EDY128" s="24"/>
      <c r="EDZ128" s="40"/>
      <c r="EEA128" s="24"/>
      <c r="EEB128" s="40"/>
      <c r="EEC128" s="24"/>
      <c r="EED128" s="40"/>
      <c r="EEE128" s="24"/>
      <c r="EEF128" s="40"/>
      <c r="EEG128" s="24"/>
      <c r="EEH128" s="40"/>
      <c r="EEI128" s="24"/>
      <c r="EEJ128" s="40"/>
      <c r="EEK128" s="24"/>
      <c r="EEL128" s="40"/>
      <c r="EEM128" s="24"/>
      <c r="EEN128" s="40"/>
      <c r="EEO128" s="24"/>
      <c r="EEP128" s="40"/>
      <c r="EEQ128" s="24"/>
      <c r="EER128" s="40"/>
      <c r="EES128" s="24"/>
      <c r="EET128" s="40"/>
      <c r="EEU128" s="24"/>
      <c r="EEV128" s="40"/>
      <c r="EEW128" s="24"/>
      <c r="EEX128" s="40"/>
      <c r="EEY128" s="24"/>
      <c r="EEZ128" s="40"/>
      <c r="EFA128" s="24"/>
      <c r="EFB128" s="40"/>
      <c r="EFC128" s="24"/>
      <c r="EFD128" s="40"/>
      <c r="EFE128" s="24"/>
      <c r="EFF128" s="40"/>
      <c r="EFG128" s="24"/>
      <c r="EFH128" s="40"/>
      <c r="EFI128" s="24"/>
      <c r="EFJ128" s="40"/>
      <c r="EFK128" s="24"/>
      <c r="EFL128" s="40"/>
      <c r="EFM128" s="24"/>
      <c r="EFN128" s="40"/>
      <c r="EFO128" s="24"/>
      <c r="EFP128" s="40"/>
      <c r="EFQ128" s="24"/>
      <c r="EFR128" s="40"/>
      <c r="EFS128" s="24"/>
      <c r="EFT128" s="40"/>
      <c r="EFU128" s="24"/>
      <c r="EFV128" s="40"/>
      <c r="EFW128" s="24"/>
      <c r="EFX128" s="40"/>
      <c r="EFY128" s="24"/>
      <c r="EFZ128" s="40"/>
      <c r="EGA128" s="24"/>
      <c r="EGB128" s="40"/>
      <c r="EGC128" s="24"/>
      <c r="EGD128" s="40"/>
      <c r="EGE128" s="24"/>
      <c r="EGF128" s="40"/>
      <c r="EGG128" s="24"/>
      <c r="EGH128" s="40"/>
      <c r="EGI128" s="24"/>
      <c r="EGJ128" s="40"/>
      <c r="EGK128" s="24"/>
      <c r="EGL128" s="40"/>
      <c r="EGM128" s="24"/>
      <c r="EGN128" s="40"/>
      <c r="EGO128" s="24"/>
      <c r="EGP128" s="40"/>
      <c r="EGQ128" s="24"/>
      <c r="EGR128" s="40"/>
      <c r="EGS128" s="24"/>
      <c r="EGT128" s="40"/>
      <c r="EGU128" s="24"/>
      <c r="EGV128" s="40"/>
      <c r="EGW128" s="24"/>
      <c r="EGX128" s="40"/>
      <c r="EGY128" s="24"/>
      <c r="EGZ128" s="40"/>
      <c r="EHA128" s="24"/>
      <c r="EHB128" s="40"/>
      <c r="EHC128" s="24"/>
      <c r="EHD128" s="40"/>
      <c r="EHE128" s="24"/>
      <c r="EHF128" s="40"/>
      <c r="EHG128" s="24"/>
      <c r="EHH128" s="40"/>
      <c r="EHI128" s="24"/>
      <c r="EHJ128" s="40"/>
      <c r="EHK128" s="24"/>
      <c r="EHL128" s="40"/>
      <c r="EHM128" s="24"/>
      <c r="EHN128" s="40"/>
      <c r="EHO128" s="24"/>
      <c r="EHP128" s="40"/>
      <c r="EHQ128" s="24"/>
      <c r="EHR128" s="40"/>
      <c r="EHS128" s="24"/>
      <c r="EHT128" s="40"/>
      <c r="EHU128" s="24"/>
      <c r="EHV128" s="40"/>
      <c r="EHW128" s="24"/>
      <c r="EHX128" s="40"/>
      <c r="EHY128" s="24"/>
      <c r="EHZ128" s="40"/>
      <c r="EIA128" s="24"/>
      <c r="EIB128" s="40"/>
      <c r="EIC128" s="24"/>
      <c r="EID128" s="40"/>
      <c r="EIE128" s="24"/>
      <c r="EIF128" s="40"/>
      <c r="EIG128" s="24"/>
      <c r="EIH128" s="40"/>
      <c r="EII128" s="24"/>
      <c r="EIJ128" s="40"/>
      <c r="EIK128" s="24"/>
      <c r="EIL128" s="40"/>
      <c r="EIM128" s="24"/>
      <c r="EIN128" s="40"/>
      <c r="EIO128" s="24"/>
      <c r="EIP128" s="40"/>
      <c r="EIQ128" s="24"/>
      <c r="EIR128" s="40"/>
      <c r="EIS128" s="24"/>
      <c r="EIT128" s="40"/>
      <c r="EIU128" s="24"/>
      <c r="EIV128" s="40"/>
      <c r="EIW128" s="24"/>
      <c r="EIX128" s="40"/>
      <c r="EIY128" s="24"/>
      <c r="EIZ128" s="40"/>
      <c r="EJA128" s="24"/>
      <c r="EJB128" s="40"/>
      <c r="EJC128" s="24"/>
      <c r="EJD128" s="40"/>
      <c r="EJE128" s="24"/>
      <c r="EJF128" s="40"/>
      <c r="EJG128" s="24"/>
      <c r="EJH128" s="40"/>
      <c r="EJI128" s="24"/>
      <c r="EJJ128" s="40"/>
      <c r="EJK128" s="24"/>
      <c r="EJL128" s="40"/>
      <c r="EJM128" s="24"/>
      <c r="EJN128" s="40"/>
      <c r="EJO128" s="24"/>
      <c r="EJP128" s="40"/>
      <c r="EJQ128" s="24"/>
      <c r="EJR128" s="40"/>
      <c r="EJS128" s="24"/>
      <c r="EJT128" s="40"/>
      <c r="EJU128" s="24"/>
      <c r="EJV128" s="40"/>
      <c r="EJW128" s="24"/>
      <c r="EJX128" s="40"/>
      <c r="EJY128" s="24"/>
      <c r="EJZ128" s="40"/>
      <c r="EKA128" s="24"/>
      <c r="EKB128" s="40"/>
      <c r="EKC128" s="24"/>
      <c r="EKD128" s="40"/>
      <c r="EKE128" s="24"/>
      <c r="EKF128" s="40"/>
      <c r="EKG128" s="24"/>
      <c r="EKH128" s="40"/>
      <c r="EKI128" s="24"/>
      <c r="EKJ128" s="40"/>
      <c r="EKK128" s="24"/>
      <c r="EKL128" s="40"/>
      <c r="EKM128" s="24"/>
      <c r="EKN128" s="40"/>
      <c r="EKO128" s="24"/>
      <c r="EKP128" s="40"/>
      <c r="EKQ128" s="24"/>
      <c r="EKR128" s="40"/>
      <c r="EKS128" s="24"/>
      <c r="EKT128" s="40"/>
      <c r="EKU128" s="24"/>
      <c r="EKV128" s="40"/>
      <c r="EKW128" s="24"/>
      <c r="EKX128" s="40"/>
      <c r="EKY128" s="24"/>
      <c r="EKZ128" s="40"/>
      <c r="ELA128" s="24"/>
      <c r="ELB128" s="40"/>
      <c r="ELC128" s="24"/>
      <c r="ELD128" s="40"/>
      <c r="ELE128" s="24"/>
      <c r="ELF128" s="40"/>
      <c r="ELG128" s="24"/>
      <c r="ELH128" s="40"/>
      <c r="ELI128" s="24"/>
      <c r="ELJ128" s="40"/>
      <c r="ELK128" s="24"/>
      <c r="ELL128" s="40"/>
      <c r="ELM128" s="24"/>
      <c r="ELN128" s="40"/>
      <c r="ELO128" s="24"/>
      <c r="ELP128" s="40"/>
      <c r="ELQ128" s="24"/>
      <c r="ELR128" s="40"/>
      <c r="ELS128" s="24"/>
      <c r="ELT128" s="40"/>
      <c r="ELU128" s="24"/>
      <c r="ELV128" s="40"/>
      <c r="ELW128" s="24"/>
      <c r="ELX128" s="40"/>
      <c r="ELY128" s="24"/>
      <c r="ELZ128" s="40"/>
      <c r="EMA128" s="24"/>
      <c r="EMB128" s="40"/>
      <c r="EMC128" s="24"/>
      <c r="EMD128" s="40"/>
      <c r="EME128" s="24"/>
      <c r="EMF128" s="40"/>
      <c r="EMG128" s="24"/>
      <c r="EMH128" s="40"/>
      <c r="EMI128" s="24"/>
      <c r="EMJ128" s="40"/>
      <c r="EMK128" s="24"/>
      <c r="EML128" s="40"/>
      <c r="EMM128" s="24"/>
      <c r="EMN128" s="40"/>
      <c r="EMO128" s="24"/>
      <c r="EMP128" s="40"/>
      <c r="EMQ128" s="24"/>
      <c r="EMR128" s="40"/>
      <c r="EMS128" s="24"/>
      <c r="EMT128" s="40"/>
      <c r="EMU128" s="24"/>
      <c r="EMV128" s="40"/>
      <c r="EMW128" s="24"/>
      <c r="EMX128" s="40"/>
      <c r="EMY128" s="24"/>
      <c r="EMZ128" s="40"/>
      <c r="ENA128" s="24"/>
      <c r="ENB128" s="40"/>
      <c r="ENC128" s="24"/>
      <c r="END128" s="40"/>
      <c r="ENE128" s="24"/>
      <c r="ENF128" s="40"/>
      <c r="ENG128" s="24"/>
      <c r="ENH128" s="40"/>
      <c r="ENI128" s="24"/>
      <c r="ENJ128" s="40"/>
      <c r="ENK128" s="24"/>
      <c r="ENL128" s="40"/>
      <c r="ENM128" s="24"/>
      <c r="ENN128" s="40"/>
      <c r="ENO128" s="24"/>
      <c r="ENP128" s="40"/>
      <c r="ENQ128" s="24"/>
      <c r="ENR128" s="40"/>
      <c r="ENS128" s="24"/>
      <c r="ENT128" s="40"/>
      <c r="ENU128" s="24"/>
      <c r="ENV128" s="40"/>
      <c r="ENW128" s="24"/>
      <c r="ENX128" s="40"/>
      <c r="ENY128" s="24"/>
      <c r="ENZ128" s="40"/>
      <c r="EOA128" s="24"/>
      <c r="EOB128" s="40"/>
      <c r="EOC128" s="24"/>
      <c r="EOD128" s="40"/>
      <c r="EOE128" s="24"/>
      <c r="EOF128" s="40"/>
      <c r="EOG128" s="24"/>
      <c r="EOH128" s="40"/>
      <c r="EOI128" s="24"/>
      <c r="EOJ128" s="40"/>
      <c r="EOK128" s="24"/>
      <c r="EOL128" s="40"/>
      <c r="EOM128" s="24"/>
      <c r="EON128" s="40"/>
      <c r="EOO128" s="24"/>
      <c r="EOP128" s="40"/>
      <c r="EOQ128" s="24"/>
      <c r="EOR128" s="40"/>
      <c r="EOS128" s="24"/>
      <c r="EOT128" s="40"/>
      <c r="EOU128" s="24"/>
      <c r="EOV128" s="40"/>
      <c r="EOW128" s="24"/>
      <c r="EOX128" s="40"/>
      <c r="EOY128" s="24"/>
      <c r="EOZ128" s="40"/>
      <c r="EPA128" s="24"/>
      <c r="EPB128" s="40"/>
      <c r="EPC128" s="24"/>
      <c r="EPD128" s="40"/>
      <c r="EPE128" s="24"/>
      <c r="EPF128" s="40"/>
      <c r="EPG128" s="24"/>
      <c r="EPH128" s="40"/>
      <c r="EPI128" s="24"/>
      <c r="EPJ128" s="40"/>
      <c r="EPK128" s="24"/>
      <c r="EPL128" s="40"/>
      <c r="EPM128" s="24"/>
      <c r="EPN128" s="40"/>
      <c r="EPO128" s="24"/>
      <c r="EPP128" s="40"/>
      <c r="EPQ128" s="24"/>
      <c r="EPR128" s="40"/>
      <c r="EPS128" s="24"/>
      <c r="EPT128" s="40"/>
      <c r="EPU128" s="24"/>
      <c r="EPV128" s="40"/>
      <c r="EPW128" s="24"/>
      <c r="EPX128" s="40"/>
      <c r="EPY128" s="24"/>
      <c r="EPZ128" s="40"/>
      <c r="EQA128" s="24"/>
      <c r="EQB128" s="40"/>
      <c r="EQC128" s="24"/>
      <c r="EQD128" s="40"/>
      <c r="EQE128" s="24"/>
      <c r="EQF128" s="40"/>
      <c r="EQG128" s="24"/>
      <c r="EQH128" s="40"/>
      <c r="EQI128" s="24"/>
      <c r="EQJ128" s="40"/>
      <c r="EQK128" s="24"/>
      <c r="EQL128" s="40"/>
      <c r="EQM128" s="24"/>
      <c r="EQN128" s="40"/>
      <c r="EQO128" s="24"/>
      <c r="EQP128" s="40"/>
      <c r="EQQ128" s="24"/>
      <c r="EQR128" s="40"/>
      <c r="EQS128" s="24"/>
      <c r="EQT128" s="40"/>
      <c r="EQU128" s="24"/>
      <c r="EQV128" s="40"/>
      <c r="EQW128" s="24"/>
      <c r="EQX128" s="40"/>
      <c r="EQY128" s="24"/>
      <c r="EQZ128" s="40"/>
      <c r="ERA128" s="24"/>
      <c r="ERB128" s="40"/>
      <c r="ERC128" s="24"/>
      <c r="ERD128" s="40"/>
      <c r="ERE128" s="24"/>
      <c r="ERF128" s="40"/>
      <c r="ERG128" s="24"/>
      <c r="ERH128" s="40"/>
      <c r="ERI128" s="24"/>
      <c r="ERJ128" s="40"/>
      <c r="ERK128" s="24"/>
      <c r="ERL128" s="40"/>
      <c r="ERM128" s="24"/>
      <c r="ERN128" s="40"/>
      <c r="ERO128" s="24"/>
      <c r="ERP128" s="40"/>
      <c r="ERQ128" s="24"/>
      <c r="ERR128" s="40"/>
      <c r="ERS128" s="24"/>
      <c r="ERT128" s="40"/>
      <c r="ERU128" s="24"/>
      <c r="ERV128" s="40"/>
      <c r="ERW128" s="24"/>
      <c r="ERX128" s="40"/>
      <c r="ERY128" s="24"/>
      <c r="ERZ128" s="40"/>
      <c r="ESA128" s="24"/>
      <c r="ESB128" s="40"/>
      <c r="ESC128" s="24"/>
      <c r="ESD128" s="40"/>
      <c r="ESE128" s="24"/>
      <c r="ESF128" s="40"/>
      <c r="ESG128" s="24"/>
      <c r="ESH128" s="40"/>
      <c r="ESI128" s="24"/>
      <c r="ESJ128" s="40"/>
      <c r="ESK128" s="24"/>
      <c r="ESL128" s="40"/>
      <c r="ESM128" s="24"/>
      <c r="ESN128" s="40"/>
      <c r="ESO128" s="24"/>
      <c r="ESP128" s="40"/>
      <c r="ESQ128" s="24"/>
      <c r="ESR128" s="40"/>
      <c r="ESS128" s="24"/>
      <c r="EST128" s="40"/>
      <c r="ESU128" s="24"/>
      <c r="ESV128" s="40"/>
      <c r="ESW128" s="24"/>
      <c r="ESX128" s="40"/>
      <c r="ESY128" s="24"/>
      <c r="ESZ128" s="40"/>
      <c r="ETA128" s="24"/>
      <c r="ETB128" s="40"/>
      <c r="ETC128" s="24"/>
      <c r="ETD128" s="40"/>
      <c r="ETE128" s="24"/>
      <c r="ETF128" s="40"/>
      <c r="ETG128" s="24"/>
      <c r="ETH128" s="40"/>
      <c r="ETI128" s="24"/>
      <c r="ETJ128" s="40"/>
      <c r="ETK128" s="24"/>
      <c r="ETL128" s="40"/>
      <c r="ETM128" s="24"/>
      <c r="ETN128" s="40"/>
      <c r="ETO128" s="24"/>
      <c r="ETP128" s="40"/>
      <c r="ETQ128" s="24"/>
      <c r="ETR128" s="40"/>
      <c r="ETS128" s="24"/>
      <c r="ETT128" s="40"/>
      <c r="ETU128" s="24"/>
      <c r="ETV128" s="40"/>
      <c r="ETW128" s="24"/>
      <c r="ETX128" s="40"/>
      <c r="ETY128" s="24"/>
      <c r="ETZ128" s="40"/>
      <c r="EUA128" s="24"/>
      <c r="EUB128" s="40"/>
      <c r="EUC128" s="24"/>
      <c r="EUD128" s="40"/>
      <c r="EUE128" s="24"/>
      <c r="EUF128" s="40"/>
      <c r="EUG128" s="24"/>
      <c r="EUH128" s="40"/>
      <c r="EUI128" s="24"/>
      <c r="EUJ128" s="40"/>
      <c r="EUK128" s="24"/>
      <c r="EUL128" s="40"/>
      <c r="EUM128" s="24"/>
      <c r="EUN128" s="40"/>
      <c r="EUO128" s="24"/>
      <c r="EUP128" s="40"/>
      <c r="EUQ128" s="24"/>
      <c r="EUR128" s="40"/>
      <c r="EUS128" s="24"/>
      <c r="EUT128" s="40"/>
      <c r="EUU128" s="24"/>
      <c r="EUV128" s="40"/>
      <c r="EUW128" s="24"/>
      <c r="EUX128" s="40"/>
      <c r="EUY128" s="24"/>
      <c r="EUZ128" s="40"/>
      <c r="EVA128" s="24"/>
      <c r="EVB128" s="40"/>
      <c r="EVC128" s="24"/>
      <c r="EVD128" s="40"/>
      <c r="EVE128" s="24"/>
      <c r="EVF128" s="40"/>
      <c r="EVG128" s="24"/>
      <c r="EVH128" s="40"/>
      <c r="EVI128" s="24"/>
      <c r="EVJ128" s="40"/>
      <c r="EVK128" s="24"/>
      <c r="EVL128" s="40"/>
      <c r="EVM128" s="24"/>
      <c r="EVN128" s="40"/>
      <c r="EVO128" s="24"/>
      <c r="EVP128" s="40"/>
      <c r="EVQ128" s="24"/>
      <c r="EVR128" s="40"/>
      <c r="EVS128" s="24"/>
      <c r="EVT128" s="40"/>
      <c r="EVU128" s="24"/>
      <c r="EVV128" s="40"/>
      <c r="EVW128" s="24"/>
      <c r="EVX128" s="40"/>
      <c r="EVY128" s="24"/>
      <c r="EVZ128" s="40"/>
      <c r="EWA128" s="24"/>
      <c r="EWB128" s="40"/>
      <c r="EWC128" s="24"/>
      <c r="EWD128" s="40"/>
      <c r="EWE128" s="24"/>
      <c r="EWF128" s="40"/>
      <c r="EWG128" s="24"/>
      <c r="EWH128" s="40"/>
      <c r="EWI128" s="24"/>
      <c r="EWJ128" s="40"/>
      <c r="EWK128" s="24"/>
      <c r="EWL128" s="40"/>
      <c r="EWM128" s="24"/>
      <c r="EWN128" s="40"/>
      <c r="EWO128" s="24"/>
      <c r="EWP128" s="40"/>
      <c r="EWQ128" s="24"/>
      <c r="EWR128" s="40"/>
      <c r="EWS128" s="24"/>
      <c r="EWT128" s="40"/>
      <c r="EWU128" s="24"/>
      <c r="EWV128" s="40"/>
      <c r="EWW128" s="24"/>
      <c r="EWX128" s="40"/>
      <c r="EWY128" s="24"/>
      <c r="EWZ128" s="40"/>
      <c r="EXA128" s="24"/>
      <c r="EXB128" s="40"/>
      <c r="EXC128" s="24"/>
      <c r="EXD128" s="40"/>
      <c r="EXE128" s="24"/>
      <c r="EXF128" s="40"/>
      <c r="EXG128" s="24"/>
      <c r="EXH128" s="40"/>
      <c r="EXI128" s="24"/>
      <c r="EXJ128" s="40"/>
      <c r="EXK128" s="24"/>
      <c r="EXL128" s="40"/>
      <c r="EXM128" s="24"/>
      <c r="EXN128" s="40"/>
      <c r="EXO128" s="24"/>
      <c r="EXP128" s="40"/>
      <c r="EXQ128" s="24"/>
      <c r="EXR128" s="40"/>
      <c r="EXS128" s="24"/>
      <c r="EXT128" s="40"/>
      <c r="EXU128" s="24"/>
      <c r="EXV128" s="40"/>
      <c r="EXW128" s="24"/>
      <c r="EXX128" s="40"/>
      <c r="EXY128" s="24"/>
      <c r="EXZ128" s="40"/>
      <c r="EYA128" s="24"/>
      <c r="EYB128" s="40"/>
      <c r="EYC128" s="24"/>
      <c r="EYD128" s="40"/>
      <c r="EYE128" s="24"/>
      <c r="EYF128" s="40"/>
      <c r="EYG128" s="24"/>
      <c r="EYH128" s="40"/>
      <c r="EYI128" s="24"/>
      <c r="EYJ128" s="40"/>
      <c r="EYK128" s="24"/>
      <c r="EYL128" s="40"/>
      <c r="EYM128" s="24"/>
      <c r="EYN128" s="40"/>
      <c r="EYO128" s="24"/>
      <c r="EYP128" s="40"/>
      <c r="EYQ128" s="24"/>
      <c r="EYR128" s="40"/>
      <c r="EYS128" s="24"/>
      <c r="EYT128" s="40"/>
      <c r="EYU128" s="24"/>
      <c r="EYV128" s="40"/>
      <c r="EYW128" s="24"/>
      <c r="EYX128" s="40"/>
      <c r="EYY128" s="24"/>
      <c r="EYZ128" s="40"/>
      <c r="EZA128" s="24"/>
      <c r="EZB128" s="40"/>
      <c r="EZC128" s="24"/>
      <c r="EZD128" s="40"/>
      <c r="EZE128" s="24"/>
      <c r="EZF128" s="40"/>
      <c r="EZG128" s="24"/>
      <c r="EZH128" s="40"/>
      <c r="EZI128" s="24"/>
      <c r="EZJ128" s="40"/>
      <c r="EZK128" s="24"/>
      <c r="EZL128" s="40"/>
      <c r="EZM128" s="24"/>
      <c r="EZN128" s="40"/>
      <c r="EZO128" s="24"/>
      <c r="EZP128" s="40"/>
      <c r="EZQ128" s="24"/>
      <c r="EZR128" s="40"/>
      <c r="EZS128" s="24"/>
      <c r="EZT128" s="40"/>
      <c r="EZU128" s="24"/>
      <c r="EZV128" s="40"/>
      <c r="EZW128" s="24"/>
      <c r="EZX128" s="40"/>
      <c r="EZY128" s="24"/>
      <c r="EZZ128" s="40"/>
      <c r="FAA128" s="24"/>
      <c r="FAB128" s="40"/>
      <c r="FAC128" s="24"/>
      <c r="FAD128" s="40"/>
      <c r="FAE128" s="24"/>
      <c r="FAF128" s="40"/>
      <c r="FAG128" s="24"/>
      <c r="FAH128" s="40"/>
      <c r="FAI128" s="24"/>
      <c r="FAJ128" s="40"/>
      <c r="FAK128" s="24"/>
      <c r="FAL128" s="40"/>
      <c r="FAM128" s="24"/>
      <c r="FAN128" s="40"/>
      <c r="FAO128" s="24"/>
      <c r="FAP128" s="40"/>
      <c r="FAQ128" s="24"/>
      <c r="FAR128" s="40"/>
      <c r="FAS128" s="24"/>
      <c r="FAT128" s="40"/>
      <c r="FAU128" s="24"/>
      <c r="FAV128" s="40"/>
      <c r="FAW128" s="24"/>
      <c r="FAX128" s="40"/>
      <c r="FAY128" s="24"/>
      <c r="FAZ128" s="40"/>
      <c r="FBA128" s="24"/>
      <c r="FBB128" s="40"/>
      <c r="FBC128" s="24"/>
      <c r="FBD128" s="40"/>
      <c r="FBE128" s="24"/>
      <c r="FBF128" s="40"/>
      <c r="FBG128" s="24"/>
      <c r="FBH128" s="40"/>
      <c r="FBI128" s="24"/>
      <c r="FBJ128" s="40"/>
      <c r="FBK128" s="24"/>
      <c r="FBL128" s="40"/>
      <c r="FBM128" s="24"/>
      <c r="FBN128" s="40"/>
      <c r="FBO128" s="24"/>
      <c r="FBP128" s="40"/>
      <c r="FBQ128" s="24"/>
      <c r="FBR128" s="40"/>
      <c r="FBS128" s="24"/>
      <c r="FBT128" s="40"/>
      <c r="FBU128" s="24"/>
      <c r="FBV128" s="40"/>
      <c r="FBW128" s="24"/>
      <c r="FBX128" s="40"/>
      <c r="FBY128" s="24"/>
      <c r="FBZ128" s="40"/>
      <c r="FCA128" s="24"/>
      <c r="FCB128" s="40"/>
      <c r="FCC128" s="24"/>
      <c r="FCD128" s="40"/>
      <c r="FCE128" s="24"/>
      <c r="FCF128" s="40"/>
      <c r="FCG128" s="24"/>
      <c r="FCH128" s="40"/>
      <c r="FCI128" s="24"/>
      <c r="FCJ128" s="40"/>
      <c r="FCK128" s="24"/>
      <c r="FCL128" s="40"/>
      <c r="FCM128" s="24"/>
      <c r="FCN128" s="40"/>
      <c r="FCO128" s="24"/>
      <c r="FCP128" s="40"/>
      <c r="FCQ128" s="24"/>
      <c r="FCR128" s="40"/>
      <c r="FCS128" s="24"/>
      <c r="FCT128" s="40"/>
      <c r="FCU128" s="24"/>
      <c r="FCV128" s="40"/>
      <c r="FCW128" s="24"/>
      <c r="FCX128" s="40"/>
      <c r="FCY128" s="24"/>
      <c r="FCZ128" s="40"/>
      <c r="FDA128" s="24"/>
      <c r="FDB128" s="40"/>
      <c r="FDC128" s="24"/>
      <c r="FDD128" s="40"/>
      <c r="FDE128" s="24"/>
      <c r="FDF128" s="40"/>
      <c r="FDG128" s="24"/>
      <c r="FDH128" s="40"/>
      <c r="FDI128" s="24"/>
      <c r="FDJ128" s="40"/>
      <c r="FDK128" s="24"/>
      <c r="FDL128" s="40"/>
      <c r="FDM128" s="24"/>
      <c r="FDN128" s="40"/>
      <c r="FDO128" s="24"/>
      <c r="FDP128" s="40"/>
      <c r="FDQ128" s="24"/>
      <c r="FDR128" s="40"/>
      <c r="FDS128" s="24"/>
      <c r="FDT128" s="40"/>
      <c r="FDU128" s="24"/>
      <c r="FDV128" s="40"/>
      <c r="FDW128" s="24"/>
      <c r="FDX128" s="40"/>
      <c r="FDY128" s="24"/>
      <c r="FDZ128" s="40"/>
      <c r="FEA128" s="24"/>
      <c r="FEB128" s="40"/>
      <c r="FEC128" s="24"/>
      <c r="FED128" s="40"/>
      <c r="FEE128" s="24"/>
      <c r="FEF128" s="40"/>
      <c r="FEG128" s="24"/>
      <c r="FEH128" s="40"/>
      <c r="FEI128" s="24"/>
      <c r="FEJ128" s="40"/>
      <c r="FEK128" s="24"/>
      <c r="FEL128" s="40"/>
      <c r="FEM128" s="24"/>
      <c r="FEN128" s="40"/>
      <c r="FEO128" s="24"/>
      <c r="FEP128" s="40"/>
      <c r="FEQ128" s="24"/>
      <c r="FER128" s="40"/>
      <c r="FES128" s="24"/>
      <c r="FET128" s="40"/>
      <c r="FEU128" s="24"/>
      <c r="FEV128" s="40"/>
      <c r="FEW128" s="24"/>
      <c r="FEX128" s="40"/>
      <c r="FEY128" s="24"/>
      <c r="FEZ128" s="40"/>
      <c r="FFA128" s="24"/>
      <c r="FFB128" s="40"/>
      <c r="FFC128" s="24"/>
      <c r="FFD128" s="40"/>
      <c r="FFE128" s="24"/>
      <c r="FFF128" s="40"/>
      <c r="FFG128" s="24"/>
      <c r="FFH128" s="40"/>
      <c r="FFI128" s="24"/>
      <c r="FFJ128" s="40"/>
      <c r="FFK128" s="24"/>
      <c r="FFL128" s="40"/>
      <c r="FFM128" s="24"/>
      <c r="FFN128" s="40"/>
      <c r="FFO128" s="24"/>
      <c r="FFP128" s="40"/>
      <c r="FFQ128" s="24"/>
      <c r="FFR128" s="40"/>
      <c r="FFS128" s="24"/>
      <c r="FFT128" s="40"/>
      <c r="FFU128" s="24"/>
      <c r="FFV128" s="40"/>
      <c r="FFW128" s="24"/>
      <c r="FFX128" s="40"/>
      <c r="FFY128" s="24"/>
      <c r="FFZ128" s="40"/>
      <c r="FGA128" s="24"/>
      <c r="FGB128" s="40"/>
      <c r="FGC128" s="24"/>
      <c r="FGD128" s="40"/>
      <c r="FGE128" s="24"/>
      <c r="FGF128" s="40"/>
      <c r="FGG128" s="24"/>
      <c r="FGH128" s="40"/>
      <c r="FGI128" s="24"/>
      <c r="FGJ128" s="40"/>
      <c r="FGK128" s="24"/>
      <c r="FGL128" s="40"/>
      <c r="FGM128" s="24"/>
      <c r="FGN128" s="40"/>
      <c r="FGO128" s="24"/>
      <c r="FGP128" s="40"/>
      <c r="FGQ128" s="24"/>
      <c r="FGR128" s="40"/>
      <c r="FGS128" s="24"/>
      <c r="FGT128" s="40"/>
      <c r="FGU128" s="24"/>
      <c r="FGV128" s="40"/>
      <c r="FGW128" s="24"/>
      <c r="FGX128" s="40"/>
      <c r="FGY128" s="24"/>
      <c r="FGZ128" s="40"/>
      <c r="FHA128" s="24"/>
      <c r="FHB128" s="40"/>
      <c r="FHC128" s="24"/>
      <c r="FHD128" s="40"/>
      <c r="FHE128" s="24"/>
      <c r="FHF128" s="40"/>
      <c r="FHG128" s="24"/>
      <c r="FHH128" s="40"/>
      <c r="FHI128" s="24"/>
      <c r="FHJ128" s="40"/>
      <c r="FHK128" s="24"/>
      <c r="FHL128" s="40"/>
      <c r="FHM128" s="24"/>
      <c r="FHN128" s="40"/>
      <c r="FHO128" s="24"/>
      <c r="FHP128" s="40"/>
      <c r="FHQ128" s="24"/>
      <c r="FHR128" s="40"/>
      <c r="FHS128" s="24"/>
      <c r="FHT128" s="40"/>
      <c r="FHU128" s="24"/>
      <c r="FHV128" s="40"/>
      <c r="FHW128" s="24"/>
      <c r="FHX128" s="40"/>
      <c r="FHY128" s="24"/>
      <c r="FHZ128" s="40"/>
      <c r="FIA128" s="24"/>
      <c r="FIB128" s="40"/>
      <c r="FIC128" s="24"/>
      <c r="FID128" s="40"/>
      <c r="FIE128" s="24"/>
      <c r="FIF128" s="40"/>
      <c r="FIG128" s="24"/>
      <c r="FIH128" s="40"/>
      <c r="FII128" s="24"/>
      <c r="FIJ128" s="40"/>
      <c r="FIK128" s="24"/>
      <c r="FIL128" s="40"/>
      <c r="FIM128" s="24"/>
      <c r="FIN128" s="40"/>
      <c r="FIO128" s="24"/>
      <c r="FIP128" s="40"/>
      <c r="FIQ128" s="24"/>
      <c r="FIR128" s="40"/>
      <c r="FIS128" s="24"/>
      <c r="FIT128" s="40"/>
      <c r="FIU128" s="24"/>
      <c r="FIV128" s="40"/>
      <c r="FIW128" s="24"/>
      <c r="FIX128" s="40"/>
      <c r="FIY128" s="24"/>
      <c r="FIZ128" s="40"/>
      <c r="FJA128" s="24"/>
      <c r="FJB128" s="40"/>
      <c r="FJC128" s="24"/>
      <c r="FJD128" s="40"/>
      <c r="FJE128" s="24"/>
      <c r="FJF128" s="40"/>
      <c r="FJG128" s="24"/>
      <c r="FJH128" s="40"/>
      <c r="FJI128" s="24"/>
      <c r="FJJ128" s="40"/>
      <c r="FJK128" s="24"/>
      <c r="FJL128" s="40"/>
      <c r="FJM128" s="24"/>
      <c r="FJN128" s="40"/>
      <c r="FJO128" s="24"/>
      <c r="FJP128" s="40"/>
      <c r="FJQ128" s="24"/>
      <c r="FJR128" s="40"/>
      <c r="FJS128" s="24"/>
      <c r="FJT128" s="40"/>
      <c r="FJU128" s="24"/>
      <c r="FJV128" s="40"/>
      <c r="FJW128" s="24"/>
      <c r="FJX128" s="40"/>
      <c r="FJY128" s="24"/>
      <c r="FJZ128" s="40"/>
      <c r="FKA128" s="24"/>
      <c r="FKB128" s="40"/>
      <c r="FKC128" s="24"/>
      <c r="FKD128" s="40"/>
      <c r="FKE128" s="24"/>
      <c r="FKF128" s="40"/>
      <c r="FKG128" s="24"/>
      <c r="FKH128" s="40"/>
      <c r="FKI128" s="24"/>
      <c r="FKJ128" s="40"/>
      <c r="FKK128" s="24"/>
      <c r="FKL128" s="40"/>
      <c r="FKM128" s="24"/>
      <c r="FKN128" s="40"/>
      <c r="FKO128" s="24"/>
      <c r="FKP128" s="40"/>
      <c r="FKQ128" s="24"/>
      <c r="FKR128" s="40"/>
      <c r="FKS128" s="24"/>
      <c r="FKT128" s="40"/>
      <c r="FKU128" s="24"/>
      <c r="FKV128" s="40"/>
      <c r="FKW128" s="24"/>
      <c r="FKX128" s="40"/>
      <c r="FKY128" s="24"/>
      <c r="FKZ128" s="40"/>
      <c r="FLA128" s="24"/>
      <c r="FLB128" s="40"/>
      <c r="FLC128" s="24"/>
      <c r="FLD128" s="40"/>
      <c r="FLE128" s="24"/>
      <c r="FLF128" s="40"/>
      <c r="FLG128" s="24"/>
      <c r="FLH128" s="40"/>
      <c r="FLI128" s="24"/>
      <c r="FLJ128" s="40"/>
      <c r="FLK128" s="24"/>
      <c r="FLL128" s="40"/>
      <c r="FLM128" s="24"/>
      <c r="FLN128" s="40"/>
      <c r="FLO128" s="24"/>
      <c r="FLP128" s="40"/>
      <c r="FLQ128" s="24"/>
      <c r="FLR128" s="40"/>
      <c r="FLS128" s="24"/>
      <c r="FLT128" s="40"/>
      <c r="FLU128" s="24"/>
      <c r="FLV128" s="40"/>
      <c r="FLW128" s="24"/>
      <c r="FLX128" s="40"/>
      <c r="FLY128" s="24"/>
      <c r="FLZ128" s="40"/>
      <c r="FMA128" s="24"/>
      <c r="FMB128" s="40"/>
      <c r="FMC128" s="24"/>
      <c r="FMD128" s="40"/>
      <c r="FME128" s="24"/>
      <c r="FMF128" s="40"/>
      <c r="FMG128" s="24"/>
      <c r="FMH128" s="40"/>
      <c r="FMI128" s="24"/>
      <c r="FMJ128" s="40"/>
      <c r="FMK128" s="24"/>
      <c r="FML128" s="40"/>
      <c r="FMM128" s="24"/>
      <c r="FMN128" s="40"/>
      <c r="FMO128" s="24"/>
      <c r="FMP128" s="40"/>
      <c r="FMQ128" s="24"/>
      <c r="FMR128" s="40"/>
      <c r="FMS128" s="24"/>
      <c r="FMT128" s="40"/>
      <c r="FMU128" s="24"/>
      <c r="FMV128" s="40"/>
      <c r="FMW128" s="24"/>
      <c r="FMX128" s="40"/>
      <c r="FMY128" s="24"/>
      <c r="FMZ128" s="40"/>
      <c r="FNA128" s="24"/>
      <c r="FNB128" s="40"/>
      <c r="FNC128" s="24"/>
      <c r="FND128" s="40"/>
      <c r="FNE128" s="24"/>
      <c r="FNF128" s="40"/>
      <c r="FNG128" s="24"/>
      <c r="FNH128" s="40"/>
      <c r="FNI128" s="24"/>
      <c r="FNJ128" s="40"/>
      <c r="FNK128" s="24"/>
      <c r="FNL128" s="40"/>
      <c r="FNM128" s="24"/>
      <c r="FNN128" s="40"/>
      <c r="FNO128" s="24"/>
      <c r="FNP128" s="40"/>
      <c r="FNQ128" s="24"/>
      <c r="FNR128" s="40"/>
      <c r="FNS128" s="24"/>
      <c r="FNT128" s="40"/>
      <c r="FNU128" s="24"/>
      <c r="FNV128" s="40"/>
      <c r="FNW128" s="24"/>
      <c r="FNX128" s="40"/>
      <c r="FNY128" s="24"/>
      <c r="FNZ128" s="40"/>
      <c r="FOA128" s="24"/>
      <c r="FOB128" s="40"/>
      <c r="FOC128" s="24"/>
      <c r="FOD128" s="40"/>
      <c r="FOE128" s="24"/>
      <c r="FOF128" s="40"/>
      <c r="FOG128" s="24"/>
      <c r="FOH128" s="40"/>
      <c r="FOI128" s="24"/>
      <c r="FOJ128" s="40"/>
      <c r="FOK128" s="24"/>
      <c r="FOL128" s="40"/>
      <c r="FOM128" s="24"/>
      <c r="FON128" s="40"/>
      <c r="FOO128" s="24"/>
      <c r="FOP128" s="40"/>
      <c r="FOQ128" s="24"/>
      <c r="FOR128" s="40"/>
      <c r="FOS128" s="24"/>
      <c r="FOT128" s="40"/>
      <c r="FOU128" s="24"/>
      <c r="FOV128" s="40"/>
      <c r="FOW128" s="24"/>
      <c r="FOX128" s="40"/>
      <c r="FOY128" s="24"/>
      <c r="FOZ128" s="40"/>
      <c r="FPA128" s="24"/>
      <c r="FPB128" s="40"/>
      <c r="FPC128" s="24"/>
      <c r="FPD128" s="40"/>
      <c r="FPE128" s="24"/>
      <c r="FPF128" s="40"/>
      <c r="FPG128" s="24"/>
      <c r="FPH128" s="40"/>
      <c r="FPI128" s="24"/>
      <c r="FPJ128" s="40"/>
      <c r="FPK128" s="24"/>
      <c r="FPL128" s="40"/>
      <c r="FPM128" s="24"/>
      <c r="FPN128" s="40"/>
      <c r="FPO128" s="24"/>
      <c r="FPP128" s="40"/>
      <c r="FPQ128" s="24"/>
      <c r="FPR128" s="40"/>
      <c r="FPS128" s="24"/>
      <c r="FPT128" s="40"/>
      <c r="FPU128" s="24"/>
      <c r="FPV128" s="40"/>
      <c r="FPW128" s="24"/>
      <c r="FPX128" s="40"/>
      <c r="FPY128" s="24"/>
      <c r="FPZ128" s="40"/>
      <c r="FQA128" s="24"/>
      <c r="FQB128" s="40"/>
      <c r="FQC128" s="24"/>
      <c r="FQD128" s="40"/>
      <c r="FQE128" s="24"/>
      <c r="FQF128" s="40"/>
      <c r="FQG128" s="24"/>
      <c r="FQH128" s="40"/>
      <c r="FQI128" s="24"/>
      <c r="FQJ128" s="40"/>
      <c r="FQK128" s="24"/>
      <c r="FQL128" s="40"/>
      <c r="FQM128" s="24"/>
      <c r="FQN128" s="40"/>
      <c r="FQO128" s="24"/>
      <c r="FQP128" s="40"/>
      <c r="FQQ128" s="24"/>
      <c r="FQR128" s="40"/>
      <c r="FQS128" s="24"/>
      <c r="FQT128" s="40"/>
      <c r="FQU128" s="24"/>
      <c r="FQV128" s="40"/>
      <c r="FQW128" s="24"/>
      <c r="FQX128" s="40"/>
      <c r="FQY128" s="24"/>
      <c r="FQZ128" s="40"/>
      <c r="FRA128" s="24"/>
      <c r="FRB128" s="40"/>
      <c r="FRC128" s="24"/>
      <c r="FRD128" s="40"/>
      <c r="FRE128" s="24"/>
      <c r="FRF128" s="40"/>
      <c r="FRG128" s="24"/>
      <c r="FRH128" s="40"/>
      <c r="FRI128" s="24"/>
      <c r="FRJ128" s="40"/>
      <c r="FRK128" s="24"/>
      <c r="FRL128" s="40"/>
      <c r="FRM128" s="24"/>
      <c r="FRN128" s="40"/>
      <c r="FRO128" s="24"/>
      <c r="FRP128" s="40"/>
      <c r="FRQ128" s="24"/>
      <c r="FRR128" s="40"/>
      <c r="FRS128" s="24"/>
      <c r="FRT128" s="40"/>
      <c r="FRU128" s="24"/>
      <c r="FRV128" s="40"/>
      <c r="FRW128" s="24"/>
      <c r="FRX128" s="40"/>
      <c r="FRY128" s="24"/>
      <c r="FRZ128" s="40"/>
      <c r="FSA128" s="24"/>
      <c r="FSB128" s="40"/>
      <c r="FSC128" s="24"/>
      <c r="FSD128" s="40"/>
      <c r="FSE128" s="24"/>
      <c r="FSF128" s="40"/>
      <c r="FSG128" s="24"/>
      <c r="FSH128" s="40"/>
      <c r="FSI128" s="24"/>
      <c r="FSJ128" s="40"/>
      <c r="FSK128" s="24"/>
      <c r="FSL128" s="40"/>
      <c r="FSM128" s="24"/>
      <c r="FSN128" s="40"/>
      <c r="FSO128" s="24"/>
      <c r="FSP128" s="40"/>
      <c r="FSQ128" s="24"/>
      <c r="FSR128" s="40"/>
      <c r="FSS128" s="24"/>
      <c r="FST128" s="40"/>
      <c r="FSU128" s="24"/>
      <c r="FSV128" s="40"/>
      <c r="FSW128" s="24"/>
      <c r="FSX128" s="40"/>
      <c r="FSY128" s="24"/>
      <c r="FSZ128" s="40"/>
      <c r="FTA128" s="24"/>
      <c r="FTB128" s="40"/>
      <c r="FTC128" s="24"/>
      <c r="FTD128" s="40"/>
      <c r="FTE128" s="24"/>
      <c r="FTF128" s="40"/>
      <c r="FTG128" s="24"/>
      <c r="FTH128" s="40"/>
      <c r="FTI128" s="24"/>
      <c r="FTJ128" s="40"/>
      <c r="FTK128" s="24"/>
      <c r="FTL128" s="40"/>
      <c r="FTM128" s="24"/>
      <c r="FTN128" s="40"/>
      <c r="FTO128" s="24"/>
      <c r="FTP128" s="40"/>
      <c r="FTQ128" s="24"/>
      <c r="FTR128" s="40"/>
      <c r="FTS128" s="24"/>
      <c r="FTT128" s="40"/>
      <c r="FTU128" s="24"/>
      <c r="FTV128" s="40"/>
      <c r="FTW128" s="24"/>
      <c r="FTX128" s="40"/>
      <c r="FTY128" s="24"/>
      <c r="FTZ128" s="40"/>
      <c r="FUA128" s="24"/>
      <c r="FUB128" s="40"/>
      <c r="FUC128" s="24"/>
      <c r="FUD128" s="40"/>
      <c r="FUE128" s="24"/>
      <c r="FUF128" s="40"/>
      <c r="FUG128" s="24"/>
      <c r="FUH128" s="40"/>
      <c r="FUI128" s="24"/>
      <c r="FUJ128" s="40"/>
      <c r="FUK128" s="24"/>
      <c r="FUL128" s="40"/>
      <c r="FUM128" s="24"/>
      <c r="FUN128" s="40"/>
      <c r="FUO128" s="24"/>
      <c r="FUP128" s="40"/>
      <c r="FUQ128" s="24"/>
      <c r="FUR128" s="40"/>
      <c r="FUS128" s="24"/>
      <c r="FUT128" s="40"/>
      <c r="FUU128" s="24"/>
      <c r="FUV128" s="40"/>
      <c r="FUW128" s="24"/>
      <c r="FUX128" s="40"/>
      <c r="FUY128" s="24"/>
      <c r="FUZ128" s="40"/>
      <c r="FVA128" s="24"/>
      <c r="FVB128" s="40"/>
      <c r="FVC128" s="24"/>
      <c r="FVD128" s="40"/>
      <c r="FVE128" s="24"/>
      <c r="FVF128" s="40"/>
      <c r="FVG128" s="24"/>
      <c r="FVH128" s="40"/>
      <c r="FVI128" s="24"/>
      <c r="FVJ128" s="40"/>
      <c r="FVK128" s="24"/>
      <c r="FVL128" s="40"/>
      <c r="FVM128" s="24"/>
      <c r="FVN128" s="40"/>
      <c r="FVO128" s="24"/>
      <c r="FVP128" s="40"/>
      <c r="FVQ128" s="24"/>
      <c r="FVR128" s="40"/>
      <c r="FVS128" s="24"/>
      <c r="FVT128" s="40"/>
      <c r="FVU128" s="24"/>
      <c r="FVV128" s="40"/>
      <c r="FVW128" s="24"/>
      <c r="FVX128" s="40"/>
      <c r="FVY128" s="24"/>
      <c r="FVZ128" s="40"/>
      <c r="FWA128" s="24"/>
      <c r="FWB128" s="40"/>
      <c r="FWC128" s="24"/>
      <c r="FWD128" s="40"/>
      <c r="FWE128" s="24"/>
      <c r="FWF128" s="40"/>
      <c r="FWG128" s="24"/>
      <c r="FWH128" s="40"/>
      <c r="FWI128" s="24"/>
      <c r="FWJ128" s="40"/>
      <c r="FWK128" s="24"/>
      <c r="FWL128" s="40"/>
      <c r="FWM128" s="24"/>
      <c r="FWN128" s="40"/>
      <c r="FWO128" s="24"/>
      <c r="FWP128" s="40"/>
      <c r="FWQ128" s="24"/>
      <c r="FWR128" s="40"/>
      <c r="FWS128" s="24"/>
      <c r="FWT128" s="40"/>
      <c r="FWU128" s="24"/>
      <c r="FWV128" s="40"/>
      <c r="FWW128" s="24"/>
      <c r="FWX128" s="40"/>
      <c r="FWY128" s="24"/>
      <c r="FWZ128" s="40"/>
      <c r="FXA128" s="24"/>
      <c r="FXB128" s="40"/>
      <c r="FXC128" s="24"/>
      <c r="FXD128" s="40"/>
      <c r="FXE128" s="24"/>
      <c r="FXF128" s="40"/>
      <c r="FXG128" s="24"/>
      <c r="FXH128" s="40"/>
      <c r="FXI128" s="24"/>
      <c r="FXJ128" s="40"/>
      <c r="FXK128" s="24"/>
      <c r="FXL128" s="40"/>
      <c r="FXM128" s="24"/>
      <c r="FXN128" s="40"/>
      <c r="FXO128" s="24"/>
      <c r="FXP128" s="40"/>
      <c r="FXQ128" s="24"/>
      <c r="FXR128" s="40"/>
      <c r="FXS128" s="24"/>
      <c r="FXT128" s="40"/>
      <c r="FXU128" s="24"/>
      <c r="FXV128" s="40"/>
      <c r="FXW128" s="24"/>
      <c r="FXX128" s="40"/>
      <c r="FXY128" s="24"/>
      <c r="FXZ128" s="40"/>
      <c r="FYA128" s="24"/>
      <c r="FYB128" s="40"/>
      <c r="FYC128" s="24"/>
      <c r="FYD128" s="40"/>
      <c r="FYE128" s="24"/>
      <c r="FYF128" s="40"/>
      <c r="FYG128" s="24"/>
      <c r="FYH128" s="40"/>
      <c r="FYI128" s="24"/>
      <c r="FYJ128" s="40"/>
      <c r="FYK128" s="24"/>
      <c r="FYL128" s="40"/>
      <c r="FYM128" s="24"/>
      <c r="FYN128" s="40"/>
      <c r="FYO128" s="24"/>
      <c r="FYP128" s="40"/>
      <c r="FYQ128" s="24"/>
      <c r="FYR128" s="40"/>
      <c r="FYS128" s="24"/>
      <c r="FYT128" s="40"/>
      <c r="FYU128" s="24"/>
      <c r="FYV128" s="40"/>
      <c r="FYW128" s="24"/>
      <c r="FYX128" s="40"/>
      <c r="FYY128" s="24"/>
      <c r="FYZ128" s="40"/>
      <c r="FZA128" s="24"/>
      <c r="FZB128" s="40"/>
      <c r="FZC128" s="24"/>
      <c r="FZD128" s="40"/>
      <c r="FZE128" s="24"/>
      <c r="FZF128" s="40"/>
      <c r="FZG128" s="24"/>
      <c r="FZH128" s="40"/>
      <c r="FZI128" s="24"/>
      <c r="FZJ128" s="40"/>
      <c r="FZK128" s="24"/>
      <c r="FZL128" s="40"/>
      <c r="FZM128" s="24"/>
      <c r="FZN128" s="40"/>
      <c r="FZO128" s="24"/>
      <c r="FZP128" s="40"/>
      <c r="FZQ128" s="24"/>
      <c r="FZR128" s="40"/>
      <c r="FZS128" s="24"/>
      <c r="FZT128" s="40"/>
      <c r="FZU128" s="24"/>
      <c r="FZV128" s="40"/>
      <c r="FZW128" s="24"/>
      <c r="FZX128" s="40"/>
      <c r="FZY128" s="24"/>
      <c r="FZZ128" s="40"/>
      <c r="GAA128" s="24"/>
      <c r="GAB128" s="40"/>
      <c r="GAC128" s="24"/>
      <c r="GAD128" s="40"/>
      <c r="GAE128" s="24"/>
      <c r="GAF128" s="40"/>
      <c r="GAG128" s="24"/>
      <c r="GAH128" s="40"/>
      <c r="GAI128" s="24"/>
      <c r="GAJ128" s="40"/>
      <c r="GAK128" s="24"/>
      <c r="GAL128" s="40"/>
      <c r="GAM128" s="24"/>
      <c r="GAN128" s="40"/>
      <c r="GAO128" s="24"/>
      <c r="GAP128" s="40"/>
      <c r="GAQ128" s="24"/>
      <c r="GAR128" s="40"/>
      <c r="GAS128" s="24"/>
      <c r="GAT128" s="40"/>
      <c r="GAU128" s="24"/>
      <c r="GAV128" s="40"/>
      <c r="GAW128" s="24"/>
      <c r="GAX128" s="40"/>
      <c r="GAY128" s="24"/>
      <c r="GAZ128" s="40"/>
      <c r="GBA128" s="24"/>
      <c r="GBB128" s="40"/>
      <c r="GBC128" s="24"/>
      <c r="GBD128" s="40"/>
      <c r="GBE128" s="24"/>
      <c r="GBF128" s="40"/>
      <c r="GBG128" s="24"/>
      <c r="GBH128" s="40"/>
      <c r="GBI128" s="24"/>
      <c r="GBJ128" s="40"/>
      <c r="GBK128" s="24"/>
      <c r="GBL128" s="40"/>
      <c r="GBM128" s="24"/>
      <c r="GBN128" s="40"/>
      <c r="GBO128" s="24"/>
      <c r="GBP128" s="40"/>
      <c r="GBQ128" s="24"/>
      <c r="GBR128" s="40"/>
      <c r="GBS128" s="24"/>
      <c r="GBT128" s="40"/>
      <c r="GBU128" s="24"/>
      <c r="GBV128" s="40"/>
      <c r="GBW128" s="24"/>
      <c r="GBX128" s="40"/>
      <c r="GBY128" s="24"/>
      <c r="GBZ128" s="40"/>
      <c r="GCA128" s="24"/>
      <c r="GCB128" s="40"/>
      <c r="GCC128" s="24"/>
      <c r="GCD128" s="40"/>
      <c r="GCE128" s="24"/>
      <c r="GCF128" s="40"/>
      <c r="GCG128" s="24"/>
      <c r="GCH128" s="40"/>
      <c r="GCI128" s="24"/>
      <c r="GCJ128" s="40"/>
      <c r="GCK128" s="24"/>
      <c r="GCL128" s="40"/>
      <c r="GCM128" s="24"/>
      <c r="GCN128" s="40"/>
      <c r="GCO128" s="24"/>
      <c r="GCP128" s="40"/>
      <c r="GCQ128" s="24"/>
      <c r="GCR128" s="40"/>
      <c r="GCS128" s="24"/>
      <c r="GCT128" s="40"/>
      <c r="GCU128" s="24"/>
      <c r="GCV128" s="40"/>
      <c r="GCW128" s="24"/>
      <c r="GCX128" s="40"/>
      <c r="GCY128" s="24"/>
      <c r="GCZ128" s="40"/>
      <c r="GDA128" s="24"/>
      <c r="GDB128" s="40"/>
      <c r="GDC128" s="24"/>
      <c r="GDD128" s="40"/>
      <c r="GDE128" s="24"/>
      <c r="GDF128" s="40"/>
      <c r="GDG128" s="24"/>
      <c r="GDH128" s="40"/>
      <c r="GDI128" s="24"/>
      <c r="GDJ128" s="40"/>
      <c r="GDK128" s="24"/>
      <c r="GDL128" s="40"/>
      <c r="GDM128" s="24"/>
      <c r="GDN128" s="40"/>
      <c r="GDO128" s="24"/>
      <c r="GDP128" s="40"/>
      <c r="GDQ128" s="24"/>
      <c r="GDR128" s="40"/>
      <c r="GDS128" s="24"/>
      <c r="GDT128" s="40"/>
      <c r="GDU128" s="24"/>
      <c r="GDV128" s="40"/>
      <c r="GDW128" s="24"/>
      <c r="GDX128" s="40"/>
      <c r="GDY128" s="24"/>
      <c r="GDZ128" s="40"/>
      <c r="GEA128" s="24"/>
      <c r="GEB128" s="40"/>
      <c r="GEC128" s="24"/>
      <c r="GED128" s="40"/>
      <c r="GEE128" s="24"/>
      <c r="GEF128" s="40"/>
      <c r="GEG128" s="24"/>
      <c r="GEH128" s="40"/>
      <c r="GEI128" s="24"/>
      <c r="GEJ128" s="40"/>
      <c r="GEK128" s="24"/>
      <c r="GEL128" s="40"/>
      <c r="GEM128" s="24"/>
      <c r="GEN128" s="40"/>
      <c r="GEO128" s="24"/>
      <c r="GEP128" s="40"/>
      <c r="GEQ128" s="24"/>
      <c r="GER128" s="40"/>
      <c r="GES128" s="24"/>
      <c r="GET128" s="40"/>
      <c r="GEU128" s="24"/>
      <c r="GEV128" s="40"/>
      <c r="GEW128" s="24"/>
      <c r="GEX128" s="40"/>
      <c r="GEY128" s="24"/>
      <c r="GEZ128" s="40"/>
      <c r="GFA128" s="24"/>
      <c r="GFB128" s="40"/>
      <c r="GFC128" s="24"/>
      <c r="GFD128" s="40"/>
      <c r="GFE128" s="24"/>
      <c r="GFF128" s="40"/>
      <c r="GFG128" s="24"/>
      <c r="GFH128" s="40"/>
      <c r="GFI128" s="24"/>
      <c r="GFJ128" s="40"/>
      <c r="GFK128" s="24"/>
      <c r="GFL128" s="40"/>
      <c r="GFM128" s="24"/>
      <c r="GFN128" s="40"/>
      <c r="GFO128" s="24"/>
      <c r="GFP128" s="40"/>
      <c r="GFQ128" s="24"/>
      <c r="GFR128" s="40"/>
      <c r="GFS128" s="24"/>
      <c r="GFT128" s="40"/>
      <c r="GFU128" s="24"/>
      <c r="GFV128" s="40"/>
      <c r="GFW128" s="24"/>
      <c r="GFX128" s="40"/>
      <c r="GFY128" s="24"/>
      <c r="GFZ128" s="40"/>
      <c r="GGA128" s="24"/>
      <c r="GGB128" s="40"/>
      <c r="GGC128" s="24"/>
      <c r="GGD128" s="40"/>
      <c r="GGE128" s="24"/>
      <c r="GGF128" s="40"/>
      <c r="GGG128" s="24"/>
      <c r="GGH128" s="40"/>
      <c r="GGI128" s="24"/>
      <c r="GGJ128" s="40"/>
      <c r="GGK128" s="24"/>
      <c r="GGL128" s="40"/>
      <c r="GGM128" s="24"/>
      <c r="GGN128" s="40"/>
      <c r="GGO128" s="24"/>
      <c r="GGP128" s="40"/>
      <c r="GGQ128" s="24"/>
      <c r="GGR128" s="40"/>
      <c r="GGS128" s="24"/>
      <c r="GGT128" s="40"/>
      <c r="GGU128" s="24"/>
      <c r="GGV128" s="40"/>
      <c r="GGW128" s="24"/>
      <c r="GGX128" s="40"/>
      <c r="GGY128" s="24"/>
      <c r="GGZ128" s="40"/>
      <c r="GHA128" s="24"/>
      <c r="GHB128" s="40"/>
      <c r="GHC128" s="24"/>
      <c r="GHD128" s="40"/>
      <c r="GHE128" s="24"/>
      <c r="GHF128" s="40"/>
      <c r="GHG128" s="24"/>
      <c r="GHH128" s="40"/>
      <c r="GHI128" s="24"/>
      <c r="GHJ128" s="40"/>
      <c r="GHK128" s="24"/>
      <c r="GHL128" s="40"/>
      <c r="GHM128" s="24"/>
      <c r="GHN128" s="40"/>
      <c r="GHO128" s="24"/>
      <c r="GHP128" s="40"/>
      <c r="GHQ128" s="24"/>
      <c r="GHR128" s="40"/>
      <c r="GHS128" s="24"/>
      <c r="GHT128" s="40"/>
      <c r="GHU128" s="24"/>
      <c r="GHV128" s="40"/>
      <c r="GHW128" s="24"/>
      <c r="GHX128" s="40"/>
      <c r="GHY128" s="24"/>
      <c r="GHZ128" s="40"/>
      <c r="GIA128" s="24"/>
      <c r="GIB128" s="40"/>
      <c r="GIC128" s="24"/>
      <c r="GID128" s="40"/>
      <c r="GIE128" s="24"/>
      <c r="GIF128" s="40"/>
      <c r="GIG128" s="24"/>
      <c r="GIH128" s="40"/>
      <c r="GII128" s="24"/>
      <c r="GIJ128" s="40"/>
      <c r="GIK128" s="24"/>
      <c r="GIL128" s="40"/>
      <c r="GIM128" s="24"/>
      <c r="GIN128" s="40"/>
      <c r="GIO128" s="24"/>
      <c r="GIP128" s="40"/>
      <c r="GIQ128" s="24"/>
      <c r="GIR128" s="40"/>
      <c r="GIS128" s="24"/>
      <c r="GIT128" s="40"/>
      <c r="GIU128" s="24"/>
      <c r="GIV128" s="40"/>
      <c r="GIW128" s="24"/>
      <c r="GIX128" s="40"/>
      <c r="GIY128" s="24"/>
      <c r="GIZ128" s="40"/>
      <c r="GJA128" s="24"/>
      <c r="GJB128" s="40"/>
      <c r="GJC128" s="24"/>
      <c r="GJD128" s="40"/>
      <c r="GJE128" s="24"/>
      <c r="GJF128" s="40"/>
      <c r="GJG128" s="24"/>
      <c r="GJH128" s="40"/>
      <c r="GJI128" s="24"/>
      <c r="GJJ128" s="40"/>
      <c r="GJK128" s="24"/>
      <c r="GJL128" s="40"/>
      <c r="GJM128" s="24"/>
      <c r="GJN128" s="40"/>
      <c r="GJO128" s="24"/>
      <c r="GJP128" s="40"/>
      <c r="GJQ128" s="24"/>
      <c r="GJR128" s="40"/>
      <c r="GJS128" s="24"/>
      <c r="GJT128" s="40"/>
      <c r="GJU128" s="24"/>
      <c r="GJV128" s="40"/>
      <c r="GJW128" s="24"/>
      <c r="GJX128" s="40"/>
      <c r="GJY128" s="24"/>
      <c r="GJZ128" s="40"/>
      <c r="GKA128" s="24"/>
      <c r="GKB128" s="40"/>
      <c r="GKC128" s="24"/>
      <c r="GKD128" s="40"/>
      <c r="GKE128" s="24"/>
      <c r="GKF128" s="40"/>
      <c r="GKG128" s="24"/>
      <c r="GKH128" s="40"/>
      <c r="GKI128" s="24"/>
      <c r="GKJ128" s="40"/>
      <c r="GKK128" s="24"/>
      <c r="GKL128" s="40"/>
      <c r="GKM128" s="24"/>
      <c r="GKN128" s="40"/>
      <c r="GKO128" s="24"/>
      <c r="GKP128" s="40"/>
      <c r="GKQ128" s="24"/>
      <c r="GKR128" s="40"/>
      <c r="GKS128" s="24"/>
      <c r="GKT128" s="40"/>
      <c r="GKU128" s="24"/>
      <c r="GKV128" s="40"/>
      <c r="GKW128" s="24"/>
      <c r="GKX128" s="40"/>
      <c r="GKY128" s="24"/>
      <c r="GKZ128" s="40"/>
      <c r="GLA128" s="24"/>
      <c r="GLB128" s="40"/>
      <c r="GLC128" s="24"/>
      <c r="GLD128" s="40"/>
      <c r="GLE128" s="24"/>
      <c r="GLF128" s="40"/>
      <c r="GLG128" s="24"/>
      <c r="GLH128" s="40"/>
      <c r="GLI128" s="24"/>
      <c r="GLJ128" s="40"/>
      <c r="GLK128" s="24"/>
      <c r="GLL128" s="40"/>
      <c r="GLM128" s="24"/>
      <c r="GLN128" s="40"/>
      <c r="GLO128" s="24"/>
      <c r="GLP128" s="40"/>
      <c r="GLQ128" s="24"/>
      <c r="GLR128" s="40"/>
      <c r="GLS128" s="24"/>
      <c r="GLT128" s="40"/>
      <c r="GLU128" s="24"/>
      <c r="GLV128" s="40"/>
      <c r="GLW128" s="24"/>
      <c r="GLX128" s="40"/>
      <c r="GLY128" s="24"/>
      <c r="GLZ128" s="40"/>
      <c r="GMA128" s="24"/>
      <c r="GMB128" s="40"/>
      <c r="GMC128" s="24"/>
      <c r="GMD128" s="40"/>
      <c r="GME128" s="24"/>
      <c r="GMF128" s="40"/>
      <c r="GMG128" s="24"/>
      <c r="GMH128" s="40"/>
      <c r="GMI128" s="24"/>
      <c r="GMJ128" s="40"/>
      <c r="GMK128" s="24"/>
      <c r="GML128" s="40"/>
      <c r="GMM128" s="24"/>
      <c r="GMN128" s="40"/>
      <c r="GMO128" s="24"/>
      <c r="GMP128" s="40"/>
      <c r="GMQ128" s="24"/>
      <c r="GMR128" s="40"/>
      <c r="GMS128" s="24"/>
      <c r="GMT128" s="40"/>
      <c r="GMU128" s="24"/>
      <c r="GMV128" s="40"/>
      <c r="GMW128" s="24"/>
      <c r="GMX128" s="40"/>
      <c r="GMY128" s="24"/>
      <c r="GMZ128" s="40"/>
      <c r="GNA128" s="24"/>
      <c r="GNB128" s="40"/>
      <c r="GNC128" s="24"/>
      <c r="GND128" s="40"/>
      <c r="GNE128" s="24"/>
      <c r="GNF128" s="40"/>
      <c r="GNG128" s="24"/>
      <c r="GNH128" s="40"/>
      <c r="GNI128" s="24"/>
      <c r="GNJ128" s="40"/>
      <c r="GNK128" s="24"/>
      <c r="GNL128" s="40"/>
      <c r="GNM128" s="24"/>
      <c r="GNN128" s="40"/>
      <c r="GNO128" s="24"/>
      <c r="GNP128" s="40"/>
      <c r="GNQ128" s="24"/>
      <c r="GNR128" s="40"/>
      <c r="GNS128" s="24"/>
      <c r="GNT128" s="40"/>
      <c r="GNU128" s="24"/>
      <c r="GNV128" s="40"/>
      <c r="GNW128" s="24"/>
      <c r="GNX128" s="40"/>
      <c r="GNY128" s="24"/>
      <c r="GNZ128" s="40"/>
      <c r="GOA128" s="24"/>
      <c r="GOB128" s="40"/>
      <c r="GOC128" s="24"/>
      <c r="GOD128" s="40"/>
      <c r="GOE128" s="24"/>
      <c r="GOF128" s="40"/>
      <c r="GOG128" s="24"/>
      <c r="GOH128" s="40"/>
      <c r="GOI128" s="24"/>
      <c r="GOJ128" s="40"/>
      <c r="GOK128" s="24"/>
      <c r="GOL128" s="40"/>
      <c r="GOM128" s="24"/>
      <c r="GON128" s="40"/>
      <c r="GOO128" s="24"/>
      <c r="GOP128" s="40"/>
      <c r="GOQ128" s="24"/>
      <c r="GOR128" s="40"/>
      <c r="GOS128" s="24"/>
      <c r="GOT128" s="40"/>
      <c r="GOU128" s="24"/>
      <c r="GOV128" s="40"/>
      <c r="GOW128" s="24"/>
      <c r="GOX128" s="40"/>
      <c r="GOY128" s="24"/>
      <c r="GOZ128" s="40"/>
      <c r="GPA128" s="24"/>
      <c r="GPB128" s="40"/>
      <c r="GPC128" s="24"/>
      <c r="GPD128" s="40"/>
      <c r="GPE128" s="24"/>
      <c r="GPF128" s="40"/>
      <c r="GPG128" s="24"/>
      <c r="GPH128" s="40"/>
      <c r="GPI128" s="24"/>
      <c r="GPJ128" s="40"/>
      <c r="GPK128" s="24"/>
      <c r="GPL128" s="40"/>
      <c r="GPM128" s="24"/>
      <c r="GPN128" s="40"/>
      <c r="GPO128" s="24"/>
      <c r="GPP128" s="40"/>
      <c r="GPQ128" s="24"/>
      <c r="GPR128" s="40"/>
      <c r="GPS128" s="24"/>
      <c r="GPT128" s="40"/>
      <c r="GPU128" s="24"/>
      <c r="GPV128" s="40"/>
      <c r="GPW128" s="24"/>
      <c r="GPX128" s="40"/>
      <c r="GPY128" s="24"/>
      <c r="GPZ128" s="40"/>
      <c r="GQA128" s="24"/>
      <c r="GQB128" s="40"/>
      <c r="GQC128" s="24"/>
      <c r="GQD128" s="40"/>
      <c r="GQE128" s="24"/>
      <c r="GQF128" s="40"/>
      <c r="GQG128" s="24"/>
      <c r="GQH128" s="40"/>
      <c r="GQI128" s="24"/>
      <c r="GQJ128" s="40"/>
      <c r="GQK128" s="24"/>
      <c r="GQL128" s="40"/>
      <c r="GQM128" s="24"/>
      <c r="GQN128" s="40"/>
      <c r="GQO128" s="24"/>
      <c r="GQP128" s="40"/>
      <c r="GQQ128" s="24"/>
      <c r="GQR128" s="40"/>
      <c r="GQS128" s="24"/>
      <c r="GQT128" s="40"/>
      <c r="GQU128" s="24"/>
      <c r="GQV128" s="40"/>
      <c r="GQW128" s="24"/>
      <c r="GQX128" s="40"/>
      <c r="GQY128" s="24"/>
      <c r="GQZ128" s="40"/>
      <c r="GRA128" s="24"/>
      <c r="GRB128" s="40"/>
      <c r="GRC128" s="24"/>
      <c r="GRD128" s="40"/>
      <c r="GRE128" s="24"/>
      <c r="GRF128" s="40"/>
      <c r="GRG128" s="24"/>
      <c r="GRH128" s="40"/>
      <c r="GRI128" s="24"/>
      <c r="GRJ128" s="40"/>
      <c r="GRK128" s="24"/>
      <c r="GRL128" s="40"/>
      <c r="GRM128" s="24"/>
      <c r="GRN128" s="40"/>
      <c r="GRO128" s="24"/>
      <c r="GRP128" s="40"/>
      <c r="GRQ128" s="24"/>
      <c r="GRR128" s="40"/>
      <c r="GRS128" s="24"/>
      <c r="GRT128" s="40"/>
      <c r="GRU128" s="24"/>
      <c r="GRV128" s="40"/>
      <c r="GRW128" s="24"/>
      <c r="GRX128" s="40"/>
      <c r="GRY128" s="24"/>
      <c r="GRZ128" s="40"/>
      <c r="GSA128" s="24"/>
      <c r="GSB128" s="40"/>
      <c r="GSC128" s="24"/>
      <c r="GSD128" s="40"/>
      <c r="GSE128" s="24"/>
      <c r="GSF128" s="40"/>
      <c r="GSG128" s="24"/>
      <c r="GSH128" s="40"/>
      <c r="GSI128" s="24"/>
      <c r="GSJ128" s="40"/>
      <c r="GSK128" s="24"/>
      <c r="GSL128" s="40"/>
      <c r="GSM128" s="24"/>
      <c r="GSN128" s="40"/>
      <c r="GSO128" s="24"/>
      <c r="GSP128" s="40"/>
      <c r="GSQ128" s="24"/>
      <c r="GSR128" s="40"/>
      <c r="GSS128" s="24"/>
      <c r="GST128" s="40"/>
      <c r="GSU128" s="24"/>
      <c r="GSV128" s="40"/>
      <c r="GSW128" s="24"/>
      <c r="GSX128" s="40"/>
      <c r="GSY128" s="24"/>
      <c r="GSZ128" s="40"/>
      <c r="GTA128" s="24"/>
      <c r="GTB128" s="40"/>
      <c r="GTC128" s="24"/>
      <c r="GTD128" s="40"/>
      <c r="GTE128" s="24"/>
      <c r="GTF128" s="40"/>
      <c r="GTG128" s="24"/>
      <c r="GTH128" s="40"/>
      <c r="GTI128" s="24"/>
      <c r="GTJ128" s="40"/>
      <c r="GTK128" s="24"/>
      <c r="GTL128" s="40"/>
      <c r="GTM128" s="24"/>
      <c r="GTN128" s="40"/>
      <c r="GTO128" s="24"/>
      <c r="GTP128" s="40"/>
      <c r="GTQ128" s="24"/>
      <c r="GTR128" s="40"/>
      <c r="GTS128" s="24"/>
      <c r="GTT128" s="40"/>
      <c r="GTU128" s="24"/>
      <c r="GTV128" s="40"/>
      <c r="GTW128" s="24"/>
      <c r="GTX128" s="40"/>
      <c r="GTY128" s="24"/>
      <c r="GTZ128" s="40"/>
      <c r="GUA128" s="24"/>
      <c r="GUB128" s="40"/>
      <c r="GUC128" s="24"/>
      <c r="GUD128" s="40"/>
      <c r="GUE128" s="24"/>
      <c r="GUF128" s="40"/>
      <c r="GUG128" s="24"/>
      <c r="GUH128" s="40"/>
      <c r="GUI128" s="24"/>
      <c r="GUJ128" s="40"/>
      <c r="GUK128" s="24"/>
      <c r="GUL128" s="40"/>
      <c r="GUM128" s="24"/>
      <c r="GUN128" s="40"/>
      <c r="GUO128" s="24"/>
      <c r="GUP128" s="40"/>
      <c r="GUQ128" s="24"/>
      <c r="GUR128" s="40"/>
      <c r="GUS128" s="24"/>
      <c r="GUT128" s="40"/>
      <c r="GUU128" s="24"/>
      <c r="GUV128" s="40"/>
      <c r="GUW128" s="24"/>
      <c r="GUX128" s="40"/>
      <c r="GUY128" s="24"/>
      <c r="GUZ128" s="40"/>
      <c r="GVA128" s="24"/>
      <c r="GVB128" s="40"/>
      <c r="GVC128" s="24"/>
      <c r="GVD128" s="40"/>
      <c r="GVE128" s="24"/>
      <c r="GVF128" s="40"/>
      <c r="GVG128" s="24"/>
      <c r="GVH128" s="40"/>
      <c r="GVI128" s="24"/>
      <c r="GVJ128" s="40"/>
      <c r="GVK128" s="24"/>
      <c r="GVL128" s="40"/>
      <c r="GVM128" s="24"/>
      <c r="GVN128" s="40"/>
      <c r="GVO128" s="24"/>
      <c r="GVP128" s="40"/>
      <c r="GVQ128" s="24"/>
      <c r="GVR128" s="40"/>
      <c r="GVS128" s="24"/>
      <c r="GVT128" s="40"/>
      <c r="GVU128" s="24"/>
      <c r="GVV128" s="40"/>
      <c r="GVW128" s="24"/>
      <c r="GVX128" s="40"/>
      <c r="GVY128" s="24"/>
      <c r="GVZ128" s="40"/>
      <c r="GWA128" s="24"/>
      <c r="GWB128" s="40"/>
      <c r="GWC128" s="24"/>
      <c r="GWD128" s="40"/>
      <c r="GWE128" s="24"/>
      <c r="GWF128" s="40"/>
      <c r="GWG128" s="24"/>
      <c r="GWH128" s="40"/>
      <c r="GWI128" s="24"/>
      <c r="GWJ128" s="40"/>
      <c r="GWK128" s="24"/>
      <c r="GWL128" s="40"/>
      <c r="GWM128" s="24"/>
      <c r="GWN128" s="40"/>
      <c r="GWO128" s="24"/>
      <c r="GWP128" s="40"/>
      <c r="GWQ128" s="24"/>
      <c r="GWR128" s="40"/>
      <c r="GWS128" s="24"/>
      <c r="GWT128" s="40"/>
      <c r="GWU128" s="24"/>
      <c r="GWV128" s="40"/>
      <c r="GWW128" s="24"/>
      <c r="GWX128" s="40"/>
      <c r="GWY128" s="24"/>
      <c r="GWZ128" s="40"/>
      <c r="GXA128" s="24"/>
      <c r="GXB128" s="40"/>
      <c r="GXC128" s="24"/>
      <c r="GXD128" s="40"/>
      <c r="GXE128" s="24"/>
      <c r="GXF128" s="40"/>
      <c r="GXG128" s="24"/>
      <c r="GXH128" s="40"/>
      <c r="GXI128" s="24"/>
      <c r="GXJ128" s="40"/>
      <c r="GXK128" s="24"/>
      <c r="GXL128" s="40"/>
      <c r="GXM128" s="24"/>
      <c r="GXN128" s="40"/>
      <c r="GXO128" s="24"/>
      <c r="GXP128" s="40"/>
      <c r="GXQ128" s="24"/>
      <c r="GXR128" s="40"/>
      <c r="GXS128" s="24"/>
      <c r="GXT128" s="40"/>
      <c r="GXU128" s="24"/>
      <c r="GXV128" s="40"/>
      <c r="GXW128" s="24"/>
      <c r="GXX128" s="40"/>
      <c r="GXY128" s="24"/>
      <c r="GXZ128" s="40"/>
      <c r="GYA128" s="24"/>
      <c r="GYB128" s="40"/>
      <c r="GYC128" s="24"/>
      <c r="GYD128" s="40"/>
      <c r="GYE128" s="24"/>
      <c r="GYF128" s="40"/>
      <c r="GYG128" s="24"/>
      <c r="GYH128" s="40"/>
      <c r="GYI128" s="24"/>
      <c r="GYJ128" s="40"/>
      <c r="GYK128" s="24"/>
      <c r="GYL128" s="40"/>
      <c r="GYM128" s="24"/>
      <c r="GYN128" s="40"/>
      <c r="GYO128" s="24"/>
      <c r="GYP128" s="40"/>
      <c r="GYQ128" s="24"/>
      <c r="GYR128" s="40"/>
      <c r="GYS128" s="24"/>
      <c r="GYT128" s="40"/>
      <c r="GYU128" s="24"/>
      <c r="GYV128" s="40"/>
      <c r="GYW128" s="24"/>
      <c r="GYX128" s="40"/>
      <c r="GYY128" s="24"/>
      <c r="GYZ128" s="40"/>
      <c r="GZA128" s="24"/>
      <c r="GZB128" s="40"/>
      <c r="GZC128" s="24"/>
      <c r="GZD128" s="40"/>
      <c r="GZE128" s="24"/>
      <c r="GZF128" s="40"/>
      <c r="GZG128" s="24"/>
      <c r="GZH128" s="40"/>
      <c r="GZI128" s="24"/>
      <c r="GZJ128" s="40"/>
      <c r="GZK128" s="24"/>
      <c r="GZL128" s="40"/>
      <c r="GZM128" s="24"/>
      <c r="GZN128" s="40"/>
      <c r="GZO128" s="24"/>
      <c r="GZP128" s="40"/>
      <c r="GZQ128" s="24"/>
      <c r="GZR128" s="40"/>
      <c r="GZS128" s="24"/>
      <c r="GZT128" s="40"/>
      <c r="GZU128" s="24"/>
      <c r="GZV128" s="40"/>
      <c r="GZW128" s="24"/>
      <c r="GZX128" s="40"/>
      <c r="GZY128" s="24"/>
      <c r="GZZ128" s="40"/>
      <c r="HAA128" s="24"/>
      <c r="HAB128" s="40"/>
      <c r="HAC128" s="24"/>
      <c r="HAD128" s="40"/>
      <c r="HAE128" s="24"/>
      <c r="HAF128" s="40"/>
      <c r="HAG128" s="24"/>
      <c r="HAH128" s="40"/>
      <c r="HAI128" s="24"/>
      <c r="HAJ128" s="40"/>
      <c r="HAK128" s="24"/>
      <c r="HAL128" s="40"/>
      <c r="HAM128" s="24"/>
      <c r="HAN128" s="40"/>
      <c r="HAO128" s="24"/>
      <c r="HAP128" s="40"/>
      <c r="HAQ128" s="24"/>
      <c r="HAR128" s="40"/>
      <c r="HAS128" s="24"/>
      <c r="HAT128" s="40"/>
      <c r="HAU128" s="24"/>
      <c r="HAV128" s="40"/>
      <c r="HAW128" s="24"/>
      <c r="HAX128" s="40"/>
      <c r="HAY128" s="24"/>
      <c r="HAZ128" s="40"/>
      <c r="HBA128" s="24"/>
      <c r="HBB128" s="40"/>
      <c r="HBC128" s="24"/>
      <c r="HBD128" s="40"/>
      <c r="HBE128" s="24"/>
      <c r="HBF128" s="40"/>
      <c r="HBG128" s="24"/>
      <c r="HBH128" s="40"/>
      <c r="HBI128" s="24"/>
      <c r="HBJ128" s="40"/>
      <c r="HBK128" s="24"/>
      <c r="HBL128" s="40"/>
      <c r="HBM128" s="24"/>
      <c r="HBN128" s="40"/>
      <c r="HBO128" s="24"/>
      <c r="HBP128" s="40"/>
      <c r="HBQ128" s="24"/>
      <c r="HBR128" s="40"/>
      <c r="HBS128" s="24"/>
      <c r="HBT128" s="40"/>
      <c r="HBU128" s="24"/>
      <c r="HBV128" s="40"/>
      <c r="HBW128" s="24"/>
      <c r="HBX128" s="40"/>
      <c r="HBY128" s="24"/>
      <c r="HBZ128" s="40"/>
      <c r="HCA128" s="24"/>
      <c r="HCB128" s="40"/>
      <c r="HCC128" s="24"/>
      <c r="HCD128" s="40"/>
      <c r="HCE128" s="24"/>
      <c r="HCF128" s="40"/>
      <c r="HCG128" s="24"/>
      <c r="HCH128" s="40"/>
      <c r="HCI128" s="24"/>
      <c r="HCJ128" s="40"/>
      <c r="HCK128" s="24"/>
      <c r="HCL128" s="40"/>
      <c r="HCM128" s="24"/>
      <c r="HCN128" s="40"/>
      <c r="HCO128" s="24"/>
      <c r="HCP128" s="40"/>
      <c r="HCQ128" s="24"/>
      <c r="HCR128" s="40"/>
      <c r="HCS128" s="24"/>
      <c r="HCT128" s="40"/>
      <c r="HCU128" s="24"/>
      <c r="HCV128" s="40"/>
      <c r="HCW128" s="24"/>
      <c r="HCX128" s="40"/>
      <c r="HCY128" s="24"/>
      <c r="HCZ128" s="40"/>
      <c r="HDA128" s="24"/>
      <c r="HDB128" s="40"/>
      <c r="HDC128" s="24"/>
      <c r="HDD128" s="40"/>
      <c r="HDE128" s="24"/>
      <c r="HDF128" s="40"/>
      <c r="HDG128" s="24"/>
      <c r="HDH128" s="40"/>
      <c r="HDI128" s="24"/>
      <c r="HDJ128" s="40"/>
      <c r="HDK128" s="24"/>
      <c r="HDL128" s="40"/>
      <c r="HDM128" s="24"/>
      <c r="HDN128" s="40"/>
      <c r="HDO128" s="24"/>
      <c r="HDP128" s="40"/>
      <c r="HDQ128" s="24"/>
      <c r="HDR128" s="40"/>
      <c r="HDS128" s="24"/>
      <c r="HDT128" s="40"/>
      <c r="HDU128" s="24"/>
      <c r="HDV128" s="40"/>
      <c r="HDW128" s="24"/>
      <c r="HDX128" s="40"/>
      <c r="HDY128" s="24"/>
      <c r="HDZ128" s="40"/>
      <c r="HEA128" s="24"/>
      <c r="HEB128" s="40"/>
      <c r="HEC128" s="24"/>
      <c r="HED128" s="40"/>
      <c r="HEE128" s="24"/>
      <c r="HEF128" s="40"/>
      <c r="HEG128" s="24"/>
      <c r="HEH128" s="40"/>
      <c r="HEI128" s="24"/>
      <c r="HEJ128" s="40"/>
      <c r="HEK128" s="24"/>
      <c r="HEL128" s="40"/>
      <c r="HEM128" s="24"/>
      <c r="HEN128" s="40"/>
      <c r="HEO128" s="24"/>
      <c r="HEP128" s="40"/>
      <c r="HEQ128" s="24"/>
      <c r="HER128" s="40"/>
      <c r="HES128" s="24"/>
      <c r="HET128" s="40"/>
      <c r="HEU128" s="24"/>
      <c r="HEV128" s="40"/>
      <c r="HEW128" s="24"/>
      <c r="HEX128" s="40"/>
      <c r="HEY128" s="24"/>
      <c r="HEZ128" s="40"/>
      <c r="HFA128" s="24"/>
      <c r="HFB128" s="40"/>
      <c r="HFC128" s="24"/>
      <c r="HFD128" s="40"/>
      <c r="HFE128" s="24"/>
      <c r="HFF128" s="40"/>
      <c r="HFG128" s="24"/>
      <c r="HFH128" s="40"/>
      <c r="HFI128" s="24"/>
      <c r="HFJ128" s="40"/>
      <c r="HFK128" s="24"/>
      <c r="HFL128" s="40"/>
      <c r="HFM128" s="24"/>
      <c r="HFN128" s="40"/>
      <c r="HFO128" s="24"/>
      <c r="HFP128" s="40"/>
      <c r="HFQ128" s="24"/>
      <c r="HFR128" s="40"/>
      <c r="HFS128" s="24"/>
      <c r="HFT128" s="40"/>
      <c r="HFU128" s="24"/>
      <c r="HFV128" s="40"/>
      <c r="HFW128" s="24"/>
      <c r="HFX128" s="40"/>
      <c r="HFY128" s="24"/>
      <c r="HFZ128" s="40"/>
      <c r="HGA128" s="24"/>
      <c r="HGB128" s="40"/>
      <c r="HGC128" s="24"/>
      <c r="HGD128" s="40"/>
      <c r="HGE128" s="24"/>
      <c r="HGF128" s="40"/>
      <c r="HGG128" s="24"/>
      <c r="HGH128" s="40"/>
      <c r="HGI128" s="24"/>
      <c r="HGJ128" s="40"/>
      <c r="HGK128" s="24"/>
      <c r="HGL128" s="40"/>
      <c r="HGM128" s="24"/>
      <c r="HGN128" s="40"/>
      <c r="HGO128" s="24"/>
      <c r="HGP128" s="40"/>
      <c r="HGQ128" s="24"/>
      <c r="HGR128" s="40"/>
      <c r="HGS128" s="24"/>
      <c r="HGT128" s="40"/>
      <c r="HGU128" s="24"/>
      <c r="HGV128" s="40"/>
      <c r="HGW128" s="24"/>
      <c r="HGX128" s="40"/>
      <c r="HGY128" s="24"/>
      <c r="HGZ128" s="40"/>
      <c r="HHA128" s="24"/>
      <c r="HHB128" s="40"/>
      <c r="HHC128" s="24"/>
      <c r="HHD128" s="40"/>
      <c r="HHE128" s="24"/>
      <c r="HHF128" s="40"/>
      <c r="HHG128" s="24"/>
      <c r="HHH128" s="40"/>
      <c r="HHI128" s="24"/>
      <c r="HHJ128" s="40"/>
      <c r="HHK128" s="24"/>
      <c r="HHL128" s="40"/>
      <c r="HHM128" s="24"/>
      <c r="HHN128" s="40"/>
      <c r="HHO128" s="24"/>
      <c r="HHP128" s="40"/>
      <c r="HHQ128" s="24"/>
      <c r="HHR128" s="40"/>
      <c r="HHS128" s="24"/>
      <c r="HHT128" s="40"/>
      <c r="HHU128" s="24"/>
      <c r="HHV128" s="40"/>
      <c r="HHW128" s="24"/>
      <c r="HHX128" s="40"/>
      <c r="HHY128" s="24"/>
      <c r="HHZ128" s="40"/>
      <c r="HIA128" s="24"/>
      <c r="HIB128" s="40"/>
      <c r="HIC128" s="24"/>
      <c r="HID128" s="40"/>
      <c r="HIE128" s="24"/>
      <c r="HIF128" s="40"/>
      <c r="HIG128" s="24"/>
      <c r="HIH128" s="40"/>
      <c r="HII128" s="24"/>
      <c r="HIJ128" s="40"/>
      <c r="HIK128" s="24"/>
      <c r="HIL128" s="40"/>
      <c r="HIM128" s="24"/>
      <c r="HIN128" s="40"/>
      <c r="HIO128" s="24"/>
      <c r="HIP128" s="40"/>
      <c r="HIQ128" s="24"/>
      <c r="HIR128" s="40"/>
      <c r="HIS128" s="24"/>
      <c r="HIT128" s="40"/>
      <c r="HIU128" s="24"/>
      <c r="HIV128" s="40"/>
      <c r="HIW128" s="24"/>
      <c r="HIX128" s="40"/>
      <c r="HIY128" s="24"/>
      <c r="HIZ128" s="40"/>
      <c r="HJA128" s="24"/>
      <c r="HJB128" s="40"/>
      <c r="HJC128" s="24"/>
      <c r="HJD128" s="40"/>
      <c r="HJE128" s="24"/>
      <c r="HJF128" s="40"/>
      <c r="HJG128" s="24"/>
      <c r="HJH128" s="40"/>
      <c r="HJI128" s="24"/>
      <c r="HJJ128" s="40"/>
      <c r="HJK128" s="24"/>
      <c r="HJL128" s="40"/>
      <c r="HJM128" s="24"/>
      <c r="HJN128" s="40"/>
      <c r="HJO128" s="24"/>
      <c r="HJP128" s="40"/>
      <c r="HJQ128" s="24"/>
      <c r="HJR128" s="40"/>
      <c r="HJS128" s="24"/>
      <c r="HJT128" s="40"/>
      <c r="HJU128" s="24"/>
      <c r="HJV128" s="40"/>
      <c r="HJW128" s="24"/>
      <c r="HJX128" s="40"/>
      <c r="HJY128" s="24"/>
      <c r="HJZ128" s="40"/>
      <c r="HKA128" s="24"/>
      <c r="HKB128" s="40"/>
      <c r="HKC128" s="24"/>
      <c r="HKD128" s="40"/>
      <c r="HKE128" s="24"/>
      <c r="HKF128" s="40"/>
      <c r="HKG128" s="24"/>
      <c r="HKH128" s="40"/>
      <c r="HKI128" s="24"/>
      <c r="HKJ128" s="40"/>
      <c r="HKK128" s="24"/>
      <c r="HKL128" s="40"/>
      <c r="HKM128" s="24"/>
      <c r="HKN128" s="40"/>
      <c r="HKO128" s="24"/>
      <c r="HKP128" s="40"/>
      <c r="HKQ128" s="24"/>
      <c r="HKR128" s="40"/>
      <c r="HKS128" s="24"/>
      <c r="HKT128" s="40"/>
      <c r="HKU128" s="24"/>
      <c r="HKV128" s="40"/>
      <c r="HKW128" s="24"/>
      <c r="HKX128" s="40"/>
      <c r="HKY128" s="24"/>
      <c r="HKZ128" s="40"/>
      <c r="HLA128" s="24"/>
      <c r="HLB128" s="40"/>
      <c r="HLC128" s="24"/>
      <c r="HLD128" s="40"/>
      <c r="HLE128" s="24"/>
      <c r="HLF128" s="40"/>
      <c r="HLG128" s="24"/>
      <c r="HLH128" s="40"/>
      <c r="HLI128" s="24"/>
      <c r="HLJ128" s="40"/>
      <c r="HLK128" s="24"/>
      <c r="HLL128" s="40"/>
      <c r="HLM128" s="24"/>
      <c r="HLN128" s="40"/>
      <c r="HLO128" s="24"/>
      <c r="HLP128" s="40"/>
      <c r="HLQ128" s="24"/>
      <c r="HLR128" s="40"/>
      <c r="HLS128" s="24"/>
      <c r="HLT128" s="40"/>
      <c r="HLU128" s="24"/>
      <c r="HLV128" s="40"/>
      <c r="HLW128" s="24"/>
      <c r="HLX128" s="40"/>
      <c r="HLY128" s="24"/>
      <c r="HLZ128" s="40"/>
      <c r="HMA128" s="24"/>
      <c r="HMB128" s="40"/>
      <c r="HMC128" s="24"/>
      <c r="HMD128" s="40"/>
      <c r="HME128" s="24"/>
      <c r="HMF128" s="40"/>
      <c r="HMG128" s="24"/>
      <c r="HMH128" s="40"/>
      <c r="HMI128" s="24"/>
      <c r="HMJ128" s="40"/>
      <c r="HMK128" s="24"/>
      <c r="HML128" s="40"/>
      <c r="HMM128" s="24"/>
      <c r="HMN128" s="40"/>
      <c r="HMO128" s="24"/>
      <c r="HMP128" s="40"/>
      <c r="HMQ128" s="24"/>
      <c r="HMR128" s="40"/>
      <c r="HMS128" s="24"/>
      <c r="HMT128" s="40"/>
      <c r="HMU128" s="24"/>
      <c r="HMV128" s="40"/>
      <c r="HMW128" s="24"/>
      <c r="HMX128" s="40"/>
      <c r="HMY128" s="24"/>
      <c r="HMZ128" s="40"/>
      <c r="HNA128" s="24"/>
      <c r="HNB128" s="40"/>
      <c r="HNC128" s="24"/>
      <c r="HND128" s="40"/>
      <c r="HNE128" s="24"/>
      <c r="HNF128" s="40"/>
      <c r="HNG128" s="24"/>
      <c r="HNH128" s="40"/>
      <c r="HNI128" s="24"/>
      <c r="HNJ128" s="40"/>
      <c r="HNK128" s="24"/>
      <c r="HNL128" s="40"/>
      <c r="HNM128" s="24"/>
      <c r="HNN128" s="40"/>
      <c r="HNO128" s="24"/>
      <c r="HNP128" s="40"/>
      <c r="HNQ128" s="24"/>
      <c r="HNR128" s="40"/>
      <c r="HNS128" s="24"/>
      <c r="HNT128" s="40"/>
      <c r="HNU128" s="24"/>
      <c r="HNV128" s="40"/>
      <c r="HNW128" s="24"/>
      <c r="HNX128" s="40"/>
      <c r="HNY128" s="24"/>
      <c r="HNZ128" s="40"/>
      <c r="HOA128" s="24"/>
      <c r="HOB128" s="40"/>
      <c r="HOC128" s="24"/>
      <c r="HOD128" s="40"/>
      <c r="HOE128" s="24"/>
      <c r="HOF128" s="40"/>
      <c r="HOG128" s="24"/>
      <c r="HOH128" s="40"/>
      <c r="HOI128" s="24"/>
      <c r="HOJ128" s="40"/>
      <c r="HOK128" s="24"/>
      <c r="HOL128" s="40"/>
      <c r="HOM128" s="24"/>
      <c r="HON128" s="40"/>
      <c r="HOO128" s="24"/>
      <c r="HOP128" s="40"/>
      <c r="HOQ128" s="24"/>
      <c r="HOR128" s="40"/>
      <c r="HOS128" s="24"/>
      <c r="HOT128" s="40"/>
      <c r="HOU128" s="24"/>
      <c r="HOV128" s="40"/>
      <c r="HOW128" s="24"/>
      <c r="HOX128" s="40"/>
      <c r="HOY128" s="24"/>
      <c r="HOZ128" s="40"/>
      <c r="HPA128" s="24"/>
      <c r="HPB128" s="40"/>
      <c r="HPC128" s="24"/>
      <c r="HPD128" s="40"/>
      <c r="HPE128" s="24"/>
      <c r="HPF128" s="40"/>
      <c r="HPG128" s="24"/>
      <c r="HPH128" s="40"/>
      <c r="HPI128" s="24"/>
      <c r="HPJ128" s="40"/>
      <c r="HPK128" s="24"/>
      <c r="HPL128" s="40"/>
      <c r="HPM128" s="24"/>
      <c r="HPN128" s="40"/>
      <c r="HPO128" s="24"/>
      <c r="HPP128" s="40"/>
      <c r="HPQ128" s="24"/>
      <c r="HPR128" s="40"/>
      <c r="HPS128" s="24"/>
      <c r="HPT128" s="40"/>
      <c r="HPU128" s="24"/>
      <c r="HPV128" s="40"/>
      <c r="HPW128" s="24"/>
      <c r="HPX128" s="40"/>
      <c r="HPY128" s="24"/>
      <c r="HPZ128" s="40"/>
      <c r="HQA128" s="24"/>
      <c r="HQB128" s="40"/>
      <c r="HQC128" s="24"/>
      <c r="HQD128" s="40"/>
      <c r="HQE128" s="24"/>
      <c r="HQF128" s="40"/>
      <c r="HQG128" s="24"/>
      <c r="HQH128" s="40"/>
      <c r="HQI128" s="24"/>
      <c r="HQJ128" s="40"/>
      <c r="HQK128" s="24"/>
      <c r="HQL128" s="40"/>
      <c r="HQM128" s="24"/>
      <c r="HQN128" s="40"/>
      <c r="HQO128" s="24"/>
      <c r="HQP128" s="40"/>
      <c r="HQQ128" s="24"/>
      <c r="HQR128" s="40"/>
      <c r="HQS128" s="24"/>
      <c r="HQT128" s="40"/>
      <c r="HQU128" s="24"/>
      <c r="HQV128" s="40"/>
      <c r="HQW128" s="24"/>
      <c r="HQX128" s="40"/>
      <c r="HQY128" s="24"/>
      <c r="HQZ128" s="40"/>
      <c r="HRA128" s="24"/>
      <c r="HRB128" s="40"/>
      <c r="HRC128" s="24"/>
      <c r="HRD128" s="40"/>
      <c r="HRE128" s="24"/>
      <c r="HRF128" s="40"/>
      <c r="HRG128" s="24"/>
      <c r="HRH128" s="40"/>
      <c r="HRI128" s="24"/>
      <c r="HRJ128" s="40"/>
      <c r="HRK128" s="24"/>
      <c r="HRL128" s="40"/>
      <c r="HRM128" s="24"/>
      <c r="HRN128" s="40"/>
      <c r="HRO128" s="24"/>
      <c r="HRP128" s="40"/>
      <c r="HRQ128" s="24"/>
      <c r="HRR128" s="40"/>
      <c r="HRS128" s="24"/>
      <c r="HRT128" s="40"/>
      <c r="HRU128" s="24"/>
      <c r="HRV128" s="40"/>
      <c r="HRW128" s="24"/>
      <c r="HRX128" s="40"/>
      <c r="HRY128" s="24"/>
      <c r="HRZ128" s="40"/>
      <c r="HSA128" s="24"/>
      <c r="HSB128" s="40"/>
      <c r="HSC128" s="24"/>
      <c r="HSD128" s="40"/>
      <c r="HSE128" s="24"/>
      <c r="HSF128" s="40"/>
      <c r="HSG128" s="24"/>
      <c r="HSH128" s="40"/>
      <c r="HSI128" s="24"/>
      <c r="HSJ128" s="40"/>
      <c r="HSK128" s="24"/>
      <c r="HSL128" s="40"/>
      <c r="HSM128" s="24"/>
      <c r="HSN128" s="40"/>
      <c r="HSO128" s="24"/>
      <c r="HSP128" s="40"/>
      <c r="HSQ128" s="24"/>
      <c r="HSR128" s="40"/>
      <c r="HSS128" s="24"/>
      <c r="HST128" s="40"/>
      <c r="HSU128" s="24"/>
      <c r="HSV128" s="40"/>
      <c r="HSW128" s="24"/>
      <c r="HSX128" s="40"/>
      <c r="HSY128" s="24"/>
      <c r="HSZ128" s="40"/>
      <c r="HTA128" s="24"/>
      <c r="HTB128" s="40"/>
      <c r="HTC128" s="24"/>
      <c r="HTD128" s="40"/>
      <c r="HTE128" s="24"/>
      <c r="HTF128" s="40"/>
      <c r="HTG128" s="24"/>
      <c r="HTH128" s="40"/>
      <c r="HTI128" s="24"/>
      <c r="HTJ128" s="40"/>
      <c r="HTK128" s="24"/>
      <c r="HTL128" s="40"/>
      <c r="HTM128" s="24"/>
      <c r="HTN128" s="40"/>
      <c r="HTO128" s="24"/>
      <c r="HTP128" s="40"/>
      <c r="HTQ128" s="24"/>
      <c r="HTR128" s="40"/>
      <c r="HTS128" s="24"/>
      <c r="HTT128" s="40"/>
      <c r="HTU128" s="24"/>
      <c r="HTV128" s="40"/>
      <c r="HTW128" s="24"/>
      <c r="HTX128" s="40"/>
      <c r="HTY128" s="24"/>
      <c r="HTZ128" s="40"/>
      <c r="HUA128" s="24"/>
      <c r="HUB128" s="40"/>
      <c r="HUC128" s="24"/>
      <c r="HUD128" s="40"/>
      <c r="HUE128" s="24"/>
      <c r="HUF128" s="40"/>
      <c r="HUG128" s="24"/>
      <c r="HUH128" s="40"/>
      <c r="HUI128" s="24"/>
      <c r="HUJ128" s="40"/>
      <c r="HUK128" s="24"/>
      <c r="HUL128" s="40"/>
      <c r="HUM128" s="24"/>
      <c r="HUN128" s="40"/>
      <c r="HUO128" s="24"/>
      <c r="HUP128" s="40"/>
      <c r="HUQ128" s="24"/>
      <c r="HUR128" s="40"/>
      <c r="HUS128" s="24"/>
      <c r="HUT128" s="40"/>
      <c r="HUU128" s="24"/>
      <c r="HUV128" s="40"/>
      <c r="HUW128" s="24"/>
      <c r="HUX128" s="40"/>
      <c r="HUY128" s="24"/>
      <c r="HUZ128" s="40"/>
      <c r="HVA128" s="24"/>
      <c r="HVB128" s="40"/>
      <c r="HVC128" s="24"/>
      <c r="HVD128" s="40"/>
      <c r="HVE128" s="24"/>
      <c r="HVF128" s="40"/>
      <c r="HVG128" s="24"/>
      <c r="HVH128" s="40"/>
      <c r="HVI128" s="24"/>
      <c r="HVJ128" s="40"/>
      <c r="HVK128" s="24"/>
      <c r="HVL128" s="40"/>
      <c r="HVM128" s="24"/>
      <c r="HVN128" s="40"/>
      <c r="HVO128" s="24"/>
      <c r="HVP128" s="40"/>
      <c r="HVQ128" s="24"/>
      <c r="HVR128" s="40"/>
      <c r="HVS128" s="24"/>
      <c r="HVT128" s="40"/>
      <c r="HVU128" s="24"/>
      <c r="HVV128" s="40"/>
      <c r="HVW128" s="24"/>
      <c r="HVX128" s="40"/>
      <c r="HVY128" s="24"/>
      <c r="HVZ128" s="40"/>
      <c r="HWA128" s="24"/>
      <c r="HWB128" s="40"/>
      <c r="HWC128" s="24"/>
      <c r="HWD128" s="40"/>
      <c r="HWE128" s="24"/>
      <c r="HWF128" s="40"/>
      <c r="HWG128" s="24"/>
      <c r="HWH128" s="40"/>
      <c r="HWI128" s="24"/>
      <c r="HWJ128" s="40"/>
      <c r="HWK128" s="24"/>
      <c r="HWL128" s="40"/>
      <c r="HWM128" s="24"/>
      <c r="HWN128" s="40"/>
      <c r="HWO128" s="24"/>
      <c r="HWP128" s="40"/>
      <c r="HWQ128" s="24"/>
      <c r="HWR128" s="40"/>
      <c r="HWS128" s="24"/>
      <c r="HWT128" s="40"/>
      <c r="HWU128" s="24"/>
      <c r="HWV128" s="40"/>
      <c r="HWW128" s="24"/>
      <c r="HWX128" s="40"/>
      <c r="HWY128" s="24"/>
      <c r="HWZ128" s="40"/>
      <c r="HXA128" s="24"/>
      <c r="HXB128" s="40"/>
      <c r="HXC128" s="24"/>
      <c r="HXD128" s="40"/>
      <c r="HXE128" s="24"/>
      <c r="HXF128" s="40"/>
      <c r="HXG128" s="24"/>
      <c r="HXH128" s="40"/>
      <c r="HXI128" s="24"/>
      <c r="HXJ128" s="40"/>
      <c r="HXK128" s="24"/>
      <c r="HXL128" s="40"/>
      <c r="HXM128" s="24"/>
      <c r="HXN128" s="40"/>
      <c r="HXO128" s="24"/>
      <c r="HXP128" s="40"/>
      <c r="HXQ128" s="24"/>
      <c r="HXR128" s="40"/>
      <c r="HXS128" s="24"/>
      <c r="HXT128" s="40"/>
      <c r="HXU128" s="24"/>
      <c r="HXV128" s="40"/>
      <c r="HXW128" s="24"/>
      <c r="HXX128" s="40"/>
      <c r="HXY128" s="24"/>
      <c r="HXZ128" s="40"/>
      <c r="HYA128" s="24"/>
      <c r="HYB128" s="40"/>
      <c r="HYC128" s="24"/>
      <c r="HYD128" s="40"/>
      <c r="HYE128" s="24"/>
      <c r="HYF128" s="40"/>
      <c r="HYG128" s="24"/>
      <c r="HYH128" s="40"/>
      <c r="HYI128" s="24"/>
      <c r="HYJ128" s="40"/>
      <c r="HYK128" s="24"/>
      <c r="HYL128" s="40"/>
      <c r="HYM128" s="24"/>
      <c r="HYN128" s="40"/>
      <c r="HYO128" s="24"/>
      <c r="HYP128" s="40"/>
      <c r="HYQ128" s="24"/>
      <c r="HYR128" s="40"/>
      <c r="HYS128" s="24"/>
      <c r="HYT128" s="40"/>
      <c r="HYU128" s="24"/>
      <c r="HYV128" s="40"/>
      <c r="HYW128" s="24"/>
      <c r="HYX128" s="40"/>
      <c r="HYY128" s="24"/>
      <c r="HYZ128" s="40"/>
      <c r="HZA128" s="24"/>
      <c r="HZB128" s="40"/>
      <c r="HZC128" s="24"/>
      <c r="HZD128" s="40"/>
      <c r="HZE128" s="24"/>
      <c r="HZF128" s="40"/>
      <c r="HZG128" s="24"/>
      <c r="HZH128" s="40"/>
      <c r="HZI128" s="24"/>
      <c r="HZJ128" s="40"/>
      <c r="HZK128" s="24"/>
      <c r="HZL128" s="40"/>
      <c r="HZM128" s="24"/>
      <c r="HZN128" s="40"/>
      <c r="HZO128" s="24"/>
      <c r="HZP128" s="40"/>
      <c r="HZQ128" s="24"/>
      <c r="HZR128" s="40"/>
      <c r="HZS128" s="24"/>
      <c r="HZT128" s="40"/>
      <c r="HZU128" s="24"/>
      <c r="HZV128" s="40"/>
      <c r="HZW128" s="24"/>
      <c r="HZX128" s="40"/>
      <c r="HZY128" s="24"/>
      <c r="HZZ128" s="40"/>
      <c r="IAA128" s="24"/>
      <c r="IAB128" s="40"/>
      <c r="IAC128" s="24"/>
      <c r="IAD128" s="40"/>
      <c r="IAE128" s="24"/>
      <c r="IAF128" s="40"/>
      <c r="IAG128" s="24"/>
      <c r="IAH128" s="40"/>
      <c r="IAI128" s="24"/>
      <c r="IAJ128" s="40"/>
      <c r="IAK128" s="24"/>
      <c r="IAL128" s="40"/>
      <c r="IAM128" s="24"/>
      <c r="IAN128" s="40"/>
      <c r="IAO128" s="24"/>
      <c r="IAP128" s="40"/>
      <c r="IAQ128" s="24"/>
      <c r="IAR128" s="40"/>
      <c r="IAS128" s="24"/>
      <c r="IAT128" s="40"/>
      <c r="IAU128" s="24"/>
      <c r="IAV128" s="40"/>
      <c r="IAW128" s="24"/>
      <c r="IAX128" s="40"/>
      <c r="IAY128" s="24"/>
      <c r="IAZ128" s="40"/>
      <c r="IBA128" s="24"/>
      <c r="IBB128" s="40"/>
      <c r="IBC128" s="24"/>
      <c r="IBD128" s="40"/>
      <c r="IBE128" s="24"/>
      <c r="IBF128" s="40"/>
      <c r="IBG128" s="24"/>
      <c r="IBH128" s="40"/>
      <c r="IBI128" s="24"/>
      <c r="IBJ128" s="40"/>
      <c r="IBK128" s="24"/>
      <c r="IBL128" s="40"/>
      <c r="IBM128" s="24"/>
      <c r="IBN128" s="40"/>
      <c r="IBO128" s="24"/>
      <c r="IBP128" s="40"/>
      <c r="IBQ128" s="24"/>
      <c r="IBR128" s="40"/>
      <c r="IBS128" s="24"/>
      <c r="IBT128" s="40"/>
      <c r="IBU128" s="24"/>
      <c r="IBV128" s="40"/>
      <c r="IBW128" s="24"/>
      <c r="IBX128" s="40"/>
      <c r="IBY128" s="24"/>
      <c r="IBZ128" s="40"/>
      <c r="ICA128" s="24"/>
      <c r="ICB128" s="40"/>
      <c r="ICC128" s="24"/>
      <c r="ICD128" s="40"/>
      <c r="ICE128" s="24"/>
      <c r="ICF128" s="40"/>
      <c r="ICG128" s="24"/>
      <c r="ICH128" s="40"/>
      <c r="ICI128" s="24"/>
      <c r="ICJ128" s="40"/>
      <c r="ICK128" s="24"/>
      <c r="ICL128" s="40"/>
      <c r="ICM128" s="24"/>
      <c r="ICN128" s="40"/>
      <c r="ICO128" s="24"/>
      <c r="ICP128" s="40"/>
      <c r="ICQ128" s="24"/>
      <c r="ICR128" s="40"/>
      <c r="ICS128" s="24"/>
      <c r="ICT128" s="40"/>
      <c r="ICU128" s="24"/>
      <c r="ICV128" s="40"/>
      <c r="ICW128" s="24"/>
      <c r="ICX128" s="40"/>
      <c r="ICY128" s="24"/>
      <c r="ICZ128" s="40"/>
      <c r="IDA128" s="24"/>
      <c r="IDB128" s="40"/>
      <c r="IDC128" s="24"/>
      <c r="IDD128" s="40"/>
      <c r="IDE128" s="24"/>
      <c r="IDF128" s="40"/>
      <c r="IDG128" s="24"/>
      <c r="IDH128" s="40"/>
      <c r="IDI128" s="24"/>
      <c r="IDJ128" s="40"/>
      <c r="IDK128" s="24"/>
      <c r="IDL128" s="40"/>
      <c r="IDM128" s="24"/>
      <c r="IDN128" s="40"/>
      <c r="IDO128" s="24"/>
      <c r="IDP128" s="40"/>
      <c r="IDQ128" s="24"/>
      <c r="IDR128" s="40"/>
      <c r="IDS128" s="24"/>
      <c r="IDT128" s="40"/>
      <c r="IDU128" s="24"/>
      <c r="IDV128" s="40"/>
      <c r="IDW128" s="24"/>
      <c r="IDX128" s="40"/>
      <c r="IDY128" s="24"/>
      <c r="IDZ128" s="40"/>
      <c r="IEA128" s="24"/>
      <c r="IEB128" s="40"/>
      <c r="IEC128" s="24"/>
      <c r="IED128" s="40"/>
      <c r="IEE128" s="24"/>
      <c r="IEF128" s="40"/>
      <c r="IEG128" s="24"/>
      <c r="IEH128" s="40"/>
      <c r="IEI128" s="24"/>
      <c r="IEJ128" s="40"/>
      <c r="IEK128" s="24"/>
      <c r="IEL128" s="40"/>
      <c r="IEM128" s="24"/>
      <c r="IEN128" s="40"/>
      <c r="IEO128" s="24"/>
      <c r="IEP128" s="40"/>
      <c r="IEQ128" s="24"/>
      <c r="IER128" s="40"/>
      <c r="IES128" s="24"/>
      <c r="IET128" s="40"/>
      <c r="IEU128" s="24"/>
      <c r="IEV128" s="40"/>
      <c r="IEW128" s="24"/>
      <c r="IEX128" s="40"/>
      <c r="IEY128" s="24"/>
      <c r="IEZ128" s="40"/>
      <c r="IFA128" s="24"/>
      <c r="IFB128" s="40"/>
      <c r="IFC128" s="24"/>
      <c r="IFD128" s="40"/>
      <c r="IFE128" s="24"/>
      <c r="IFF128" s="40"/>
      <c r="IFG128" s="24"/>
      <c r="IFH128" s="40"/>
      <c r="IFI128" s="24"/>
      <c r="IFJ128" s="40"/>
      <c r="IFK128" s="24"/>
      <c r="IFL128" s="40"/>
      <c r="IFM128" s="24"/>
      <c r="IFN128" s="40"/>
      <c r="IFO128" s="24"/>
      <c r="IFP128" s="40"/>
      <c r="IFQ128" s="24"/>
      <c r="IFR128" s="40"/>
      <c r="IFS128" s="24"/>
      <c r="IFT128" s="40"/>
      <c r="IFU128" s="24"/>
      <c r="IFV128" s="40"/>
      <c r="IFW128" s="24"/>
      <c r="IFX128" s="40"/>
      <c r="IFY128" s="24"/>
      <c r="IFZ128" s="40"/>
      <c r="IGA128" s="24"/>
      <c r="IGB128" s="40"/>
      <c r="IGC128" s="24"/>
      <c r="IGD128" s="40"/>
      <c r="IGE128" s="24"/>
      <c r="IGF128" s="40"/>
      <c r="IGG128" s="24"/>
      <c r="IGH128" s="40"/>
      <c r="IGI128" s="24"/>
      <c r="IGJ128" s="40"/>
      <c r="IGK128" s="24"/>
      <c r="IGL128" s="40"/>
      <c r="IGM128" s="24"/>
      <c r="IGN128" s="40"/>
      <c r="IGO128" s="24"/>
      <c r="IGP128" s="40"/>
      <c r="IGQ128" s="24"/>
      <c r="IGR128" s="40"/>
      <c r="IGS128" s="24"/>
      <c r="IGT128" s="40"/>
      <c r="IGU128" s="24"/>
      <c r="IGV128" s="40"/>
      <c r="IGW128" s="24"/>
      <c r="IGX128" s="40"/>
      <c r="IGY128" s="24"/>
      <c r="IGZ128" s="40"/>
      <c r="IHA128" s="24"/>
      <c r="IHB128" s="40"/>
      <c r="IHC128" s="24"/>
      <c r="IHD128" s="40"/>
      <c r="IHE128" s="24"/>
      <c r="IHF128" s="40"/>
      <c r="IHG128" s="24"/>
      <c r="IHH128" s="40"/>
      <c r="IHI128" s="24"/>
      <c r="IHJ128" s="40"/>
      <c r="IHK128" s="24"/>
      <c r="IHL128" s="40"/>
      <c r="IHM128" s="24"/>
      <c r="IHN128" s="40"/>
      <c r="IHO128" s="24"/>
      <c r="IHP128" s="40"/>
      <c r="IHQ128" s="24"/>
      <c r="IHR128" s="40"/>
      <c r="IHS128" s="24"/>
      <c r="IHT128" s="40"/>
      <c r="IHU128" s="24"/>
      <c r="IHV128" s="40"/>
      <c r="IHW128" s="24"/>
      <c r="IHX128" s="40"/>
      <c r="IHY128" s="24"/>
      <c r="IHZ128" s="40"/>
      <c r="IIA128" s="24"/>
      <c r="IIB128" s="40"/>
      <c r="IIC128" s="24"/>
      <c r="IID128" s="40"/>
      <c r="IIE128" s="24"/>
      <c r="IIF128" s="40"/>
      <c r="IIG128" s="24"/>
      <c r="IIH128" s="40"/>
      <c r="III128" s="24"/>
      <c r="IIJ128" s="40"/>
      <c r="IIK128" s="24"/>
      <c r="IIL128" s="40"/>
      <c r="IIM128" s="24"/>
      <c r="IIN128" s="40"/>
      <c r="IIO128" s="24"/>
      <c r="IIP128" s="40"/>
      <c r="IIQ128" s="24"/>
      <c r="IIR128" s="40"/>
      <c r="IIS128" s="24"/>
      <c r="IIT128" s="40"/>
      <c r="IIU128" s="24"/>
      <c r="IIV128" s="40"/>
      <c r="IIW128" s="24"/>
      <c r="IIX128" s="40"/>
      <c r="IIY128" s="24"/>
      <c r="IIZ128" s="40"/>
      <c r="IJA128" s="24"/>
      <c r="IJB128" s="40"/>
      <c r="IJC128" s="24"/>
      <c r="IJD128" s="40"/>
      <c r="IJE128" s="24"/>
      <c r="IJF128" s="40"/>
      <c r="IJG128" s="24"/>
      <c r="IJH128" s="40"/>
      <c r="IJI128" s="24"/>
      <c r="IJJ128" s="40"/>
      <c r="IJK128" s="24"/>
      <c r="IJL128" s="40"/>
      <c r="IJM128" s="24"/>
      <c r="IJN128" s="40"/>
      <c r="IJO128" s="24"/>
      <c r="IJP128" s="40"/>
      <c r="IJQ128" s="24"/>
      <c r="IJR128" s="40"/>
      <c r="IJS128" s="24"/>
      <c r="IJT128" s="40"/>
      <c r="IJU128" s="24"/>
      <c r="IJV128" s="40"/>
      <c r="IJW128" s="24"/>
      <c r="IJX128" s="40"/>
      <c r="IJY128" s="24"/>
      <c r="IJZ128" s="40"/>
      <c r="IKA128" s="24"/>
      <c r="IKB128" s="40"/>
      <c r="IKC128" s="24"/>
      <c r="IKD128" s="40"/>
      <c r="IKE128" s="24"/>
      <c r="IKF128" s="40"/>
      <c r="IKG128" s="24"/>
      <c r="IKH128" s="40"/>
      <c r="IKI128" s="24"/>
      <c r="IKJ128" s="40"/>
      <c r="IKK128" s="24"/>
      <c r="IKL128" s="40"/>
      <c r="IKM128" s="24"/>
      <c r="IKN128" s="40"/>
      <c r="IKO128" s="24"/>
      <c r="IKP128" s="40"/>
      <c r="IKQ128" s="24"/>
      <c r="IKR128" s="40"/>
      <c r="IKS128" s="24"/>
      <c r="IKT128" s="40"/>
      <c r="IKU128" s="24"/>
      <c r="IKV128" s="40"/>
      <c r="IKW128" s="24"/>
      <c r="IKX128" s="40"/>
      <c r="IKY128" s="24"/>
      <c r="IKZ128" s="40"/>
      <c r="ILA128" s="24"/>
      <c r="ILB128" s="40"/>
      <c r="ILC128" s="24"/>
      <c r="ILD128" s="40"/>
      <c r="ILE128" s="24"/>
      <c r="ILF128" s="40"/>
      <c r="ILG128" s="24"/>
      <c r="ILH128" s="40"/>
      <c r="ILI128" s="24"/>
      <c r="ILJ128" s="40"/>
      <c r="ILK128" s="24"/>
      <c r="ILL128" s="40"/>
      <c r="ILM128" s="24"/>
      <c r="ILN128" s="40"/>
      <c r="ILO128" s="24"/>
      <c r="ILP128" s="40"/>
      <c r="ILQ128" s="24"/>
      <c r="ILR128" s="40"/>
      <c r="ILS128" s="24"/>
      <c r="ILT128" s="40"/>
      <c r="ILU128" s="24"/>
      <c r="ILV128" s="40"/>
      <c r="ILW128" s="24"/>
      <c r="ILX128" s="40"/>
      <c r="ILY128" s="24"/>
      <c r="ILZ128" s="40"/>
      <c r="IMA128" s="24"/>
      <c r="IMB128" s="40"/>
      <c r="IMC128" s="24"/>
      <c r="IMD128" s="40"/>
      <c r="IME128" s="24"/>
      <c r="IMF128" s="40"/>
      <c r="IMG128" s="24"/>
      <c r="IMH128" s="40"/>
      <c r="IMI128" s="24"/>
      <c r="IMJ128" s="40"/>
      <c r="IMK128" s="24"/>
      <c r="IML128" s="40"/>
      <c r="IMM128" s="24"/>
      <c r="IMN128" s="40"/>
      <c r="IMO128" s="24"/>
      <c r="IMP128" s="40"/>
      <c r="IMQ128" s="24"/>
      <c r="IMR128" s="40"/>
      <c r="IMS128" s="24"/>
      <c r="IMT128" s="40"/>
      <c r="IMU128" s="24"/>
      <c r="IMV128" s="40"/>
      <c r="IMW128" s="24"/>
      <c r="IMX128" s="40"/>
      <c r="IMY128" s="24"/>
      <c r="IMZ128" s="40"/>
      <c r="INA128" s="24"/>
      <c r="INB128" s="40"/>
      <c r="INC128" s="24"/>
      <c r="IND128" s="40"/>
      <c r="INE128" s="24"/>
      <c r="INF128" s="40"/>
      <c r="ING128" s="24"/>
      <c r="INH128" s="40"/>
      <c r="INI128" s="24"/>
      <c r="INJ128" s="40"/>
      <c r="INK128" s="24"/>
      <c r="INL128" s="40"/>
      <c r="INM128" s="24"/>
      <c r="INN128" s="40"/>
      <c r="INO128" s="24"/>
      <c r="INP128" s="40"/>
      <c r="INQ128" s="24"/>
      <c r="INR128" s="40"/>
      <c r="INS128" s="24"/>
      <c r="INT128" s="40"/>
      <c r="INU128" s="24"/>
      <c r="INV128" s="40"/>
      <c r="INW128" s="24"/>
      <c r="INX128" s="40"/>
      <c r="INY128" s="24"/>
      <c r="INZ128" s="40"/>
      <c r="IOA128" s="24"/>
      <c r="IOB128" s="40"/>
      <c r="IOC128" s="24"/>
      <c r="IOD128" s="40"/>
      <c r="IOE128" s="24"/>
      <c r="IOF128" s="40"/>
      <c r="IOG128" s="24"/>
      <c r="IOH128" s="40"/>
      <c r="IOI128" s="24"/>
      <c r="IOJ128" s="40"/>
      <c r="IOK128" s="24"/>
      <c r="IOL128" s="40"/>
      <c r="IOM128" s="24"/>
      <c r="ION128" s="40"/>
      <c r="IOO128" s="24"/>
      <c r="IOP128" s="40"/>
      <c r="IOQ128" s="24"/>
      <c r="IOR128" s="40"/>
      <c r="IOS128" s="24"/>
      <c r="IOT128" s="40"/>
      <c r="IOU128" s="24"/>
      <c r="IOV128" s="40"/>
      <c r="IOW128" s="24"/>
      <c r="IOX128" s="40"/>
      <c r="IOY128" s="24"/>
      <c r="IOZ128" s="40"/>
      <c r="IPA128" s="24"/>
      <c r="IPB128" s="40"/>
      <c r="IPC128" s="24"/>
      <c r="IPD128" s="40"/>
      <c r="IPE128" s="24"/>
      <c r="IPF128" s="40"/>
      <c r="IPG128" s="24"/>
      <c r="IPH128" s="40"/>
      <c r="IPI128" s="24"/>
      <c r="IPJ128" s="40"/>
      <c r="IPK128" s="24"/>
      <c r="IPL128" s="40"/>
      <c r="IPM128" s="24"/>
      <c r="IPN128" s="40"/>
      <c r="IPO128" s="24"/>
      <c r="IPP128" s="40"/>
      <c r="IPQ128" s="24"/>
      <c r="IPR128" s="40"/>
      <c r="IPS128" s="24"/>
      <c r="IPT128" s="40"/>
      <c r="IPU128" s="24"/>
      <c r="IPV128" s="40"/>
      <c r="IPW128" s="24"/>
      <c r="IPX128" s="40"/>
      <c r="IPY128" s="24"/>
      <c r="IPZ128" s="40"/>
      <c r="IQA128" s="24"/>
      <c r="IQB128" s="40"/>
      <c r="IQC128" s="24"/>
      <c r="IQD128" s="40"/>
      <c r="IQE128" s="24"/>
      <c r="IQF128" s="40"/>
      <c r="IQG128" s="24"/>
      <c r="IQH128" s="40"/>
      <c r="IQI128" s="24"/>
      <c r="IQJ128" s="40"/>
      <c r="IQK128" s="24"/>
      <c r="IQL128" s="40"/>
      <c r="IQM128" s="24"/>
      <c r="IQN128" s="40"/>
      <c r="IQO128" s="24"/>
      <c r="IQP128" s="40"/>
      <c r="IQQ128" s="24"/>
      <c r="IQR128" s="40"/>
      <c r="IQS128" s="24"/>
      <c r="IQT128" s="40"/>
      <c r="IQU128" s="24"/>
      <c r="IQV128" s="40"/>
      <c r="IQW128" s="24"/>
      <c r="IQX128" s="40"/>
      <c r="IQY128" s="24"/>
      <c r="IQZ128" s="40"/>
      <c r="IRA128" s="24"/>
      <c r="IRB128" s="40"/>
      <c r="IRC128" s="24"/>
      <c r="IRD128" s="40"/>
      <c r="IRE128" s="24"/>
      <c r="IRF128" s="40"/>
      <c r="IRG128" s="24"/>
      <c r="IRH128" s="40"/>
      <c r="IRI128" s="24"/>
      <c r="IRJ128" s="40"/>
      <c r="IRK128" s="24"/>
      <c r="IRL128" s="40"/>
      <c r="IRM128" s="24"/>
      <c r="IRN128" s="40"/>
      <c r="IRO128" s="24"/>
      <c r="IRP128" s="40"/>
      <c r="IRQ128" s="24"/>
      <c r="IRR128" s="40"/>
      <c r="IRS128" s="24"/>
      <c r="IRT128" s="40"/>
      <c r="IRU128" s="24"/>
      <c r="IRV128" s="40"/>
      <c r="IRW128" s="24"/>
      <c r="IRX128" s="40"/>
      <c r="IRY128" s="24"/>
      <c r="IRZ128" s="40"/>
      <c r="ISA128" s="24"/>
      <c r="ISB128" s="40"/>
      <c r="ISC128" s="24"/>
      <c r="ISD128" s="40"/>
      <c r="ISE128" s="24"/>
      <c r="ISF128" s="40"/>
      <c r="ISG128" s="24"/>
      <c r="ISH128" s="40"/>
      <c r="ISI128" s="24"/>
      <c r="ISJ128" s="40"/>
      <c r="ISK128" s="24"/>
      <c r="ISL128" s="40"/>
      <c r="ISM128" s="24"/>
      <c r="ISN128" s="40"/>
      <c r="ISO128" s="24"/>
      <c r="ISP128" s="40"/>
      <c r="ISQ128" s="24"/>
      <c r="ISR128" s="40"/>
      <c r="ISS128" s="24"/>
      <c r="IST128" s="40"/>
      <c r="ISU128" s="24"/>
      <c r="ISV128" s="40"/>
      <c r="ISW128" s="24"/>
      <c r="ISX128" s="40"/>
      <c r="ISY128" s="24"/>
      <c r="ISZ128" s="40"/>
      <c r="ITA128" s="24"/>
      <c r="ITB128" s="40"/>
      <c r="ITC128" s="24"/>
      <c r="ITD128" s="40"/>
      <c r="ITE128" s="24"/>
      <c r="ITF128" s="40"/>
      <c r="ITG128" s="24"/>
      <c r="ITH128" s="40"/>
      <c r="ITI128" s="24"/>
      <c r="ITJ128" s="40"/>
      <c r="ITK128" s="24"/>
      <c r="ITL128" s="40"/>
      <c r="ITM128" s="24"/>
      <c r="ITN128" s="40"/>
      <c r="ITO128" s="24"/>
      <c r="ITP128" s="40"/>
      <c r="ITQ128" s="24"/>
      <c r="ITR128" s="40"/>
      <c r="ITS128" s="24"/>
      <c r="ITT128" s="40"/>
      <c r="ITU128" s="24"/>
      <c r="ITV128" s="40"/>
      <c r="ITW128" s="24"/>
      <c r="ITX128" s="40"/>
      <c r="ITY128" s="24"/>
      <c r="ITZ128" s="40"/>
      <c r="IUA128" s="24"/>
      <c r="IUB128" s="40"/>
      <c r="IUC128" s="24"/>
      <c r="IUD128" s="40"/>
      <c r="IUE128" s="24"/>
      <c r="IUF128" s="40"/>
      <c r="IUG128" s="24"/>
      <c r="IUH128" s="40"/>
      <c r="IUI128" s="24"/>
      <c r="IUJ128" s="40"/>
      <c r="IUK128" s="24"/>
      <c r="IUL128" s="40"/>
      <c r="IUM128" s="24"/>
      <c r="IUN128" s="40"/>
      <c r="IUO128" s="24"/>
      <c r="IUP128" s="40"/>
      <c r="IUQ128" s="24"/>
      <c r="IUR128" s="40"/>
      <c r="IUS128" s="24"/>
      <c r="IUT128" s="40"/>
      <c r="IUU128" s="24"/>
      <c r="IUV128" s="40"/>
      <c r="IUW128" s="24"/>
      <c r="IUX128" s="40"/>
      <c r="IUY128" s="24"/>
      <c r="IUZ128" s="40"/>
      <c r="IVA128" s="24"/>
      <c r="IVB128" s="40"/>
      <c r="IVC128" s="24"/>
      <c r="IVD128" s="40"/>
      <c r="IVE128" s="24"/>
      <c r="IVF128" s="40"/>
      <c r="IVG128" s="24"/>
      <c r="IVH128" s="40"/>
      <c r="IVI128" s="24"/>
      <c r="IVJ128" s="40"/>
      <c r="IVK128" s="24"/>
      <c r="IVL128" s="40"/>
      <c r="IVM128" s="24"/>
      <c r="IVN128" s="40"/>
      <c r="IVO128" s="24"/>
      <c r="IVP128" s="40"/>
      <c r="IVQ128" s="24"/>
      <c r="IVR128" s="40"/>
      <c r="IVS128" s="24"/>
      <c r="IVT128" s="40"/>
      <c r="IVU128" s="24"/>
      <c r="IVV128" s="40"/>
      <c r="IVW128" s="24"/>
      <c r="IVX128" s="40"/>
      <c r="IVY128" s="24"/>
      <c r="IVZ128" s="40"/>
      <c r="IWA128" s="24"/>
      <c r="IWB128" s="40"/>
      <c r="IWC128" s="24"/>
      <c r="IWD128" s="40"/>
      <c r="IWE128" s="24"/>
      <c r="IWF128" s="40"/>
      <c r="IWG128" s="24"/>
      <c r="IWH128" s="40"/>
      <c r="IWI128" s="24"/>
      <c r="IWJ128" s="40"/>
      <c r="IWK128" s="24"/>
      <c r="IWL128" s="40"/>
      <c r="IWM128" s="24"/>
      <c r="IWN128" s="40"/>
      <c r="IWO128" s="24"/>
      <c r="IWP128" s="40"/>
      <c r="IWQ128" s="24"/>
      <c r="IWR128" s="40"/>
      <c r="IWS128" s="24"/>
      <c r="IWT128" s="40"/>
      <c r="IWU128" s="24"/>
      <c r="IWV128" s="40"/>
      <c r="IWW128" s="24"/>
      <c r="IWX128" s="40"/>
      <c r="IWY128" s="24"/>
      <c r="IWZ128" s="40"/>
      <c r="IXA128" s="24"/>
      <c r="IXB128" s="40"/>
      <c r="IXC128" s="24"/>
      <c r="IXD128" s="40"/>
      <c r="IXE128" s="24"/>
      <c r="IXF128" s="40"/>
      <c r="IXG128" s="24"/>
      <c r="IXH128" s="40"/>
      <c r="IXI128" s="24"/>
      <c r="IXJ128" s="40"/>
      <c r="IXK128" s="24"/>
      <c r="IXL128" s="40"/>
      <c r="IXM128" s="24"/>
      <c r="IXN128" s="40"/>
      <c r="IXO128" s="24"/>
      <c r="IXP128" s="40"/>
      <c r="IXQ128" s="24"/>
      <c r="IXR128" s="40"/>
      <c r="IXS128" s="24"/>
      <c r="IXT128" s="40"/>
      <c r="IXU128" s="24"/>
      <c r="IXV128" s="40"/>
      <c r="IXW128" s="24"/>
      <c r="IXX128" s="40"/>
      <c r="IXY128" s="24"/>
      <c r="IXZ128" s="40"/>
      <c r="IYA128" s="24"/>
      <c r="IYB128" s="40"/>
      <c r="IYC128" s="24"/>
      <c r="IYD128" s="40"/>
      <c r="IYE128" s="24"/>
      <c r="IYF128" s="40"/>
      <c r="IYG128" s="24"/>
      <c r="IYH128" s="40"/>
      <c r="IYI128" s="24"/>
      <c r="IYJ128" s="40"/>
      <c r="IYK128" s="24"/>
      <c r="IYL128" s="40"/>
      <c r="IYM128" s="24"/>
      <c r="IYN128" s="40"/>
      <c r="IYO128" s="24"/>
      <c r="IYP128" s="40"/>
      <c r="IYQ128" s="24"/>
      <c r="IYR128" s="40"/>
      <c r="IYS128" s="24"/>
      <c r="IYT128" s="40"/>
      <c r="IYU128" s="24"/>
      <c r="IYV128" s="40"/>
      <c r="IYW128" s="24"/>
      <c r="IYX128" s="40"/>
      <c r="IYY128" s="24"/>
      <c r="IYZ128" s="40"/>
      <c r="IZA128" s="24"/>
      <c r="IZB128" s="40"/>
      <c r="IZC128" s="24"/>
      <c r="IZD128" s="40"/>
      <c r="IZE128" s="24"/>
      <c r="IZF128" s="40"/>
      <c r="IZG128" s="24"/>
      <c r="IZH128" s="40"/>
      <c r="IZI128" s="24"/>
      <c r="IZJ128" s="40"/>
      <c r="IZK128" s="24"/>
      <c r="IZL128" s="40"/>
      <c r="IZM128" s="24"/>
      <c r="IZN128" s="40"/>
      <c r="IZO128" s="24"/>
      <c r="IZP128" s="40"/>
      <c r="IZQ128" s="24"/>
      <c r="IZR128" s="40"/>
      <c r="IZS128" s="24"/>
      <c r="IZT128" s="40"/>
      <c r="IZU128" s="24"/>
      <c r="IZV128" s="40"/>
      <c r="IZW128" s="24"/>
      <c r="IZX128" s="40"/>
      <c r="IZY128" s="24"/>
      <c r="IZZ128" s="40"/>
      <c r="JAA128" s="24"/>
      <c r="JAB128" s="40"/>
      <c r="JAC128" s="24"/>
      <c r="JAD128" s="40"/>
      <c r="JAE128" s="24"/>
      <c r="JAF128" s="40"/>
      <c r="JAG128" s="24"/>
      <c r="JAH128" s="40"/>
      <c r="JAI128" s="24"/>
      <c r="JAJ128" s="40"/>
      <c r="JAK128" s="24"/>
      <c r="JAL128" s="40"/>
      <c r="JAM128" s="24"/>
      <c r="JAN128" s="40"/>
      <c r="JAO128" s="24"/>
      <c r="JAP128" s="40"/>
      <c r="JAQ128" s="24"/>
      <c r="JAR128" s="40"/>
      <c r="JAS128" s="24"/>
      <c r="JAT128" s="40"/>
      <c r="JAU128" s="24"/>
      <c r="JAV128" s="40"/>
      <c r="JAW128" s="24"/>
      <c r="JAX128" s="40"/>
      <c r="JAY128" s="24"/>
      <c r="JAZ128" s="40"/>
      <c r="JBA128" s="24"/>
      <c r="JBB128" s="40"/>
      <c r="JBC128" s="24"/>
      <c r="JBD128" s="40"/>
      <c r="JBE128" s="24"/>
      <c r="JBF128" s="40"/>
      <c r="JBG128" s="24"/>
      <c r="JBH128" s="40"/>
      <c r="JBI128" s="24"/>
      <c r="JBJ128" s="40"/>
      <c r="JBK128" s="24"/>
      <c r="JBL128" s="40"/>
      <c r="JBM128" s="24"/>
      <c r="JBN128" s="40"/>
      <c r="JBO128" s="24"/>
      <c r="JBP128" s="40"/>
      <c r="JBQ128" s="24"/>
      <c r="JBR128" s="40"/>
      <c r="JBS128" s="24"/>
      <c r="JBT128" s="40"/>
      <c r="JBU128" s="24"/>
      <c r="JBV128" s="40"/>
      <c r="JBW128" s="24"/>
      <c r="JBX128" s="40"/>
      <c r="JBY128" s="24"/>
      <c r="JBZ128" s="40"/>
      <c r="JCA128" s="24"/>
      <c r="JCB128" s="40"/>
      <c r="JCC128" s="24"/>
      <c r="JCD128" s="40"/>
      <c r="JCE128" s="24"/>
      <c r="JCF128" s="40"/>
      <c r="JCG128" s="24"/>
      <c r="JCH128" s="40"/>
      <c r="JCI128" s="24"/>
      <c r="JCJ128" s="40"/>
      <c r="JCK128" s="24"/>
      <c r="JCL128" s="40"/>
      <c r="JCM128" s="24"/>
      <c r="JCN128" s="40"/>
      <c r="JCO128" s="24"/>
      <c r="JCP128" s="40"/>
      <c r="JCQ128" s="24"/>
      <c r="JCR128" s="40"/>
      <c r="JCS128" s="24"/>
      <c r="JCT128" s="40"/>
      <c r="JCU128" s="24"/>
      <c r="JCV128" s="40"/>
      <c r="JCW128" s="24"/>
      <c r="JCX128" s="40"/>
      <c r="JCY128" s="24"/>
      <c r="JCZ128" s="40"/>
      <c r="JDA128" s="24"/>
      <c r="JDB128" s="40"/>
      <c r="JDC128" s="24"/>
      <c r="JDD128" s="40"/>
      <c r="JDE128" s="24"/>
      <c r="JDF128" s="40"/>
      <c r="JDG128" s="24"/>
      <c r="JDH128" s="40"/>
      <c r="JDI128" s="24"/>
      <c r="JDJ128" s="40"/>
      <c r="JDK128" s="24"/>
      <c r="JDL128" s="40"/>
      <c r="JDM128" s="24"/>
      <c r="JDN128" s="40"/>
      <c r="JDO128" s="24"/>
      <c r="JDP128" s="40"/>
      <c r="JDQ128" s="24"/>
      <c r="JDR128" s="40"/>
      <c r="JDS128" s="24"/>
      <c r="JDT128" s="40"/>
      <c r="JDU128" s="24"/>
      <c r="JDV128" s="40"/>
      <c r="JDW128" s="24"/>
      <c r="JDX128" s="40"/>
      <c r="JDY128" s="24"/>
      <c r="JDZ128" s="40"/>
      <c r="JEA128" s="24"/>
      <c r="JEB128" s="40"/>
      <c r="JEC128" s="24"/>
      <c r="JED128" s="40"/>
      <c r="JEE128" s="24"/>
      <c r="JEF128" s="40"/>
      <c r="JEG128" s="24"/>
      <c r="JEH128" s="40"/>
      <c r="JEI128" s="24"/>
      <c r="JEJ128" s="40"/>
      <c r="JEK128" s="24"/>
      <c r="JEL128" s="40"/>
      <c r="JEM128" s="24"/>
      <c r="JEN128" s="40"/>
      <c r="JEO128" s="24"/>
      <c r="JEP128" s="40"/>
      <c r="JEQ128" s="24"/>
      <c r="JER128" s="40"/>
      <c r="JES128" s="24"/>
      <c r="JET128" s="40"/>
      <c r="JEU128" s="24"/>
      <c r="JEV128" s="40"/>
      <c r="JEW128" s="24"/>
      <c r="JEX128" s="40"/>
      <c r="JEY128" s="24"/>
      <c r="JEZ128" s="40"/>
      <c r="JFA128" s="24"/>
      <c r="JFB128" s="40"/>
      <c r="JFC128" s="24"/>
      <c r="JFD128" s="40"/>
      <c r="JFE128" s="24"/>
      <c r="JFF128" s="40"/>
      <c r="JFG128" s="24"/>
      <c r="JFH128" s="40"/>
      <c r="JFI128" s="24"/>
      <c r="JFJ128" s="40"/>
      <c r="JFK128" s="24"/>
      <c r="JFL128" s="40"/>
      <c r="JFM128" s="24"/>
      <c r="JFN128" s="40"/>
      <c r="JFO128" s="24"/>
      <c r="JFP128" s="40"/>
      <c r="JFQ128" s="24"/>
      <c r="JFR128" s="40"/>
      <c r="JFS128" s="24"/>
      <c r="JFT128" s="40"/>
      <c r="JFU128" s="24"/>
      <c r="JFV128" s="40"/>
      <c r="JFW128" s="24"/>
      <c r="JFX128" s="40"/>
      <c r="JFY128" s="24"/>
      <c r="JFZ128" s="40"/>
      <c r="JGA128" s="24"/>
      <c r="JGB128" s="40"/>
      <c r="JGC128" s="24"/>
      <c r="JGD128" s="40"/>
      <c r="JGE128" s="24"/>
      <c r="JGF128" s="40"/>
      <c r="JGG128" s="24"/>
      <c r="JGH128" s="40"/>
      <c r="JGI128" s="24"/>
      <c r="JGJ128" s="40"/>
      <c r="JGK128" s="24"/>
      <c r="JGL128" s="40"/>
      <c r="JGM128" s="24"/>
      <c r="JGN128" s="40"/>
      <c r="JGO128" s="24"/>
      <c r="JGP128" s="40"/>
      <c r="JGQ128" s="24"/>
      <c r="JGR128" s="40"/>
      <c r="JGS128" s="24"/>
      <c r="JGT128" s="40"/>
      <c r="JGU128" s="24"/>
      <c r="JGV128" s="40"/>
      <c r="JGW128" s="24"/>
      <c r="JGX128" s="40"/>
      <c r="JGY128" s="24"/>
      <c r="JGZ128" s="40"/>
      <c r="JHA128" s="24"/>
      <c r="JHB128" s="40"/>
      <c r="JHC128" s="24"/>
      <c r="JHD128" s="40"/>
      <c r="JHE128" s="24"/>
      <c r="JHF128" s="40"/>
      <c r="JHG128" s="24"/>
      <c r="JHH128" s="40"/>
      <c r="JHI128" s="24"/>
      <c r="JHJ128" s="40"/>
      <c r="JHK128" s="24"/>
      <c r="JHL128" s="40"/>
      <c r="JHM128" s="24"/>
      <c r="JHN128" s="40"/>
      <c r="JHO128" s="24"/>
      <c r="JHP128" s="40"/>
      <c r="JHQ128" s="24"/>
      <c r="JHR128" s="40"/>
      <c r="JHS128" s="24"/>
      <c r="JHT128" s="40"/>
      <c r="JHU128" s="24"/>
      <c r="JHV128" s="40"/>
      <c r="JHW128" s="24"/>
      <c r="JHX128" s="40"/>
      <c r="JHY128" s="24"/>
      <c r="JHZ128" s="40"/>
      <c r="JIA128" s="24"/>
      <c r="JIB128" s="40"/>
      <c r="JIC128" s="24"/>
      <c r="JID128" s="40"/>
      <c r="JIE128" s="24"/>
      <c r="JIF128" s="40"/>
      <c r="JIG128" s="24"/>
      <c r="JIH128" s="40"/>
      <c r="JII128" s="24"/>
      <c r="JIJ128" s="40"/>
      <c r="JIK128" s="24"/>
      <c r="JIL128" s="40"/>
      <c r="JIM128" s="24"/>
      <c r="JIN128" s="40"/>
      <c r="JIO128" s="24"/>
      <c r="JIP128" s="40"/>
      <c r="JIQ128" s="24"/>
      <c r="JIR128" s="40"/>
      <c r="JIS128" s="24"/>
      <c r="JIT128" s="40"/>
      <c r="JIU128" s="24"/>
      <c r="JIV128" s="40"/>
      <c r="JIW128" s="24"/>
      <c r="JIX128" s="40"/>
      <c r="JIY128" s="24"/>
      <c r="JIZ128" s="40"/>
      <c r="JJA128" s="24"/>
      <c r="JJB128" s="40"/>
      <c r="JJC128" s="24"/>
      <c r="JJD128" s="40"/>
      <c r="JJE128" s="24"/>
      <c r="JJF128" s="40"/>
      <c r="JJG128" s="24"/>
      <c r="JJH128" s="40"/>
      <c r="JJI128" s="24"/>
      <c r="JJJ128" s="40"/>
      <c r="JJK128" s="24"/>
      <c r="JJL128" s="40"/>
      <c r="JJM128" s="24"/>
      <c r="JJN128" s="40"/>
      <c r="JJO128" s="24"/>
      <c r="JJP128" s="40"/>
      <c r="JJQ128" s="24"/>
      <c r="JJR128" s="40"/>
      <c r="JJS128" s="24"/>
      <c r="JJT128" s="40"/>
      <c r="JJU128" s="24"/>
      <c r="JJV128" s="40"/>
      <c r="JJW128" s="24"/>
      <c r="JJX128" s="40"/>
      <c r="JJY128" s="24"/>
      <c r="JJZ128" s="40"/>
      <c r="JKA128" s="24"/>
      <c r="JKB128" s="40"/>
      <c r="JKC128" s="24"/>
      <c r="JKD128" s="40"/>
      <c r="JKE128" s="24"/>
      <c r="JKF128" s="40"/>
      <c r="JKG128" s="24"/>
      <c r="JKH128" s="40"/>
      <c r="JKI128" s="24"/>
      <c r="JKJ128" s="40"/>
      <c r="JKK128" s="24"/>
      <c r="JKL128" s="40"/>
      <c r="JKM128" s="24"/>
      <c r="JKN128" s="40"/>
      <c r="JKO128" s="24"/>
      <c r="JKP128" s="40"/>
      <c r="JKQ128" s="24"/>
      <c r="JKR128" s="40"/>
      <c r="JKS128" s="24"/>
      <c r="JKT128" s="40"/>
      <c r="JKU128" s="24"/>
      <c r="JKV128" s="40"/>
      <c r="JKW128" s="24"/>
      <c r="JKX128" s="40"/>
      <c r="JKY128" s="24"/>
      <c r="JKZ128" s="40"/>
      <c r="JLA128" s="24"/>
      <c r="JLB128" s="40"/>
      <c r="JLC128" s="24"/>
      <c r="JLD128" s="40"/>
      <c r="JLE128" s="24"/>
      <c r="JLF128" s="40"/>
      <c r="JLG128" s="24"/>
      <c r="JLH128" s="40"/>
      <c r="JLI128" s="24"/>
      <c r="JLJ128" s="40"/>
      <c r="JLK128" s="24"/>
      <c r="JLL128" s="40"/>
      <c r="JLM128" s="24"/>
      <c r="JLN128" s="40"/>
      <c r="JLO128" s="24"/>
      <c r="JLP128" s="40"/>
      <c r="JLQ128" s="24"/>
      <c r="JLR128" s="40"/>
      <c r="JLS128" s="24"/>
      <c r="JLT128" s="40"/>
      <c r="JLU128" s="24"/>
      <c r="JLV128" s="40"/>
      <c r="JLW128" s="24"/>
      <c r="JLX128" s="40"/>
      <c r="JLY128" s="24"/>
      <c r="JLZ128" s="40"/>
      <c r="JMA128" s="24"/>
      <c r="JMB128" s="40"/>
      <c r="JMC128" s="24"/>
      <c r="JMD128" s="40"/>
      <c r="JME128" s="24"/>
      <c r="JMF128" s="40"/>
      <c r="JMG128" s="24"/>
      <c r="JMH128" s="40"/>
      <c r="JMI128" s="24"/>
      <c r="JMJ128" s="40"/>
      <c r="JMK128" s="24"/>
      <c r="JML128" s="40"/>
      <c r="JMM128" s="24"/>
      <c r="JMN128" s="40"/>
      <c r="JMO128" s="24"/>
      <c r="JMP128" s="40"/>
      <c r="JMQ128" s="24"/>
      <c r="JMR128" s="40"/>
      <c r="JMS128" s="24"/>
      <c r="JMT128" s="40"/>
      <c r="JMU128" s="24"/>
      <c r="JMV128" s="40"/>
      <c r="JMW128" s="24"/>
      <c r="JMX128" s="40"/>
      <c r="JMY128" s="24"/>
      <c r="JMZ128" s="40"/>
      <c r="JNA128" s="24"/>
      <c r="JNB128" s="40"/>
      <c r="JNC128" s="24"/>
      <c r="JND128" s="40"/>
      <c r="JNE128" s="24"/>
      <c r="JNF128" s="40"/>
      <c r="JNG128" s="24"/>
      <c r="JNH128" s="40"/>
      <c r="JNI128" s="24"/>
      <c r="JNJ128" s="40"/>
      <c r="JNK128" s="24"/>
      <c r="JNL128" s="40"/>
      <c r="JNM128" s="24"/>
      <c r="JNN128" s="40"/>
      <c r="JNO128" s="24"/>
      <c r="JNP128" s="40"/>
      <c r="JNQ128" s="24"/>
      <c r="JNR128" s="40"/>
      <c r="JNS128" s="24"/>
      <c r="JNT128" s="40"/>
      <c r="JNU128" s="24"/>
      <c r="JNV128" s="40"/>
      <c r="JNW128" s="24"/>
      <c r="JNX128" s="40"/>
      <c r="JNY128" s="24"/>
      <c r="JNZ128" s="40"/>
      <c r="JOA128" s="24"/>
      <c r="JOB128" s="40"/>
      <c r="JOC128" s="24"/>
      <c r="JOD128" s="40"/>
      <c r="JOE128" s="24"/>
      <c r="JOF128" s="40"/>
      <c r="JOG128" s="24"/>
      <c r="JOH128" s="40"/>
      <c r="JOI128" s="24"/>
      <c r="JOJ128" s="40"/>
      <c r="JOK128" s="24"/>
      <c r="JOL128" s="40"/>
      <c r="JOM128" s="24"/>
      <c r="JON128" s="40"/>
      <c r="JOO128" s="24"/>
      <c r="JOP128" s="40"/>
      <c r="JOQ128" s="24"/>
      <c r="JOR128" s="40"/>
      <c r="JOS128" s="24"/>
      <c r="JOT128" s="40"/>
      <c r="JOU128" s="24"/>
      <c r="JOV128" s="40"/>
      <c r="JOW128" s="24"/>
      <c r="JOX128" s="40"/>
      <c r="JOY128" s="24"/>
      <c r="JOZ128" s="40"/>
      <c r="JPA128" s="24"/>
      <c r="JPB128" s="40"/>
      <c r="JPC128" s="24"/>
      <c r="JPD128" s="40"/>
      <c r="JPE128" s="24"/>
      <c r="JPF128" s="40"/>
      <c r="JPG128" s="24"/>
      <c r="JPH128" s="40"/>
      <c r="JPI128" s="24"/>
      <c r="JPJ128" s="40"/>
      <c r="JPK128" s="24"/>
      <c r="JPL128" s="40"/>
      <c r="JPM128" s="24"/>
      <c r="JPN128" s="40"/>
      <c r="JPO128" s="24"/>
      <c r="JPP128" s="40"/>
      <c r="JPQ128" s="24"/>
      <c r="JPR128" s="40"/>
      <c r="JPS128" s="24"/>
      <c r="JPT128" s="40"/>
      <c r="JPU128" s="24"/>
      <c r="JPV128" s="40"/>
      <c r="JPW128" s="24"/>
      <c r="JPX128" s="40"/>
      <c r="JPY128" s="24"/>
      <c r="JPZ128" s="40"/>
      <c r="JQA128" s="24"/>
      <c r="JQB128" s="40"/>
      <c r="JQC128" s="24"/>
      <c r="JQD128" s="40"/>
      <c r="JQE128" s="24"/>
      <c r="JQF128" s="40"/>
      <c r="JQG128" s="24"/>
      <c r="JQH128" s="40"/>
      <c r="JQI128" s="24"/>
      <c r="JQJ128" s="40"/>
      <c r="JQK128" s="24"/>
      <c r="JQL128" s="40"/>
      <c r="JQM128" s="24"/>
      <c r="JQN128" s="40"/>
      <c r="JQO128" s="24"/>
      <c r="JQP128" s="40"/>
      <c r="JQQ128" s="24"/>
      <c r="JQR128" s="40"/>
      <c r="JQS128" s="24"/>
      <c r="JQT128" s="40"/>
      <c r="JQU128" s="24"/>
      <c r="JQV128" s="40"/>
      <c r="JQW128" s="24"/>
      <c r="JQX128" s="40"/>
      <c r="JQY128" s="24"/>
      <c r="JQZ128" s="40"/>
      <c r="JRA128" s="24"/>
      <c r="JRB128" s="40"/>
      <c r="JRC128" s="24"/>
      <c r="JRD128" s="40"/>
      <c r="JRE128" s="24"/>
      <c r="JRF128" s="40"/>
      <c r="JRG128" s="24"/>
      <c r="JRH128" s="40"/>
      <c r="JRI128" s="24"/>
      <c r="JRJ128" s="40"/>
      <c r="JRK128" s="24"/>
      <c r="JRL128" s="40"/>
      <c r="JRM128" s="24"/>
      <c r="JRN128" s="40"/>
      <c r="JRO128" s="24"/>
      <c r="JRP128" s="40"/>
      <c r="JRQ128" s="24"/>
      <c r="JRR128" s="40"/>
      <c r="JRS128" s="24"/>
      <c r="JRT128" s="40"/>
      <c r="JRU128" s="24"/>
      <c r="JRV128" s="40"/>
      <c r="JRW128" s="24"/>
      <c r="JRX128" s="40"/>
      <c r="JRY128" s="24"/>
      <c r="JRZ128" s="40"/>
      <c r="JSA128" s="24"/>
      <c r="JSB128" s="40"/>
      <c r="JSC128" s="24"/>
      <c r="JSD128" s="40"/>
      <c r="JSE128" s="24"/>
      <c r="JSF128" s="40"/>
      <c r="JSG128" s="24"/>
      <c r="JSH128" s="40"/>
      <c r="JSI128" s="24"/>
      <c r="JSJ128" s="40"/>
      <c r="JSK128" s="24"/>
      <c r="JSL128" s="40"/>
      <c r="JSM128" s="24"/>
      <c r="JSN128" s="40"/>
      <c r="JSO128" s="24"/>
      <c r="JSP128" s="40"/>
      <c r="JSQ128" s="24"/>
      <c r="JSR128" s="40"/>
      <c r="JSS128" s="24"/>
      <c r="JST128" s="40"/>
      <c r="JSU128" s="24"/>
      <c r="JSV128" s="40"/>
      <c r="JSW128" s="24"/>
      <c r="JSX128" s="40"/>
      <c r="JSY128" s="24"/>
      <c r="JSZ128" s="40"/>
      <c r="JTA128" s="24"/>
      <c r="JTB128" s="40"/>
      <c r="JTC128" s="24"/>
      <c r="JTD128" s="40"/>
      <c r="JTE128" s="24"/>
      <c r="JTF128" s="40"/>
      <c r="JTG128" s="24"/>
      <c r="JTH128" s="40"/>
      <c r="JTI128" s="24"/>
      <c r="JTJ128" s="40"/>
      <c r="JTK128" s="24"/>
      <c r="JTL128" s="40"/>
      <c r="JTM128" s="24"/>
      <c r="JTN128" s="40"/>
      <c r="JTO128" s="24"/>
      <c r="JTP128" s="40"/>
      <c r="JTQ128" s="24"/>
      <c r="JTR128" s="40"/>
      <c r="JTS128" s="24"/>
      <c r="JTT128" s="40"/>
      <c r="JTU128" s="24"/>
      <c r="JTV128" s="40"/>
      <c r="JTW128" s="24"/>
      <c r="JTX128" s="40"/>
      <c r="JTY128" s="24"/>
      <c r="JTZ128" s="40"/>
      <c r="JUA128" s="24"/>
      <c r="JUB128" s="40"/>
      <c r="JUC128" s="24"/>
      <c r="JUD128" s="40"/>
      <c r="JUE128" s="24"/>
      <c r="JUF128" s="40"/>
      <c r="JUG128" s="24"/>
      <c r="JUH128" s="40"/>
      <c r="JUI128" s="24"/>
      <c r="JUJ128" s="40"/>
      <c r="JUK128" s="24"/>
      <c r="JUL128" s="40"/>
      <c r="JUM128" s="24"/>
      <c r="JUN128" s="40"/>
      <c r="JUO128" s="24"/>
      <c r="JUP128" s="40"/>
      <c r="JUQ128" s="24"/>
      <c r="JUR128" s="40"/>
      <c r="JUS128" s="24"/>
      <c r="JUT128" s="40"/>
      <c r="JUU128" s="24"/>
      <c r="JUV128" s="40"/>
      <c r="JUW128" s="24"/>
      <c r="JUX128" s="40"/>
      <c r="JUY128" s="24"/>
      <c r="JUZ128" s="40"/>
      <c r="JVA128" s="24"/>
      <c r="JVB128" s="40"/>
      <c r="JVC128" s="24"/>
      <c r="JVD128" s="40"/>
      <c r="JVE128" s="24"/>
      <c r="JVF128" s="40"/>
      <c r="JVG128" s="24"/>
      <c r="JVH128" s="40"/>
      <c r="JVI128" s="24"/>
      <c r="JVJ128" s="40"/>
      <c r="JVK128" s="24"/>
      <c r="JVL128" s="40"/>
      <c r="JVM128" s="24"/>
      <c r="JVN128" s="40"/>
      <c r="JVO128" s="24"/>
      <c r="JVP128" s="40"/>
      <c r="JVQ128" s="24"/>
      <c r="JVR128" s="40"/>
      <c r="JVS128" s="24"/>
      <c r="JVT128" s="40"/>
      <c r="JVU128" s="24"/>
      <c r="JVV128" s="40"/>
      <c r="JVW128" s="24"/>
      <c r="JVX128" s="40"/>
      <c r="JVY128" s="24"/>
      <c r="JVZ128" s="40"/>
      <c r="JWA128" s="24"/>
      <c r="JWB128" s="40"/>
      <c r="JWC128" s="24"/>
      <c r="JWD128" s="40"/>
      <c r="JWE128" s="24"/>
      <c r="JWF128" s="40"/>
      <c r="JWG128" s="24"/>
      <c r="JWH128" s="40"/>
      <c r="JWI128" s="24"/>
      <c r="JWJ128" s="40"/>
      <c r="JWK128" s="24"/>
      <c r="JWL128" s="40"/>
      <c r="JWM128" s="24"/>
      <c r="JWN128" s="40"/>
      <c r="JWO128" s="24"/>
      <c r="JWP128" s="40"/>
      <c r="JWQ128" s="24"/>
      <c r="JWR128" s="40"/>
      <c r="JWS128" s="24"/>
      <c r="JWT128" s="40"/>
      <c r="JWU128" s="24"/>
      <c r="JWV128" s="40"/>
      <c r="JWW128" s="24"/>
      <c r="JWX128" s="40"/>
      <c r="JWY128" s="24"/>
      <c r="JWZ128" s="40"/>
      <c r="JXA128" s="24"/>
      <c r="JXB128" s="40"/>
      <c r="JXC128" s="24"/>
      <c r="JXD128" s="40"/>
      <c r="JXE128" s="24"/>
      <c r="JXF128" s="40"/>
      <c r="JXG128" s="24"/>
      <c r="JXH128" s="40"/>
      <c r="JXI128" s="24"/>
      <c r="JXJ128" s="40"/>
      <c r="JXK128" s="24"/>
      <c r="JXL128" s="40"/>
      <c r="JXM128" s="24"/>
      <c r="JXN128" s="40"/>
      <c r="JXO128" s="24"/>
      <c r="JXP128" s="40"/>
      <c r="JXQ128" s="24"/>
      <c r="JXR128" s="40"/>
      <c r="JXS128" s="24"/>
      <c r="JXT128" s="40"/>
      <c r="JXU128" s="24"/>
      <c r="JXV128" s="40"/>
      <c r="JXW128" s="24"/>
      <c r="JXX128" s="40"/>
      <c r="JXY128" s="24"/>
      <c r="JXZ128" s="40"/>
      <c r="JYA128" s="24"/>
      <c r="JYB128" s="40"/>
      <c r="JYC128" s="24"/>
      <c r="JYD128" s="40"/>
      <c r="JYE128" s="24"/>
      <c r="JYF128" s="40"/>
      <c r="JYG128" s="24"/>
      <c r="JYH128" s="40"/>
      <c r="JYI128" s="24"/>
      <c r="JYJ128" s="40"/>
      <c r="JYK128" s="24"/>
      <c r="JYL128" s="40"/>
      <c r="JYM128" s="24"/>
      <c r="JYN128" s="40"/>
      <c r="JYO128" s="24"/>
      <c r="JYP128" s="40"/>
      <c r="JYQ128" s="24"/>
      <c r="JYR128" s="40"/>
      <c r="JYS128" s="24"/>
      <c r="JYT128" s="40"/>
      <c r="JYU128" s="24"/>
      <c r="JYV128" s="40"/>
      <c r="JYW128" s="24"/>
      <c r="JYX128" s="40"/>
      <c r="JYY128" s="24"/>
      <c r="JYZ128" s="40"/>
      <c r="JZA128" s="24"/>
      <c r="JZB128" s="40"/>
      <c r="JZC128" s="24"/>
      <c r="JZD128" s="40"/>
      <c r="JZE128" s="24"/>
      <c r="JZF128" s="40"/>
      <c r="JZG128" s="24"/>
      <c r="JZH128" s="40"/>
      <c r="JZI128" s="24"/>
      <c r="JZJ128" s="40"/>
      <c r="JZK128" s="24"/>
      <c r="JZL128" s="40"/>
      <c r="JZM128" s="24"/>
      <c r="JZN128" s="40"/>
      <c r="JZO128" s="24"/>
      <c r="JZP128" s="40"/>
      <c r="JZQ128" s="24"/>
      <c r="JZR128" s="40"/>
      <c r="JZS128" s="24"/>
      <c r="JZT128" s="40"/>
      <c r="JZU128" s="24"/>
      <c r="JZV128" s="40"/>
      <c r="JZW128" s="24"/>
      <c r="JZX128" s="40"/>
      <c r="JZY128" s="24"/>
      <c r="JZZ128" s="40"/>
      <c r="KAA128" s="24"/>
      <c r="KAB128" s="40"/>
      <c r="KAC128" s="24"/>
      <c r="KAD128" s="40"/>
      <c r="KAE128" s="24"/>
      <c r="KAF128" s="40"/>
      <c r="KAG128" s="24"/>
      <c r="KAH128" s="40"/>
      <c r="KAI128" s="24"/>
      <c r="KAJ128" s="40"/>
      <c r="KAK128" s="24"/>
      <c r="KAL128" s="40"/>
      <c r="KAM128" s="24"/>
      <c r="KAN128" s="40"/>
      <c r="KAO128" s="24"/>
      <c r="KAP128" s="40"/>
      <c r="KAQ128" s="24"/>
      <c r="KAR128" s="40"/>
      <c r="KAS128" s="24"/>
      <c r="KAT128" s="40"/>
      <c r="KAU128" s="24"/>
      <c r="KAV128" s="40"/>
      <c r="KAW128" s="24"/>
      <c r="KAX128" s="40"/>
      <c r="KAY128" s="24"/>
      <c r="KAZ128" s="40"/>
      <c r="KBA128" s="24"/>
      <c r="KBB128" s="40"/>
      <c r="KBC128" s="24"/>
      <c r="KBD128" s="40"/>
      <c r="KBE128" s="24"/>
      <c r="KBF128" s="40"/>
      <c r="KBG128" s="24"/>
      <c r="KBH128" s="40"/>
      <c r="KBI128" s="24"/>
      <c r="KBJ128" s="40"/>
      <c r="KBK128" s="24"/>
      <c r="KBL128" s="40"/>
      <c r="KBM128" s="24"/>
      <c r="KBN128" s="40"/>
      <c r="KBO128" s="24"/>
      <c r="KBP128" s="40"/>
      <c r="KBQ128" s="24"/>
      <c r="KBR128" s="40"/>
      <c r="KBS128" s="24"/>
      <c r="KBT128" s="40"/>
      <c r="KBU128" s="24"/>
      <c r="KBV128" s="40"/>
      <c r="KBW128" s="24"/>
      <c r="KBX128" s="40"/>
      <c r="KBY128" s="24"/>
      <c r="KBZ128" s="40"/>
      <c r="KCA128" s="24"/>
      <c r="KCB128" s="40"/>
      <c r="KCC128" s="24"/>
      <c r="KCD128" s="40"/>
      <c r="KCE128" s="24"/>
      <c r="KCF128" s="40"/>
      <c r="KCG128" s="24"/>
      <c r="KCH128" s="40"/>
      <c r="KCI128" s="24"/>
      <c r="KCJ128" s="40"/>
      <c r="KCK128" s="24"/>
      <c r="KCL128" s="40"/>
      <c r="KCM128" s="24"/>
      <c r="KCN128" s="40"/>
      <c r="KCO128" s="24"/>
      <c r="KCP128" s="40"/>
      <c r="KCQ128" s="24"/>
      <c r="KCR128" s="40"/>
      <c r="KCS128" s="24"/>
      <c r="KCT128" s="40"/>
      <c r="KCU128" s="24"/>
      <c r="KCV128" s="40"/>
      <c r="KCW128" s="24"/>
      <c r="KCX128" s="40"/>
      <c r="KCY128" s="24"/>
      <c r="KCZ128" s="40"/>
      <c r="KDA128" s="24"/>
      <c r="KDB128" s="40"/>
      <c r="KDC128" s="24"/>
      <c r="KDD128" s="40"/>
      <c r="KDE128" s="24"/>
      <c r="KDF128" s="40"/>
      <c r="KDG128" s="24"/>
      <c r="KDH128" s="40"/>
      <c r="KDI128" s="24"/>
      <c r="KDJ128" s="40"/>
      <c r="KDK128" s="24"/>
      <c r="KDL128" s="40"/>
      <c r="KDM128" s="24"/>
      <c r="KDN128" s="40"/>
      <c r="KDO128" s="24"/>
      <c r="KDP128" s="40"/>
      <c r="KDQ128" s="24"/>
      <c r="KDR128" s="40"/>
      <c r="KDS128" s="24"/>
      <c r="KDT128" s="40"/>
      <c r="KDU128" s="24"/>
      <c r="KDV128" s="40"/>
      <c r="KDW128" s="24"/>
      <c r="KDX128" s="40"/>
      <c r="KDY128" s="24"/>
      <c r="KDZ128" s="40"/>
      <c r="KEA128" s="24"/>
      <c r="KEB128" s="40"/>
      <c r="KEC128" s="24"/>
      <c r="KED128" s="40"/>
      <c r="KEE128" s="24"/>
      <c r="KEF128" s="40"/>
      <c r="KEG128" s="24"/>
      <c r="KEH128" s="40"/>
      <c r="KEI128" s="24"/>
      <c r="KEJ128" s="40"/>
      <c r="KEK128" s="24"/>
      <c r="KEL128" s="40"/>
      <c r="KEM128" s="24"/>
      <c r="KEN128" s="40"/>
      <c r="KEO128" s="24"/>
      <c r="KEP128" s="40"/>
      <c r="KEQ128" s="24"/>
      <c r="KER128" s="40"/>
      <c r="KES128" s="24"/>
      <c r="KET128" s="40"/>
      <c r="KEU128" s="24"/>
      <c r="KEV128" s="40"/>
      <c r="KEW128" s="24"/>
      <c r="KEX128" s="40"/>
      <c r="KEY128" s="24"/>
      <c r="KEZ128" s="40"/>
      <c r="KFA128" s="24"/>
      <c r="KFB128" s="40"/>
      <c r="KFC128" s="24"/>
      <c r="KFD128" s="40"/>
      <c r="KFE128" s="24"/>
      <c r="KFF128" s="40"/>
      <c r="KFG128" s="24"/>
      <c r="KFH128" s="40"/>
      <c r="KFI128" s="24"/>
      <c r="KFJ128" s="40"/>
      <c r="KFK128" s="24"/>
      <c r="KFL128" s="40"/>
      <c r="KFM128" s="24"/>
      <c r="KFN128" s="40"/>
      <c r="KFO128" s="24"/>
      <c r="KFP128" s="40"/>
      <c r="KFQ128" s="24"/>
      <c r="KFR128" s="40"/>
      <c r="KFS128" s="24"/>
      <c r="KFT128" s="40"/>
      <c r="KFU128" s="24"/>
      <c r="KFV128" s="40"/>
      <c r="KFW128" s="24"/>
      <c r="KFX128" s="40"/>
      <c r="KFY128" s="24"/>
      <c r="KFZ128" s="40"/>
      <c r="KGA128" s="24"/>
      <c r="KGB128" s="40"/>
      <c r="KGC128" s="24"/>
      <c r="KGD128" s="40"/>
      <c r="KGE128" s="24"/>
      <c r="KGF128" s="40"/>
      <c r="KGG128" s="24"/>
      <c r="KGH128" s="40"/>
      <c r="KGI128" s="24"/>
      <c r="KGJ128" s="40"/>
      <c r="KGK128" s="24"/>
      <c r="KGL128" s="40"/>
      <c r="KGM128" s="24"/>
      <c r="KGN128" s="40"/>
      <c r="KGO128" s="24"/>
      <c r="KGP128" s="40"/>
      <c r="KGQ128" s="24"/>
      <c r="KGR128" s="40"/>
      <c r="KGS128" s="24"/>
      <c r="KGT128" s="40"/>
      <c r="KGU128" s="24"/>
      <c r="KGV128" s="40"/>
      <c r="KGW128" s="24"/>
      <c r="KGX128" s="40"/>
      <c r="KGY128" s="24"/>
      <c r="KGZ128" s="40"/>
      <c r="KHA128" s="24"/>
      <c r="KHB128" s="40"/>
      <c r="KHC128" s="24"/>
      <c r="KHD128" s="40"/>
      <c r="KHE128" s="24"/>
      <c r="KHF128" s="40"/>
      <c r="KHG128" s="24"/>
      <c r="KHH128" s="40"/>
      <c r="KHI128" s="24"/>
      <c r="KHJ128" s="40"/>
      <c r="KHK128" s="24"/>
      <c r="KHL128" s="40"/>
      <c r="KHM128" s="24"/>
      <c r="KHN128" s="40"/>
      <c r="KHO128" s="24"/>
      <c r="KHP128" s="40"/>
      <c r="KHQ128" s="24"/>
      <c r="KHR128" s="40"/>
      <c r="KHS128" s="24"/>
      <c r="KHT128" s="40"/>
      <c r="KHU128" s="24"/>
      <c r="KHV128" s="40"/>
      <c r="KHW128" s="24"/>
      <c r="KHX128" s="40"/>
      <c r="KHY128" s="24"/>
      <c r="KHZ128" s="40"/>
      <c r="KIA128" s="24"/>
      <c r="KIB128" s="40"/>
      <c r="KIC128" s="24"/>
      <c r="KID128" s="40"/>
      <c r="KIE128" s="24"/>
      <c r="KIF128" s="40"/>
      <c r="KIG128" s="24"/>
      <c r="KIH128" s="40"/>
      <c r="KII128" s="24"/>
      <c r="KIJ128" s="40"/>
      <c r="KIK128" s="24"/>
      <c r="KIL128" s="40"/>
      <c r="KIM128" s="24"/>
      <c r="KIN128" s="40"/>
      <c r="KIO128" s="24"/>
      <c r="KIP128" s="40"/>
      <c r="KIQ128" s="24"/>
      <c r="KIR128" s="40"/>
      <c r="KIS128" s="24"/>
      <c r="KIT128" s="40"/>
      <c r="KIU128" s="24"/>
      <c r="KIV128" s="40"/>
      <c r="KIW128" s="24"/>
      <c r="KIX128" s="40"/>
      <c r="KIY128" s="24"/>
      <c r="KIZ128" s="40"/>
      <c r="KJA128" s="24"/>
      <c r="KJB128" s="40"/>
      <c r="KJC128" s="24"/>
      <c r="KJD128" s="40"/>
      <c r="KJE128" s="24"/>
      <c r="KJF128" s="40"/>
      <c r="KJG128" s="24"/>
      <c r="KJH128" s="40"/>
      <c r="KJI128" s="24"/>
      <c r="KJJ128" s="40"/>
      <c r="KJK128" s="24"/>
      <c r="KJL128" s="40"/>
      <c r="KJM128" s="24"/>
      <c r="KJN128" s="40"/>
      <c r="KJO128" s="24"/>
      <c r="KJP128" s="40"/>
      <c r="KJQ128" s="24"/>
      <c r="KJR128" s="40"/>
      <c r="KJS128" s="24"/>
      <c r="KJT128" s="40"/>
      <c r="KJU128" s="24"/>
      <c r="KJV128" s="40"/>
      <c r="KJW128" s="24"/>
      <c r="KJX128" s="40"/>
      <c r="KJY128" s="24"/>
      <c r="KJZ128" s="40"/>
      <c r="KKA128" s="24"/>
      <c r="KKB128" s="40"/>
      <c r="KKC128" s="24"/>
      <c r="KKD128" s="40"/>
      <c r="KKE128" s="24"/>
      <c r="KKF128" s="40"/>
      <c r="KKG128" s="24"/>
      <c r="KKH128" s="40"/>
      <c r="KKI128" s="24"/>
      <c r="KKJ128" s="40"/>
      <c r="KKK128" s="24"/>
      <c r="KKL128" s="40"/>
      <c r="KKM128" s="24"/>
      <c r="KKN128" s="40"/>
      <c r="KKO128" s="24"/>
      <c r="KKP128" s="40"/>
      <c r="KKQ128" s="24"/>
      <c r="KKR128" s="40"/>
      <c r="KKS128" s="24"/>
      <c r="KKT128" s="40"/>
      <c r="KKU128" s="24"/>
      <c r="KKV128" s="40"/>
      <c r="KKW128" s="24"/>
      <c r="KKX128" s="40"/>
      <c r="KKY128" s="24"/>
      <c r="KKZ128" s="40"/>
      <c r="KLA128" s="24"/>
      <c r="KLB128" s="40"/>
      <c r="KLC128" s="24"/>
      <c r="KLD128" s="40"/>
      <c r="KLE128" s="24"/>
      <c r="KLF128" s="40"/>
      <c r="KLG128" s="24"/>
      <c r="KLH128" s="40"/>
      <c r="KLI128" s="24"/>
      <c r="KLJ128" s="40"/>
      <c r="KLK128" s="24"/>
      <c r="KLL128" s="40"/>
      <c r="KLM128" s="24"/>
      <c r="KLN128" s="40"/>
      <c r="KLO128" s="24"/>
      <c r="KLP128" s="40"/>
      <c r="KLQ128" s="24"/>
      <c r="KLR128" s="40"/>
      <c r="KLS128" s="24"/>
      <c r="KLT128" s="40"/>
      <c r="KLU128" s="24"/>
      <c r="KLV128" s="40"/>
      <c r="KLW128" s="24"/>
      <c r="KLX128" s="40"/>
      <c r="KLY128" s="24"/>
      <c r="KLZ128" s="40"/>
      <c r="KMA128" s="24"/>
      <c r="KMB128" s="40"/>
      <c r="KMC128" s="24"/>
      <c r="KMD128" s="40"/>
      <c r="KME128" s="24"/>
      <c r="KMF128" s="40"/>
      <c r="KMG128" s="24"/>
      <c r="KMH128" s="40"/>
      <c r="KMI128" s="24"/>
      <c r="KMJ128" s="40"/>
      <c r="KMK128" s="24"/>
      <c r="KML128" s="40"/>
      <c r="KMM128" s="24"/>
      <c r="KMN128" s="40"/>
      <c r="KMO128" s="24"/>
      <c r="KMP128" s="40"/>
      <c r="KMQ128" s="24"/>
      <c r="KMR128" s="40"/>
      <c r="KMS128" s="24"/>
      <c r="KMT128" s="40"/>
      <c r="KMU128" s="24"/>
      <c r="KMV128" s="40"/>
      <c r="KMW128" s="24"/>
      <c r="KMX128" s="40"/>
      <c r="KMY128" s="24"/>
      <c r="KMZ128" s="40"/>
      <c r="KNA128" s="24"/>
      <c r="KNB128" s="40"/>
      <c r="KNC128" s="24"/>
      <c r="KND128" s="40"/>
      <c r="KNE128" s="24"/>
      <c r="KNF128" s="40"/>
      <c r="KNG128" s="24"/>
      <c r="KNH128" s="40"/>
      <c r="KNI128" s="24"/>
      <c r="KNJ128" s="40"/>
      <c r="KNK128" s="24"/>
      <c r="KNL128" s="40"/>
      <c r="KNM128" s="24"/>
      <c r="KNN128" s="40"/>
      <c r="KNO128" s="24"/>
      <c r="KNP128" s="40"/>
      <c r="KNQ128" s="24"/>
      <c r="KNR128" s="40"/>
      <c r="KNS128" s="24"/>
      <c r="KNT128" s="40"/>
      <c r="KNU128" s="24"/>
      <c r="KNV128" s="40"/>
      <c r="KNW128" s="24"/>
      <c r="KNX128" s="40"/>
      <c r="KNY128" s="24"/>
      <c r="KNZ128" s="40"/>
      <c r="KOA128" s="24"/>
      <c r="KOB128" s="40"/>
      <c r="KOC128" s="24"/>
      <c r="KOD128" s="40"/>
      <c r="KOE128" s="24"/>
      <c r="KOF128" s="40"/>
      <c r="KOG128" s="24"/>
      <c r="KOH128" s="40"/>
      <c r="KOI128" s="24"/>
      <c r="KOJ128" s="40"/>
      <c r="KOK128" s="24"/>
      <c r="KOL128" s="40"/>
      <c r="KOM128" s="24"/>
      <c r="KON128" s="40"/>
      <c r="KOO128" s="24"/>
      <c r="KOP128" s="40"/>
      <c r="KOQ128" s="24"/>
      <c r="KOR128" s="40"/>
      <c r="KOS128" s="24"/>
      <c r="KOT128" s="40"/>
      <c r="KOU128" s="24"/>
      <c r="KOV128" s="40"/>
      <c r="KOW128" s="24"/>
      <c r="KOX128" s="40"/>
      <c r="KOY128" s="24"/>
      <c r="KOZ128" s="40"/>
      <c r="KPA128" s="24"/>
      <c r="KPB128" s="40"/>
      <c r="KPC128" s="24"/>
      <c r="KPD128" s="40"/>
      <c r="KPE128" s="24"/>
      <c r="KPF128" s="40"/>
      <c r="KPG128" s="24"/>
      <c r="KPH128" s="40"/>
      <c r="KPI128" s="24"/>
      <c r="KPJ128" s="40"/>
      <c r="KPK128" s="24"/>
      <c r="KPL128" s="40"/>
      <c r="KPM128" s="24"/>
      <c r="KPN128" s="40"/>
      <c r="KPO128" s="24"/>
      <c r="KPP128" s="40"/>
      <c r="KPQ128" s="24"/>
      <c r="KPR128" s="40"/>
      <c r="KPS128" s="24"/>
      <c r="KPT128" s="40"/>
      <c r="KPU128" s="24"/>
      <c r="KPV128" s="40"/>
      <c r="KPW128" s="24"/>
      <c r="KPX128" s="40"/>
      <c r="KPY128" s="24"/>
      <c r="KPZ128" s="40"/>
      <c r="KQA128" s="24"/>
      <c r="KQB128" s="40"/>
      <c r="KQC128" s="24"/>
      <c r="KQD128" s="40"/>
      <c r="KQE128" s="24"/>
      <c r="KQF128" s="40"/>
      <c r="KQG128" s="24"/>
      <c r="KQH128" s="40"/>
      <c r="KQI128" s="24"/>
      <c r="KQJ128" s="40"/>
      <c r="KQK128" s="24"/>
      <c r="KQL128" s="40"/>
      <c r="KQM128" s="24"/>
      <c r="KQN128" s="40"/>
      <c r="KQO128" s="24"/>
      <c r="KQP128" s="40"/>
      <c r="KQQ128" s="24"/>
      <c r="KQR128" s="40"/>
      <c r="KQS128" s="24"/>
      <c r="KQT128" s="40"/>
      <c r="KQU128" s="24"/>
      <c r="KQV128" s="40"/>
      <c r="KQW128" s="24"/>
      <c r="KQX128" s="40"/>
      <c r="KQY128" s="24"/>
      <c r="KQZ128" s="40"/>
      <c r="KRA128" s="24"/>
      <c r="KRB128" s="40"/>
      <c r="KRC128" s="24"/>
      <c r="KRD128" s="40"/>
      <c r="KRE128" s="24"/>
      <c r="KRF128" s="40"/>
      <c r="KRG128" s="24"/>
      <c r="KRH128" s="40"/>
      <c r="KRI128" s="24"/>
      <c r="KRJ128" s="40"/>
      <c r="KRK128" s="24"/>
      <c r="KRL128" s="40"/>
      <c r="KRM128" s="24"/>
      <c r="KRN128" s="40"/>
      <c r="KRO128" s="24"/>
      <c r="KRP128" s="40"/>
      <c r="KRQ128" s="24"/>
      <c r="KRR128" s="40"/>
      <c r="KRS128" s="24"/>
      <c r="KRT128" s="40"/>
      <c r="KRU128" s="24"/>
      <c r="KRV128" s="40"/>
      <c r="KRW128" s="24"/>
      <c r="KRX128" s="40"/>
      <c r="KRY128" s="24"/>
      <c r="KRZ128" s="40"/>
      <c r="KSA128" s="24"/>
      <c r="KSB128" s="40"/>
      <c r="KSC128" s="24"/>
      <c r="KSD128" s="40"/>
      <c r="KSE128" s="24"/>
      <c r="KSF128" s="40"/>
      <c r="KSG128" s="24"/>
      <c r="KSH128" s="40"/>
      <c r="KSI128" s="24"/>
      <c r="KSJ128" s="40"/>
      <c r="KSK128" s="24"/>
      <c r="KSL128" s="40"/>
      <c r="KSM128" s="24"/>
      <c r="KSN128" s="40"/>
      <c r="KSO128" s="24"/>
      <c r="KSP128" s="40"/>
      <c r="KSQ128" s="24"/>
      <c r="KSR128" s="40"/>
      <c r="KSS128" s="24"/>
      <c r="KST128" s="40"/>
      <c r="KSU128" s="24"/>
      <c r="KSV128" s="40"/>
      <c r="KSW128" s="24"/>
      <c r="KSX128" s="40"/>
      <c r="KSY128" s="24"/>
      <c r="KSZ128" s="40"/>
      <c r="KTA128" s="24"/>
      <c r="KTB128" s="40"/>
      <c r="KTC128" s="24"/>
      <c r="KTD128" s="40"/>
      <c r="KTE128" s="24"/>
      <c r="KTF128" s="40"/>
      <c r="KTG128" s="24"/>
      <c r="KTH128" s="40"/>
      <c r="KTI128" s="24"/>
      <c r="KTJ128" s="40"/>
      <c r="KTK128" s="24"/>
      <c r="KTL128" s="40"/>
      <c r="KTM128" s="24"/>
      <c r="KTN128" s="40"/>
      <c r="KTO128" s="24"/>
      <c r="KTP128" s="40"/>
      <c r="KTQ128" s="24"/>
      <c r="KTR128" s="40"/>
      <c r="KTS128" s="24"/>
      <c r="KTT128" s="40"/>
      <c r="KTU128" s="24"/>
      <c r="KTV128" s="40"/>
      <c r="KTW128" s="24"/>
      <c r="KTX128" s="40"/>
      <c r="KTY128" s="24"/>
      <c r="KTZ128" s="40"/>
      <c r="KUA128" s="24"/>
      <c r="KUB128" s="40"/>
      <c r="KUC128" s="24"/>
      <c r="KUD128" s="40"/>
      <c r="KUE128" s="24"/>
      <c r="KUF128" s="40"/>
      <c r="KUG128" s="24"/>
      <c r="KUH128" s="40"/>
      <c r="KUI128" s="24"/>
      <c r="KUJ128" s="40"/>
      <c r="KUK128" s="24"/>
      <c r="KUL128" s="40"/>
      <c r="KUM128" s="24"/>
      <c r="KUN128" s="40"/>
      <c r="KUO128" s="24"/>
      <c r="KUP128" s="40"/>
      <c r="KUQ128" s="24"/>
      <c r="KUR128" s="40"/>
      <c r="KUS128" s="24"/>
      <c r="KUT128" s="40"/>
      <c r="KUU128" s="24"/>
      <c r="KUV128" s="40"/>
      <c r="KUW128" s="24"/>
      <c r="KUX128" s="40"/>
      <c r="KUY128" s="24"/>
      <c r="KUZ128" s="40"/>
      <c r="KVA128" s="24"/>
      <c r="KVB128" s="40"/>
      <c r="KVC128" s="24"/>
      <c r="KVD128" s="40"/>
      <c r="KVE128" s="24"/>
      <c r="KVF128" s="40"/>
      <c r="KVG128" s="24"/>
      <c r="KVH128" s="40"/>
      <c r="KVI128" s="24"/>
      <c r="KVJ128" s="40"/>
      <c r="KVK128" s="24"/>
      <c r="KVL128" s="40"/>
      <c r="KVM128" s="24"/>
      <c r="KVN128" s="40"/>
      <c r="KVO128" s="24"/>
      <c r="KVP128" s="40"/>
      <c r="KVQ128" s="24"/>
      <c r="KVR128" s="40"/>
      <c r="KVS128" s="24"/>
      <c r="KVT128" s="40"/>
      <c r="KVU128" s="24"/>
      <c r="KVV128" s="40"/>
      <c r="KVW128" s="24"/>
      <c r="KVX128" s="40"/>
      <c r="KVY128" s="24"/>
      <c r="KVZ128" s="40"/>
      <c r="KWA128" s="24"/>
      <c r="KWB128" s="40"/>
      <c r="KWC128" s="24"/>
      <c r="KWD128" s="40"/>
      <c r="KWE128" s="24"/>
      <c r="KWF128" s="40"/>
      <c r="KWG128" s="24"/>
      <c r="KWH128" s="40"/>
      <c r="KWI128" s="24"/>
      <c r="KWJ128" s="40"/>
      <c r="KWK128" s="24"/>
      <c r="KWL128" s="40"/>
      <c r="KWM128" s="24"/>
      <c r="KWN128" s="40"/>
      <c r="KWO128" s="24"/>
      <c r="KWP128" s="40"/>
      <c r="KWQ128" s="24"/>
      <c r="KWR128" s="40"/>
      <c r="KWS128" s="24"/>
      <c r="KWT128" s="40"/>
      <c r="KWU128" s="24"/>
      <c r="KWV128" s="40"/>
      <c r="KWW128" s="24"/>
      <c r="KWX128" s="40"/>
      <c r="KWY128" s="24"/>
      <c r="KWZ128" s="40"/>
      <c r="KXA128" s="24"/>
      <c r="KXB128" s="40"/>
      <c r="KXC128" s="24"/>
      <c r="KXD128" s="40"/>
      <c r="KXE128" s="24"/>
      <c r="KXF128" s="40"/>
      <c r="KXG128" s="24"/>
      <c r="KXH128" s="40"/>
      <c r="KXI128" s="24"/>
      <c r="KXJ128" s="40"/>
      <c r="KXK128" s="24"/>
      <c r="KXL128" s="40"/>
      <c r="KXM128" s="24"/>
      <c r="KXN128" s="40"/>
      <c r="KXO128" s="24"/>
      <c r="KXP128" s="40"/>
      <c r="KXQ128" s="24"/>
      <c r="KXR128" s="40"/>
      <c r="KXS128" s="24"/>
      <c r="KXT128" s="40"/>
      <c r="KXU128" s="24"/>
      <c r="KXV128" s="40"/>
      <c r="KXW128" s="24"/>
      <c r="KXX128" s="40"/>
      <c r="KXY128" s="24"/>
      <c r="KXZ128" s="40"/>
      <c r="KYA128" s="24"/>
      <c r="KYB128" s="40"/>
      <c r="KYC128" s="24"/>
      <c r="KYD128" s="40"/>
      <c r="KYE128" s="24"/>
      <c r="KYF128" s="40"/>
      <c r="KYG128" s="24"/>
      <c r="KYH128" s="40"/>
      <c r="KYI128" s="24"/>
      <c r="KYJ128" s="40"/>
      <c r="KYK128" s="24"/>
      <c r="KYL128" s="40"/>
      <c r="KYM128" s="24"/>
      <c r="KYN128" s="40"/>
      <c r="KYO128" s="24"/>
      <c r="KYP128" s="40"/>
      <c r="KYQ128" s="24"/>
      <c r="KYR128" s="40"/>
      <c r="KYS128" s="24"/>
      <c r="KYT128" s="40"/>
      <c r="KYU128" s="24"/>
      <c r="KYV128" s="40"/>
      <c r="KYW128" s="24"/>
      <c r="KYX128" s="40"/>
      <c r="KYY128" s="24"/>
      <c r="KYZ128" s="40"/>
      <c r="KZA128" s="24"/>
      <c r="KZB128" s="40"/>
      <c r="KZC128" s="24"/>
      <c r="KZD128" s="40"/>
      <c r="KZE128" s="24"/>
      <c r="KZF128" s="40"/>
      <c r="KZG128" s="24"/>
      <c r="KZH128" s="40"/>
      <c r="KZI128" s="24"/>
      <c r="KZJ128" s="40"/>
      <c r="KZK128" s="24"/>
      <c r="KZL128" s="40"/>
      <c r="KZM128" s="24"/>
      <c r="KZN128" s="40"/>
      <c r="KZO128" s="24"/>
      <c r="KZP128" s="40"/>
      <c r="KZQ128" s="24"/>
      <c r="KZR128" s="40"/>
      <c r="KZS128" s="24"/>
      <c r="KZT128" s="40"/>
      <c r="KZU128" s="24"/>
      <c r="KZV128" s="40"/>
      <c r="KZW128" s="24"/>
      <c r="KZX128" s="40"/>
      <c r="KZY128" s="24"/>
      <c r="KZZ128" s="40"/>
      <c r="LAA128" s="24"/>
      <c r="LAB128" s="40"/>
      <c r="LAC128" s="24"/>
      <c r="LAD128" s="40"/>
      <c r="LAE128" s="24"/>
      <c r="LAF128" s="40"/>
      <c r="LAG128" s="24"/>
      <c r="LAH128" s="40"/>
      <c r="LAI128" s="24"/>
      <c r="LAJ128" s="40"/>
      <c r="LAK128" s="24"/>
      <c r="LAL128" s="40"/>
      <c r="LAM128" s="24"/>
      <c r="LAN128" s="40"/>
      <c r="LAO128" s="24"/>
      <c r="LAP128" s="40"/>
      <c r="LAQ128" s="24"/>
      <c r="LAR128" s="40"/>
      <c r="LAS128" s="24"/>
      <c r="LAT128" s="40"/>
      <c r="LAU128" s="24"/>
      <c r="LAV128" s="40"/>
      <c r="LAW128" s="24"/>
      <c r="LAX128" s="40"/>
      <c r="LAY128" s="24"/>
      <c r="LAZ128" s="40"/>
      <c r="LBA128" s="24"/>
      <c r="LBB128" s="40"/>
      <c r="LBC128" s="24"/>
      <c r="LBD128" s="40"/>
      <c r="LBE128" s="24"/>
      <c r="LBF128" s="40"/>
      <c r="LBG128" s="24"/>
      <c r="LBH128" s="40"/>
      <c r="LBI128" s="24"/>
      <c r="LBJ128" s="40"/>
      <c r="LBK128" s="24"/>
      <c r="LBL128" s="40"/>
      <c r="LBM128" s="24"/>
      <c r="LBN128" s="40"/>
      <c r="LBO128" s="24"/>
      <c r="LBP128" s="40"/>
      <c r="LBQ128" s="24"/>
      <c r="LBR128" s="40"/>
      <c r="LBS128" s="24"/>
      <c r="LBT128" s="40"/>
      <c r="LBU128" s="24"/>
      <c r="LBV128" s="40"/>
      <c r="LBW128" s="24"/>
      <c r="LBX128" s="40"/>
      <c r="LBY128" s="24"/>
      <c r="LBZ128" s="40"/>
      <c r="LCA128" s="24"/>
      <c r="LCB128" s="40"/>
      <c r="LCC128" s="24"/>
      <c r="LCD128" s="40"/>
      <c r="LCE128" s="24"/>
      <c r="LCF128" s="40"/>
      <c r="LCG128" s="24"/>
      <c r="LCH128" s="40"/>
      <c r="LCI128" s="24"/>
      <c r="LCJ128" s="40"/>
      <c r="LCK128" s="24"/>
      <c r="LCL128" s="40"/>
      <c r="LCM128" s="24"/>
      <c r="LCN128" s="40"/>
      <c r="LCO128" s="24"/>
      <c r="LCP128" s="40"/>
      <c r="LCQ128" s="24"/>
      <c r="LCR128" s="40"/>
      <c r="LCS128" s="24"/>
      <c r="LCT128" s="40"/>
      <c r="LCU128" s="24"/>
      <c r="LCV128" s="40"/>
      <c r="LCW128" s="24"/>
      <c r="LCX128" s="40"/>
      <c r="LCY128" s="24"/>
      <c r="LCZ128" s="40"/>
      <c r="LDA128" s="24"/>
      <c r="LDB128" s="40"/>
      <c r="LDC128" s="24"/>
      <c r="LDD128" s="40"/>
      <c r="LDE128" s="24"/>
      <c r="LDF128" s="40"/>
      <c r="LDG128" s="24"/>
      <c r="LDH128" s="40"/>
      <c r="LDI128" s="24"/>
      <c r="LDJ128" s="40"/>
      <c r="LDK128" s="24"/>
      <c r="LDL128" s="40"/>
      <c r="LDM128" s="24"/>
      <c r="LDN128" s="40"/>
      <c r="LDO128" s="24"/>
      <c r="LDP128" s="40"/>
      <c r="LDQ128" s="24"/>
      <c r="LDR128" s="40"/>
      <c r="LDS128" s="24"/>
      <c r="LDT128" s="40"/>
      <c r="LDU128" s="24"/>
      <c r="LDV128" s="40"/>
      <c r="LDW128" s="24"/>
      <c r="LDX128" s="40"/>
      <c r="LDY128" s="24"/>
      <c r="LDZ128" s="40"/>
      <c r="LEA128" s="24"/>
      <c r="LEB128" s="40"/>
      <c r="LEC128" s="24"/>
      <c r="LED128" s="40"/>
      <c r="LEE128" s="24"/>
      <c r="LEF128" s="40"/>
      <c r="LEG128" s="24"/>
      <c r="LEH128" s="40"/>
      <c r="LEI128" s="24"/>
      <c r="LEJ128" s="40"/>
      <c r="LEK128" s="24"/>
      <c r="LEL128" s="40"/>
      <c r="LEM128" s="24"/>
      <c r="LEN128" s="40"/>
      <c r="LEO128" s="24"/>
      <c r="LEP128" s="40"/>
      <c r="LEQ128" s="24"/>
      <c r="LER128" s="40"/>
      <c r="LES128" s="24"/>
      <c r="LET128" s="40"/>
      <c r="LEU128" s="24"/>
      <c r="LEV128" s="40"/>
      <c r="LEW128" s="24"/>
      <c r="LEX128" s="40"/>
      <c r="LEY128" s="24"/>
      <c r="LEZ128" s="40"/>
      <c r="LFA128" s="24"/>
      <c r="LFB128" s="40"/>
      <c r="LFC128" s="24"/>
      <c r="LFD128" s="40"/>
      <c r="LFE128" s="24"/>
      <c r="LFF128" s="40"/>
      <c r="LFG128" s="24"/>
      <c r="LFH128" s="40"/>
      <c r="LFI128" s="24"/>
      <c r="LFJ128" s="40"/>
      <c r="LFK128" s="24"/>
      <c r="LFL128" s="40"/>
      <c r="LFM128" s="24"/>
      <c r="LFN128" s="40"/>
      <c r="LFO128" s="24"/>
      <c r="LFP128" s="40"/>
      <c r="LFQ128" s="24"/>
      <c r="LFR128" s="40"/>
      <c r="LFS128" s="24"/>
      <c r="LFT128" s="40"/>
      <c r="LFU128" s="24"/>
      <c r="LFV128" s="40"/>
      <c r="LFW128" s="24"/>
      <c r="LFX128" s="40"/>
      <c r="LFY128" s="24"/>
      <c r="LFZ128" s="40"/>
      <c r="LGA128" s="24"/>
      <c r="LGB128" s="40"/>
      <c r="LGC128" s="24"/>
      <c r="LGD128" s="40"/>
      <c r="LGE128" s="24"/>
      <c r="LGF128" s="40"/>
      <c r="LGG128" s="24"/>
      <c r="LGH128" s="40"/>
      <c r="LGI128" s="24"/>
      <c r="LGJ128" s="40"/>
      <c r="LGK128" s="24"/>
      <c r="LGL128" s="40"/>
      <c r="LGM128" s="24"/>
      <c r="LGN128" s="40"/>
      <c r="LGO128" s="24"/>
      <c r="LGP128" s="40"/>
      <c r="LGQ128" s="24"/>
      <c r="LGR128" s="40"/>
      <c r="LGS128" s="24"/>
      <c r="LGT128" s="40"/>
      <c r="LGU128" s="24"/>
      <c r="LGV128" s="40"/>
      <c r="LGW128" s="24"/>
      <c r="LGX128" s="40"/>
      <c r="LGY128" s="24"/>
      <c r="LGZ128" s="40"/>
      <c r="LHA128" s="24"/>
      <c r="LHB128" s="40"/>
      <c r="LHC128" s="24"/>
      <c r="LHD128" s="40"/>
      <c r="LHE128" s="24"/>
      <c r="LHF128" s="40"/>
      <c r="LHG128" s="24"/>
      <c r="LHH128" s="40"/>
      <c r="LHI128" s="24"/>
      <c r="LHJ128" s="40"/>
      <c r="LHK128" s="24"/>
      <c r="LHL128" s="40"/>
      <c r="LHM128" s="24"/>
      <c r="LHN128" s="40"/>
      <c r="LHO128" s="24"/>
      <c r="LHP128" s="40"/>
      <c r="LHQ128" s="24"/>
      <c r="LHR128" s="40"/>
      <c r="LHS128" s="24"/>
      <c r="LHT128" s="40"/>
      <c r="LHU128" s="24"/>
      <c r="LHV128" s="40"/>
      <c r="LHW128" s="24"/>
      <c r="LHX128" s="40"/>
      <c r="LHY128" s="24"/>
      <c r="LHZ128" s="40"/>
      <c r="LIA128" s="24"/>
      <c r="LIB128" s="40"/>
      <c r="LIC128" s="24"/>
      <c r="LID128" s="40"/>
      <c r="LIE128" s="24"/>
      <c r="LIF128" s="40"/>
      <c r="LIG128" s="24"/>
      <c r="LIH128" s="40"/>
      <c r="LII128" s="24"/>
      <c r="LIJ128" s="40"/>
      <c r="LIK128" s="24"/>
      <c r="LIL128" s="40"/>
      <c r="LIM128" s="24"/>
      <c r="LIN128" s="40"/>
      <c r="LIO128" s="24"/>
      <c r="LIP128" s="40"/>
      <c r="LIQ128" s="24"/>
      <c r="LIR128" s="40"/>
      <c r="LIS128" s="24"/>
      <c r="LIT128" s="40"/>
      <c r="LIU128" s="24"/>
      <c r="LIV128" s="40"/>
      <c r="LIW128" s="24"/>
      <c r="LIX128" s="40"/>
      <c r="LIY128" s="24"/>
      <c r="LIZ128" s="40"/>
      <c r="LJA128" s="24"/>
      <c r="LJB128" s="40"/>
      <c r="LJC128" s="24"/>
      <c r="LJD128" s="40"/>
      <c r="LJE128" s="24"/>
      <c r="LJF128" s="40"/>
      <c r="LJG128" s="24"/>
      <c r="LJH128" s="40"/>
      <c r="LJI128" s="24"/>
      <c r="LJJ128" s="40"/>
      <c r="LJK128" s="24"/>
      <c r="LJL128" s="40"/>
      <c r="LJM128" s="24"/>
      <c r="LJN128" s="40"/>
      <c r="LJO128" s="24"/>
      <c r="LJP128" s="40"/>
      <c r="LJQ128" s="24"/>
      <c r="LJR128" s="40"/>
      <c r="LJS128" s="24"/>
      <c r="LJT128" s="40"/>
      <c r="LJU128" s="24"/>
      <c r="LJV128" s="40"/>
      <c r="LJW128" s="24"/>
      <c r="LJX128" s="40"/>
      <c r="LJY128" s="24"/>
      <c r="LJZ128" s="40"/>
      <c r="LKA128" s="24"/>
      <c r="LKB128" s="40"/>
      <c r="LKC128" s="24"/>
      <c r="LKD128" s="40"/>
      <c r="LKE128" s="24"/>
      <c r="LKF128" s="40"/>
      <c r="LKG128" s="24"/>
      <c r="LKH128" s="40"/>
      <c r="LKI128" s="24"/>
      <c r="LKJ128" s="40"/>
      <c r="LKK128" s="24"/>
      <c r="LKL128" s="40"/>
      <c r="LKM128" s="24"/>
      <c r="LKN128" s="40"/>
      <c r="LKO128" s="24"/>
      <c r="LKP128" s="40"/>
      <c r="LKQ128" s="24"/>
      <c r="LKR128" s="40"/>
      <c r="LKS128" s="24"/>
      <c r="LKT128" s="40"/>
      <c r="LKU128" s="24"/>
      <c r="LKV128" s="40"/>
      <c r="LKW128" s="24"/>
      <c r="LKX128" s="40"/>
      <c r="LKY128" s="24"/>
      <c r="LKZ128" s="40"/>
      <c r="LLA128" s="24"/>
      <c r="LLB128" s="40"/>
      <c r="LLC128" s="24"/>
      <c r="LLD128" s="40"/>
      <c r="LLE128" s="24"/>
      <c r="LLF128" s="40"/>
      <c r="LLG128" s="24"/>
      <c r="LLH128" s="40"/>
      <c r="LLI128" s="24"/>
      <c r="LLJ128" s="40"/>
      <c r="LLK128" s="24"/>
      <c r="LLL128" s="40"/>
      <c r="LLM128" s="24"/>
      <c r="LLN128" s="40"/>
      <c r="LLO128" s="24"/>
      <c r="LLP128" s="40"/>
      <c r="LLQ128" s="24"/>
      <c r="LLR128" s="40"/>
      <c r="LLS128" s="24"/>
      <c r="LLT128" s="40"/>
      <c r="LLU128" s="24"/>
      <c r="LLV128" s="40"/>
      <c r="LLW128" s="24"/>
      <c r="LLX128" s="40"/>
      <c r="LLY128" s="24"/>
      <c r="LLZ128" s="40"/>
      <c r="LMA128" s="24"/>
      <c r="LMB128" s="40"/>
      <c r="LMC128" s="24"/>
      <c r="LMD128" s="40"/>
      <c r="LME128" s="24"/>
      <c r="LMF128" s="40"/>
      <c r="LMG128" s="24"/>
      <c r="LMH128" s="40"/>
      <c r="LMI128" s="24"/>
      <c r="LMJ128" s="40"/>
      <c r="LMK128" s="24"/>
      <c r="LML128" s="40"/>
      <c r="LMM128" s="24"/>
      <c r="LMN128" s="40"/>
      <c r="LMO128" s="24"/>
      <c r="LMP128" s="40"/>
      <c r="LMQ128" s="24"/>
      <c r="LMR128" s="40"/>
      <c r="LMS128" s="24"/>
      <c r="LMT128" s="40"/>
      <c r="LMU128" s="24"/>
      <c r="LMV128" s="40"/>
      <c r="LMW128" s="24"/>
      <c r="LMX128" s="40"/>
      <c r="LMY128" s="24"/>
      <c r="LMZ128" s="40"/>
      <c r="LNA128" s="24"/>
      <c r="LNB128" s="40"/>
      <c r="LNC128" s="24"/>
      <c r="LND128" s="40"/>
      <c r="LNE128" s="24"/>
      <c r="LNF128" s="40"/>
      <c r="LNG128" s="24"/>
      <c r="LNH128" s="40"/>
      <c r="LNI128" s="24"/>
      <c r="LNJ128" s="40"/>
      <c r="LNK128" s="24"/>
      <c r="LNL128" s="40"/>
      <c r="LNM128" s="24"/>
      <c r="LNN128" s="40"/>
      <c r="LNO128" s="24"/>
      <c r="LNP128" s="40"/>
      <c r="LNQ128" s="24"/>
      <c r="LNR128" s="40"/>
      <c r="LNS128" s="24"/>
      <c r="LNT128" s="40"/>
      <c r="LNU128" s="24"/>
      <c r="LNV128" s="40"/>
      <c r="LNW128" s="24"/>
      <c r="LNX128" s="40"/>
      <c r="LNY128" s="24"/>
      <c r="LNZ128" s="40"/>
      <c r="LOA128" s="24"/>
      <c r="LOB128" s="40"/>
      <c r="LOC128" s="24"/>
      <c r="LOD128" s="40"/>
      <c r="LOE128" s="24"/>
      <c r="LOF128" s="40"/>
      <c r="LOG128" s="24"/>
      <c r="LOH128" s="40"/>
      <c r="LOI128" s="24"/>
      <c r="LOJ128" s="40"/>
      <c r="LOK128" s="24"/>
      <c r="LOL128" s="40"/>
      <c r="LOM128" s="24"/>
      <c r="LON128" s="40"/>
      <c r="LOO128" s="24"/>
      <c r="LOP128" s="40"/>
      <c r="LOQ128" s="24"/>
      <c r="LOR128" s="40"/>
      <c r="LOS128" s="24"/>
      <c r="LOT128" s="40"/>
      <c r="LOU128" s="24"/>
      <c r="LOV128" s="40"/>
      <c r="LOW128" s="24"/>
      <c r="LOX128" s="40"/>
      <c r="LOY128" s="24"/>
      <c r="LOZ128" s="40"/>
      <c r="LPA128" s="24"/>
      <c r="LPB128" s="40"/>
      <c r="LPC128" s="24"/>
      <c r="LPD128" s="40"/>
      <c r="LPE128" s="24"/>
      <c r="LPF128" s="40"/>
      <c r="LPG128" s="24"/>
      <c r="LPH128" s="40"/>
      <c r="LPI128" s="24"/>
      <c r="LPJ128" s="40"/>
      <c r="LPK128" s="24"/>
      <c r="LPL128" s="40"/>
      <c r="LPM128" s="24"/>
      <c r="LPN128" s="40"/>
      <c r="LPO128" s="24"/>
      <c r="LPP128" s="40"/>
      <c r="LPQ128" s="24"/>
      <c r="LPR128" s="40"/>
      <c r="LPS128" s="24"/>
      <c r="LPT128" s="40"/>
      <c r="LPU128" s="24"/>
      <c r="LPV128" s="40"/>
      <c r="LPW128" s="24"/>
      <c r="LPX128" s="40"/>
      <c r="LPY128" s="24"/>
      <c r="LPZ128" s="40"/>
      <c r="LQA128" s="24"/>
      <c r="LQB128" s="40"/>
      <c r="LQC128" s="24"/>
      <c r="LQD128" s="40"/>
      <c r="LQE128" s="24"/>
      <c r="LQF128" s="40"/>
      <c r="LQG128" s="24"/>
      <c r="LQH128" s="40"/>
      <c r="LQI128" s="24"/>
      <c r="LQJ128" s="40"/>
      <c r="LQK128" s="24"/>
      <c r="LQL128" s="40"/>
      <c r="LQM128" s="24"/>
      <c r="LQN128" s="40"/>
      <c r="LQO128" s="24"/>
      <c r="LQP128" s="40"/>
      <c r="LQQ128" s="24"/>
      <c r="LQR128" s="40"/>
      <c r="LQS128" s="24"/>
      <c r="LQT128" s="40"/>
      <c r="LQU128" s="24"/>
      <c r="LQV128" s="40"/>
      <c r="LQW128" s="24"/>
      <c r="LQX128" s="40"/>
      <c r="LQY128" s="24"/>
      <c r="LQZ128" s="40"/>
      <c r="LRA128" s="24"/>
      <c r="LRB128" s="40"/>
      <c r="LRC128" s="24"/>
      <c r="LRD128" s="40"/>
      <c r="LRE128" s="24"/>
      <c r="LRF128" s="40"/>
      <c r="LRG128" s="24"/>
      <c r="LRH128" s="40"/>
      <c r="LRI128" s="24"/>
      <c r="LRJ128" s="40"/>
      <c r="LRK128" s="24"/>
      <c r="LRL128" s="40"/>
      <c r="LRM128" s="24"/>
      <c r="LRN128" s="40"/>
      <c r="LRO128" s="24"/>
      <c r="LRP128" s="40"/>
      <c r="LRQ128" s="24"/>
      <c r="LRR128" s="40"/>
      <c r="LRS128" s="24"/>
      <c r="LRT128" s="40"/>
      <c r="LRU128" s="24"/>
      <c r="LRV128" s="40"/>
      <c r="LRW128" s="24"/>
      <c r="LRX128" s="40"/>
      <c r="LRY128" s="24"/>
      <c r="LRZ128" s="40"/>
      <c r="LSA128" s="24"/>
      <c r="LSB128" s="40"/>
      <c r="LSC128" s="24"/>
      <c r="LSD128" s="40"/>
      <c r="LSE128" s="24"/>
      <c r="LSF128" s="40"/>
      <c r="LSG128" s="24"/>
      <c r="LSH128" s="40"/>
      <c r="LSI128" s="24"/>
      <c r="LSJ128" s="40"/>
      <c r="LSK128" s="24"/>
      <c r="LSL128" s="40"/>
      <c r="LSM128" s="24"/>
      <c r="LSN128" s="40"/>
      <c r="LSO128" s="24"/>
      <c r="LSP128" s="40"/>
      <c r="LSQ128" s="24"/>
      <c r="LSR128" s="40"/>
      <c r="LSS128" s="24"/>
      <c r="LST128" s="40"/>
      <c r="LSU128" s="24"/>
      <c r="LSV128" s="40"/>
      <c r="LSW128" s="24"/>
      <c r="LSX128" s="40"/>
      <c r="LSY128" s="24"/>
      <c r="LSZ128" s="40"/>
      <c r="LTA128" s="24"/>
      <c r="LTB128" s="40"/>
      <c r="LTC128" s="24"/>
      <c r="LTD128" s="40"/>
      <c r="LTE128" s="24"/>
      <c r="LTF128" s="40"/>
      <c r="LTG128" s="24"/>
      <c r="LTH128" s="40"/>
      <c r="LTI128" s="24"/>
      <c r="LTJ128" s="40"/>
      <c r="LTK128" s="24"/>
      <c r="LTL128" s="40"/>
      <c r="LTM128" s="24"/>
      <c r="LTN128" s="40"/>
      <c r="LTO128" s="24"/>
      <c r="LTP128" s="40"/>
      <c r="LTQ128" s="24"/>
      <c r="LTR128" s="40"/>
      <c r="LTS128" s="24"/>
      <c r="LTT128" s="40"/>
      <c r="LTU128" s="24"/>
      <c r="LTV128" s="40"/>
      <c r="LTW128" s="24"/>
      <c r="LTX128" s="40"/>
      <c r="LTY128" s="24"/>
      <c r="LTZ128" s="40"/>
      <c r="LUA128" s="24"/>
      <c r="LUB128" s="40"/>
      <c r="LUC128" s="24"/>
      <c r="LUD128" s="40"/>
      <c r="LUE128" s="24"/>
      <c r="LUF128" s="40"/>
      <c r="LUG128" s="24"/>
      <c r="LUH128" s="40"/>
      <c r="LUI128" s="24"/>
      <c r="LUJ128" s="40"/>
      <c r="LUK128" s="24"/>
      <c r="LUL128" s="40"/>
      <c r="LUM128" s="24"/>
      <c r="LUN128" s="40"/>
      <c r="LUO128" s="24"/>
      <c r="LUP128" s="40"/>
      <c r="LUQ128" s="24"/>
      <c r="LUR128" s="40"/>
      <c r="LUS128" s="24"/>
      <c r="LUT128" s="40"/>
      <c r="LUU128" s="24"/>
      <c r="LUV128" s="40"/>
      <c r="LUW128" s="24"/>
      <c r="LUX128" s="40"/>
      <c r="LUY128" s="24"/>
      <c r="LUZ128" s="40"/>
      <c r="LVA128" s="24"/>
      <c r="LVB128" s="40"/>
      <c r="LVC128" s="24"/>
      <c r="LVD128" s="40"/>
      <c r="LVE128" s="24"/>
      <c r="LVF128" s="40"/>
      <c r="LVG128" s="24"/>
      <c r="LVH128" s="40"/>
      <c r="LVI128" s="24"/>
      <c r="LVJ128" s="40"/>
      <c r="LVK128" s="24"/>
      <c r="LVL128" s="40"/>
      <c r="LVM128" s="24"/>
      <c r="LVN128" s="40"/>
      <c r="LVO128" s="24"/>
      <c r="LVP128" s="40"/>
      <c r="LVQ128" s="24"/>
      <c r="LVR128" s="40"/>
      <c r="LVS128" s="24"/>
      <c r="LVT128" s="40"/>
      <c r="LVU128" s="24"/>
      <c r="LVV128" s="40"/>
      <c r="LVW128" s="24"/>
      <c r="LVX128" s="40"/>
      <c r="LVY128" s="24"/>
      <c r="LVZ128" s="40"/>
      <c r="LWA128" s="24"/>
      <c r="LWB128" s="40"/>
      <c r="LWC128" s="24"/>
      <c r="LWD128" s="40"/>
      <c r="LWE128" s="24"/>
      <c r="LWF128" s="40"/>
      <c r="LWG128" s="24"/>
      <c r="LWH128" s="40"/>
      <c r="LWI128" s="24"/>
      <c r="LWJ128" s="40"/>
      <c r="LWK128" s="24"/>
      <c r="LWL128" s="40"/>
      <c r="LWM128" s="24"/>
      <c r="LWN128" s="40"/>
      <c r="LWO128" s="24"/>
      <c r="LWP128" s="40"/>
      <c r="LWQ128" s="24"/>
      <c r="LWR128" s="40"/>
      <c r="LWS128" s="24"/>
      <c r="LWT128" s="40"/>
      <c r="LWU128" s="24"/>
      <c r="LWV128" s="40"/>
      <c r="LWW128" s="24"/>
      <c r="LWX128" s="40"/>
      <c r="LWY128" s="24"/>
      <c r="LWZ128" s="40"/>
      <c r="LXA128" s="24"/>
      <c r="LXB128" s="40"/>
      <c r="LXC128" s="24"/>
      <c r="LXD128" s="40"/>
      <c r="LXE128" s="24"/>
      <c r="LXF128" s="40"/>
      <c r="LXG128" s="24"/>
      <c r="LXH128" s="40"/>
      <c r="LXI128" s="24"/>
      <c r="LXJ128" s="40"/>
      <c r="LXK128" s="24"/>
      <c r="LXL128" s="40"/>
      <c r="LXM128" s="24"/>
      <c r="LXN128" s="40"/>
      <c r="LXO128" s="24"/>
      <c r="LXP128" s="40"/>
      <c r="LXQ128" s="24"/>
      <c r="LXR128" s="40"/>
      <c r="LXS128" s="24"/>
      <c r="LXT128" s="40"/>
      <c r="LXU128" s="24"/>
      <c r="LXV128" s="40"/>
      <c r="LXW128" s="24"/>
      <c r="LXX128" s="40"/>
      <c r="LXY128" s="24"/>
      <c r="LXZ128" s="40"/>
      <c r="LYA128" s="24"/>
      <c r="LYB128" s="40"/>
      <c r="LYC128" s="24"/>
      <c r="LYD128" s="40"/>
      <c r="LYE128" s="24"/>
      <c r="LYF128" s="40"/>
      <c r="LYG128" s="24"/>
      <c r="LYH128" s="40"/>
      <c r="LYI128" s="24"/>
      <c r="LYJ128" s="40"/>
      <c r="LYK128" s="24"/>
      <c r="LYL128" s="40"/>
      <c r="LYM128" s="24"/>
      <c r="LYN128" s="40"/>
      <c r="LYO128" s="24"/>
      <c r="LYP128" s="40"/>
      <c r="LYQ128" s="24"/>
      <c r="LYR128" s="40"/>
      <c r="LYS128" s="24"/>
      <c r="LYT128" s="40"/>
      <c r="LYU128" s="24"/>
      <c r="LYV128" s="40"/>
      <c r="LYW128" s="24"/>
      <c r="LYX128" s="40"/>
      <c r="LYY128" s="24"/>
      <c r="LYZ128" s="40"/>
      <c r="LZA128" s="24"/>
      <c r="LZB128" s="40"/>
      <c r="LZC128" s="24"/>
      <c r="LZD128" s="40"/>
      <c r="LZE128" s="24"/>
      <c r="LZF128" s="40"/>
      <c r="LZG128" s="24"/>
      <c r="LZH128" s="40"/>
      <c r="LZI128" s="24"/>
      <c r="LZJ128" s="40"/>
      <c r="LZK128" s="24"/>
      <c r="LZL128" s="40"/>
      <c r="LZM128" s="24"/>
      <c r="LZN128" s="40"/>
      <c r="LZO128" s="24"/>
      <c r="LZP128" s="40"/>
      <c r="LZQ128" s="24"/>
      <c r="LZR128" s="40"/>
      <c r="LZS128" s="24"/>
      <c r="LZT128" s="40"/>
      <c r="LZU128" s="24"/>
      <c r="LZV128" s="40"/>
      <c r="LZW128" s="24"/>
      <c r="LZX128" s="40"/>
      <c r="LZY128" s="24"/>
      <c r="LZZ128" s="40"/>
      <c r="MAA128" s="24"/>
      <c r="MAB128" s="40"/>
      <c r="MAC128" s="24"/>
      <c r="MAD128" s="40"/>
      <c r="MAE128" s="24"/>
      <c r="MAF128" s="40"/>
      <c r="MAG128" s="24"/>
      <c r="MAH128" s="40"/>
      <c r="MAI128" s="24"/>
      <c r="MAJ128" s="40"/>
      <c r="MAK128" s="24"/>
      <c r="MAL128" s="40"/>
      <c r="MAM128" s="24"/>
      <c r="MAN128" s="40"/>
      <c r="MAO128" s="24"/>
      <c r="MAP128" s="40"/>
      <c r="MAQ128" s="24"/>
      <c r="MAR128" s="40"/>
      <c r="MAS128" s="24"/>
      <c r="MAT128" s="40"/>
      <c r="MAU128" s="24"/>
      <c r="MAV128" s="40"/>
      <c r="MAW128" s="24"/>
      <c r="MAX128" s="40"/>
      <c r="MAY128" s="24"/>
      <c r="MAZ128" s="40"/>
      <c r="MBA128" s="24"/>
      <c r="MBB128" s="40"/>
      <c r="MBC128" s="24"/>
      <c r="MBD128" s="40"/>
      <c r="MBE128" s="24"/>
      <c r="MBF128" s="40"/>
      <c r="MBG128" s="24"/>
      <c r="MBH128" s="40"/>
      <c r="MBI128" s="24"/>
      <c r="MBJ128" s="40"/>
      <c r="MBK128" s="24"/>
      <c r="MBL128" s="40"/>
      <c r="MBM128" s="24"/>
      <c r="MBN128" s="40"/>
      <c r="MBO128" s="24"/>
      <c r="MBP128" s="40"/>
      <c r="MBQ128" s="24"/>
      <c r="MBR128" s="40"/>
      <c r="MBS128" s="24"/>
      <c r="MBT128" s="40"/>
      <c r="MBU128" s="24"/>
      <c r="MBV128" s="40"/>
      <c r="MBW128" s="24"/>
      <c r="MBX128" s="40"/>
      <c r="MBY128" s="24"/>
      <c r="MBZ128" s="40"/>
      <c r="MCA128" s="24"/>
      <c r="MCB128" s="40"/>
      <c r="MCC128" s="24"/>
      <c r="MCD128" s="40"/>
      <c r="MCE128" s="24"/>
      <c r="MCF128" s="40"/>
      <c r="MCG128" s="24"/>
      <c r="MCH128" s="40"/>
      <c r="MCI128" s="24"/>
      <c r="MCJ128" s="40"/>
      <c r="MCK128" s="24"/>
      <c r="MCL128" s="40"/>
      <c r="MCM128" s="24"/>
      <c r="MCN128" s="40"/>
      <c r="MCO128" s="24"/>
      <c r="MCP128" s="40"/>
      <c r="MCQ128" s="24"/>
      <c r="MCR128" s="40"/>
      <c r="MCS128" s="24"/>
      <c r="MCT128" s="40"/>
      <c r="MCU128" s="24"/>
      <c r="MCV128" s="40"/>
      <c r="MCW128" s="24"/>
      <c r="MCX128" s="40"/>
      <c r="MCY128" s="24"/>
      <c r="MCZ128" s="40"/>
      <c r="MDA128" s="24"/>
      <c r="MDB128" s="40"/>
      <c r="MDC128" s="24"/>
      <c r="MDD128" s="40"/>
      <c r="MDE128" s="24"/>
      <c r="MDF128" s="40"/>
      <c r="MDG128" s="24"/>
      <c r="MDH128" s="40"/>
      <c r="MDI128" s="24"/>
      <c r="MDJ128" s="40"/>
      <c r="MDK128" s="24"/>
      <c r="MDL128" s="40"/>
      <c r="MDM128" s="24"/>
      <c r="MDN128" s="40"/>
      <c r="MDO128" s="24"/>
      <c r="MDP128" s="40"/>
      <c r="MDQ128" s="24"/>
      <c r="MDR128" s="40"/>
      <c r="MDS128" s="24"/>
      <c r="MDT128" s="40"/>
      <c r="MDU128" s="24"/>
      <c r="MDV128" s="40"/>
      <c r="MDW128" s="24"/>
      <c r="MDX128" s="40"/>
      <c r="MDY128" s="24"/>
      <c r="MDZ128" s="40"/>
      <c r="MEA128" s="24"/>
      <c r="MEB128" s="40"/>
      <c r="MEC128" s="24"/>
      <c r="MED128" s="40"/>
      <c r="MEE128" s="24"/>
      <c r="MEF128" s="40"/>
      <c r="MEG128" s="24"/>
      <c r="MEH128" s="40"/>
      <c r="MEI128" s="24"/>
      <c r="MEJ128" s="40"/>
      <c r="MEK128" s="24"/>
      <c r="MEL128" s="40"/>
      <c r="MEM128" s="24"/>
      <c r="MEN128" s="40"/>
      <c r="MEO128" s="24"/>
      <c r="MEP128" s="40"/>
      <c r="MEQ128" s="24"/>
      <c r="MER128" s="40"/>
      <c r="MES128" s="24"/>
      <c r="MET128" s="40"/>
      <c r="MEU128" s="24"/>
      <c r="MEV128" s="40"/>
      <c r="MEW128" s="24"/>
      <c r="MEX128" s="40"/>
      <c r="MEY128" s="24"/>
      <c r="MEZ128" s="40"/>
      <c r="MFA128" s="24"/>
      <c r="MFB128" s="40"/>
      <c r="MFC128" s="24"/>
      <c r="MFD128" s="40"/>
      <c r="MFE128" s="24"/>
      <c r="MFF128" s="40"/>
      <c r="MFG128" s="24"/>
      <c r="MFH128" s="40"/>
      <c r="MFI128" s="24"/>
      <c r="MFJ128" s="40"/>
      <c r="MFK128" s="24"/>
      <c r="MFL128" s="40"/>
      <c r="MFM128" s="24"/>
      <c r="MFN128" s="40"/>
      <c r="MFO128" s="24"/>
      <c r="MFP128" s="40"/>
      <c r="MFQ128" s="24"/>
      <c r="MFR128" s="40"/>
      <c r="MFS128" s="24"/>
      <c r="MFT128" s="40"/>
      <c r="MFU128" s="24"/>
      <c r="MFV128" s="40"/>
      <c r="MFW128" s="24"/>
      <c r="MFX128" s="40"/>
      <c r="MFY128" s="24"/>
      <c r="MFZ128" s="40"/>
      <c r="MGA128" s="24"/>
      <c r="MGB128" s="40"/>
      <c r="MGC128" s="24"/>
      <c r="MGD128" s="40"/>
      <c r="MGE128" s="24"/>
      <c r="MGF128" s="40"/>
      <c r="MGG128" s="24"/>
      <c r="MGH128" s="40"/>
      <c r="MGI128" s="24"/>
      <c r="MGJ128" s="40"/>
      <c r="MGK128" s="24"/>
      <c r="MGL128" s="40"/>
      <c r="MGM128" s="24"/>
      <c r="MGN128" s="40"/>
      <c r="MGO128" s="24"/>
      <c r="MGP128" s="40"/>
      <c r="MGQ128" s="24"/>
      <c r="MGR128" s="40"/>
      <c r="MGS128" s="24"/>
      <c r="MGT128" s="40"/>
      <c r="MGU128" s="24"/>
      <c r="MGV128" s="40"/>
      <c r="MGW128" s="24"/>
      <c r="MGX128" s="40"/>
      <c r="MGY128" s="24"/>
      <c r="MGZ128" s="40"/>
      <c r="MHA128" s="24"/>
      <c r="MHB128" s="40"/>
      <c r="MHC128" s="24"/>
      <c r="MHD128" s="40"/>
      <c r="MHE128" s="24"/>
      <c r="MHF128" s="40"/>
      <c r="MHG128" s="24"/>
      <c r="MHH128" s="40"/>
      <c r="MHI128" s="24"/>
      <c r="MHJ128" s="40"/>
      <c r="MHK128" s="24"/>
      <c r="MHL128" s="40"/>
      <c r="MHM128" s="24"/>
      <c r="MHN128" s="40"/>
      <c r="MHO128" s="24"/>
      <c r="MHP128" s="40"/>
      <c r="MHQ128" s="24"/>
      <c r="MHR128" s="40"/>
      <c r="MHS128" s="24"/>
      <c r="MHT128" s="40"/>
      <c r="MHU128" s="24"/>
      <c r="MHV128" s="40"/>
      <c r="MHW128" s="24"/>
      <c r="MHX128" s="40"/>
      <c r="MHY128" s="24"/>
      <c r="MHZ128" s="40"/>
      <c r="MIA128" s="24"/>
      <c r="MIB128" s="40"/>
      <c r="MIC128" s="24"/>
      <c r="MID128" s="40"/>
      <c r="MIE128" s="24"/>
      <c r="MIF128" s="40"/>
      <c r="MIG128" s="24"/>
      <c r="MIH128" s="40"/>
      <c r="MII128" s="24"/>
      <c r="MIJ128" s="40"/>
      <c r="MIK128" s="24"/>
      <c r="MIL128" s="40"/>
      <c r="MIM128" s="24"/>
      <c r="MIN128" s="40"/>
      <c r="MIO128" s="24"/>
      <c r="MIP128" s="40"/>
      <c r="MIQ128" s="24"/>
      <c r="MIR128" s="40"/>
      <c r="MIS128" s="24"/>
      <c r="MIT128" s="40"/>
      <c r="MIU128" s="24"/>
      <c r="MIV128" s="40"/>
      <c r="MIW128" s="24"/>
      <c r="MIX128" s="40"/>
      <c r="MIY128" s="24"/>
      <c r="MIZ128" s="40"/>
      <c r="MJA128" s="24"/>
      <c r="MJB128" s="40"/>
      <c r="MJC128" s="24"/>
      <c r="MJD128" s="40"/>
      <c r="MJE128" s="24"/>
      <c r="MJF128" s="40"/>
      <c r="MJG128" s="24"/>
      <c r="MJH128" s="40"/>
      <c r="MJI128" s="24"/>
      <c r="MJJ128" s="40"/>
      <c r="MJK128" s="24"/>
      <c r="MJL128" s="40"/>
      <c r="MJM128" s="24"/>
      <c r="MJN128" s="40"/>
      <c r="MJO128" s="24"/>
      <c r="MJP128" s="40"/>
      <c r="MJQ128" s="24"/>
      <c r="MJR128" s="40"/>
      <c r="MJS128" s="24"/>
      <c r="MJT128" s="40"/>
      <c r="MJU128" s="24"/>
      <c r="MJV128" s="40"/>
      <c r="MJW128" s="24"/>
      <c r="MJX128" s="40"/>
      <c r="MJY128" s="24"/>
      <c r="MJZ128" s="40"/>
      <c r="MKA128" s="24"/>
      <c r="MKB128" s="40"/>
      <c r="MKC128" s="24"/>
      <c r="MKD128" s="40"/>
      <c r="MKE128" s="24"/>
      <c r="MKF128" s="40"/>
      <c r="MKG128" s="24"/>
      <c r="MKH128" s="40"/>
      <c r="MKI128" s="24"/>
      <c r="MKJ128" s="40"/>
      <c r="MKK128" s="24"/>
      <c r="MKL128" s="40"/>
      <c r="MKM128" s="24"/>
      <c r="MKN128" s="40"/>
      <c r="MKO128" s="24"/>
      <c r="MKP128" s="40"/>
      <c r="MKQ128" s="24"/>
      <c r="MKR128" s="40"/>
      <c r="MKS128" s="24"/>
      <c r="MKT128" s="40"/>
      <c r="MKU128" s="24"/>
      <c r="MKV128" s="40"/>
      <c r="MKW128" s="24"/>
      <c r="MKX128" s="40"/>
      <c r="MKY128" s="24"/>
      <c r="MKZ128" s="40"/>
      <c r="MLA128" s="24"/>
      <c r="MLB128" s="40"/>
      <c r="MLC128" s="24"/>
      <c r="MLD128" s="40"/>
      <c r="MLE128" s="24"/>
      <c r="MLF128" s="40"/>
      <c r="MLG128" s="24"/>
      <c r="MLH128" s="40"/>
      <c r="MLI128" s="24"/>
      <c r="MLJ128" s="40"/>
      <c r="MLK128" s="24"/>
      <c r="MLL128" s="40"/>
      <c r="MLM128" s="24"/>
      <c r="MLN128" s="40"/>
      <c r="MLO128" s="24"/>
      <c r="MLP128" s="40"/>
      <c r="MLQ128" s="24"/>
      <c r="MLR128" s="40"/>
      <c r="MLS128" s="24"/>
      <c r="MLT128" s="40"/>
      <c r="MLU128" s="24"/>
      <c r="MLV128" s="40"/>
      <c r="MLW128" s="24"/>
      <c r="MLX128" s="40"/>
      <c r="MLY128" s="24"/>
      <c r="MLZ128" s="40"/>
      <c r="MMA128" s="24"/>
      <c r="MMB128" s="40"/>
      <c r="MMC128" s="24"/>
      <c r="MMD128" s="40"/>
      <c r="MME128" s="24"/>
      <c r="MMF128" s="40"/>
      <c r="MMG128" s="24"/>
      <c r="MMH128" s="40"/>
      <c r="MMI128" s="24"/>
      <c r="MMJ128" s="40"/>
      <c r="MMK128" s="24"/>
      <c r="MML128" s="40"/>
      <c r="MMM128" s="24"/>
      <c r="MMN128" s="40"/>
      <c r="MMO128" s="24"/>
      <c r="MMP128" s="40"/>
      <c r="MMQ128" s="24"/>
      <c r="MMR128" s="40"/>
      <c r="MMS128" s="24"/>
      <c r="MMT128" s="40"/>
      <c r="MMU128" s="24"/>
      <c r="MMV128" s="40"/>
      <c r="MMW128" s="24"/>
      <c r="MMX128" s="40"/>
      <c r="MMY128" s="24"/>
      <c r="MMZ128" s="40"/>
      <c r="MNA128" s="24"/>
      <c r="MNB128" s="40"/>
      <c r="MNC128" s="24"/>
      <c r="MND128" s="40"/>
      <c r="MNE128" s="24"/>
      <c r="MNF128" s="40"/>
      <c r="MNG128" s="24"/>
      <c r="MNH128" s="40"/>
      <c r="MNI128" s="24"/>
      <c r="MNJ128" s="40"/>
      <c r="MNK128" s="24"/>
      <c r="MNL128" s="40"/>
      <c r="MNM128" s="24"/>
      <c r="MNN128" s="40"/>
      <c r="MNO128" s="24"/>
      <c r="MNP128" s="40"/>
      <c r="MNQ128" s="24"/>
      <c r="MNR128" s="40"/>
      <c r="MNS128" s="24"/>
      <c r="MNT128" s="40"/>
      <c r="MNU128" s="24"/>
      <c r="MNV128" s="40"/>
      <c r="MNW128" s="24"/>
      <c r="MNX128" s="40"/>
      <c r="MNY128" s="24"/>
      <c r="MNZ128" s="40"/>
      <c r="MOA128" s="24"/>
      <c r="MOB128" s="40"/>
      <c r="MOC128" s="24"/>
      <c r="MOD128" s="40"/>
      <c r="MOE128" s="24"/>
      <c r="MOF128" s="40"/>
      <c r="MOG128" s="24"/>
      <c r="MOH128" s="40"/>
      <c r="MOI128" s="24"/>
      <c r="MOJ128" s="40"/>
      <c r="MOK128" s="24"/>
      <c r="MOL128" s="40"/>
      <c r="MOM128" s="24"/>
      <c r="MON128" s="40"/>
      <c r="MOO128" s="24"/>
      <c r="MOP128" s="40"/>
      <c r="MOQ128" s="24"/>
      <c r="MOR128" s="40"/>
      <c r="MOS128" s="24"/>
      <c r="MOT128" s="40"/>
      <c r="MOU128" s="24"/>
      <c r="MOV128" s="40"/>
      <c r="MOW128" s="24"/>
      <c r="MOX128" s="40"/>
      <c r="MOY128" s="24"/>
      <c r="MOZ128" s="40"/>
      <c r="MPA128" s="24"/>
      <c r="MPB128" s="40"/>
      <c r="MPC128" s="24"/>
      <c r="MPD128" s="40"/>
      <c r="MPE128" s="24"/>
      <c r="MPF128" s="40"/>
      <c r="MPG128" s="24"/>
      <c r="MPH128" s="40"/>
      <c r="MPI128" s="24"/>
      <c r="MPJ128" s="40"/>
      <c r="MPK128" s="24"/>
      <c r="MPL128" s="40"/>
      <c r="MPM128" s="24"/>
      <c r="MPN128" s="40"/>
      <c r="MPO128" s="24"/>
      <c r="MPP128" s="40"/>
      <c r="MPQ128" s="24"/>
      <c r="MPR128" s="40"/>
      <c r="MPS128" s="24"/>
      <c r="MPT128" s="40"/>
      <c r="MPU128" s="24"/>
      <c r="MPV128" s="40"/>
      <c r="MPW128" s="24"/>
      <c r="MPX128" s="40"/>
      <c r="MPY128" s="24"/>
      <c r="MPZ128" s="40"/>
      <c r="MQA128" s="24"/>
      <c r="MQB128" s="40"/>
      <c r="MQC128" s="24"/>
      <c r="MQD128" s="40"/>
      <c r="MQE128" s="24"/>
      <c r="MQF128" s="40"/>
      <c r="MQG128" s="24"/>
      <c r="MQH128" s="40"/>
      <c r="MQI128" s="24"/>
      <c r="MQJ128" s="40"/>
      <c r="MQK128" s="24"/>
      <c r="MQL128" s="40"/>
      <c r="MQM128" s="24"/>
      <c r="MQN128" s="40"/>
      <c r="MQO128" s="24"/>
      <c r="MQP128" s="40"/>
      <c r="MQQ128" s="24"/>
      <c r="MQR128" s="40"/>
      <c r="MQS128" s="24"/>
      <c r="MQT128" s="40"/>
      <c r="MQU128" s="24"/>
      <c r="MQV128" s="40"/>
      <c r="MQW128" s="24"/>
      <c r="MQX128" s="40"/>
      <c r="MQY128" s="24"/>
      <c r="MQZ128" s="40"/>
      <c r="MRA128" s="24"/>
      <c r="MRB128" s="40"/>
      <c r="MRC128" s="24"/>
      <c r="MRD128" s="40"/>
      <c r="MRE128" s="24"/>
      <c r="MRF128" s="40"/>
      <c r="MRG128" s="24"/>
      <c r="MRH128" s="40"/>
      <c r="MRI128" s="24"/>
      <c r="MRJ128" s="40"/>
      <c r="MRK128" s="24"/>
      <c r="MRL128" s="40"/>
      <c r="MRM128" s="24"/>
      <c r="MRN128" s="40"/>
      <c r="MRO128" s="24"/>
      <c r="MRP128" s="40"/>
      <c r="MRQ128" s="24"/>
      <c r="MRR128" s="40"/>
      <c r="MRS128" s="24"/>
      <c r="MRT128" s="40"/>
      <c r="MRU128" s="24"/>
      <c r="MRV128" s="40"/>
      <c r="MRW128" s="24"/>
      <c r="MRX128" s="40"/>
      <c r="MRY128" s="24"/>
      <c r="MRZ128" s="40"/>
      <c r="MSA128" s="24"/>
      <c r="MSB128" s="40"/>
      <c r="MSC128" s="24"/>
      <c r="MSD128" s="40"/>
      <c r="MSE128" s="24"/>
      <c r="MSF128" s="40"/>
      <c r="MSG128" s="24"/>
      <c r="MSH128" s="40"/>
      <c r="MSI128" s="24"/>
      <c r="MSJ128" s="40"/>
      <c r="MSK128" s="24"/>
      <c r="MSL128" s="40"/>
      <c r="MSM128" s="24"/>
      <c r="MSN128" s="40"/>
      <c r="MSO128" s="24"/>
      <c r="MSP128" s="40"/>
      <c r="MSQ128" s="24"/>
      <c r="MSR128" s="40"/>
      <c r="MSS128" s="24"/>
      <c r="MST128" s="40"/>
      <c r="MSU128" s="24"/>
      <c r="MSV128" s="40"/>
      <c r="MSW128" s="24"/>
      <c r="MSX128" s="40"/>
      <c r="MSY128" s="24"/>
      <c r="MSZ128" s="40"/>
      <c r="MTA128" s="24"/>
      <c r="MTB128" s="40"/>
      <c r="MTC128" s="24"/>
      <c r="MTD128" s="40"/>
      <c r="MTE128" s="24"/>
      <c r="MTF128" s="40"/>
      <c r="MTG128" s="24"/>
      <c r="MTH128" s="40"/>
      <c r="MTI128" s="24"/>
      <c r="MTJ128" s="40"/>
      <c r="MTK128" s="24"/>
      <c r="MTL128" s="40"/>
      <c r="MTM128" s="24"/>
      <c r="MTN128" s="40"/>
      <c r="MTO128" s="24"/>
      <c r="MTP128" s="40"/>
      <c r="MTQ128" s="24"/>
      <c r="MTR128" s="40"/>
      <c r="MTS128" s="24"/>
      <c r="MTT128" s="40"/>
      <c r="MTU128" s="24"/>
      <c r="MTV128" s="40"/>
      <c r="MTW128" s="24"/>
      <c r="MTX128" s="40"/>
      <c r="MTY128" s="24"/>
      <c r="MTZ128" s="40"/>
      <c r="MUA128" s="24"/>
      <c r="MUB128" s="40"/>
      <c r="MUC128" s="24"/>
      <c r="MUD128" s="40"/>
      <c r="MUE128" s="24"/>
      <c r="MUF128" s="40"/>
      <c r="MUG128" s="24"/>
      <c r="MUH128" s="40"/>
      <c r="MUI128" s="24"/>
      <c r="MUJ128" s="40"/>
      <c r="MUK128" s="24"/>
      <c r="MUL128" s="40"/>
      <c r="MUM128" s="24"/>
      <c r="MUN128" s="40"/>
      <c r="MUO128" s="24"/>
      <c r="MUP128" s="40"/>
      <c r="MUQ128" s="24"/>
      <c r="MUR128" s="40"/>
      <c r="MUS128" s="24"/>
      <c r="MUT128" s="40"/>
      <c r="MUU128" s="24"/>
      <c r="MUV128" s="40"/>
      <c r="MUW128" s="24"/>
      <c r="MUX128" s="40"/>
      <c r="MUY128" s="24"/>
      <c r="MUZ128" s="40"/>
      <c r="MVA128" s="24"/>
      <c r="MVB128" s="40"/>
      <c r="MVC128" s="24"/>
      <c r="MVD128" s="40"/>
      <c r="MVE128" s="24"/>
      <c r="MVF128" s="40"/>
      <c r="MVG128" s="24"/>
      <c r="MVH128" s="40"/>
      <c r="MVI128" s="24"/>
      <c r="MVJ128" s="40"/>
      <c r="MVK128" s="24"/>
      <c r="MVL128" s="40"/>
      <c r="MVM128" s="24"/>
      <c r="MVN128" s="40"/>
      <c r="MVO128" s="24"/>
      <c r="MVP128" s="40"/>
      <c r="MVQ128" s="24"/>
      <c r="MVR128" s="40"/>
      <c r="MVS128" s="24"/>
      <c r="MVT128" s="40"/>
      <c r="MVU128" s="24"/>
      <c r="MVV128" s="40"/>
      <c r="MVW128" s="24"/>
      <c r="MVX128" s="40"/>
      <c r="MVY128" s="24"/>
      <c r="MVZ128" s="40"/>
      <c r="MWA128" s="24"/>
      <c r="MWB128" s="40"/>
      <c r="MWC128" s="24"/>
      <c r="MWD128" s="40"/>
      <c r="MWE128" s="24"/>
      <c r="MWF128" s="40"/>
      <c r="MWG128" s="24"/>
      <c r="MWH128" s="40"/>
      <c r="MWI128" s="24"/>
      <c r="MWJ128" s="40"/>
      <c r="MWK128" s="24"/>
      <c r="MWL128" s="40"/>
      <c r="MWM128" s="24"/>
      <c r="MWN128" s="40"/>
      <c r="MWO128" s="24"/>
      <c r="MWP128" s="40"/>
      <c r="MWQ128" s="24"/>
      <c r="MWR128" s="40"/>
      <c r="MWS128" s="24"/>
      <c r="MWT128" s="40"/>
      <c r="MWU128" s="24"/>
      <c r="MWV128" s="40"/>
      <c r="MWW128" s="24"/>
      <c r="MWX128" s="40"/>
      <c r="MWY128" s="24"/>
      <c r="MWZ128" s="40"/>
      <c r="MXA128" s="24"/>
      <c r="MXB128" s="40"/>
      <c r="MXC128" s="24"/>
      <c r="MXD128" s="40"/>
      <c r="MXE128" s="24"/>
      <c r="MXF128" s="40"/>
      <c r="MXG128" s="24"/>
      <c r="MXH128" s="40"/>
      <c r="MXI128" s="24"/>
      <c r="MXJ128" s="40"/>
      <c r="MXK128" s="24"/>
      <c r="MXL128" s="40"/>
      <c r="MXM128" s="24"/>
      <c r="MXN128" s="40"/>
      <c r="MXO128" s="24"/>
      <c r="MXP128" s="40"/>
      <c r="MXQ128" s="24"/>
      <c r="MXR128" s="40"/>
      <c r="MXS128" s="24"/>
      <c r="MXT128" s="40"/>
      <c r="MXU128" s="24"/>
      <c r="MXV128" s="40"/>
      <c r="MXW128" s="24"/>
      <c r="MXX128" s="40"/>
      <c r="MXY128" s="24"/>
      <c r="MXZ128" s="40"/>
      <c r="MYA128" s="24"/>
      <c r="MYB128" s="40"/>
      <c r="MYC128" s="24"/>
      <c r="MYD128" s="40"/>
      <c r="MYE128" s="24"/>
      <c r="MYF128" s="40"/>
      <c r="MYG128" s="24"/>
      <c r="MYH128" s="40"/>
      <c r="MYI128" s="24"/>
      <c r="MYJ128" s="40"/>
      <c r="MYK128" s="24"/>
      <c r="MYL128" s="40"/>
      <c r="MYM128" s="24"/>
      <c r="MYN128" s="40"/>
      <c r="MYO128" s="24"/>
      <c r="MYP128" s="40"/>
      <c r="MYQ128" s="24"/>
      <c r="MYR128" s="40"/>
      <c r="MYS128" s="24"/>
      <c r="MYT128" s="40"/>
      <c r="MYU128" s="24"/>
      <c r="MYV128" s="40"/>
      <c r="MYW128" s="24"/>
      <c r="MYX128" s="40"/>
      <c r="MYY128" s="24"/>
      <c r="MYZ128" s="40"/>
      <c r="MZA128" s="24"/>
      <c r="MZB128" s="40"/>
      <c r="MZC128" s="24"/>
      <c r="MZD128" s="40"/>
      <c r="MZE128" s="24"/>
      <c r="MZF128" s="40"/>
      <c r="MZG128" s="24"/>
      <c r="MZH128" s="40"/>
      <c r="MZI128" s="24"/>
      <c r="MZJ128" s="40"/>
      <c r="MZK128" s="24"/>
      <c r="MZL128" s="40"/>
      <c r="MZM128" s="24"/>
      <c r="MZN128" s="40"/>
      <c r="MZO128" s="24"/>
      <c r="MZP128" s="40"/>
      <c r="MZQ128" s="24"/>
      <c r="MZR128" s="40"/>
      <c r="MZS128" s="24"/>
      <c r="MZT128" s="40"/>
      <c r="MZU128" s="24"/>
      <c r="MZV128" s="40"/>
      <c r="MZW128" s="24"/>
      <c r="MZX128" s="40"/>
      <c r="MZY128" s="24"/>
      <c r="MZZ128" s="40"/>
      <c r="NAA128" s="24"/>
      <c r="NAB128" s="40"/>
      <c r="NAC128" s="24"/>
      <c r="NAD128" s="40"/>
      <c r="NAE128" s="24"/>
      <c r="NAF128" s="40"/>
      <c r="NAG128" s="24"/>
      <c r="NAH128" s="40"/>
      <c r="NAI128" s="24"/>
      <c r="NAJ128" s="40"/>
      <c r="NAK128" s="24"/>
      <c r="NAL128" s="40"/>
      <c r="NAM128" s="24"/>
      <c r="NAN128" s="40"/>
      <c r="NAO128" s="24"/>
      <c r="NAP128" s="40"/>
      <c r="NAQ128" s="24"/>
      <c r="NAR128" s="40"/>
      <c r="NAS128" s="24"/>
      <c r="NAT128" s="40"/>
      <c r="NAU128" s="24"/>
      <c r="NAV128" s="40"/>
      <c r="NAW128" s="24"/>
      <c r="NAX128" s="40"/>
      <c r="NAY128" s="24"/>
      <c r="NAZ128" s="40"/>
      <c r="NBA128" s="24"/>
      <c r="NBB128" s="40"/>
      <c r="NBC128" s="24"/>
      <c r="NBD128" s="40"/>
      <c r="NBE128" s="24"/>
      <c r="NBF128" s="40"/>
      <c r="NBG128" s="24"/>
      <c r="NBH128" s="40"/>
      <c r="NBI128" s="24"/>
      <c r="NBJ128" s="40"/>
      <c r="NBK128" s="24"/>
      <c r="NBL128" s="40"/>
      <c r="NBM128" s="24"/>
      <c r="NBN128" s="40"/>
      <c r="NBO128" s="24"/>
      <c r="NBP128" s="40"/>
      <c r="NBQ128" s="24"/>
      <c r="NBR128" s="40"/>
      <c r="NBS128" s="24"/>
      <c r="NBT128" s="40"/>
      <c r="NBU128" s="24"/>
      <c r="NBV128" s="40"/>
      <c r="NBW128" s="24"/>
      <c r="NBX128" s="40"/>
      <c r="NBY128" s="24"/>
      <c r="NBZ128" s="40"/>
      <c r="NCA128" s="24"/>
      <c r="NCB128" s="40"/>
      <c r="NCC128" s="24"/>
      <c r="NCD128" s="40"/>
      <c r="NCE128" s="24"/>
      <c r="NCF128" s="40"/>
      <c r="NCG128" s="24"/>
      <c r="NCH128" s="40"/>
      <c r="NCI128" s="24"/>
      <c r="NCJ128" s="40"/>
      <c r="NCK128" s="24"/>
      <c r="NCL128" s="40"/>
      <c r="NCM128" s="24"/>
      <c r="NCN128" s="40"/>
      <c r="NCO128" s="24"/>
      <c r="NCP128" s="40"/>
      <c r="NCQ128" s="24"/>
      <c r="NCR128" s="40"/>
      <c r="NCS128" s="24"/>
      <c r="NCT128" s="40"/>
      <c r="NCU128" s="24"/>
      <c r="NCV128" s="40"/>
      <c r="NCW128" s="24"/>
      <c r="NCX128" s="40"/>
      <c r="NCY128" s="24"/>
      <c r="NCZ128" s="40"/>
      <c r="NDA128" s="24"/>
      <c r="NDB128" s="40"/>
      <c r="NDC128" s="24"/>
      <c r="NDD128" s="40"/>
      <c r="NDE128" s="24"/>
      <c r="NDF128" s="40"/>
      <c r="NDG128" s="24"/>
      <c r="NDH128" s="40"/>
      <c r="NDI128" s="24"/>
      <c r="NDJ128" s="40"/>
      <c r="NDK128" s="24"/>
      <c r="NDL128" s="40"/>
      <c r="NDM128" s="24"/>
      <c r="NDN128" s="40"/>
      <c r="NDO128" s="24"/>
      <c r="NDP128" s="40"/>
      <c r="NDQ128" s="24"/>
      <c r="NDR128" s="40"/>
      <c r="NDS128" s="24"/>
      <c r="NDT128" s="40"/>
      <c r="NDU128" s="24"/>
      <c r="NDV128" s="40"/>
      <c r="NDW128" s="24"/>
      <c r="NDX128" s="40"/>
      <c r="NDY128" s="24"/>
      <c r="NDZ128" s="40"/>
      <c r="NEA128" s="24"/>
      <c r="NEB128" s="40"/>
      <c r="NEC128" s="24"/>
      <c r="NED128" s="40"/>
      <c r="NEE128" s="24"/>
      <c r="NEF128" s="40"/>
      <c r="NEG128" s="24"/>
      <c r="NEH128" s="40"/>
      <c r="NEI128" s="24"/>
      <c r="NEJ128" s="40"/>
      <c r="NEK128" s="24"/>
      <c r="NEL128" s="40"/>
      <c r="NEM128" s="24"/>
      <c r="NEN128" s="40"/>
      <c r="NEO128" s="24"/>
      <c r="NEP128" s="40"/>
      <c r="NEQ128" s="24"/>
      <c r="NER128" s="40"/>
      <c r="NES128" s="24"/>
      <c r="NET128" s="40"/>
      <c r="NEU128" s="24"/>
      <c r="NEV128" s="40"/>
      <c r="NEW128" s="24"/>
      <c r="NEX128" s="40"/>
      <c r="NEY128" s="24"/>
      <c r="NEZ128" s="40"/>
      <c r="NFA128" s="24"/>
      <c r="NFB128" s="40"/>
      <c r="NFC128" s="24"/>
      <c r="NFD128" s="40"/>
      <c r="NFE128" s="24"/>
      <c r="NFF128" s="40"/>
      <c r="NFG128" s="24"/>
      <c r="NFH128" s="40"/>
      <c r="NFI128" s="24"/>
      <c r="NFJ128" s="40"/>
      <c r="NFK128" s="24"/>
      <c r="NFL128" s="40"/>
      <c r="NFM128" s="24"/>
      <c r="NFN128" s="40"/>
      <c r="NFO128" s="24"/>
      <c r="NFP128" s="40"/>
      <c r="NFQ128" s="24"/>
      <c r="NFR128" s="40"/>
      <c r="NFS128" s="24"/>
      <c r="NFT128" s="40"/>
      <c r="NFU128" s="24"/>
      <c r="NFV128" s="40"/>
      <c r="NFW128" s="24"/>
      <c r="NFX128" s="40"/>
      <c r="NFY128" s="24"/>
      <c r="NFZ128" s="40"/>
      <c r="NGA128" s="24"/>
      <c r="NGB128" s="40"/>
      <c r="NGC128" s="24"/>
      <c r="NGD128" s="40"/>
      <c r="NGE128" s="24"/>
      <c r="NGF128" s="40"/>
      <c r="NGG128" s="24"/>
      <c r="NGH128" s="40"/>
      <c r="NGI128" s="24"/>
      <c r="NGJ128" s="40"/>
      <c r="NGK128" s="24"/>
      <c r="NGL128" s="40"/>
      <c r="NGM128" s="24"/>
      <c r="NGN128" s="40"/>
      <c r="NGO128" s="24"/>
      <c r="NGP128" s="40"/>
      <c r="NGQ128" s="24"/>
      <c r="NGR128" s="40"/>
      <c r="NGS128" s="24"/>
      <c r="NGT128" s="40"/>
      <c r="NGU128" s="24"/>
      <c r="NGV128" s="40"/>
      <c r="NGW128" s="24"/>
      <c r="NGX128" s="40"/>
      <c r="NGY128" s="24"/>
      <c r="NGZ128" s="40"/>
      <c r="NHA128" s="24"/>
      <c r="NHB128" s="40"/>
      <c r="NHC128" s="24"/>
      <c r="NHD128" s="40"/>
      <c r="NHE128" s="24"/>
      <c r="NHF128" s="40"/>
      <c r="NHG128" s="24"/>
      <c r="NHH128" s="40"/>
      <c r="NHI128" s="24"/>
      <c r="NHJ128" s="40"/>
      <c r="NHK128" s="24"/>
      <c r="NHL128" s="40"/>
      <c r="NHM128" s="24"/>
      <c r="NHN128" s="40"/>
      <c r="NHO128" s="24"/>
      <c r="NHP128" s="40"/>
      <c r="NHQ128" s="24"/>
      <c r="NHR128" s="40"/>
      <c r="NHS128" s="24"/>
      <c r="NHT128" s="40"/>
      <c r="NHU128" s="24"/>
      <c r="NHV128" s="40"/>
      <c r="NHW128" s="24"/>
      <c r="NHX128" s="40"/>
      <c r="NHY128" s="24"/>
      <c r="NHZ128" s="40"/>
      <c r="NIA128" s="24"/>
      <c r="NIB128" s="40"/>
      <c r="NIC128" s="24"/>
      <c r="NID128" s="40"/>
      <c r="NIE128" s="24"/>
      <c r="NIF128" s="40"/>
      <c r="NIG128" s="24"/>
      <c r="NIH128" s="40"/>
      <c r="NII128" s="24"/>
      <c r="NIJ128" s="40"/>
      <c r="NIK128" s="24"/>
      <c r="NIL128" s="40"/>
      <c r="NIM128" s="24"/>
      <c r="NIN128" s="40"/>
      <c r="NIO128" s="24"/>
      <c r="NIP128" s="40"/>
      <c r="NIQ128" s="24"/>
      <c r="NIR128" s="40"/>
      <c r="NIS128" s="24"/>
      <c r="NIT128" s="40"/>
      <c r="NIU128" s="24"/>
      <c r="NIV128" s="40"/>
      <c r="NIW128" s="24"/>
      <c r="NIX128" s="40"/>
      <c r="NIY128" s="24"/>
      <c r="NIZ128" s="40"/>
      <c r="NJA128" s="24"/>
      <c r="NJB128" s="40"/>
      <c r="NJC128" s="24"/>
      <c r="NJD128" s="40"/>
      <c r="NJE128" s="24"/>
      <c r="NJF128" s="40"/>
      <c r="NJG128" s="24"/>
      <c r="NJH128" s="40"/>
      <c r="NJI128" s="24"/>
      <c r="NJJ128" s="40"/>
      <c r="NJK128" s="24"/>
      <c r="NJL128" s="40"/>
      <c r="NJM128" s="24"/>
      <c r="NJN128" s="40"/>
      <c r="NJO128" s="24"/>
      <c r="NJP128" s="40"/>
      <c r="NJQ128" s="24"/>
      <c r="NJR128" s="40"/>
      <c r="NJS128" s="24"/>
      <c r="NJT128" s="40"/>
      <c r="NJU128" s="24"/>
      <c r="NJV128" s="40"/>
      <c r="NJW128" s="24"/>
      <c r="NJX128" s="40"/>
      <c r="NJY128" s="24"/>
      <c r="NJZ128" s="40"/>
      <c r="NKA128" s="24"/>
      <c r="NKB128" s="40"/>
      <c r="NKC128" s="24"/>
      <c r="NKD128" s="40"/>
      <c r="NKE128" s="24"/>
      <c r="NKF128" s="40"/>
      <c r="NKG128" s="24"/>
      <c r="NKH128" s="40"/>
      <c r="NKI128" s="24"/>
      <c r="NKJ128" s="40"/>
      <c r="NKK128" s="24"/>
      <c r="NKL128" s="40"/>
      <c r="NKM128" s="24"/>
      <c r="NKN128" s="40"/>
      <c r="NKO128" s="24"/>
      <c r="NKP128" s="40"/>
      <c r="NKQ128" s="24"/>
      <c r="NKR128" s="40"/>
      <c r="NKS128" s="24"/>
      <c r="NKT128" s="40"/>
      <c r="NKU128" s="24"/>
      <c r="NKV128" s="40"/>
      <c r="NKW128" s="24"/>
      <c r="NKX128" s="40"/>
      <c r="NKY128" s="24"/>
      <c r="NKZ128" s="40"/>
      <c r="NLA128" s="24"/>
      <c r="NLB128" s="40"/>
      <c r="NLC128" s="24"/>
      <c r="NLD128" s="40"/>
      <c r="NLE128" s="24"/>
      <c r="NLF128" s="40"/>
      <c r="NLG128" s="24"/>
      <c r="NLH128" s="40"/>
      <c r="NLI128" s="24"/>
      <c r="NLJ128" s="40"/>
      <c r="NLK128" s="24"/>
      <c r="NLL128" s="40"/>
      <c r="NLM128" s="24"/>
      <c r="NLN128" s="40"/>
      <c r="NLO128" s="24"/>
      <c r="NLP128" s="40"/>
      <c r="NLQ128" s="24"/>
      <c r="NLR128" s="40"/>
      <c r="NLS128" s="24"/>
      <c r="NLT128" s="40"/>
      <c r="NLU128" s="24"/>
      <c r="NLV128" s="40"/>
      <c r="NLW128" s="24"/>
      <c r="NLX128" s="40"/>
      <c r="NLY128" s="24"/>
      <c r="NLZ128" s="40"/>
      <c r="NMA128" s="24"/>
      <c r="NMB128" s="40"/>
      <c r="NMC128" s="24"/>
      <c r="NMD128" s="40"/>
      <c r="NME128" s="24"/>
      <c r="NMF128" s="40"/>
      <c r="NMG128" s="24"/>
      <c r="NMH128" s="40"/>
      <c r="NMI128" s="24"/>
      <c r="NMJ128" s="40"/>
      <c r="NMK128" s="24"/>
      <c r="NML128" s="40"/>
      <c r="NMM128" s="24"/>
      <c r="NMN128" s="40"/>
      <c r="NMO128" s="24"/>
      <c r="NMP128" s="40"/>
      <c r="NMQ128" s="24"/>
      <c r="NMR128" s="40"/>
      <c r="NMS128" s="24"/>
      <c r="NMT128" s="40"/>
      <c r="NMU128" s="24"/>
      <c r="NMV128" s="40"/>
      <c r="NMW128" s="24"/>
      <c r="NMX128" s="40"/>
      <c r="NMY128" s="24"/>
      <c r="NMZ128" s="40"/>
      <c r="NNA128" s="24"/>
      <c r="NNB128" s="40"/>
      <c r="NNC128" s="24"/>
      <c r="NND128" s="40"/>
      <c r="NNE128" s="24"/>
      <c r="NNF128" s="40"/>
      <c r="NNG128" s="24"/>
      <c r="NNH128" s="40"/>
      <c r="NNI128" s="24"/>
      <c r="NNJ128" s="40"/>
      <c r="NNK128" s="24"/>
      <c r="NNL128" s="40"/>
      <c r="NNM128" s="24"/>
      <c r="NNN128" s="40"/>
      <c r="NNO128" s="24"/>
      <c r="NNP128" s="40"/>
      <c r="NNQ128" s="24"/>
      <c r="NNR128" s="40"/>
      <c r="NNS128" s="24"/>
      <c r="NNT128" s="40"/>
      <c r="NNU128" s="24"/>
      <c r="NNV128" s="40"/>
      <c r="NNW128" s="24"/>
      <c r="NNX128" s="40"/>
      <c r="NNY128" s="24"/>
      <c r="NNZ128" s="40"/>
      <c r="NOA128" s="24"/>
      <c r="NOB128" s="40"/>
      <c r="NOC128" s="24"/>
      <c r="NOD128" s="40"/>
      <c r="NOE128" s="24"/>
      <c r="NOF128" s="40"/>
      <c r="NOG128" s="24"/>
      <c r="NOH128" s="40"/>
      <c r="NOI128" s="24"/>
      <c r="NOJ128" s="40"/>
      <c r="NOK128" s="24"/>
      <c r="NOL128" s="40"/>
      <c r="NOM128" s="24"/>
      <c r="NON128" s="40"/>
      <c r="NOO128" s="24"/>
      <c r="NOP128" s="40"/>
      <c r="NOQ128" s="24"/>
      <c r="NOR128" s="40"/>
      <c r="NOS128" s="24"/>
      <c r="NOT128" s="40"/>
      <c r="NOU128" s="24"/>
      <c r="NOV128" s="40"/>
      <c r="NOW128" s="24"/>
      <c r="NOX128" s="40"/>
      <c r="NOY128" s="24"/>
      <c r="NOZ128" s="40"/>
      <c r="NPA128" s="24"/>
      <c r="NPB128" s="40"/>
      <c r="NPC128" s="24"/>
      <c r="NPD128" s="40"/>
      <c r="NPE128" s="24"/>
      <c r="NPF128" s="40"/>
      <c r="NPG128" s="24"/>
      <c r="NPH128" s="40"/>
      <c r="NPI128" s="24"/>
      <c r="NPJ128" s="40"/>
      <c r="NPK128" s="24"/>
      <c r="NPL128" s="40"/>
      <c r="NPM128" s="24"/>
      <c r="NPN128" s="40"/>
      <c r="NPO128" s="24"/>
      <c r="NPP128" s="40"/>
      <c r="NPQ128" s="24"/>
      <c r="NPR128" s="40"/>
      <c r="NPS128" s="24"/>
      <c r="NPT128" s="40"/>
      <c r="NPU128" s="24"/>
      <c r="NPV128" s="40"/>
      <c r="NPW128" s="24"/>
      <c r="NPX128" s="40"/>
      <c r="NPY128" s="24"/>
      <c r="NPZ128" s="40"/>
      <c r="NQA128" s="24"/>
      <c r="NQB128" s="40"/>
      <c r="NQC128" s="24"/>
      <c r="NQD128" s="40"/>
      <c r="NQE128" s="24"/>
      <c r="NQF128" s="40"/>
      <c r="NQG128" s="24"/>
      <c r="NQH128" s="40"/>
      <c r="NQI128" s="24"/>
      <c r="NQJ128" s="40"/>
      <c r="NQK128" s="24"/>
      <c r="NQL128" s="40"/>
      <c r="NQM128" s="24"/>
      <c r="NQN128" s="40"/>
      <c r="NQO128" s="24"/>
      <c r="NQP128" s="40"/>
      <c r="NQQ128" s="24"/>
      <c r="NQR128" s="40"/>
      <c r="NQS128" s="24"/>
      <c r="NQT128" s="40"/>
      <c r="NQU128" s="24"/>
      <c r="NQV128" s="40"/>
      <c r="NQW128" s="24"/>
      <c r="NQX128" s="40"/>
      <c r="NQY128" s="24"/>
      <c r="NQZ128" s="40"/>
      <c r="NRA128" s="24"/>
      <c r="NRB128" s="40"/>
      <c r="NRC128" s="24"/>
      <c r="NRD128" s="40"/>
      <c r="NRE128" s="24"/>
      <c r="NRF128" s="40"/>
      <c r="NRG128" s="24"/>
      <c r="NRH128" s="40"/>
      <c r="NRI128" s="24"/>
      <c r="NRJ128" s="40"/>
      <c r="NRK128" s="24"/>
      <c r="NRL128" s="40"/>
      <c r="NRM128" s="24"/>
      <c r="NRN128" s="40"/>
      <c r="NRO128" s="24"/>
      <c r="NRP128" s="40"/>
      <c r="NRQ128" s="24"/>
      <c r="NRR128" s="40"/>
      <c r="NRS128" s="24"/>
      <c r="NRT128" s="40"/>
      <c r="NRU128" s="24"/>
      <c r="NRV128" s="40"/>
      <c r="NRW128" s="24"/>
      <c r="NRX128" s="40"/>
      <c r="NRY128" s="24"/>
      <c r="NRZ128" s="40"/>
      <c r="NSA128" s="24"/>
      <c r="NSB128" s="40"/>
      <c r="NSC128" s="24"/>
      <c r="NSD128" s="40"/>
      <c r="NSE128" s="24"/>
      <c r="NSF128" s="40"/>
      <c r="NSG128" s="24"/>
      <c r="NSH128" s="40"/>
      <c r="NSI128" s="24"/>
      <c r="NSJ128" s="40"/>
      <c r="NSK128" s="24"/>
      <c r="NSL128" s="40"/>
      <c r="NSM128" s="24"/>
      <c r="NSN128" s="40"/>
      <c r="NSO128" s="24"/>
      <c r="NSP128" s="40"/>
      <c r="NSQ128" s="24"/>
      <c r="NSR128" s="40"/>
      <c r="NSS128" s="24"/>
      <c r="NST128" s="40"/>
      <c r="NSU128" s="24"/>
      <c r="NSV128" s="40"/>
      <c r="NSW128" s="24"/>
      <c r="NSX128" s="40"/>
      <c r="NSY128" s="24"/>
      <c r="NSZ128" s="40"/>
      <c r="NTA128" s="24"/>
      <c r="NTB128" s="40"/>
      <c r="NTC128" s="24"/>
      <c r="NTD128" s="40"/>
      <c r="NTE128" s="24"/>
      <c r="NTF128" s="40"/>
      <c r="NTG128" s="24"/>
      <c r="NTH128" s="40"/>
      <c r="NTI128" s="24"/>
      <c r="NTJ128" s="40"/>
      <c r="NTK128" s="24"/>
      <c r="NTL128" s="40"/>
      <c r="NTM128" s="24"/>
      <c r="NTN128" s="40"/>
      <c r="NTO128" s="24"/>
      <c r="NTP128" s="40"/>
      <c r="NTQ128" s="24"/>
      <c r="NTR128" s="40"/>
      <c r="NTS128" s="24"/>
      <c r="NTT128" s="40"/>
      <c r="NTU128" s="24"/>
      <c r="NTV128" s="40"/>
      <c r="NTW128" s="24"/>
      <c r="NTX128" s="40"/>
      <c r="NTY128" s="24"/>
      <c r="NTZ128" s="40"/>
      <c r="NUA128" s="24"/>
      <c r="NUB128" s="40"/>
      <c r="NUC128" s="24"/>
      <c r="NUD128" s="40"/>
      <c r="NUE128" s="24"/>
      <c r="NUF128" s="40"/>
      <c r="NUG128" s="24"/>
      <c r="NUH128" s="40"/>
      <c r="NUI128" s="24"/>
      <c r="NUJ128" s="40"/>
      <c r="NUK128" s="24"/>
      <c r="NUL128" s="40"/>
      <c r="NUM128" s="24"/>
      <c r="NUN128" s="40"/>
      <c r="NUO128" s="24"/>
      <c r="NUP128" s="40"/>
      <c r="NUQ128" s="24"/>
      <c r="NUR128" s="40"/>
      <c r="NUS128" s="24"/>
      <c r="NUT128" s="40"/>
      <c r="NUU128" s="24"/>
      <c r="NUV128" s="40"/>
      <c r="NUW128" s="24"/>
      <c r="NUX128" s="40"/>
      <c r="NUY128" s="24"/>
      <c r="NUZ128" s="40"/>
      <c r="NVA128" s="24"/>
      <c r="NVB128" s="40"/>
      <c r="NVC128" s="24"/>
      <c r="NVD128" s="40"/>
      <c r="NVE128" s="24"/>
      <c r="NVF128" s="40"/>
      <c r="NVG128" s="24"/>
      <c r="NVH128" s="40"/>
      <c r="NVI128" s="24"/>
      <c r="NVJ128" s="40"/>
      <c r="NVK128" s="24"/>
      <c r="NVL128" s="40"/>
      <c r="NVM128" s="24"/>
      <c r="NVN128" s="40"/>
      <c r="NVO128" s="24"/>
      <c r="NVP128" s="40"/>
      <c r="NVQ128" s="24"/>
      <c r="NVR128" s="40"/>
      <c r="NVS128" s="24"/>
      <c r="NVT128" s="40"/>
      <c r="NVU128" s="24"/>
      <c r="NVV128" s="40"/>
      <c r="NVW128" s="24"/>
      <c r="NVX128" s="40"/>
      <c r="NVY128" s="24"/>
      <c r="NVZ128" s="40"/>
      <c r="NWA128" s="24"/>
      <c r="NWB128" s="40"/>
      <c r="NWC128" s="24"/>
      <c r="NWD128" s="40"/>
      <c r="NWE128" s="24"/>
      <c r="NWF128" s="40"/>
      <c r="NWG128" s="24"/>
      <c r="NWH128" s="40"/>
      <c r="NWI128" s="24"/>
      <c r="NWJ128" s="40"/>
      <c r="NWK128" s="24"/>
      <c r="NWL128" s="40"/>
      <c r="NWM128" s="24"/>
      <c r="NWN128" s="40"/>
      <c r="NWO128" s="24"/>
      <c r="NWP128" s="40"/>
      <c r="NWQ128" s="24"/>
      <c r="NWR128" s="40"/>
      <c r="NWS128" s="24"/>
      <c r="NWT128" s="40"/>
      <c r="NWU128" s="24"/>
      <c r="NWV128" s="40"/>
      <c r="NWW128" s="24"/>
      <c r="NWX128" s="40"/>
      <c r="NWY128" s="24"/>
      <c r="NWZ128" s="40"/>
      <c r="NXA128" s="24"/>
      <c r="NXB128" s="40"/>
      <c r="NXC128" s="24"/>
      <c r="NXD128" s="40"/>
      <c r="NXE128" s="24"/>
      <c r="NXF128" s="40"/>
      <c r="NXG128" s="24"/>
      <c r="NXH128" s="40"/>
      <c r="NXI128" s="24"/>
      <c r="NXJ128" s="40"/>
      <c r="NXK128" s="24"/>
      <c r="NXL128" s="40"/>
      <c r="NXM128" s="24"/>
      <c r="NXN128" s="40"/>
      <c r="NXO128" s="24"/>
      <c r="NXP128" s="40"/>
      <c r="NXQ128" s="24"/>
      <c r="NXR128" s="40"/>
      <c r="NXS128" s="24"/>
      <c r="NXT128" s="40"/>
      <c r="NXU128" s="24"/>
      <c r="NXV128" s="40"/>
      <c r="NXW128" s="24"/>
      <c r="NXX128" s="40"/>
      <c r="NXY128" s="24"/>
      <c r="NXZ128" s="40"/>
      <c r="NYA128" s="24"/>
      <c r="NYB128" s="40"/>
      <c r="NYC128" s="24"/>
      <c r="NYD128" s="40"/>
      <c r="NYE128" s="24"/>
      <c r="NYF128" s="40"/>
      <c r="NYG128" s="24"/>
      <c r="NYH128" s="40"/>
      <c r="NYI128" s="24"/>
      <c r="NYJ128" s="40"/>
      <c r="NYK128" s="24"/>
      <c r="NYL128" s="40"/>
      <c r="NYM128" s="24"/>
      <c r="NYN128" s="40"/>
      <c r="NYO128" s="24"/>
      <c r="NYP128" s="40"/>
      <c r="NYQ128" s="24"/>
      <c r="NYR128" s="40"/>
      <c r="NYS128" s="24"/>
      <c r="NYT128" s="40"/>
      <c r="NYU128" s="24"/>
      <c r="NYV128" s="40"/>
      <c r="NYW128" s="24"/>
      <c r="NYX128" s="40"/>
      <c r="NYY128" s="24"/>
      <c r="NYZ128" s="40"/>
      <c r="NZA128" s="24"/>
      <c r="NZB128" s="40"/>
      <c r="NZC128" s="24"/>
      <c r="NZD128" s="40"/>
      <c r="NZE128" s="24"/>
      <c r="NZF128" s="40"/>
      <c r="NZG128" s="24"/>
      <c r="NZH128" s="40"/>
      <c r="NZI128" s="24"/>
      <c r="NZJ128" s="40"/>
      <c r="NZK128" s="24"/>
      <c r="NZL128" s="40"/>
      <c r="NZM128" s="24"/>
      <c r="NZN128" s="40"/>
      <c r="NZO128" s="24"/>
      <c r="NZP128" s="40"/>
      <c r="NZQ128" s="24"/>
      <c r="NZR128" s="40"/>
      <c r="NZS128" s="24"/>
      <c r="NZT128" s="40"/>
      <c r="NZU128" s="24"/>
      <c r="NZV128" s="40"/>
      <c r="NZW128" s="24"/>
      <c r="NZX128" s="40"/>
      <c r="NZY128" s="24"/>
      <c r="NZZ128" s="40"/>
      <c r="OAA128" s="24"/>
      <c r="OAB128" s="40"/>
      <c r="OAC128" s="24"/>
      <c r="OAD128" s="40"/>
      <c r="OAE128" s="24"/>
      <c r="OAF128" s="40"/>
      <c r="OAG128" s="24"/>
      <c r="OAH128" s="40"/>
      <c r="OAI128" s="24"/>
      <c r="OAJ128" s="40"/>
      <c r="OAK128" s="24"/>
      <c r="OAL128" s="40"/>
      <c r="OAM128" s="24"/>
      <c r="OAN128" s="40"/>
      <c r="OAO128" s="24"/>
      <c r="OAP128" s="40"/>
      <c r="OAQ128" s="24"/>
      <c r="OAR128" s="40"/>
      <c r="OAS128" s="24"/>
      <c r="OAT128" s="40"/>
      <c r="OAU128" s="24"/>
      <c r="OAV128" s="40"/>
      <c r="OAW128" s="24"/>
      <c r="OAX128" s="40"/>
      <c r="OAY128" s="24"/>
      <c r="OAZ128" s="40"/>
      <c r="OBA128" s="24"/>
      <c r="OBB128" s="40"/>
      <c r="OBC128" s="24"/>
      <c r="OBD128" s="40"/>
      <c r="OBE128" s="24"/>
      <c r="OBF128" s="40"/>
      <c r="OBG128" s="24"/>
      <c r="OBH128" s="40"/>
      <c r="OBI128" s="24"/>
      <c r="OBJ128" s="40"/>
      <c r="OBK128" s="24"/>
      <c r="OBL128" s="40"/>
      <c r="OBM128" s="24"/>
      <c r="OBN128" s="40"/>
      <c r="OBO128" s="24"/>
      <c r="OBP128" s="40"/>
      <c r="OBQ128" s="24"/>
      <c r="OBR128" s="40"/>
      <c r="OBS128" s="24"/>
      <c r="OBT128" s="40"/>
      <c r="OBU128" s="24"/>
      <c r="OBV128" s="40"/>
      <c r="OBW128" s="24"/>
      <c r="OBX128" s="40"/>
      <c r="OBY128" s="24"/>
      <c r="OBZ128" s="40"/>
      <c r="OCA128" s="24"/>
      <c r="OCB128" s="40"/>
      <c r="OCC128" s="24"/>
      <c r="OCD128" s="40"/>
      <c r="OCE128" s="24"/>
      <c r="OCF128" s="40"/>
      <c r="OCG128" s="24"/>
      <c r="OCH128" s="40"/>
      <c r="OCI128" s="24"/>
      <c r="OCJ128" s="40"/>
      <c r="OCK128" s="24"/>
      <c r="OCL128" s="40"/>
      <c r="OCM128" s="24"/>
      <c r="OCN128" s="40"/>
      <c r="OCO128" s="24"/>
      <c r="OCP128" s="40"/>
      <c r="OCQ128" s="24"/>
      <c r="OCR128" s="40"/>
      <c r="OCS128" s="24"/>
      <c r="OCT128" s="40"/>
      <c r="OCU128" s="24"/>
      <c r="OCV128" s="40"/>
      <c r="OCW128" s="24"/>
      <c r="OCX128" s="40"/>
      <c r="OCY128" s="24"/>
      <c r="OCZ128" s="40"/>
      <c r="ODA128" s="24"/>
      <c r="ODB128" s="40"/>
      <c r="ODC128" s="24"/>
      <c r="ODD128" s="40"/>
      <c r="ODE128" s="24"/>
      <c r="ODF128" s="40"/>
      <c r="ODG128" s="24"/>
      <c r="ODH128" s="40"/>
      <c r="ODI128" s="24"/>
      <c r="ODJ128" s="40"/>
      <c r="ODK128" s="24"/>
      <c r="ODL128" s="40"/>
      <c r="ODM128" s="24"/>
      <c r="ODN128" s="40"/>
      <c r="ODO128" s="24"/>
      <c r="ODP128" s="40"/>
      <c r="ODQ128" s="24"/>
      <c r="ODR128" s="40"/>
      <c r="ODS128" s="24"/>
      <c r="ODT128" s="40"/>
      <c r="ODU128" s="24"/>
      <c r="ODV128" s="40"/>
      <c r="ODW128" s="24"/>
      <c r="ODX128" s="40"/>
      <c r="ODY128" s="24"/>
      <c r="ODZ128" s="40"/>
      <c r="OEA128" s="24"/>
      <c r="OEB128" s="40"/>
      <c r="OEC128" s="24"/>
      <c r="OED128" s="40"/>
      <c r="OEE128" s="24"/>
      <c r="OEF128" s="40"/>
      <c r="OEG128" s="24"/>
      <c r="OEH128" s="40"/>
      <c r="OEI128" s="24"/>
      <c r="OEJ128" s="40"/>
      <c r="OEK128" s="24"/>
      <c r="OEL128" s="40"/>
      <c r="OEM128" s="24"/>
      <c r="OEN128" s="40"/>
      <c r="OEO128" s="24"/>
      <c r="OEP128" s="40"/>
      <c r="OEQ128" s="24"/>
      <c r="OER128" s="40"/>
      <c r="OES128" s="24"/>
      <c r="OET128" s="40"/>
      <c r="OEU128" s="24"/>
      <c r="OEV128" s="40"/>
      <c r="OEW128" s="24"/>
      <c r="OEX128" s="40"/>
      <c r="OEY128" s="24"/>
      <c r="OEZ128" s="40"/>
      <c r="OFA128" s="24"/>
      <c r="OFB128" s="40"/>
      <c r="OFC128" s="24"/>
      <c r="OFD128" s="40"/>
      <c r="OFE128" s="24"/>
      <c r="OFF128" s="40"/>
      <c r="OFG128" s="24"/>
      <c r="OFH128" s="40"/>
      <c r="OFI128" s="24"/>
      <c r="OFJ128" s="40"/>
      <c r="OFK128" s="24"/>
      <c r="OFL128" s="40"/>
      <c r="OFM128" s="24"/>
      <c r="OFN128" s="40"/>
      <c r="OFO128" s="24"/>
      <c r="OFP128" s="40"/>
      <c r="OFQ128" s="24"/>
      <c r="OFR128" s="40"/>
      <c r="OFS128" s="24"/>
      <c r="OFT128" s="40"/>
      <c r="OFU128" s="24"/>
      <c r="OFV128" s="40"/>
      <c r="OFW128" s="24"/>
      <c r="OFX128" s="40"/>
      <c r="OFY128" s="24"/>
      <c r="OFZ128" s="40"/>
      <c r="OGA128" s="24"/>
      <c r="OGB128" s="40"/>
      <c r="OGC128" s="24"/>
      <c r="OGD128" s="40"/>
      <c r="OGE128" s="24"/>
      <c r="OGF128" s="40"/>
      <c r="OGG128" s="24"/>
      <c r="OGH128" s="40"/>
      <c r="OGI128" s="24"/>
      <c r="OGJ128" s="40"/>
      <c r="OGK128" s="24"/>
      <c r="OGL128" s="40"/>
      <c r="OGM128" s="24"/>
      <c r="OGN128" s="40"/>
      <c r="OGO128" s="24"/>
      <c r="OGP128" s="40"/>
      <c r="OGQ128" s="24"/>
      <c r="OGR128" s="40"/>
      <c r="OGS128" s="24"/>
      <c r="OGT128" s="40"/>
      <c r="OGU128" s="24"/>
      <c r="OGV128" s="40"/>
      <c r="OGW128" s="24"/>
      <c r="OGX128" s="40"/>
      <c r="OGY128" s="24"/>
      <c r="OGZ128" s="40"/>
      <c r="OHA128" s="24"/>
      <c r="OHB128" s="40"/>
      <c r="OHC128" s="24"/>
      <c r="OHD128" s="40"/>
      <c r="OHE128" s="24"/>
      <c r="OHF128" s="40"/>
      <c r="OHG128" s="24"/>
      <c r="OHH128" s="40"/>
      <c r="OHI128" s="24"/>
      <c r="OHJ128" s="40"/>
      <c r="OHK128" s="24"/>
      <c r="OHL128" s="40"/>
      <c r="OHM128" s="24"/>
      <c r="OHN128" s="40"/>
      <c r="OHO128" s="24"/>
      <c r="OHP128" s="40"/>
      <c r="OHQ128" s="24"/>
      <c r="OHR128" s="40"/>
      <c r="OHS128" s="24"/>
      <c r="OHT128" s="40"/>
      <c r="OHU128" s="24"/>
      <c r="OHV128" s="40"/>
      <c r="OHW128" s="24"/>
      <c r="OHX128" s="40"/>
      <c r="OHY128" s="24"/>
      <c r="OHZ128" s="40"/>
      <c r="OIA128" s="24"/>
      <c r="OIB128" s="40"/>
      <c r="OIC128" s="24"/>
      <c r="OID128" s="40"/>
      <c r="OIE128" s="24"/>
      <c r="OIF128" s="40"/>
      <c r="OIG128" s="24"/>
      <c r="OIH128" s="40"/>
      <c r="OII128" s="24"/>
      <c r="OIJ128" s="40"/>
      <c r="OIK128" s="24"/>
      <c r="OIL128" s="40"/>
      <c r="OIM128" s="24"/>
      <c r="OIN128" s="40"/>
      <c r="OIO128" s="24"/>
      <c r="OIP128" s="40"/>
      <c r="OIQ128" s="24"/>
      <c r="OIR128" s="40"/>
      <c r="OIS128" s="24"/>
      <c r="OIT128" s="40"/>
      <c r="OIU128" s="24"/>
      <c r="OIV128" s="40"/>
      <c r="OIW128" s="24"/>
      <c r="OIX128" s="40"/>
      <c r="OIY128" s="24"/>
      <c r="OIZ128" s="40"/>
      <c r="OJA128" s="24"/>
      <c r="OJB128" s="40"/>
      <c r="OJC128" s="24"/>
      <c r="OJD128" s="40"/>
      <c r="OJE128" s="24"/>
      <c r="OJF128" s="40"/>
      <c r="OJG128" s="24"/>
      <c r="OJH128" s="40"/>
      <c r="OJI128" s="24"/>
      <c r="OJJ128" s="40"/>
      <c r="OJK128" s="24"/>
      <c r="OJL128" s="40"/>
      <c r="OJM128" s="24"/>
      <c r="OJN128" s="40"/>
      <c r="OJO128" s="24"/>
      <c r="OJP128" s="40"/>
      <c r="OJQ128" s="24"/>
      <c r="OJR128" s="40"/>
      <c r="OJS128" s="24"/>
      <c r="OJT128" s="40"/>
      <c r="OJU128" s="24"/>
      <c r="OJV128" s="40"/>
      <c r="OJW128" s="24"/>
      <c r="OJX128" s="40"/>
      <c r="OJY128" s="24"/>
      <c r="OJZ128" s="40"/>
      <c r="OKA128" s="24"/>
      <c r="OKB128" s="40"/>
      <c r="OKC128" s="24"/>
      <c r="OKD128" s="40"/>
      <c r="OKE128" s="24"/>
      <c r="OKF128" s="40"/>
      <c r="OKG128" s="24"/>
      <c r="OKH128" s="40"/>
      <c r="OKI128" s="24"/>
      <c r="OKJ128" s="40"/>
      <c r="OKK128" s="24"/>
      <c r="OKL128" s="40"/>
      <c r="OKM128" s="24"/>
      <c r="OKN128" s="40"/>
      <c r="OKO128" s="24"/>
      <c r="OKP128" s="40"/>
      <c r="OKQ128" s="24"/>
      <c r="OKR128" s="40"/>
      <c r="OKS128" s="24"/>
      <c r="OKT128" s="40"/>
      <c r="OKU128" s="24"/>
      <c r="OKV128" s="40"/>
      <c r="OKW128" s="24"/>
      <c r="OKX128" s="40"/>
      <c r="OKY128" s="24"/>
      <c r="OKZ128" s="40"/>
      <c r="OLA128" s="24"/>
      <c r="OLB128" s="40"/>
      <c r="OLC128" s="24"/>
      <c r="OLD128" s="40"/>
      <c r="OLE128" s="24"/>
      <c r="OLF128" s="40"/>
      <c r="OLG128" s="24"/>
      <c r="OLH128" s="40"/>
      <c r="OLI128" s="24"/>
      <c r="OLJ128" s="40"/>
      <c r="OLK128" s="24"/>
      <c r="OLL128" s="40"/>
      <c r="OLM128" s="24"/>
      <c r="OLN128" s="40"/>
      <c r="OLO128" s="24"/>
      <c r="OLP128" s="40"/>
      <c r="OLQ128" s="24"/>
      <c r="OLR128" s="40"/>
      <c r="OLS128" s="24"/>
      <c r="OLT128" s="40"/>
      <c r="OLU128" s="24"/>
      <c r="OLV128" s="40"/>
      <c r="OLW128" s="24"/>
      <c r="OLX128" s="40"/>
      <c r="OLY128" s="24"/>
      <c r="OLZ128" s="40"/>
      <c r="OMA128" s="24"/>
      <c r="OMB128" s="40"/>
      <c r="OMC128" s="24"/>
      <c r="OMD128" s="40"/>
      <c r="OME128" s="24"/>
      <c r="OMF128" s="40"/>
      <c r="OMG128" s="24"/>
      <c r="OMH128" s="40"/>
      <c r="OMI128" s="24"/>
      <c r="OMJ128" s="40"/>
      <c r="OMK128" s="24"/>
      <c r="OML128" s="40"/>
      <c r="OMM128" s="24"/>
      <c r="OMN128" s="40"/>
      <c r="OMO128" s="24"/>
      <c r="OMP128" s="40"/>
      <c r="OMQ128" s="24"/>
      <c r="OMR128" s="40"/>
      <c r="OMS128" s="24"/>
      <c r="OMT128" s="40"/>
      <c r="OMU128" s="24"/>
      <c r="OMV128" s="40"/>
      <c r="OMW128" s="24"/>
      <c r="OMX128" s="40"/>
      <c r="OMY128" s="24"/>
      <c r="OMZ128" s="40"/>
      <c r="ONA128" s="24"/>
      <c r="ONB128" s="40"/>
      <c r="ONC128" s="24"/>
      <c r="OND128" s="40"/>
      <c r="ONE128" s="24"/>
      <c r="ONF128" s="40"/>
      <c r="ONG128" s="24"/>
      <c r="ONH128" s="40"/>
      <c r="ONI128" s="24"/>
      <c r="ONJ128" s="40"/>
      <c r="ONK128" s="24"/>
      <c r="ONL128" s="40"/>
      <c r="ONM128" s="24"/>
      <c r="ONN128" s="40"/>
      <c r="ONO128" s="24"/>
      <c r="ONP128" s="40"/>
      <c r="ONQ128" s="24"/>
      <c r="ONR128" s="40"/>
      <c r="ONS128" s="24"/>
      <c r="ONT128" s="40"/>
      <c r="ONU128" s="24"/>
      <c r="ONV128" s="40"/>
      <c r="ONW128" s="24"/>
      <c r="ONX128" s="40"/>
      <c r="ONY128" s="24"/>
      <c r="ONZ128" s="40"/>
      <c r="OOA128" s="24"/>
      <c r="OOB128" s="40"/>
      <c r="OOC128" s="24"/>
      <c r="OOD128" s="40"/>
      <c r="OOE128" s="24"/>
      <c r="OOF128" s="40"/>
      <c r="OOG128" s="24"/>
      <c r="OOH128" s="40"/>
      <c r="OOI128" s="24"/>
      <c r="OOJ128" s="40"/>
      <c r="OOK128" s="24"/>
      <c r="OOL128" s="40"/>
      <c r="OOM128" s="24"/>
      <c r="OON128" s="40"/>
      <c r="OOO128" s="24"/>
      <c r="OOP128" s="40"/>
      <c r="OOQ128" s="24"/>
      <c r="OOR128" s="40"/>
      <c r="OOS128" s="24"/>
      <c r="OOT128" s="40"/>
      <c r="OOU128" s="24"/>
      <c r="OOV128" s="40"/>
      <c r="OOW128" s="24"/>
      <c r="OOX128" s="40"/>
      <c r="OOY128" s="24"/>
      <c r="OOZ128" s="40"/>
      <c r="OPA128" s="24"/>
      <c r="OPB128" s="40"/>
      <c r="OPC128" s="24"/>
      <c r="OPD128" s="40"/>
      <c r="OPE128" s="24"/>
      <c r="OPF128" s="40"/>
      <c r="OPG128" s="24"/>
      <c r="OPH128" s="40"/>
      <c r="OPI128" s="24"/>
      <c r="OPJ128" s="40"/>
      <c r="OPK128" s="24"/>
      <c r="OPL128" s="40"/>
      <c r="OPM128" s="24"/>
      <c r="OPN128" s="40"/>
      <c r="OPO128" s="24"/>
      <c r="OPP128" s="40"/>
      <c r="OPQ128" s="24"/>
      <c r="OPR128" s="40"/>
      <c r="OPS128" s="24"/>
      <c r="OPT128" s="40"/>
      <c r="OPU128" s="24"/>
      <c r="OPV128" s="40"/>
      <c r="OPW128" s="24"/>
      <c r="OPX128" s="40"/>
      <c r="OPY128" s="24"/>
      <c r="OPZ128" s="40"/>
      <c r="OQA128" s="24"/>
      <c r="OQB128" s="40"/>
      <c r="OQC128" s="24"/>
      <c r="OQD128" s="40"/>
      <c r="OQE128" s="24"/>
      <c r="OQF128" s="40"/>
      <c r="OQG128" s="24"/>
      <c r="OQH128" s="40"/>
      <c r="OQI128" s="24"/>
      <c r="OQJ128" s="40"/>
      <c r="OQK128" s="24"/>
      <c r="OQL128" s="40"/>
      <c r="OQM128" s="24"/>
      <c r="OQN128" s="40"/>
      <c r="OQO128" s="24"/>
      <c r="OQP128" s="40"/>
      <c r="OQQ128" s="24"/>
      <c r="OQR128" s="40"/>
      <c r="OQS128" s="24"/>
      <c r="OQT128" s="40"/>
      <c r="OQU128" s="24"/>
      <c r="OQV128" s="40"/>
      <c r="OQW128" s="24"/>
      <c r="OQX128" s="40"/>
      <c r="OQY128" s="24"/>
      <c r="OQZ128" s="40"/>
      <c r="ORA128" s="24"/>
      <c r="ORB128" s="40"/>
      <c r="ORC128" s="24"/>
      <c r="ORD128" s="40"/>
      <c r="ORE128" s="24"/>
      <c r="ORF128" s="40"/>
      <c r="ORG128" s="24"/>
      <c r="ORH128" s="40"/>
      <c r="ORI128" s="24"/>
      <c r="ORJ128" s="40"/>
      <c r="ORK128" s="24"/>
      <c r="ORL128" s="40"/>
      <c r="ORM128" s="24"/>
      <c r="ORN128" s="40"/>
      <c r="ORO128" s="24"/>
      <c r="ORP128" s="40"/>
      <c r="ORQ128" s="24"/>
      <c r="ORR128" s="40"/>
      <c r="ORS128" s="24"/>
      <c r="ORT128" s="40"/>
      <c r="ORU128" s="24"/>
      <c r="ORV128" s="40"/>
      <c r="ORW128" s="24"/>
      <c r="ORX128" s="40"/>
      <c r="ORY128" s="24"/>
      <c r="ORZ128" s="40"/>
      <c r="OSA128" s="24"/>
      <c r="OSB128" s="40"/>
      <c r="OSC128" s="24"/>
      <c r="OSD128" s="40"/>
      <c r="OSE128" s="24"/>
      <c r="OSF128" s="40"/>
      <c r="OSG128" s="24"/>
      <c r="OSH128" s="40"/>
      <c r="OSI128" s="24"/>
      <c r="OSJ128" s="40"/>
      <c r="OSK128" s="24"/>
      <c r="OSL128" s="40"/>
      <c r="OSM128" s="24"/>
      <c r="OSN128" s="40"/>
      <c r="OSO128" s="24"/>
      <c r="OSP128" s="40"/>
      <c r="OSQ128" s="24"/>
      <c r="OSR128" s="40"/>
      <c r="OSS128" s="24"/>
      <c r="OST128" s="40"/>
      <c r="OSU128" s="24"/>
      <c r="OSV128" s="40"/>
      <c r="OSW128" s="24"/>
      <c r="OSX128" s="40"/>
      <c r="OSY128" s="24"/>
      <c r="OSZ128" s="40"/>
      <c r="OTA128" s="24"/>
      <c r="OTB128" s="40"/>
      <c r="OTC128" s="24"/>
      <c r="OTD128" s="40"/>
      <c r="OTE128" s="24"/>
      <c r="OTF128" s="40"/>
      <c r="OTG128" s="24"/>
      <c r="OTH128" s="40"/>
      <c r="OTI128" s="24"/>
      <c r="OTJ128" s="40"/>
      <c r="OTK128" s="24"/>
      <c r="OTL128" s="40"/>
      <c r="OTM128" s="24"/>
      <c r="OTN128" s="40"/>
      <c r="OTO128" s="24"/>
      <c r="OTP128" s="40"/>
      <c r="OTQ128" s="24"/>
      <c r="OTR128" s="40"/>
      <c r="OTS128" s="24"/>
      <c r="OTT128" s="40"/>
      <c r="OTU128" s="24"/>
      <c r="OTV128" s="40"/>
      <c r="OTW128" s="24"/>
      <c r="OTX128" s="40"/>
      <c r="OTY128" s="24"/>
      <c r="OTZ128" s="40"/>
      <c r="OUA128" s="24"/>
      <c r="OUB128" s="40"/>
      <c r="OUC128" s="24"/>
      <c r="OUD128" s="40"/>
      <c r="OUE128" s="24"/>
      <c r="OUF128" s="40"/>
      <c r="OUG128" s="24"/>
      <c r="OUH128" s="40"/>
      <c r="OUI128" s="24"/>
      <c r="OUJ128" s="40"/>
      <c r="OUK128" s="24"/>
      <c r="OUL128" s="40"/>
      <c r="OUM128" s="24"/>
      <c r="OUN128" s="40"/>
      <c r="OUO128" s="24"/>
      <c r="OUP128" s="40"/>
      <c r="OUQ128" s="24"/>
      <c r="OUR128" s="40"/>
      <c r="OUS128" s="24"/>
      <c r="OUT128" s="40"/>
      <c r="OUU128" s="24"/>
      <c r="OUV128" s="40"/>
      <c r="OUW128" s="24"/>
      <c r="OUX128" s="40"/>
      <c r="OUY128" s="24"/>
      <c r="OUZ128" s="40"/>
      <c r="OVA128" s="24"/>
      <c r="OVB128" s="40"/>
      <c r="OVC128" s="24"/>
      <c r="OVD128" s="40"/>
      <c r="OVE128" s="24"/>
      <c r="OVF128" s="40"/>
      <c r="OVG128" s="24"/>
      <c r="OVH128" s="40"/>
      <c r="OVI128" s="24"/>
      <c r="OVJ128" s="40"/>
      <c r="OVK128" s="24"/>
      <c r="OVL128" s="40"/>
      <c r="OVM128" s="24"/>
      <c r="OVN128" s="40"/>
      <c r="OVO128" s="24"/>
      <c r="OVP128" s="40"/>
      <c r="OVQ128" s="24"/>
      <c r="OVR128" s="40"/>
      <c r="OVS128" s="24"/>
      <c r="OVT128" s="40"/>
      <c r="OVU128" s="24"/>
      <c r="OVV128" s="40"/>
      <c r="OVW128" s="24"/>
      <c r="OVX128" s="40"/>
      <c r="OVY128" s="24"/>
      <c r="OVZ128" s="40"/>
      <c r="OWA128" s="24"/>
      <c r="OWB128" s="40"/>
      <c r="OWC128" s="24"/>
      <c r="OWD128" s="40"/>
      <c r="OWE128" s="24"/>
      <c r="OWF128" s="40"/>
      <c r="OWG128" s="24"/>
      <c r="OWH128" s="40"/>
      <c r="OWI128" s="24"/>
      <c r="OWJ128" s="40"/>
      <c r="OWK128" s="24"/>
      <c r="OWL128" s="40"/>
      <c r="OWM128" s="24"/>
      <c r="OWN128" s="40"/>
      <c r="OWO128" s="24"/>
      <c r="OWP128" s="40"/>
      <c r="OWQ128" s="24"/>
      <c r="OWR128" s="40"/>
      <c r="OWS128" s="24"/>
      <c r="OWT128" s="40"/>
      <c r="OWU128" s="24"/>
      <c r="OWV128" s="40"/>
      <c r="OWW128" s="24"/>
      <c r="OWX128" s="40"/>
      <c r="OWY128" s="24"/>
      <c r="OWZ128" s="40"/>
      <c r="OXA128" s="24"/>
      <c r="OXB128" s="40"/>
      <c r="OXC128" s="24"/>
      <c r="OXD128" s="40"/>
      <c r="OXE128" s="24"/>
      <c r="OXF128" s="40"/>
      <c r="OXG128" s="24"/>
      <c r="OXH128" s="40"/>
      <c r="OXI128" s="24"/>
      <c r="OXJ128" s="40"/>
      <c r="OXK128" s="24"/>
      <c r="OXL128" s="40"/>
      <c r="OXM128" s="24"/>
      <c r="OXN128" s="40"/>
      <c r="OXO128" s="24"/>
      <c r="OXP128" s="40"/>
      <c r="OXQ128" s="24"/>
      <c r="OXR128" s="40"/>
      <c r="OXS128" s="24"/>
      <c r="OXT128" s="40"/>
      <c r="OXU128" s="24"/>
      <c r="OXV128" s="40"/>
      <c r="OXW128" s="24"/>
      <c r="OXX128" s="40"/>
      <c r="OXY128" s="24"/>
      <c r="OXZ128" s="40"/>
      <c r="OYA128" s="24"/>
      <c r="OYB128" s="40"/>
      <c r="OYC128" s="24"/>
      <c r="OYD128" s="40"/>
      <c r="OYE128" s="24"/>
      <c r="OYF128" s="40"/>
      <c r="OYG128" s="24"/>
      <c r="OYH128" s="40"/>
      <c r="OYI128" s="24"/>
      <c r="OYJ128" s="40"/>
      <c r="OYK128" s="24"/>
      <c r="OYL128" s="40"/>
      <c r="OYM128" s="24"/>
      <c r="OYN128" s="40"/>
      <c r="OYO128" s="24"/>
      <c r="OYP128" s="40"/>
      <c r="OYQ128" s="24"/>
      <c r="OYR128" s="40"/>
      <c r="OYS128" s="24"/>
      <c r="OYT128" s="40"/>
      <c r="OYU128" s="24"/>
      <c r="OYV128" s="40"/>
      <c r="OYW128" s="24"/>
      <c r="OYX128" s="40"/>
      <c r="OYY128" s="24"/>
      <c r="OYZ128" s="40"/>
      <c r="OZA128" s="24"/>
      <c r="OZB128" s="40"/>
      <c r="OZC128" s="24"/>
      <c r="OZD128" s="40"/>
      <c r="OZE128" s="24"/>
      <c r="OZF128" s="40"/>
      <c r="OZG128" s="24"/>
      <c r="OZH128" s="40"/>
      <c r="OZI128" s="24"/>
      <c r="OZJ128" s="40"/>
      <c r="OZK128" s="24"/>
      <c r="OZL128" s="40"/>
      <c r="OZM128" s="24"/>
      <c r="OZN128" s="40"/>
      <c r="OZO128" s="24"/>
      <c r="OZP128" s="40"/>
      <c r="OZQ128" s="24"/>
      <c r="OZR128" s="40"/>
      <c r="OZS128" s="24"/>
      <c r="OZT128" s="40"/>
      <c r="OZU128" s="24"/>
      <c r="OZV128" s="40"/>
      <c r="OZW128" s="24"/>
      <c r="OZX128" s="40"/>
      <c r="OZY128" s="24"/>
      <c r="OZZ128" s="40"/>
      <c r="PAA128" s="24"/>
      <c r="PAB128" s="40"/>
      <c r="PAC128" s="24"/>
      <c r="PAD128" s="40"/>
      <c r="PAE128" s="24"/>
      <c r="PAF128" s="40"/>
      <c r="PAG128" s="24"/>
      <c r="PAH128" s="40"/>
      <c r="PAI128" s="24"/>
      <c r="PAJ128" s="40"/>
      <c r="PAK128" s="24"/>
      <c r="PAL128" s="40"/>
      <c r="PAM128" s="24"/>
      <c r="PAN128" s="40"/>
      <c r="PAO128" s="24"/>
      <c r="PAP128" s="40"/>
      <c r="PAQ128" s="24"/>
      <c r="PAR128" s="40"/>
      <c r="PAS128" s="24"/>
      <c r="PAT128" s="40"/>
      <c r="PAU128" s="24"/>
      <c r="PAV128" s="40"/>
      <c r="PAW128" s="24"/>
      <c r="PAX128" s="40"/>
      <c r="PAY128" s="24"/>
      <c r="PAZ128" s="40"/>
      <c r="PBA128" s="24"/>
      <c r="PBB128" s="40"/>
      <c r="PBC128" s="24"/>
      <c r="PBD128" s="40"/>
      <c r="PBE128" s="24"/>
      <c r="PBF128" s="40"/>
      <c r="PBG128" s="24"/>
      <c r="PBH128" s="40"/>
      <c r="PBI128" s="24"/>
      <c r="PBJ128" s="40"/>
      <c r="PBK128" s="24"/>
      <c r="PBL128" s="40"/>
      <c r="PBM128" s="24"/>
      <c r="PBN128" s="40"/>
      <c r="PBO128" s="24"/>
      <c r="PBP128" s="40"/>
      <c r="PBQ128" s="24"/>
      <c r="PBR128" s="40"/>
      <c r="PBS128" s="24"/>
      <c r="PBT128" s="40"/>
      <c r="PBU128" s="24"/>
      <c r="PBV128" s="40"/>
      <c r="PBW128" s="24"/>
      <c r="PBX128" s="40"/>
      <c r="PBY128" s="24"/>
      <c r="PBZ128" s="40"/>
      <c r="PCA128" s="24"/>
      <c r="PCB128" s="40"/>
      <c r="PCC128" s="24"/>
      <c r="PCD128" s="40"/>
      <c r="PCE128" s="24"/>
      <c r="PCF128" s="40"/>
      <c r="PCG128" s="24"/>
      <c r="PCH128" s="40"/>
      <c r="PCI128" s="24"/>
      <c r="PCJ128" s="40"/>
      <c r="PCK128" s="24"/>
      <c r="PCL128" s="40"/>
      <c r="PCM128" s="24"/>
      <c r="PCN128" s="40"/>
      <c r="PCO128" s="24"/>
      <c r="PCP128" s="40"/>
      <c r="PCQ128" s="24"/>
      <c r="PCR128" s="40"/>
      <c r="PCS128" s="24"/>
      <c r="PCT128" s="40"/>
      <c r="PCU128" s="24"/>
      <c r="PCV128" s="40"/>
      <c r="PCW128" s="24"/>
      <c r="PCX128" s="40"/>
      <c r="PCY128" s="24"/>
      <c r="PCZ128" s="40"/>
      <c r="PDA128" s="24"/>
      <c r="PDB128" s="40"/>
      <c r="PDC128" s="24"/>
      <c r="PDD128" s="40"/>
      <c r="PDE128" s="24"/>
      <c r="PDF128" s="40"/>
      <c r="PDG128" s="24"/>
      <c r="PDH128" s="40"/>
      <c r="PDI128" s="24"/>
      <c r="PDJ128" s="40"/>
      <c r="PDK128" s="24"/>
      <c r="PDL128" s="40"/>
      <c r="PDM128" s="24"/>
      <c r="PDN128" s="40"/>
      <c r="PDO128" s="24"/>
      <c r="PDP128" s="40"/>
      <c r="PDQ128" s="24"/>
      <c r="PDR128" s="40"/>
      <c r="PDS128" s="24"/>
      <c r="PDT128" s="40"/>
      <c r="PDU128" s="24"/>
      <c r="PDV128" s="40"/>
      <c r="PDW128" s="24"/>
      <c r="PDX128" s="40"/>
      <c r="PDY128" s="24"/>
      <c r="PDZ128" s="40"/>
      <c r="PEA128" s="24"/>
      <c r="PEB128" s="40"/>
      <c r="PEC128" s="24"/>
      <c r="PED128" s="40"/>
      <c r="PEE128" s="24"/>
      <c r="PEF128" s="40"/>
      <c r="PEG128" s="24"/>
      <c r="PEH128" s="40"/>
      <c r="PEI128" s="24"/>
      <c r="PEJ128" s="40"/>
      <c r="PEK128" s="24"/>
      <c r="PEL128" s="40"/>
      <c r="PEM128" s="24"/>
      <c r="PEN128" s="40"/>
      <c r="PEO128" s="24"/>
      <c r="PEP128" s="40"/>
      <c r="PEQ128" s="24"/>
      <c r="PER128" s="40"/>
      <c r="PES128" s="24"/>
      <c r="PET128" s="40"/>
      <c r="PEU128" s="24"/>
      <c r="PEV128" s="40"/>
      <c r="PEW128" s="24"/>
      <c r="PEX128" s="40"/>
      <c r="PEY128" s="24"/>
      <c r="PEZ128" s="40"/>
      <c r="PFA128" s="24"/>
      <c r="PFB128" s="40"/>
      <c r="PFC128" s="24"/>
      <c r="PFD128" s="40"/>
      <c r="PFE128" s="24"/>
      <c r="PFF128" s="40"/>
      <c r="PFG128" s="24"/>
      <c r="PFH128" s="40"/>
      <c r="PFI128" s="24"/>
      <c r="PFJ128" s="40"/>
      <c r="PFK128" s="24"/>
      <c r="PFL128" s="40"/>
      <c r="PFM128" s="24"/>
      <c r="PFN128" s="40"/>
      <c r="PFO128" s="24"/>
      <c r="PFP128" s="40"/>
      <c r="PFQ128" s="24"/>
      <c r="PFR128" s="40"/>
      <c r="PFS128" s="24"/>
      <c r="PFT128" s="40"/>
      <c r="PFU128" s="24"/>
      <c r="PFV128" s="40"/>
      <c r="PFW128" s="24"/>
      <c r="PFX128" s="40"/>
      <c r="PFY128" s="24"/>
      <c r="PFZ128" s="40"/>
      <c r="PGA128" s="24"/>
      <c r="PGB128" s="40"/>
      <c r="PGC128" s="24"/>
      <c r="PGD128" s="40"/>
      <c r="PGE128" s="24"/>
      <c r="PGF128" s="40"/>
      <c r="PGG128" s="24"/>
      <c r="PGH128" s="40"/>
      <c r="PGI128" s="24"/>
      <c r="PGJ128" s="40"/>
      <c r="PGK128" s="24"/>
      <c r="PGL128" s="40"/>
      <c r="PGM128" s="24"/>
      <c r="PGN128" s="40"/>
      <c r="PGO128" s="24"/>
      <c r="PGP128" s="40"/>
      <c r="PGQ128" s="24"/>
      <c r="PGR128" s="40"/>
      <c r="PGS128" s="24"/>
      <c r="PGT128" s="40"/>
      <c r="PGU128" s="24"/>
      <c r="PGV128" s="40"/>
      <c r="PGW128" s="24"/>
      <c r="PGX128" s="40"/>
      <c r="PGY128" s="24"/>
      <c r="PGZ128" s="40"/>
      <c r="PHA128" s="24"/>
      <c r="PHB128" s="40"/>
      <c r="PHC128" s="24"/>
      <c r="PHD128" s="40"/>
      <c r="PHE128" s="24"/>
      <c r="PHF128" s="40"/>
      <c r="PHG128" s="24"/>
      <c r="PHH128" s="40"/>
      <c r="PHI128" s="24"/>
      <c r="PHJ128" s="40"/>
      <c r="PHK128" s="24"/>
      <c r="PHL128" s="40"/>
      <c r="PHM128" s="24"/>
      <c r="PHN128" s="40"/>
      <c r="PHO128" s="24"/>
      <c r="PHP128" s="40"/>
      <c r="PHQ128" s="24"/>
      <c r="PHR128" s="40"/>
      <c r="PHS128" s="24"/>
      <c r="PHT128" s="40"/>
      <c r="PHU128" s="24"/>
      <c r="PHV128" s="40"/>
      <c r="PHW128" s="24"/>
      <c r="PHX128" s="40"/>
      <c r="PHY128" s="24"/>
      <c r="PHZ128" s="40"/>
      <c r="PIA128" s="24"/>
      <c r="PIB128" s="40"/>
      <c r="PIC128" s="24"/>
      <c r="PID128" s="40"/>
      <c r="PIE128" s="24"/>
      <c r="PIF128" s="40"/>
      <c r="PIG128" s="24"/>
      <c r="PIH128" s="40"/>
      <c r="PII128" s="24"/>
      <c r="PIJ128" s="40"/>
      <c r="PIK128" s="24"/>
      <c r="PIL128" s="40"/>
      <c r="PIM128" s="24"/>
      <c r="PIN128" s="40"/>
      <c r="PIO128" s="24"/>
      <c r="PIP128" s="40"/>
      <c r="PIQ128" s="24"/>
      <c r="PIR128" s="40"/>
      <c r="PIS128" s="24"/>
      <c r="PIT128" s="40"/>
      <c r="PIU128" s="24"/>
      <c r="PIV128" s="40"/>
      <c r="PIW128" s="24"/>
      <c r="PIX128" s="40"/>
      <c r="PIY128" s="24"/>
      <c r="PIZ128" s="40"/>
      <c r="PJA128" s="24"/>
      <c r="PJB128" s="40"/>
      <c r="PJC128" s="24"/>
      <c r="PJD128" s="40"/>
      <c r="PJE128" s="24"/>
      <c r="PJF128" s="40"/>
      <c r="PJG128" s="24"/>
      <c r="PJH128" s="40"/>
      <c r="PJI128" s="24"/>
      <c r="PJJ128" s="40"/>
      <c r="PJK128" s="24"/>
      <c r="PJL128" s="40"/>
      <c r="PJM128" s="24"/>
      <c r="PJN128" s="40"/>
      <c r="PJO128" s="24"/>
      <c r="PJP128" s="40"/>
      <c r="PJQ128" s="24"/>
      <c r="PJR128" s="40"/>
      <c r="PJS128" s="24"/>
      <c r="PJT128" s="40"/>
      <c r="PJU128" s="24"/>
      <c r="PJV128" s="40"/>
      <c r="PJW128" s="24"/>
      <c r="PJX128" s="40"/>
      <c r="PJY128" s="24"/>
      <c r="PJZ128" s="40"/>
      <c r="PKA128" s="24"/>
      <c r="PKB128" s="40"/>
      <c r="PKC128" s="24"/>
      <c r="PKD128" s="40"/>
      <c r="PKE128" s="24"/>
      <c r="PKF128" s="40"/>
      <c r="PKG128" s="24"/>
      <c r="PKH128" s="40"/>
      <c r="PKI128" s="24"/>
      <c r="PKJ128" s="40"/>
      <c r="PKK128" s="24"/>
      <c r="PKL128" s="40"/>
      <c r="PKM128" s="24"/>
      <c r="PKN128" s="40"/>
      <c r="PKO128" s="24"/>
      <c r="PKP128" s="40"/>
      <c r="PKQ128" s="24"/>
      <c r="PKR128" s="40"/>
      <c r="PKS128" s="24"/>
      <c r="PKT128" s="40"/>
      <c r="PKU128" s="24"/>
      <c r="PKV128" s="40"/>
      <c r="PKW128" s="24"/>
      <c r="PKX128" s="40"/>
      <c r="PKY128" s="24"/>
      <c r="PKZ128" s="40"/>
      <c r="PLA128" s="24"/>
      <c r="PLB128" s="40"/>
      <c r="PLC128" s="24"/>
      <c r="PLD128" s="40"/>
      <c r="PLE128" s="24"/>
      <c r="PLF128" s="40"/>
      <c r="PLG128" s="24"/>
      <c r="PLH128" s="40"/>
      <c r="PLI128" s="24"/>
      <c r="PLJ128" s="40"/>
      <c r="PLK128" s="24"/>
      <c r="PLL128" s="40"/>
      <c r="PLM128" s="24"/>
      <c r="PLN128" s="40"/>
      <c r="PLO128" s="24"/>
      <c r="PLP128" s="40"/>
      <c r="PLQ128" s="24"/>
      <c r="PLR128" s="40"/>
      <c r="PLS128" s="24"/>
      <c r="PLT128" s="40"/>
      <c r="PLU128" s="24"/>
      <c r="PLV128" s="40"/>
      <c r="PLW128" s="24"/>
      <c r="PLX128" s="40"/>
      <c r="PLY128" s="24"/>
      <c r="PLZ128" s="40"/>
      <c r="PMA128" s="24"/>
      <c r="PMB128" s="40"/>
      <c r="PMC128" s="24"/>
      <c r="PMD128" s="40"/>
      <c r="PME128" s="24"/>
      <c r="PMF128" s="40"/>
      <c r="PMG128" s="24"/>
      <c r="PMH128" s="40"/>
      <c r="PMI128" s="24"/>
      <c r="PMJ128" s="40"/>
      <c r="PMK128" s="24"/>
      <c r="PML128" s="40"/>
      <c r="PMM128" s="24"/>
      <c r="PMN128" s="40"/>
      <c r="PMO128" s="24"/>
      <c r="PMP128" s="40"/>
      <c r="PMQ128" s="24"/>
      <c r="PMR128" s="40"/>
      <c r="PMS128" s="24"/>
      <c r="PMT128" s="40"/>
      <c r="PMU128" s="24"/>
      <c r="PMV128" s="40"/>
      <c r="PMW128" s="24"/>
      <c r="PMX128" s="40"/>
      <c r="PMY128" s="24"/>
      <c r="PMZ128" s="40"/>
      <c r="PNA128" s="24"/>
      <c r="PNB128" s="40"/>
      <c r="PNC128" s="24"/>
      <c r="PND128" s="40"/>
      <c r="PNE128" s="24"/>
      <c r="PNF128" s="40"/>
      <c r="PNG128" s="24"/>
      <c r="PNH128" s="40"/>
      <c r="PNI128" s="24"/>
      <c r="PNJ128" s="40"/>
      <c r="PNK128" s="24"/>
      <c r="PNL128" s="40"/>
      <c r="PNM128" s="24"/>
      <c r="PNN128" s="40"/>
      <c r="PNO128" s="24"/>
      <c r="PNP128" s="40"/>
      <c r="PNQ128" s="24"/>
      <c r="PNR128" s="40"/>
      <c r="PNS128" s="24"/>
      <c r="PNT128" s="40"/>
      <c r="PNU128" s="24"/>
      <c r="PNV128" s="40"/>
      <c r="PNW128" s="24"/>
      <c r="PNX128" s="40"/>
      <c r="PNY128" s="24"/>
      <c r="PNZ128" s="40"/>
      <c r="POA128" s="24"/>
      <c r="POB128" s="40"/>
      <c r="POC128" s="24"/>
      <c r="POD128" s="40"/>
      <c r="POE128" s="24"/>
      <c r="POF128" s="40"/>
      <c r="POG128" s="24"/>
      <c r="POH128" s="40"/>
      <c r="POI128" s="24"/>
      <c r="POJ128" s="40"/>
      <c r="POK128" s="24"/>
      <c r="POL128" s="40"/>
      <c r="POM128" s="24"/>
      <c r="PON128" s="40"/>
      <c r="POO128" s="24"/>
      <c r="POP128" s="40"/>
      <c r="POQ128" s="24"/>
      <c r="POR128" s="40"/>
      <c r="POS128" s="24"/>
      <c r="POT128" s="40"/>
      <c r="POU128" s="24"/>
      <c r="POV128" s="40"/>
      <c r="POW128" s="24"/>
      <c r="POX128" s="40"/>
      <c r="POY128" s="24"/>
      <c r="POZ128" s="40"/>
      <c r="PPA128" s="24"/>
      <c r="PPB128" s="40"/>
      <c r="PPC128" s="24"/>
      <c r="PPD128" s="40"/>
      <c r="PPE128" s="24"/>
      <c r="PPF128" s="40"/>
      <c r="PPG128" s="24"/>
      <c r="PPH128" s="40"/>
      <c r="PPI128" s="24"/>
      <c r="PPJ128" s="40"/>
      <c r="PPK128" s="24"/>
      <c r="PPL128" s="40"/>
      <c r="PPM128" s="24"/>
      <c r="PPN128" s="40"/>
      <c r="PPO128" s="24"/>
      <c r="PPP128" s="40"/>
      <c r="PPQ128" s="24"/>
      <c r="PPR128" s="40"/>
      <c r="PPS128" s="24"/>
      <c r="PPT128" s="40"/>
      <c r="PPU128" s="24"/>
      <c r="PPV128" s="40"/>
      <c r="PPW128" s="24"/>
      <c r="PPX128" s="40"/>
      <c r="PPY128" s="24"/>
      <c r="PPZ128" s="40"/>
      <c r="PQA128" s="24"/>
      <c r="PQB128" s="40"/>
      <c r="PQC128" s="24"/>
      <c r="PQD128" s="40"/>
      <c r="PQE128" s="24"/>
      <c r="PQF128" s="40"/>
      <c r="PQG128" s="24"/>
      <c r="PQH128" s="40"/>
      <c r="PQI128" s="24"/>
      <c r="PQJ128" s="40"/>
      <c r="PQK128" s="24"/>
      <c r="PQL128" s="40"/>
      <c r="PQM128" s="24"/>
      <c r="PQN128" s="40"/>
      <c r="PQO128" s="24"/>
      <c r="PQP128" s="40"/>
      <c r="PQQ128" s="24"/>
      <c r="PQR128" s="40"/>
      <c r="PQS128" s="24"/>
      <c r="PQT128" s="40"/>
      <c r="PQU128" s="24"/>
      <c r="PQV128" s="40"/>
      <c r="PQW128" s="24"/>
      <c r="PQX128" s="40"/>
      <c r="PQY128" s="24"/>
      <c r="PQZ128" s="40"/>
      <c r="PRA128" s="24"/>
      <c r="PRB128" s="40"/>
      <c r="PRC128" s="24"/>
      <c r="PRD128" s="40"/>
      <c r="PRE128" s="24"/>
      <c r="PRF128" s="40"/>
      <c r="PRG128" s="24"/>
      <c r="PRH128" s="40"/>
      <c r="PRI128" s="24"/>
      <c r="PRJ128" s="40"/>
      <c r="PRK128" s="24"/>
      <c r="PRL128" s="40"/>
      <c r="PRM128" s="24"/>
      <c r="PRN128" s="40"/>
      <c r="PRO128" s="24"/>
      <c r="PRP128" s="40"/>
      <c r="PRQ128" s="24"/>
      <c r="PRR128" s="40"/>
      <c r="PRS128" s="24"/>
      <c r="PRT128" s="40"/>
      <c r="PRU128" s="24"/>
      <c r="PRV128" s="40"/>
      <c r="PRW128" s="24"/>
      <c r="PRX128" s="40"/>
      <c r="PRY128" s="24"/>
      <c r="PRZ128" s="40"/>
      <c r="PSA128" s="24"/>
      <c r="PSB128" s="40"/>
      <c r="PSC128" s="24"/>
      <c r="PSD128" s="40"/>
      <c r="PSE128" s="24"/>
      <c r="PSF128" s="40"/>
      <c r="PSG128" s="24"/>
      <c r="PSH128" s="40"/>
      <c r="PSI128" s="24"/>
      <c r="PSJ128" s="40"/>
      <c r="PSK128" s="24"/>
      <c r="PSL128" s="40"/>
      <c r="PSM128" s="24"/>
      <c r="PSN128" s="40"/>
      <c r="PSO128" s="24"/>
      <c r="PSP128" s="40"/>
      <c r="PSQ128" s="24"/>
      <c r="PSR128" s="40"/>
      <c r="PSS128" s="24"/>
      <c r="PST128" s="40"/>
      <c r="PSU128" s="24"/>
      <c r="PSV128" s="40"/>
      <c r="PSW128" s="24"/>
      <c r="PSX128" s="40"/>
      <c r="PSY128" s="24"/>
      <c r="PSZ128" s="40"/>
      <c r="PTA128" s="24"/>
      <c r="PTB128" s="40"/>
      <c r="PTC128" s="24"/>
      <c r="PTD128" s="40"/>
      <c r="PTE128" s="24"/>
      <c r="PTF128" s="40"/>
      <c r="PTG128" s="24"/>
      <c r="PTH128" s="40"/>
      <c r="PTI128" s="24"/>
      <c r="PTJ128" s="40"/>
      <c r="PTK128" s="24"/>
      <c r="PTL128" s="40"/>
      <c r="PTM128" s="24"/>
      <c r="PTN128" s="40"/>
      <c r="PTO128" s="24"/>
      <c r="PTP128" s="40"/>
      <c r="PTQ128" s="24"/>
      <c r="PTR128" s="40"/>
      <c r="PTS128" s="24"/>
      <c r="PTT128" s="40"/>
      <c r="PTU128" s="24"/>
      <c r="PTV128" s="40"/>
      <c r="PTW128" s="24"/>
      <c r="PTX128" s="40"/>
      <c r="PTY128" s="24"/>
      <c r="PTZ128" s="40"/>
      <c r="PUA128" s="24"/>
      <c r="PUB128" s="40"/>
      <c r="PUC128" s="24"/>
      <c r="PUD128" s="40"/>
      <c r="PUE128" s="24"/>
      <c r="PUF128" s="40"/>
      <c r="PUG128" s="24"/>
      <c r="PUH128" s="40"/>
      <c r="PUI128" s="24"/>
      <c r="PUJ128" s="40"/>
      <c r="PUK128" s="24"/>
      <c r="PUL128" s="40"/>
      <c r="PUM128" s="24"/>
      <c r="PUN128" s="40"/>
      <c r="PUO128" s="24"/>
      <c r="PUP128" s="40"/>
      <c r="PUQ128" s="24"/>
      <c r="PUR128" s="40"/>
      <c r="PUS128" s="24"/>
      <c r="PUT128" s="40"/>
      <c r="PUU128" s="24"/>
      <c r="PUV128" s="40"/>
      <c r="PUW128" s="24"/>
      <c r="PUX128" s="40"/>
      <c r="PUY128" s="24"/>
      <c r="PUZ128" s="40"/>
      <c r="PVA128" s="24"/>
      <c r="PVB128" s="40"/>
      <c r="PVC128" s="24"/>
      <c r="PVD128" s="40"/>
      <c r="PVE128" s="24"/>
      <c r="PVF128" s="40"/>
      <c r="PVG128" s="24"/>
      <c r="PVH128" s="40"/>
      <c r="PVI128" s="24"/>
      <c r="PVJ128" s="40"/>
      <c r="PVK128" s="24"/>
      <c r="PVL128" s="40"/>
      <c r="PVM128" s="24"/>
      <c r="PVN128" s="40"/>
      <c r="PVO128" s="24"/>
      <c r="PVP128" s="40"/>
      <c r="PVQ128" s="24"/>
      <c r="PVR128" s="40"/>
      <c r="PVS128" s="24"/>
      <c r="PVT128" s="40"/>
      <c r="PVU128" s="24"/>
      <c r="PVV128" s="40"/>
      <c r="PVW128" s="24"/>
      <c r="PVX128" s="40"/>
      <c r="PVY128" s="24"/>
      <c r="PVZ128" s="40"/>
      <c r="PWA128" s="24"/>
      <c r="PWB128" s="40"/>
      <c r="PWC128" s="24"/>
      <c r="PWD128" s="40"/>
      <c r="PWE128" s="24"/>
      <c r="PWF128" s="40"/>
      <c r="PWG128" s="24"/>
      <c r="PWH128" s="40"/>
      <c r="PWI128" s="24"/>
      <c r="PWJ128" s="40"/>
      <c r="PWK128" s="24"/>
      <c r="PWL128" s="40"/>
      <c r="PWM128" s="24"/>
      <c r="PWN128" s="40"/>
      <c r="PWO128" s="24"/>
      <c r="PWP128" s="40"/>
      <c r="PWQ128" s="24"/>
      <c r="PWR128" s="40"/>
      <c r="PWS128" s="24"/>
      <c r="PWT128" s="40"/>
      <c r="PWU128" s="24"/>
      <c r="PWV128" s="40"/>
      <c r="PWW128" s="24"/>
      <c r="PWX128" s="40"/>
      <c r="PWY128" s="24"/>
      <c r="PWZ128" s="40"/>
      <c r="PXA128" s="24"/>
      <c r="PXB128" s="40"/>
      <c r="PXC128" s="24"/>
      <c r="PXD128" s="40"/>
      <c r="PXE128" s="24"/>
      <c r="PXF128" s="40"/>
      <c r="PXG128" s="24"/>
      <c r="PXH128" s="40"/>
      <c r="PXI128" s="24"/>
      <c r="PXJ128" s="40"/>
      <c r="PXK128" s="24"/>
      <c r="PXL128" s="40"/>
      <c r="PXM128" s="24"/>
      <c r="PXN128" s="40"/>
      <c r="PXO128" s="24"/>
      <c r="PXP128" s="40"/>
      <c r="PXQ128" s="24"/>
      <c r="PXR128" s="40"/>
      <c r="PXS128" s="24"/>
      <c r="PXT128" s="40"/>
      <c r="PXU128" s="24"/>
      <c r="PXV128" s="40"/>
      <c r="PXW128" s="24"/>
      <c r="PXX128" s="40"/>
      <c r="PXY128" s="24"/>
      <c r="PXZ128" s="40"/>
      <c r="PYA128" s="24"/>
      <c r="PYB128" s="40"/>
      <c r="PYC128" s="24"/>
      <c r="PYD128" s="40"/>
      <c r="PYE128" s="24"/>
      <c r="PYF128" s="40"/>
      <c r="PYG128" s="24"/>
      <c r="PYH128" s="40"/>
      <c r="PYI128" s="24"/>
      <c r="PYJ128" s="40"/>
      <c r="PYK128" s="24"/>
      <c r="PYL128" s="40"/>
      <c r="PYM128" s="24"/>
      <c r="PYN128" s="40"/>
      <c r="PYO128" s="24"/>
      <c r="PYP128" s="40"/>
      <c r="PYQ128" s="24"/>
      <c r="PYR128" s="40"/>
      <c r="PYS128" s="24"/>
      <c r="PYT128" s="40"/>
      <c r="PYU128" s="24"/>
      <c r="PYV128" s="40"/>
      <c r="PYW128" s="24"/>
      <c r="PYX128" s="40"/>
      <c r="PYY128" s="24"/>
      <c r="PYZ128" s="40"/>
      <c r="PZA128" s="24"/>
      <c r="PZB128" s="40"/>
      <c r="PZC128" s="24"/>
      <c r="PZD128" s="40"/>
      <c r="PZE128" s="24"/>
      <c r="PZF128" s="40"/>
      <c r="PZG128" s="24"/>
      <c r="PZH128" s="40"/>
      <c r="PZI128" s="24"/>
      <c r="PZJ128" s="40"/>
      <c r="PZK128" s="24"/>
      <c r="PZL128" s="40"/>
      <c r="PZM128" s="24"/>
      <c r="PZN128" s="40"/>
      <c r="PZO128" s="24"/>
      <c r="PZP128" s="40"/>
      <c r="PZQ128" s="24"/>
      <c r="PZR128" s="40"/>
      <c r="PZS128" s="24"/>
      <c r="PZT128" s="40"/>
      <c r="PZU128" s="24"/>
      <c r="PZV128" s="40"/>
      <c r="PZW128" s="24"/>
      <c r="PZX128" s="40"/>
      <c r="PZY128" s="24"/>
      <c r="PZZ128" s="40"/>
      <c r="QAA128" s="24"/>
      <c r="QAB128" s="40"/>
      <c r="QAC128" s="24"/>
      <c r="QAD128" s="40"/>
      <c r="QAE128" s="24"/>
      <c r="QAF128" s="40"/>
      <c r="QAG128" s="24"/>
      <c r="QAH128" s="40"/>
      <c r="QAI128" s="24"/>
      <c r="QAJ128" s="40"/>
      <c r="QAK128" s="24"/>
      <c r="QAL128" s="40"/>
      <c r="QAM128" s="24"/>
      <c r="QAN128" s="40"/>
      <c r="QAO128" s="24"/>
      <c r="QAP128" s="40"/>
      <c r="QAQ128" s="24"/>
      <c r="QAR128" s="40"/>
      <c r="QAS128" s="24"/>
      <c r="QAT128" s="40"/>
      <c r="QAU128" s="24"/>
      <c r="QAV128" s="40"/>
      <c r="QAW128" s="24"/>
      <c r="QAX128" s="40"/>
      <c r="QAY128" s="24"/>
      <c r="QAZ128" s="40"/>
      <c r="QBA128" s="24"/>
      <c r="QBB128" s="40"/>
      <c r="QBC128" s="24"/>
      <c r="QBD128" s="40"/>
      <c r="QBE128" s="24"/>
      <c r="QBF128" s="40"/>
      <c r="QBG128" s="24"/>
      <c r="QBH128" s="40"/>
      <c r="QBI128" s="24"/>
      <c r="QBJ128" s="40"/>
      <c r="QBK128" s="24"/>
      <c r="QBL128" s="40"/>
      <c r="QBM128" s="24"/>
      <c r="QBN128" s="40"/>
      <c r="QBO128" s="24"/>
      <c r="QBP128" s="40"/>
      <c r="QBQ128" s="24"/>
      <c r="QBR128" s="40"/>
      <c r="QBS128" s="24"/>
      <c r="QBT128" s="40"/>
      <c r="QBU128" s="24"/>
      <c r="QBV128" s="40"/>
      <c r="QBW128" s="24"/>
      <c r="QBX128" s="40"/>
      <c r="QBY128" s="24"/>
      <c r="QBZ128" s="40"/>
      <c r="QCA128" s="24"/>
      <c r="QCB128" s="40"/>
      <c r="QCC128" s="24"/>
      <c r="QCD128" s="40"/>
      <c r="QCE128" s="24"/>
      <c r="QCF128" s="40"/>
      <c r="QCG128" s="24"/>
      <c r="QCH128" s="40"/>
      <c r="QCI128" s="24"/>
      <c r="QCJ128" s="40"/>
      <c r="QCK128" s="24"/>
      <c r="QCL128" s="40"/>
      <c r="QCM128" s="24"/>
      <c r="QCN128" s="40"/>
      <c r="QCO128" s="24"/>
      <c r="QCP128" s="40"/>
      <c r="QCQ128" s="24"/>
      <c r="QCR128" s="40"/>
      <c r="QCS128" s="24"/>
      <c r="QCT128" s="40"/>
      <c r="QCU128" s="24"/>
      <c r="QCV128" s="40"/>
      <c r="QCW128" s="24"/>
      <c r="QCX128" s="40"/>
      <c r="QCY128" s="24"/>
      <c r="QCZ128" s="40"/>
      <c r="QDA128" s="24"/>
      <c r="QDB128" s="40"/>
      <c r="QDC128" s="24"/>
      <c r="QDD128" s="40"/>
      <c r="QDE128" s="24"/>
      <c r="QDF128" s="40"/>
      <c r="QDG128" s="24"/>
      <c r="QDH128" s="40"/>
      <c r="QDI128" s="24"/>
      <c r="QDJ128" s="40"/>
      <c r="QDK128" s="24"/>
      <c r="QDL128" s="40"/>
      <c r="QDM128" s="24"/>
      <c r="QDN128" s="40"/>
      <c r="QDO128" s="24"/>
      <c r="QDP128" s="40"/>
      <c r="QDQ128" s="24"/>
      <c r="QDR128" s="40"/>
      <c r="QDS128" s="24"/>
      <c r="QDT128" s="40"/>
      <c r="QDU128" s="24"/>
      <c r="QDV128" s="40"/>
      <c r="QDW128" s="24"/>
      <c r="QDX128" s="40"/>
      <c r="QDY128" s="24"/>
      <c r="QDZ128" s="40"/>
      <c r="QEA128" s="24"/>
      <c r="QEB128" s="40"/>
      <c r="QEC128" s="24"/>
      <c r="QED128" s="40"/>
      <c r="QEE128" s="24"/>
      <c r="QEF128" s="40"/>
      <c r="QEG128" s="24"/>
      <c r="QEH128" s="40"/>
      <c r="QEI128" s="24"/>
      <c r="QEJ128" s="40"/>
      <c r="QEK128" s="24"/>
      <c r="QEL128" s="40"/>
      <c r="QEM128" s="24"/>
      <c r="QEN128" s="40"/>
      <c r="QEO128" s="24"/>
      <c r="QEP128" s="40"/>
      <c r="QEQ128" s="24"/>
      <c r="QER128" s="40"/>
      <c r="QES128" s="24"/>
      <c r="QET128" s="40"/>
      <c r="QEU128" s="24"/>
      <c r="QEV128" s="40"/>
      <c r="QEW128" s="24"/>
      <c r="QEX128" s="40"/>
      <c r="QEY128" s="24"/>
      <c r="QEZ128" s="40"/>
      <c r="QFA128" s="24"/>
      <c r="QFB128" s="40"/>
      <c r="QFC128" s="24"/>
      <c r="QFD128" s="40"/>
      <c r="QFE128" s="24"/>
      <c r="QFF128" s="40"/>
      <c r="QFG128" s="24"/>
      <c r="QFH128" s="40"/>
      <c r="QFI128" s="24"/>
      <c r="QFJ128" s="40"/>
      <c r="QFK128" s="24"/>
      <c r="QFL128" s="40"/>
      <c r="QFM128" s="24"/>
      <c r="QFN128" s="40"/>
      <c r="QFO128" s="24"/>
      <c r="QFP128" s="40"/>
      <c r="QFQ128" s="24"/>
      <c r="QFR128" s="40"/>
      <c r="QFS128" s="24"/>
      <c r="QFT128" s="40"/>
      <c r="QFU128" s="24"/>
      <c r="QFV128" s="40"/>
      <c r="QFW128" s="24"/>
      <c r="QFX128" s="40"/>
      <c r="QFY128" s="24"/>
      <c r="QFZ128" s="40"/>
      <c r="QGA128" s="24"/>
      <c r="QGB128" s="40"/>
      <c r="QGC128" s="24"/>
      <c r="QGD128" s="40"/>
      <c r="QGE128" s="24"/>
      <c r="QGF128" s="40"/>
      <c r="QGG128" s="24"/>
      <c r="QGH128" s="40"/>
      <c r="QGI128" s="24"/>
      <c r="QGJ128" s="40"/>
      <c r="QGK128" s="24"/>
      <c r="QGL128" s="40"/>
      <c r="QGM128" s="24"/>
      <c r="QGN128" s="40"/>
      <c r="QGO128" s="24"/>
      <c r="QGP128" s="40"/>
      <c r="QGQ128" s="24"/>
      <c r="QGR128" s="40"/>
      <c r="QGS128" s="24"/>
      <c r="QGT128" s="40"/>
      <c r="QGU128" s="24"/>
      <c r="QGV128" s="40"/>
      <c r="QGW128" s="24"/>
      <c r="QGX128" s="40"/>
      <c r="QGY128" s="24"/>
      <c r="QGZ128" s="40"/>
      <c r="QHA128" s="24"/>
      <c r="QHB128" s="40"/>
      <c r="QHC128" s="24"/>
      <c r="QHD128" s="40"/>
      <c r="QHE128" s="24"/>
      <c r="QHF128" s="40"/>
      <c r="QHG128" s="24"/>
      <c r="QHH128" s="40"/>
      <c r="QHI128" s="24"/>
      <c r="QHJ128" s="40"/>
      <c r="QHK128" s="24"/>
      <c r="QHL128" s="40"/>
      <c r="QHM128" s="24"/>
      <c r="QHN128" s="40"/>
      <c r="QHO128" s="24"/>
      <c r="QHP128" s="40"/>
      <c r="QHQ128" s="24"/>
      <c r="QHR128" s="40"/>
      <c r="QHS128" s="24"/>
      <c r="QHT128" s="40"/>
      <c r="QHU128" s="24"/>
      <c r="QHV128" s="40"/>
      <c r="QHW128" s="24"/>
      <c r="QHX128" s="40"/>
      <c r="QHY128" s="24"/>
      <c r="QHZ128" s="40"/>
      <c r="QIA128" s="24"/>
      <c r="QIB128" s="40"/>
      <c r="QIC128" s="24"/>
      <c r="QID128" s="40"/>
      <c r="QIE128" s="24"/>
      <c r="QIF128" s="40"/>
      <c r="QIG128" s="24"/>
      <c r="QIH128" s="40"/>
      <c r="QII128" s="24"/>
      <c r="QIJ128" s="40"/>
      <c r="QIK128" s="24"/>
      <c r="QIL128" s="40"/>
      <c r="QIM128" s="24"/>
      <c r="QIN128" s="40"/>
      <c r="QIO128" s="24"/>
      <c r="QIP128" s="40"/>
      <c r="QIQ128" s="24"/>
      <c r="QIR128" s="40"/>
      <c r="QIS128" s="24"/>
      <c r="QIT128" s="40"/>
      <c r="QIU128" s="24"/>
      <c r="QIV128" s="40"/>
      <c r="QIW128" s="24"/>
      <c r="QIX128" s="40"/>
      <c r="QIY128" s="24"/>
      <c r="QIZ128" s="40"/>
      <c r="QJA128" s="24"/>
      <c r="QJB128" s="40"/>
      <c r="QJC128" s="24"/>
      <c r="QJD128" s="40"/>
      <c r="QJE128" s="24"/>
      <c r="QJF128" s="40"/>
      <c r="QJG128" s="24"/>
      <c r="QJH128" s="40"/>
      <c r="QJI128" s="24"/>
      <c r="QJJ128" s="40"/>
      <c r="QJK128" s="24"/>
      <c r="QJL128" s="40"/>
      <c r="QJM128" s="24"/>
      <c r="QJN128" s="40"/>
      <c r="QJO128" s="24"/>
      <c r="QJP128" s="40"/>
      <c r="QJQ128" s="24"/>
      <c r="QJR128" s="40"/>
      <c r="QJS128" s="24"/>
      <c r="QJT128" s="40"/>
      <c r="QJU128" s="24"/>
      <c r="QJV128" s="40"/>
      <c r="QJW128" s="24"/>
      <c r="QJX128" s="40"/>
      <c r="QJY128" s="24"/>
      <c r="QJZ128" s="40"/>
      <c r="QKA128" s="24"/>
      <c r="QKB128" s="40"/>
      <c r="QKC128" s="24"/>
      <c r="QKD128" s="40"/>
      <c r="QKE128" s="24"/>
      <c r="QKF128" s="40"/>
      <c r="QKG128" s="24"/>
      <c r="QKH128" s="40"/>
      <c r="QKI128" s="24"/>
      <c r="QKJ128" s="40"/>
      <c r="QKK128" s="24"/>
      <c r="QKL128" s="40"/>
      <c r="QKM128" s="24"/>
      <c r="QKN128" s="40"/>
      <c r="QKO128" s="24"/>
      <c r="QKP128" s="40"/>
      <c r="QKQ128" s="24"/>
      <c r="QKR128" s="40"/>
      <c r="QKS128" s="24"/>
      <c r="QKT128" s="40"/>
      <c r="QKU128" s="24"/>
      <c r="QKV128" s="40"/>
      <c r="QKW128" s="24"/>
      <c r="QKX128" s="40"/>
      <c r="QKY128" s="24"/>
      <c r="QKZ128" s="40"/>
      <c r="QLA128" s="24"/>
      <c r="QLB128" s="40"/>
      <c r="QLC128" s="24"/>
      <c r="QLD128" s="40"/>
      <c r="QLE128" s="24"/>
      <c r="QLF128" s="40"/>
      <c r="QLG128" s="24"/>
      <c r="QLH128" s="40"/>
      <c r="QLI128" s="24"/>
      <c r="QLJ128" s="40"/>
      <c r="QLK128" s="24"/>
      <c r="QLL128" s="40"/>
      <c r="QLM128" s="24"/>
      <c r="QLN128" s="40"/>
      <c r="QLO128" s="24"/>
      <c r="QLP128" s="40"/>
      <c r="QLQ128" s="24"/>
      <c r="QLR128" s="40"/>
      <c r="QLS128" s="24"/>
      <c r="QLT128" s="40"/>
      <c r="QLU128" s="24"/>
      <c r="QLV128" s="40"/>
      <c r="QLW128" s="24"/>
      <c r="QLX128" s="40"/>
      <c r="QLY128" s="24"/>
      <c r="QLZ128" s="40"/>
      <c r="QMA128" s="24"/>
      <c r="QMB128" s="40"/>
      <c r="QMC128" s="24"/>
      <c r="QMD128" s="40"/>
      <c r="QME128" s="24"/>
      <c r="QMF128" s="40"/>
      <c r="QMG128" s="24"/>
      <c r="QMH128" s="40"/>
      <c r="QMI128" s="24"/>
      <c r="QMJ128" s="40"/>
      <c r="QMK128" s="24"/>
      <c r="QML128" s="40"/>
      <c r="QMM128" s="24"/>
      <c r="QMN128" s="40"/>
      <c r="QMO128" s="24"/>
      <c r="QMP128" s="40"/>
      <c r="QMQ128" s="24"/>
      <c r="QMR128" s="40"/>
      <c r="QMS128" s="24"/>
      <c r="QMT128" s="40"/>
      <c r="QMU128" s="24"/>
      <c r="QMV128" s="40"/>
      <c r="QMW128" s="24"/>
      <c r="QMX128" s="40"/>
      <c r="QMY128" s="24"/>
      <c r="QMZ128" s="40"/>
      <c r="QNA128" s="24"/>
      <c r="QNB128" s="40"/>
      <c r="QNC128" s="24"/>
      <c r="QND128" s="40"/>
      <c r="QNE128" s="24"/>
      <c r="QNF128" s="40"/>
      <c r="QNG128" s="24"/>
      <c r="QNH128" s="40"/>
      <c r="QNI128" s="24"/>
      <c r="QNJ128" s="40"/>
      <c r="QNK128" s="24"/>
      <c r="QNL128" s="40"/>
      <c r="QNM128" s="24"/>
      <c r="QNN128" s="40"/>
      <c r="QNO128" s="24"/>
      <c r="QNP128" s="40"/>
      <c r="QNQ128" s="24"/>
      <c r="QNR128" s="40"/>
      <c r="QNS128" s="24"/>
      <c r="QNT128" s="40"/>
      <c r="QNU128" s="24"/>
      <c r="QNV128" s="40"/>
      <c r="QNW128" s="24"/>
      <c r="QNX128" s="40"/>
      <c r="QNY128" s="24"/>
      <c r="QNZ128" s="40"/>
      <c r="QOA128" s="24"/>
      <c r="QOB128" s="40"/>
      <c r="QOC128" s="24"/>
      <c r="QOD128" s="40"/>
      <c r="QOE128" s="24"/>
      <c r="QOF128" s="40"/>
      <c r="QOG128" s="24"/>
      <c r="QOH128" s="40"/>
      <c r="QOI128" s="24"/>
      <c r="QOJ128" s="40"/>
      <c r="QOK128" s="24"/>
      <c r="QOL128" s="40"/>
      <c r="QOM128" s="24"/>
      <c r="QON128" s="40"/>
      <c r="QOO128" s="24"/>
      <c r="QOP128" s="40"/>
      <c r="QOQ128" s="24"/>
      <c r="QOR128" s="40"/>
      <c r="QOS128" s="24"/>
      <c r="QOT128" s="40"/>
      <c r="QOU128" s="24"/>
      <c r="QOV128" s="40"/>
      <c r="QOW128" s="24"/>
      <c r="QOX128" s="40"/>
      <c r="QOY128" s="24"/>
      <c r="QOZ128" s="40"/>
      <c r="QPA128" s="24"/>
      <c r="QPB128" s="40"/>
      <c r="QPC128" s="24"/>
      <c r="QPD128" s="40"/>
      <c r="QPE128" s="24"/>
      <c r="QPF128" s="40"/>
      <c r="QPG128" s="24"/>
      <c r="QPH128" s="40"/>
      <c r="QPI128" s="24"/>
      <c r="QPJ128" s="40"/>
      <c r="QPK128" s="24"/>
      <c r="QPL128" s="40"/>
      <c r="QPM128" s="24"/>
      <c r="QPN128" s="40"/>
      <c r="QPO128" s="24"/>
      <c r="QPP128" s="40"/>
      <c r="QPQ128" s="24"/>
      <c r="QPR128" s="40"/>
      <c r="QPS128" s="24"/>
      <c r="QPT128" s="40"/>
      <c r="QPU128" s="24"/>
      <c r="QPV128" s="40"/>
      <c r="QPW128" s="24"/>
      <c r="QPX128" s="40"/>
      <c r="QPY128" s="24"/>
      <c r="QPZ128" s="40"/>
      <c r="QQA128" s="24"/>
      <c r="QQB128" s="40"/>
      <c r="QQC128" s="24"/>
      <c r="QQD128" s="40"/>
      <c r="QQE128" s="24"/>
      <c r="QQF128" s="40"/>
      <c r="QQG128" s="24"/>
      <c r="QQH128" s="40"/>
      <c r="QQI128" s="24"/>
      <c r="QQJ128" s="40"/>
      <c r="QQK128" s="24"/>
      <c r="QQL128" s="40"/>
      <c r="QQM128" s="24"/>
      <c r="QQN128" s="40"/>
      <c r="QQO128" s="24"/>
      <c r="QQP128" s="40"/>
      <c r="QQQ128" s="24"/>
      <c r="QQR128" s="40"/>
      <c r="QQS128" s="24"/>
      <c r="QQT128" s="40"/>
      <c r="QQU128" s="24"/>
      <c r="QQV128" s="40"/>
      <c r="QQW128" s="24"/>
      <c r="QQX128" s="40"/>
      <c r="QQY128" s="24"/>
      <c r="QQZ128" s="40"/>
      <c r="QRA128" s="24"/>
      <c r="QRB128" s="40"/>
      <c r="QRC128" s="24"/>
      <c r="QRD128" s="40"/>
      <c r="QRE128" s="24"/>
      <c r="QRF128" s="40"/>
      <c r="QRG128" s="24"/>
      <c r="QRH128" s="40"/>
      <c r="QRI128" s="24"/>
      <c r="QRJ128" s="40"/>
      <c r="QRK128" s="24"/>
      <c r="QRL128" s="40"/>
      <c r="QRM128" s="24"/>
      <c r="QRN128" s="40"/>
      <c r="QRO128" s="24"/>
      <c r="QRP128" s="40"/>
      <c r="QRQ128" s="24"/>
      <c r="QRR128" s="40"/>
      <c r="QRS128" s="24"/>
      <c r="QRT128" s="40"/>
      <c r="QRU128" s="24"/>
      <c r="QRV128" s="40"/>
      <c r="QRW128" s="24"/>
      <c r="QRX128" s="40"/>
      <c r="QRY128" s="24"/>
      <c r="QRZ128" s="40"/>
      <c r="QSA128" s="24"/>
      <c r="QSB128" s="40"/>
      <c r="QSC128" s="24"/>
      <c r="QSD128" s="40"/>
      <c r="QSE128" s="24"/>
      <c r="QSF128" s="40"/>
      <c r="QSG128" s="24"/>
      <c r="QSH128" s="40"/>
      <c r="QSI128" s="24"/>
      <c r="QSJ128" s="40"/>
      <c r="QSK128" s="24"/>
      <c r="QSL128" s="40"/>
      <c r="QSM128" s="24"/>
      <c r="QSN128" s="40"/>
      <c r="QSO128" s="24"/>
      <c r="QSP128" s="40"/>
      <c r="QSQ128" s="24"/>
      <c r="QSR128" s="40"/>
      <c r="QSS128" s="24"/>
      <c r="QST128" s="40"/>
      <c r="QSU128" s="24"/>
      <c r="QSV128" s="40"/>
      <c r="QSW128" s="24"/>
      <c r="QSX128" s="40"/>
      <c r="QSY128" s="24"/>
      <c r="QSZ128" s="40"/>
      <c r="QTA128" s="24"/>
      <c r="QTB128" s="40"/>
      <c r="QTC128" s="24"/>
      <c r="QTD128" s="40"/>
      <c r="QTE128" s="24"/>
      <c r="QTF128" s="40"/>
      <c r="QTG128" s="24"/>
      <c r="QTH128" s="40"/>
      <c r="QTI128" s="24"/>
      <c r="QTJ128" s="40"/>
      <c r="QTK128" s="24"/>
      <c r="QTL128" s="40"/>
      <c r="QTM128" s="24"/>
      <c r="QTN128" s="40"/>
      <c r="QTO128" s="24"/>
      <c r="QTP128" s="40"/>
      <c r="QTQ128" s="24"/>
      <c r="QTR128" s="40"/>
      <c r="QTS128" s="24"/>
      <c r="QTT128" s="40"/>
      <c r="QTU128" s="24"/>
      <c r="QTV128" s="40"/>
      <c r="QTW128" s="24"/>
      <c r="QTX128" s="40"/>
      <c r="QTY128" s="24"/>
      <c r="QTZ128" s="40"/>
      <c r="QUA128" s="24"/>
      <c r="QUB128" s="40"/>
      <c r="QUC128" s="24"/>
      <c r="QUD128" s="40"/>
      <c r="QUE128" s="24"/>
      <c r="QUF128" s="40"/>
      <c r="QUG128" s="24"/>
      <c r="QUH128" s="40"/>
      <c r="QUI128" s="24"/>
      <c r="QUJ128" s="40"/>
      <c r="QUK128" s="24"/>
      <c r="QUL128" s="40"/>
      <c r="QUM128" s="24"/>
      <c r="QUN128" s="40"/>
      <c r="QUO128" s="24"/>
      <c r="QUP128" s="40"/>
      <c r="QUQ128" s="24"/>
      <c r="QUR128" s="40"/>
      <c r="QUS128" s="24"/>
      <c r="QUT128" s="40"/>
      <c r="QUU128" s="24"/>
      <c r="QUV128" s="40"/>
      <c r="QUW128" s="24"/>
      <c r="QUX128" s="40"/>
      <c r="QUY128" s="24"/>
      <c r="QUZ128" s="40"/>
      <c r="QVA128" s="24"/>
      <c r="QVB128" s="40"/>
      <c r="QVC128" s="24"/>
      <c r="QVD128" s="40"/>
      <c r="QVE128" s="24"/>
      <c r="QVF128" s="40"/>
      <c r="QVG128" s="24"/>
      <c r="QVH128" s="40"/>
      <c r="QVI128" s="24"/>
      <c r="QVJ128" s="40"/>
      <c r="QVK128" s="24"/>
      <c r="QVL128" s="40"/>
      <c r="QVM128" s="24"/>
      <c r="QVN128" s="40"/>
      <c r="QVO128" s="24"/>
      <c r="QVP128" s="40"/>
      <c r="QVQ128" s="24"/>
      <c r="QVR128" s="40"/>
      <c r="QVS128" s="24"/>
      <c r="QVT128" s="40"/>
      <c r="QVU128" s="24"/>
      <c r="QVV128" s="40"/>
      <c r="QVW128" s="24"/>
      <c r="QVX128" s="40"/>
      <c r="QVY128" s="24"/>
      <c r="QVZ128" s="40"/>
      <c r="QWA128" s="24"/>
      <c r="QWB128" s="40"/>
      <c r="QWC128" s="24"/>
      <c r="QWD128" s="40"/>
      <c r="QWE128" s="24"/>
      <c r="QWF128" s="40"/>
      <c r="QWG128" s="24"/>
      <c r="QWH128" s="40"/>
      <c r="QWI128" s="24"/>
      <c r="QWJ128" s="40"/>
      <c r="QWK128" s="24"/>
      <c r="QWL128" s="40"/>
      <c r="QWM128" s="24"/>
      <c r="QWN128" s="40"/>
      <c r="QWO128" s="24"/>
      <c r="QWP128" s="40"/>
      <c r="QWQ128" s="24"/>
      <c r="QWR128" s="40"/>
      <c r="QWS128" s="24"/>
      <c r="QWT128" s="40"/>
      <c r="QWU128" s="24"/>
      <c r="QWV128" s="40"/>
      <c r="QWW128" s="24"/>
      <c r="QWX128" s="40"/>
      <c r="QWY128" s="24"/>
      <c r="QWZ128" s="40"/>
      <c r="QXA128" s="24"/>
      <c r="QXB128" s="40"/>
      <c r="QXC128" s="24"/>
      <c r="QXD128" s="40"/>
      <c r="QXE128" s="24"/>
      <c r="QXF128" s="40"/>
      <c r="QXG128" s="24"/>
      <c r="QXH128" s="40"/>
      <c r="QXI128" s="24"/>
      <c r="QXJ128" s="40"/>
      <c r="QXK128" s="24"/>
      <c r="QXL128" s="40"/>
      <c r="QXM128" s="24"/>
      <c r="QXN128" s="40"/>
      <c r="QXO128" s="24"/>
      <c r="QXP128" s="40"/>
      <c r="QXQ128" s="24"/>
      <c r="QXR128" s="40"/>
      <c r="QXS128" s="24"/>
      <c r="QXT128" s="40"/>
      <c r="QXU128" s="24"/>
      <c r="QXV128" s="40"/>
      <c r="QXW128" s="24"/>
      <c r="QXX128" s="40"/>
      <c r="QXY128" s="24"/>
      <c r="QXZ128" s="40"/>
      <c r="QYA128" s="24"/>
      <c r="QYB128" s="40"/>
      <c r="QYC128" s="24"/>
      <c r="QYD128" s="40"/>
      <c r="QYE128" s="24"/>
      <c r="QYF128" s="40"/>
      <c r="QYG128" s="24"/>
      <c r="QYH128" s="40"/>
      <c r="QYI128" s="24"/>
      <c r="QYJ128" s="40"/>
      <c r="QYK128" s="24"/>
      <c r="QYL128" s="40"/>
      <c r="QYM128" s="24"/>
      <c r="QYN128" s="40"/>
      <c r="QYO128" s="24"/>
      <c r="QYP128" s="40"/>
      <c r="QYQ128" s="24"/>
      <c r="QYR128" s="40"/>
      <c r="QYS128" s="24"/>
      <c r="QYT128" s="40"/>
      <c r="QYU128" s="24"/>
      <c r="QYV128" s="40"/>
      <c r="QYW128" s="24"/>
      <c r="QYX128" s="40"/>
      <c r="QYY128" s="24"/>
      <c r="QYZ128" s="40"/>
      <c r="QZA128" s="24"/>
      <c r="QZB128" s="40"/>
      <c r="QZC128" s="24"/>
      <c r="QZD128" s="40"/>
      <c r="QZE128" s="24"/>
      <c r="QZF128" s="40"/>
      <c r="QZG128" s="24"/>
      <c r="QZH128" s="40"/>
      <c r="QZI128" s="24"/>
      <c r="QZJ128" s="40"/>
      <c r="QZK128" s="24"/>
      <c r="QZL128" s="40"/>
      <c r="QZM128" s="24"/>
      <c r="QZN128" s="40"/>
      <c r="QZO128" s="24"/>
      <c r="QZP128" s="40"/>
      <c r="QZQ128" s="24"/>
      <c r="QZR128" s="40"/>
      <c r="QZS128" s="24"/>
      <c r="QZT128" s="40"/>
      <c r="QZU128" s="24"/>
      <c r="QZV128" s="40"/>
      <c r="QZW128" s="24"/>
      <c r="QZX128" s="40"/>
      <c r="QZY128" s="24"/>
      <c r="QZZ128" s="40"/>
      <c r="RAA128" s="24"/>
      <c r="RAB128" s="40"/>
      <c r="RAC128" s="24"/>
      <c r="RAD128" s="40"/>
      <c r="RAE128" s="24"/>
      <c r="RAF128" s="40"/>
      <c r="RAG128" s="24"/>
      <c r="RAH128" s="40"/>
      <c r="RAI128" s="24"/>
      <c r="RAJ128" s="40"/>
      <c r="RAK128" s="24"/>
      <c r="RAL128" s="40"/>
      <c r="RAM128" s="24"/>
      <c r="RAN128" s="40"/>
      <c r="RAO128" s="24"/>
      <c r="RAP128" s="40"/>
      <c r="RAQ128" s="24"/>
      <c r="RAR128" s="40"/>
      <c r="RAS128" s="24"/>
      <c r="RAT128" s="40"/>
      <c r="RAU128" s="24"/>
      <c r="RAV128" s="40"/>
      <c r="RAW128" s="24"/>
      <c r="RAX128" s="40"/>
      <c r="RAY128" s="24"/>
      <c r="RAZ128" s="40"/>
      <c r="RBA128" s="24"/>
      <c r="RBB128" s="40"/>
      <c r="RBC128" s="24"/>
      <c r="RBD128" s="40"/>
      <c r="RBE128" s="24"/>
      <c r="RBF128" s="40"/>
      <c r="RBG128" s="24"/>
      <c r="RBH128" s="40"/>
      <c r="RBI128" s="24"/>
      <c r="RBJ128" s="40"/>
      <c r="RBK128" s="24"/>
      <c r="RBL128" s="40"/>
      <c r="RBM128" s="24"/>
      <c r="RBN128" s="40"/>
      <c r="RBO128" s="24"/>
      <c r="RBP128" s="40"/>
      <c r="RBQ128" s="24"/>
      <c r="RBR128" s="40"/>
      <c r="RBS128" s="24"/>
      <c r="RBT128" s="40"/>
      <c r="RBU128" s="24"/>
      <c r="RBV128" s="40"/>
      <c r="RBW128" s="24"/>
      <c r="RBX128" s="40"/>
      <c r="RBY128" s="24"/>
      <c r="RBZ128" s="40"/>
      <c r="RCA128" s="24"/>
      <c r="RCB128" s="40"/>
      <c r="RCC128" s="24"/>
      <c r="RCD128" s="40"/>
      <c r="RCE128" s="24"/>
      <c r="RCF128" s="40"/>
      <c r="RCG128" s="24"/>
      <c r="RCH128" s="40"/>
      <c r="RCI128" s="24"/>
      <c r="RCJ128" s="40"/>
      <c r="RCK128" s="24"/>
      <c r="RCL128" s="40"/>
      <c r="RCM128" s="24"/>
      <c r="RCN128" s="40"/>
      <c r="RCO128" s="24"/>
      <c r="RCP128" s="40"/>
      <c r="RCQ128" s="24"/>
      <c r="RCR128" s="40"/>
      <c r="RCS128" s="24"/>
      <c r="RCT128" s="40"/>
      <c r="RCU128" s="24"/>
      <c r="RCV128" s="40"/>
      <c r="RCW128" s="24"/>
      <c r="RCX128" s="40"/>
      <c r="RCY128" s="24"/>
      <c r="RCZ128" s="40"/>
      <c r="RDA128" s="24"/>
      <c r="RDB128" s="40"/>
      <c r="RDC128" s="24"/>
      <c r="RDD128" s="40"/>
      <c r="RDE128" s="24"/>
      <c r="RDF128" s="40"/>
      <c r="RDG128" s="24"/>
      <c r="RDH128" s="40"/>
      <c r="RDI128" s="24"/>
      <c r="RDJ128" s="40"/>
      <c r="RDK128" s="24"/>
      <c r="RDL128" s="40"/>
      <c r="RDM128" s="24"/>
      <c r="RDN128" s="40"/>
      <c r="RDO128" s="24"/>
      <c r="RDP128" s="40"/>
      <c r="RDQ128" s="24"/>
      <c r="RDR128" s="40"/>
      <c r="RDS128" s="24"/>
      <c r="RDT128" s="40"/>
      <c r="RDU128" s="24"/>
      <c r="RDV128" s="40"/>
      <c r="RDW128" s="24"/>
      <c r="RDX128" s="40"/>
      <c r="RDY128" s="24"/>
      <c r="RDZ128" s="40"/>
      <c r="REA128" s="24"/>
      <c r="REB128" s="40"/>
      <c r="REC128" s="24"/>
      <c r="RED128" s="40"/>
      <c r="REE128" s="24"/>
      <c r="REF128" s="40"/>
      <c r="REG128" s="24"/>
      <c r="REH128" s="40"/>
      <c r="REI128" s="24"/>
      <c r="REJ128" s="40"/>
      <c r="REK128" s="24"/>
      <c r="REL128" s="40"/>
      <c r="REM128" s="24"/>
      <c r="REN128" s="40"/>
      <c r="REO128" s="24"/>
      <c r="REP128" s="40"/>
      <c r="REQ128" s="24"/>
      <c r="RER128" s="40"/>
      <c r="RES128" s="24"/>
      <c r="RET128" s="40"/>
      <c r="REU128" s="24"/>
      <c r="REV128" s="40"/>
      <c r="REW128" s="24"/>
      <c r="REX128" s="40"/>
      <c r="REY128" s="24"/>
      <c r="REZ128" s="40"/>
      <c r="RFA128" s="24"/>
      <c r="RFB128" s="40"/>
      <c r="RFC128" s="24"/>
      <c r="RFD128" s="40"/>
      <c r="RFE128" s="24"/>
      <c r="RFF128" s="40"/>
      <c r="RFG128" s="24"/>
      <c r="RFH128" s="40"/>
      <c r="RFI128" s="24"/>
      <c r="RFJ128" s="40"/>
      <c r="RFK128" s="24"/>
      <c r="RFL128" s="40"/>
      <c r="RFM128" s="24"/>
      <c r="RFN128" s="40"/>
      <c r="RFO128" s="24"/>
      <c r="RFP128" s="40"/>
      <c r="RFQ128" s="24"/>
      <c r="RFR128" s="40"/>
      <c r="RFS128" s="24"/>
      <c r="RFT128" s="40"/>
      <c r="RFU128" s="24"/>
      <c r="RFV128" s="40"/>
      <c r="RFW128" s="24"/>
      <c r="RFX128" s="40"/>
      <c r="RFY128" s="24"/>
      <c r="RFZ128" s="40"/>
      <c r="RGA128" s="24"/>
      <c r="RGB128" s="40"/>
      <c r="RGC128" s="24"/>
      <c r="RGD128" s="40"/>
      <c r="RGE128" s="24"/>
      <c r="RGF128" s="40"/>
      <c r="RGG128" s="24"/>
      <c r="RGH128" s="40"/>
      <c r="RGI128" s="24"/>
      <c r="RGJ128" s="40"/>
      <c r="RGK128" s="24"/>
      <c r="RGL128" s="40"/>
      <c r="RGM128" s="24"/>
      <c r="RGN128" s="40"/>
      <c r="RGO128" s="24"/>
      <c r="RGP128" s="40"/>
      <c r="RGQ128" s="24"/>
      <c r="RGR128" s="40"/>
      <c r="RGS128" s="24"/>
      <c r="RGT128" s="40"/>
      <c r="RGU128" s="24"/>
      <c r="RGV128" s="40"/>
      <c r="RGW128" s="24"/>
      <c r="RGX128" s="40"/>
      <c r="RGY128" s="24"/>
      <c r="RGZ128" s="40"/>
      <c r="RHA128" s="24"/>
      <c r="RHB128" s="40"/>
      <c r="RHC128" s="24"/>
      <c r="RHD128" s="40"/>
      <c r="RHE128" s="24"/>
      <c r="RHF128" s="40"/>
      <c r="RHG128" s="24"/>
      <c r="RHH128" s="40"/>
      <c r="RHI128" s="24"/>
      <c r="RHJ128" s="40"/>
      <c r="RHK128" s="24"/>
      <c r="RHL128" s="40"/>
      <c r="RHM128" s="24"/>
      <c r="RHN128" s="40"/>
      <c r="RHO128" s="24"/>
      <c r="RHP128" s="40"/>
      <c r="RHQ128" s="24"/>
      <c r="RHR128" s="40"/>
      <c r="RHS128" s="24"/>
      <c r="RHT128" s="40"/>
      <c r="RHU128" s="24"/>
      <c r="RHV128" s="40"/>
      <c r="RHW128" s="24"/>
      <c r="RHX128" s="40"/>
      <c r="RHY128" s="24"/>
      <c r="RHZ128" s="40"/>
      <c r="RIA128" s="24"/>
      <c r="RIB128" s="40"/>
      <c r="RIC128" s="24"/>
      <c r="RID128" s="40"/>
      <c r="RIE128" s="24"/>
      <c r="RIF128" s="40"/>
      <c r="RIG128" s="24"/>
      <c r="RIH128" s="40"/>
      <c r="RII128" s="24"/>
      <c r="RIJ128" s="40"/>
      <c r="RIK128" s="24"/>
      <c r="RIL128" s="40"/>
      <c r="RIM128" s="24"/>
      <c r="RIN128" s="40"/>
      <c r="RIO128" s="24"/>
      <c r="RIP128" s="40"/>
      <c r="RIQ128" s="24"/>
      <c r="RIR128" s="40"/>
      <c r="RIS128" s="24"/>
      <c r="RIT128" s="40"/>
      <c r="RIU128" s="24"/>
      <c r="RIV128" s="40"/>
      <c r="RIW128" s="24"/>
      <c r="RIX128" s="40"/>
      <c r="RIY128" s="24"/>
      <c r="RIZ128" s="40"/>
      <c r="RJA128" s="24"/>
      <c r="RJB128" s="40"/>
      <c r="RJC128" s="24"/>
      <c r="RJD128" s="40"/>
      <c r="RJE128" s="24"/>
      <c r="RJF128" s="40"/>
      <c r="RJG128" s="24"/>
      <c r="RJH128" s="40"/>
      <c r="RJI128" s="24"/>
      <c r="RJJ128" s="40"/>
      <c r="RJK128" s="24"/>
      <c r="RJL128" s="40"/>
      <c r="RJM128" s="24"/>
      <c r="RJN128" s="40"/>
      <c r="RJO128" s="24"/>
      <c r="RJP128" s="40"/>
      <c r="RJQ128" s="24"/>
      <c r="RJR128" s="40"/>
      <c r="RJS128" s="24"/>
      <c r="RJT128" s="40"/>
      <c r="RJU128" s="24"/>
      <c r="RJV128" s="40"/>
      <c r="RJW128" s="24"/>
      <c r="RJX128" s="40"/>
      <c r="RJY128" s="24"/>
      <c r="RJZ128" s="40"/>
      <c r="RKA128" s="24"/>
      <c r="RKB128" s="40"/>
      <c r="RKC128" s="24"/>
      <c r="RKD128" s="40"/>
      <c r="RKE128" s="24"/>
      <c r="RKF128" s="40"/>
      <c r="RKG128" s="24"/>
      <c r="RKH128" s="40"/>
      <c r="RKI128" s="24"/>
      <c r="RKJ128" s="40"/>
      <c r="RKK128" s="24"/>
      <c r="RKL128" s="40"/>
      <c r="RKM128" s="24"/>
      <c r="RKN128" s="40"/>
      <c r="RKO128" s="24"/>
      <c r="RKP128" s="40"/>
      <c r="RKQ128" s="24"/>
      <c r="RKR128" s="40"/>
      <c r="RKS128" s="24"/>
      <c r="RKT128" s="40"/>
      <c r="RKU128" s="24"/>
      <c r="RKV128" s="40"/>
      <c r="RKW128" s="24"/>
      <c r="RKX128" s="40"/>
      <c r="RKY128" s="24"/>
      <c r="RKZ128" s="40"/>
      <c r="RLA128" s="24"/>
      <c r="RLB128" s="40"/>
      <c r="RLC128" s="24"/>
      <c r="RLD128" s="40"/>
      <c r="RLE128" s="24"/>
      <c r="RLF128" s="40"/>
      <c r="RLG128" s="24"/>
      <c r="RLH128" s="40"/>
      <c r="RLI128" s="24"/>
      <c r="RLJ128" s="40"/>
      <c r="RLK128" s="24"/>
      <c r="RLL128" s="40"/>
      <c r="RLM128" s="24"/>
      <c r="RLN128" s="40"/>
      <c r="RLO128" s="24"/>
      <c r="RLP128" s="40"/>
      <c r="RLQ128" s="24"/>
      <c r="RLR128" s="40"/>
      <c r="RLS128" s="24"/>
      <c r="RLT128" s="40"/>
      <c r="RLU128" s="24"/>
      <c r="RLV128" s="40"/>
      <c r="RLW128" s="24"/>
      <c r="RLX128" s="40"/>
      <c r="RLY128" s="24"/>
      <c r="RLZ128" s="40"/>
      <c r="RMA128" s="24"/>
      <c r="RMB128" s="40"/>
      <c r="RMC128" s="24"/>
      <c r="RMD128" s="40"/>
      <c r="RME128" s="24"/>
      <c r="RMF128" s="40"/>
      <c r="RMG128" s="24"/>
      <c r="RMH128" s="40"/>
      <c r="RMI128" s="24"/>
      <c r="RMJ128" s="40"/>
      <c r="RMK128" s="24"/>
      <c r="RML128" s="40"/>
      <c r="RMM128" s="24"/>
      <c r="RMN128" s="40"/>
      <c r="RMO128" s="24"/>
      <c r="RMP128" s="40"/>
      <c r="RMQ128" s="24"/>
      <c r="RMR128" s="40"/>
      <c r="RMS128" s="24"/>
      <c r="RMT128" s="40"/>
      <c r="RMU128" s="24"/>
      <c r="RMV128" s="40"/>
      <c r="RMW128" s="24"/>
      <c r="RMX128" s="40"/>
      <c r="RMY128" s="24"/>
      <c r="RMZ128" s="40"/>
      <c r="RNA128" s="24"/>
      <c r="RNB128" s="40"/>
      <c r="RNC128" s="24"/>
      <c r="RND128" s="40"/>
      <c r="RNE128" s="24"/>
      <c r="RNF128" s="40"/>
      <c r="RNG128" s="24"/>
      <c r="RNH128" s="40"/>
      <c r="RNI128" s="24"/>
      <c r="RNJ128" s="40"/>
      <c r="RNK128" s="24"/>
      <c r="RNL128" s="40"/>
      <c r="RNM128" s="24"/>
      <c r="RNN128" s="40"/>
      <c r="RNO128" s="24"/>
      <c r="RNP128" s="40"/>
      <c r="RNQ128" s="24"/>
      <c r="RNR128" s="40"/>
      <c r="RNS128" s="24"/>
      <c r="RNT128" s="40"/>
      <c r="RNU128" s="24"/>
      <c r="RNV128" s="40"/>
      <c r="RNW128" s="24"/>
      <c r="RNX128" s="40"/>
      <c r="RNY128" s="24"/>
      <c r="RNZ128" s="40"/>
      <c r="ROA128" s="24"/>
      <c r="ROB128" s="40"/>
      <c r="ROC128" s="24"/>
      <c r="ROD128" s="40"/>
      <c r="ROE128" s="24"/>
      <c r="ROF128" s="40"/>
      <c r="ROG128" s="24"/>
      <c r="ROH128" s="40"/>
      <c r="ROI128" s="24"/>
      <c r="ROJ128" s="40"/>
      <c r="ROK128" s="24"/>
      <c r="ROL128" s="40"/>
      <c r="ROM128" s="24"/>
      <c r="RON128" s="40"/>
      <c r="ROO128" s="24"/>
      <c r="ROP128" s="40"/>
      <c r="ROQ128" s="24"/>
      <c r="ROR128" s="40"/>
      <c r="ROS128" s="24"/>
      <c r="ROT128" s="40"/>
      <c r="ROU128" s="24"/>
      <c r="ROV128" s="40"/>
      <c r="ROW128" s="24"/>
      <c r="ROX128" s="40"/>
      <c r="ROY128" s="24"/>
      <c r="ROZ128" s="40"/>
      <c r="RPA128" s="24"/>
      <c r="RPB128" s="40"/>
      <c r="RPC128" s="24"/>
      <c r="RPD128" s="40"/>
      <c r="RPE128" s="24"/>
      <c r="RPF128" s="40"/>
      <c r="RPG128" s="24"/>
      <c r="RPH128" s="40"/>
      <c r="RPI128" s="24"/>
      <c r="RPJ128" s="40"/>
      <c r="RPK128" s="24"/>
      <c r="RPL128" s="40"/>
      <c r="RPM128" s="24"/>
      <c r="RPN128" s="40"/>
      <c r="RPO128" s="24"/>
      <c r="RPP128" s="40"/>
      <c r="RPQ128" s="24"/>
      <c r="RPR128" s="40"/>
      <c r="RPS128" s="24"/>
      <c r="RPT128" s="40"/>
      <c r="RPU128" s="24"/>
      <c r="RPV128" s="40"/>
      <c r="RPW128" s="24"/>
      <c r="RPX128" s="40"/>
      <c r="RPY128" s="24"/>
      <c r="RPZ128" s="40"/>
      <c r="RQA128" s="24"/>
      <c r="RQB128" s="40"/>
      <c r="RQC128" s="24"/>
      <c r="RQD128" s="40"/>
      <c r="RQE128" s="24"/>
      <c r="RQF128" s="40"/>
      <c r="RQG128" s="24"/>
      <c r="RQH128" s="40"/>
      <c r="RQI128" s="24"/>
      <c r="RQJ128" s="40"/>
      <c r="RQK128" s="24"/>
      <c r="RQL128" s="40"/>
      <c r="RQM128" s="24"/>
      <c r="RQN128" s="40"/>
      <c r="RQO128" s="24"/>
      <c r="RQP128" s="40"/>
      <c r="RQQ128" s="24"/>
      <c r="RQR128" s="40"/>
      <c r="RQS128" s="24"/>
      <c r="RQT128" s="40"/>
      <c r="RQU128" s="24"/>
      <c r="RQV128" s="40"/>
      <c r="RQW128" s="24"/>
      <c r="RQX128" s="40"/>
      <c r="RQY128" s="24"/>
      <c r="RQZ128" s="40"/>
      <c r="RRA128" s="24"/>
      <c r="RRB128" s="40"/>
      <c r="RRC128" s="24"/>
      <c r="RRD128" s="40"/>
      <c r="RRE128" s="24"/>
      <c r="RRF128" s="40"/>
      <c r="RRG128" s="24"/>
      <c r="RRH128" s="40"/>
      <c r="RRI128" s="24"/>
      <c r="RRJ128" s="40"/>
      <c r="RRK128" s="24"/>
      <c r="RRL128" s="40"/>
      <c r="RRM128" s="24"/>
      <c r="RRN128" s="40"/>
      <c r="RRO128" s="24"/>
      <c r="RRP128" s="40"/>
      <c r="RRQ128" s="24"/>
      <c r="RRR128" s="40"/>
      <c r="RRS128" s="24"/>
      <c r="RRT128" s="40"/>
      <c r="RRU128" s="24"/>
      <c r="RRV128" s="40"/>
      <c r="RRW128" s="24"/>
      <c r="RRX128" s="40"/>
      <c r="RRY128" s="24"/>
      <c r="RRZ128" s="40"/>
      <c r="RSA128" s="24"/>
      <c r="RSB128" s="40"/>
      <c r="RSC128" s="24"/>
      <c r="RSD128" s="40"/>
      <c r="RSE128" s="24"/>
      <c r="RSF128" s="40"/>
      <c r="RSG128" s="24"/>
      <c r="RSH128" s="40"/>
      <c r="RSI128" s="24"/>
      <c r="RSJ128" s="40"/>
      <c r="RSK128" s="24"/>
      <c r="RSL128" s="40"/>
      <c r="RSM128" s="24"/>
      <c r="RSN128" s="40"/>
      <c r="RSO128" s="24"/>
      <c r="RSP128" s="40"/>
      <c r="RSQ128" s="24"/>
      <c r="RSR128" s="40"/>
      <c r="RSS128" s="24"/>
      <c r="RST128" s="40"/>
      <c r="RSU128" s="24"/>
      <c r="RSV128" s="40"/>
      <c r="RSW128" s="24"/>
      <c r="RSX128" s="40"/>
      <c r="RSY128" s="24"/>
      <c r="RSZ128" s="40"/>
      <c r="RTA128" s="24"/>
      <c r="RTB128" s="40"/>
      <c r="RTC128" s="24"/>
      <c r="RTD128" s="40"/>
      <c r="RTE128" s="24"/>
      <c r="RTF128" s="40"/>
      <c r="RTG128" s="24"/>
      <c r="RTH128" s="40"/>
      <c r="RTI128" s="24"/>
      <c r="RTJ128" s="40"/>
      <c r="RTK128" s="24"/>
      <c r="RTL128" s="40"/>
      <c r="RTM128" s="24"/>
      <c r="RTN128" s="40"/>
      <c r="RTO128" s="24"/>
      <c r="RTP128" s="40"/>
      <c r="RTQ128" s="24"/>
      <c r="RTR128" s="40"/>
      <c r="RTS128" s="24"/>
      <c r="RTT128" s="40"/>
      <c r="RTU128" s="24"/>
      <c r="RTV128" s="40"/>
      <c r="RTW128" s="24"/>
      <c r="RTX128" s="40"/>
      <c r="RTY128" s="24"/>
      <c r="RTZ128" s="40"/>
      <c r="RUA128" s="24"/>
      <c r="RUB128" s="40"/>
      <c r="RUC128" s="24"/>
      <c r="RUD128" s="40"/>
      <c r="RUE128" s="24"/>
      <c r="RUF128" s="40"/>
      <c r="RUG128" s="24"/>
      <c r="RUH128" s="40"/>
      <c r="RUI128" s="24"/>
      <c r="RUJ128" s="40"/>
      <c r="RUK128" s="24"/>
      <c r="RUL128" s="40"/>
      <c r="RUM128" s="24"/>
      <c r="RUN128" s="40"/>
      <c r="RUO128" s="24"/>
      <c r="RUP128" s="40"/>
      <c r="RUQ128" s="24"/>
      <c r="RUR128" s="40"/>
      <c r="RUS128" s="24"/>
      <c r="RUT128" s="40"/>
      <c r="RUU128" s="24"/>
      <c r="RUV128" s="40"/>
      <c r="RUW128" s="24"/>
      <c r="RUX128" s="40"/>
      <c r="RUY128" s="24"/>
      <c r="RUZ128" s="40"/>
      <c r="RVA128" s="24"/>
      <c r="RVB128" s="40"/>
      <c r="RVC128" s="24"/>
      <c r="RVD128" s="40"/>
      <c r="RVE128" s="24"/>
      <c r="RVF128" s="40"/>
      <c r="RVG128" s="24"/>
      <c r="RVH128" s="40"/>
      <c r="RVI128" s="24"/>
      <c r="RVJ128" s="40"/>
      <c r="RVK128" s="24"/>
      <c r="RVL128" s="40"/>
      <c r="RVM128" s="24"/>
      <c r="RVN128" s="40"/>
      <c r="RVO128" s="24"/>
      <c r="RVP128" s="40"/>
      <c r="RVQ128" s="24"/>
      <c r="RVR128" s="40"/>
      <c r="RVS128" s="24"/>
      <c r="RVT128" s="40"/>
      <c r="RVU128" s="24"/>
      <c r="RVV128" s="40"/>
      <c r="RVW128" s="24"/>
      <c r="RVX128" s="40"/>
      <c r="RVY128" s="24"/>
      <c r="RVZ128" s="40"/>
      <c r="RWA128" s="24"/>
      <c r="RWB128" s="40"/>
      <c r="RWC128" s="24"/>
      <c r="RWD128" s="40"/>
      <c r="RWE128" s="24"/>
      <c r="RWF128" s="40"/>
      <c r="RWG128" s="24"/>
      <c r="RWH128" s="40"/>
      <c r="RWI128" s="24"/>
      <c r="RWJ128" s="40"/>
      <c r="RWK128" s="24"/>
      <c r="RWL128" s="40"/>
      <c r="RWM128" s="24"/>
      <c r="RWN128" s="40"/>
      <c r="RWO128" s="24"/>
      <c r="RWP128" s="40"/>
      <c r="RWQ128" s="24"/>
      <c r="RWR128" s="40"/>
      <c r="RWS128" s="24"/>
      <c r="RWT128" s="40"/>
      <c r="RWU128" s="24"/>
      <c r="RWV128" s="40"/>
      <c r="RWW128" s="24"/>
      <c r="RWX128" s="40"/>
      <c r="RWY128" s="24"/>
      <c r="RWZ128" s="40"/>
      <c r="RXA128" s="24"/>
      <c r="RXB128" s="40"/>
      <c r="RXC128" s="24"/>
      <c r="RXD128" s="40"/>
      <c r="RXE128" s="24"/>
      <c r="RXF128" s="40"/>
      <c r="RXG128" s="24"/>
      <c r="RXH128" s="40"/>
      <c r="RXI128" s="24"/>
      <c r="RXJ128" s="40"/>
      <c r="RXK128" s="24"/>
      <c r="RXL128" s="40"/>
      <c r="RXM128" s="24"/>
      <c r="RXN128" s="40"/>
      <c r="RXO128" s="24"/>
      <c r="RXP128" s="40"/>
      <c r="RXQ128" s="24"/>
      <c r="RXR128" s="40"/>
      <c r="RXS128" s="24"/>
      <c r="RXT128" s="40"/>
      <c r="RXU128" s="24"/>
      <c r="RXV128" s="40"/>
      <c r="RXW128" s="24"/>
      <c r="RXX128" s="40"/>
      <c r="RXY128" s="24"/>
      <c r="RXZ128" s="40"/>
      <c r="RYA128" s="24"/>
      <c r="RYB128" s="40"/>
      <c r="RYC128" s="24"/>
      <c r="RYD128" s="40"/>
      <c r="RYE128" s="24"/>
      <c r="RYF128" s="40"/>
      <c r="RYG128" s="24"/>
      <c r="RYH128" s="40"/>
      <c r="RYI128" s="24"/>
      <c r="RYJ128" s="40"/>
      <c r="RYK128" s="24"/>
      <c r="RYL128" s="40"/>
      <c r="RYM128" s="24"/>
      <c r="RYN128" s="40"/>
      <c r="RYO128" s="24"/>
      <c r="RYP128" s="40"/>
      <c r="RYQ128" s="24"/>
      <c r="RYR128" s="40"/>
      <c r="RYS128" s="24"/>
      <c r="RYT128" s="40"/>
      <c r="RYU128" s="24"/>
      <c r="RYV128" s="40"/>
      <c r="RYW128" s="24"/>
      <c r="RYX128" s="40"/>
      <c r="RYY128" s="24"/>
      <c r="RYZ128" s="40"/>
      <c r="RZA128" s="24"/>
      <c r="RZB128" s="40"/>
      <c r="RZC128" s="24"/>
      <c r="RZD128" s="40"/>
      <c r="RZE128" s="24"/>
      <c r="RZF128" s="40"/>
      <c r="RZG128" s="24"/>
      <c r="RZH128" s="40"/>
      <c r="RZI128" s="24"/>
      <c r="RZJ128" s="40"/>
      <c r="RZK128" s="24"/>
      <c r="RZL128" s="40"/>
      <c r="RZM128" s="24"/>
      <c r="RZN128" s="40"/>
      <c r="RZO128" s="24"/>
      <c r="RZP128" s="40"/>
      <c r="RZQ128" s="24"/>
      <c r="RZR128" s="40"/>
      <c r="RZS128" s="24"/>
      <c r="RZT128" s="40"/>
      <c r="RZU128" s="24"/>
      <c r="RZV128" s="40"/>
      <c r="RZW128" s="24"/>
      <c r="RZX128" s="40"/>
      <c r="RZY128" s="24"/>
      <c r="RZZ128" s="40"/>
      <c r="SAA128" s="24"/>
      <c r="SAB128" s="40"/>
      <c r="SAC128" s="24"/>
      <c r="SAD128" s="40"/>
      <c r="SAE128" s="24"/>
      <c r="SAF128" s="40"/>
      <c r="SAG128" s="24"/>
      <c r="SAH128" s="40"/>
      <c r="SAI128" s="24"/>
      <c r="SAJ128" s="40"/>
      <c r="SAK128" s="24"/>
      <c r="SAL128" s="40"/>
      <c r="SAM128" s="24"/>
      <c r="SAN128" s="40"/>
      <c r="SAO128" s="24"/>
      <c r="SAP128" s="40"/>
      <c r="SAQ128" s="24"/>
      <c r="SAR128" s="40"/>
      <c r="SAS128" s="24"/>
      <c r="SAT128" s="40"/>
      <c r="SAU128" s="24"/>
      <c r="SAV128" s="40"/>
      <c r="SAW128" s="24"/>
      <c r="SAX128" s="40"/>
      <c r="SAY128" s="24"/>
      <c r="SAZ128" s="40"/>
      <c r="SBA128" s="24"/>
      <c r="SBB128" s="40"/>
      <c r="SBC128" s="24"/>
      <c r="SBD128" s="40"/>
      <c r="SBE128" s="24"/>
      <c r="SBF128" s="40"/>
      <c r="SBG128" s="24"/>
      <c r="SBH128" s="40"/>
      <c r="SBI128" s="24"/>
      <c r="SBJ128" s="40"/>
      <c r="SBK128" s="24"/>
      <c r="SBL128" s="40"/>
      <c r="SBM128" s="24"/>
      <c r="SBN128" s="40"/>
      <c r="SBO128" s="24"/>
      <c r="SBP128" s="40"/>
      <c r="SBQ128" s="24"/>
      <c r="SBR128" s="40"/>
      <c r="SBS128" s="24"/>
      <c r="SBT128" s="40"/>
      <c r="SBU128" s="24"/>
      <c r="SBV128" s="40"/>
      <c r="SBW128" s="24"/>
      <c r="SBX128" s="40"/>
      <c r="SBY128" s="24"/>
      <c r="SBZ128" s="40"/>
      <c r="SCA128" s="24"/>
      <c r="SCB128" s="40"/>
      <c r="SCC128" s="24"/>
      <c r="SCD128" s="40"/>
      <c r="SCE128" s="24"/>
      <c r="SCF128" s="40"/>
      <c r="SCG128" s="24"/>
      <c r="SCH128" s="40"/>
      <c r="SCI128" s="24"/>
      <c r="SCJ128" s="40"/>
      <c r="SCK128" s="24"/>
      <c r="SCL128" s="40"/>
      <c r="SCM128" s="24"/>
      <c r="SCN128" s="40"/>
      <c r="SCO128" s="24"/>
      <c r="SCP128" s="40"/>
      <c r="SCQ128" s="24"/>
      <c r="SCR128" s="40"/>
      <c r="SCS128" s="24"/>
      <c r="SCT128" s="40"/>
      <c r="SCU128" s="24"/>
      <c r="SCV128" s="40"/>
      <c r="SCW128" s="24"/>
      <c r="SCX128" s="40"/>
      <c r="SCY128" s="24"/>
      <c r="SCZ128" s="40"/>
      <c r="SDA128" s="24"/>
      <c r="SDB128" s="40"/>
      <c r="SDC128" s="24"/>
      <c r="SDD128" s="40"/>
      <c r="SDE128" s="24"/>
      <c r="SDF128" s="40"/>
      <c r="SDG128" s="24"/>
      <c r="SDH128" s="40"/>
      <c r="SDI128" s="24"/>
      <c r="SDJ128" s="40"/>
      <c r="SDK128" s="24"/>
      <c r="SDL128" s="40"/>
      <c r="SDM128" s="24"/>
      <c r="SDN128" s="40"/>
      <c r="SDO128" s="24"/>
      <c r="SDP128" s="40"/>
      <c r="SDQ128" s="24"/>
      <c r="SDR128" s="40"/>
      <c r="SDS128" s="24"/>
      <c r="SDT128" s="40"/>
      <c r="SDU128" s="24"/>
      <c r="SDV128" s="40"/>
      <c r="SDW128" s="24"/>
      <c r="SDX128" s="40"/>
      <c r="SDY128" s="24"/>
      <c r="SDZ128" s="40"/>
      <c r="SEA128" s="24"/>
      <c r="SEB128" s="40"/>
      <c r="SEC128" s="24"/>
      <c r="SED128" s="40"/>
      <c r="SEE128" s="24"/>
      <c r="SEF128" s="40"/>
      <c r="SEG128" s="24"/>
      <c r="SEH128" s="40"/>
      <c r="SEI128" s="24"/>
      <c r="SEJ128" s="40"/>
      <c r="SEK128" s="24"/>
      <c r="SEL128" s="40"/>
      <c r="SEM128" s="24"/>
      <c r="SEN128" s="40"/>
      <c r="SEO128" s="24"/>
      <c r="SEP128" s="40"/>
      <c r="SEQ128" s="24"/>
      <c r="SER128" s="40"/>
      <c r="SES128" s="24"/>
      <c r="SET128" s="40"/>
      <c r="SEU128" s="24"/>
      <c r="SEV128" s="40"/>
      <c r="SEW128" s="24"/>
      <c r="SEX128" s="40"/>
      <c r="SEY128" s="24"/>
      <c r="SEZ128" s="40"/>
      <c r="SFA128" s="24"/>
      <c r="SFB128" s="40"/>
      <c r="SFC128" s="24"/>
      <c r="SFD128" s="40"/>
      <c r="SFE128" s="24"/>
      <c r="SFF128" s="40"/>
      <c r="SFG128" s="24"/>
      <c r="SFH128" s="40"/>
      <c r="SFI128" s="24"/>
      <c r="SFJ128" s="40"/>
      <c r="SFK128" s="24"/>
      <c r="SFL128" s="40"/>
      <c r="SFM128" s="24"/>
      <c r="SFN128" s="40"/>
      <c r="SFO128" s="24"/>
      <c r="SFP128" s="40"/>
      <c r="SFQ128" s="24"/>
      <c r="SFR128" s="40"/>
      <c r="SFS128" s="24"/>
      <c r="SFT128" s="40"/>
      <c r="SFU128" s="24"/>
      <c r="SFV128" s="40"/>
      <c r="SFW128" s="24"/>
      <c r="SFX128" s="40"/>
      <c r="SFY128" s="24"/>
      <c r="SFZ128" s="40"/>
      <c r="SGA128" s="24"/>
      <c r="SGB128" s="40"/>
      <c r="SGC128" s="24"/>
      <c r="SGD128" s="40"/>
      <c r="SGE128" s="24"/>
      <c r="SGF128" s="40"/>
      <c r="SGG128" s="24"/>
      <c r="SGH128" s="40"/>
      <c r="SGI128" s="24"/>
      <c r="SGJ128" s="40"/>
      <c r="SGK128" s="24"/>
      <c r="SGL128" s="40"/>
      <c r="SGM128" s="24"/>
      <c r="SGN128" s="40"/>
      <c r="SGO128" s="24"/>
      <c r="SGP128" s="40"/>
      <c r="SGQ128" s="24"/>
      <c r="SGR128" s="40"/>
      <c r="SGS128" s="24"/>
      <c r="SGT128" s="40"/>
      <c r="SGU128" s="24"/>
      <c r="SGV128" s="40"/>
      <c r="SGW128" s="24"/>
      <c r="SGX128" s="40"/>
      <c r="SGY128" s="24"/>
      <c r="SGZ128" s="40"/>
      <c r="SHA128" s="24"/>
      <c r="SHB128" s="40"/>
      <c r="SHC128" s="24"/>
      <c r="SHD128" s="40"/>
      <c r="SHE128" s="24"/>
      <c r="SHF128" s="40"/>
      <c r="SHG128" s="24"/>
      <c r="SHH128" s="40"/>
      <c r="SHI128" s="24"/>
      <c r="SHJ128" s="40"/>
      <c r="SHK128" s="24"/>
      <c r="SHL128" s="40"/>
      <c r="SHM128" s="24"/>
      <c r="SHN128" s="40"/>
      <c r="SHO128" s="24"/>
      <c r="SHP128" s="40"/>
      <c r="SHQ128" s="24"/>
      <c r="SHR128" s="40"/>
      <c r="SHS128" s="24"/>
      <c r="SHT128" s="40"/>
      <c r="SHU128" s="24"/>
      <c r="SHV128" s="40"/>
      <c r="SHW128" s="24"/>
      <c r="SHX128" s="40"/>
      <c r="SHY128" s="24"/>
      <c r="SHZ128" s="40"/>
      <c r="SIA128" s="24"/>
      <c r="SIB128" s="40"/>
      <c r="SIC128" s="24"/>
      <c r="SID128" s="40"/>
      <c r="SIE128" s="24"/>
      <c r="SIF128" s="40"/>
      <c r="SIG128" s="24"/>
      <c r="SIH128" s="40"/>
      <c r="SII128" s="24"/>
      <c r="SIJ128" s="40"/>
      <c r="SIK128" s="24"/>
      <c r="SIL128" s="40"/>
      <c r="SIM128" s="24"/>
      <c r="SIN128" s="40"/>
      <c r="SIO128" s="24"/>
      <c r="SIP128" s="40"/>
      <c r="SIQ128" s="24"/>
      <c r="SIR128" s="40"/>
      <c r="SIS128" s="24"/>
      <c r="SIT128" s="40"/>
      <c r="SIU128" s="24"/>
      <c r="SIV128" s="40"/>
      <c r="SIW128" s="24"/>
      <c r="SIX128" s="40"/>
      <c r="SIY128" s="24"/>
      <c r="SIZ128" s="40"/>
      <c r="SJA128" s="24"/>
      <c r="SJB128" s="40"/>
      <c r="SJC128" s="24"/>
      <c r="SJD128" s="40"/>
      <c r="SJE128" s="24"/>
      <c r="SJF128" s="40"/>
      <c r="SJG128" s="24"/>
      <c r="SJH128" s="40"/>
      <c r="SJI128" s="24"/>
      <c r="SJJ128" s="40"/>
      <c r="SJK128" s="24"/>
      <c r="SJL128" s="40"/>
      <c r="SJM128" s="24"/>
      <c r="SJN128" s="40"/>
      <c r="SJO128" s="24"/>
      <c r="SJP128" s="40"/>
      <c r="SJQ128" s="24"/>
      <c r="SJR128" s="40"/>
      <c r="SJS128" s="24"/>
      <c r="SJT128" s="40"/>
      <c r="SJU128" s="24"/>
      <c r="SJV128" s="40"/>
      <c r="SJW128" s="24"/>
      <c r="SJX128" s="40"/>
      <c r="SJY128" s="24"/>
      <c r="SJZ128" s="40"/>
      <c r="SKA128" s="24"/>
      <c r="SKB128" s="40"/>
      <c r="SKC128" s="24"/>
      <c r="SKD128" s="40"/>
      <c r="SKE128" s="24"/>
      <c r="SKF128" s="40"/>
      <c r="SKG128" s="24"/>
      <c r="SKH128" s="40"/>
      <c r="SKI128" s="24"/>
      <c r="SKJ128" s="40"/>
      <c r="SKK128" s="24"/>
      <c r="SKL128" s="40"/>
      <c r="SKM128" s="24"/>
      <c r="SKN128" s="40"/>
      <c r="SKO128" s="24"/>
      <c r="SKP128" s="40"/>
      <c r="SKQ128" s="24"/>
      <c r="SKR128" s="40"/>
      <c r="SKS128" s="24"/>
      <c r="SKT128" s="40"/>
      <c r="SKU128" s="24"/>
      <c r="SKV128" s="40"/>
      <c r="SKW128" s="24"/>
      <c r="SKX128" s="40"/>
      <c r="SKY128" s="24"/>
      <c r="SKZ128" s="40"/>
      <c r="SLA128" s="24"/>
      <c r="SLB128" s="40"/>
      <c r="SLC128" s="24"/>
      <c r="SLD128" s="40"/>
      <c r="SLE128" s="24"/>
      <c r="SLF128" s="40"/>
      <c r="SLG128" s="24"/>
      <c r="SLH128" s="40"/>
      <c r="SLI128" s="24"/>
      <c r="SLJ128" s="40"/>
      <c r="SLK128" s="24"/>
      <c r="SLL128" s="40"/>
      <c r="SLM128" s="24"/>
      <c r="SLN128" s="40"/>
      <c r="SLO128" s="24"/>
      <c r="SLP128" s="40"/>
      <c r="SLQ128" s="24"/>
      <c r="SLR128" s="40"/>
      <c r="SLS128" s="24"/>
      <c r="SLT128" s="40"/>
      <c r="SLU128" s="24"/>
      <c r="SLV128" s="40"/>
      <c r="SLW128" s="24"/>
      <c r="SLX128" s="40"/>
      <c r="SLY128" s="24"/>
      <c r="SLZ128" s="40"/>
      <c r="SMA128" s="24"/>
      <c r="SMB128" s="40"/>
      <c r="SMC128" s="24"/>
      <c r="SMD128" s="40"/>
      <c r="SME128" s="24"/>
      <c r="SMF128" s="40"/>
      <c r="SMG128" s="24"/>
      <c r="SMH128" s="40"/>
      <c r="SMI128" s="24"/>
      <c r="SMJ128" s="40"/>
      <c r="SMK128" s="24"/>
      <c r="SML128" s="40"/>
      <c r="SMM128" s="24"/>
      <c r="SMN128" s="40"/>
      <c r="SMO128" s="24"/>
      <c r="SMP128" s="40"/>
      <c r="SMQ128" s="24"/>
      <c r="SMR128" s="40"/>
      <c r="SMS128" s="24"/>
      <c r="SMT128" s="40"/>
      <c r="SMU128" s="24"/>
      <c r="SMV128" s="40"/>
      <c r="SMW128" s="24"/>
      <c r="SMX128" s="40"/>
      <c r="SMY128" s="24"/>
      <c r="SMZ128" s="40"/>
      <c r="SNA128" s="24"/>
      <c r="SNB128" s="40"/>
      <c r="SNC128" s="24"/>
      <c r="SND128" s="40"/>
      <c r="SNE128" s="24"/>
      <c r="SNF128" s="40"/>
      <c r="SNG128" s="24"/>
      <c r="SNH128" s="40"/>
      <c r="SNI128" s="24"/>
      <c r="SNJ128" s="40"/>
      <c r="SNK128" s="24"/>
      <c r="SNL128" s="40"/>
      <c r="SNM128" s="24"/>
      <c r="SNN128" s="40"/>
      <c r="SNO128" s="24"/>
      <c r="SNP128" s="40"/>
      <c r="SNQ128" s="24"/>
      <c r="SNR128" s="40"/>
      <c r="SNS128" s="24"/>
      <c r="SNT128" s="40"/>
      <c r="SNU128" s="24"/>
      <c r="SNV128" s="40"/>
      <c r="SNW128" s="24"/>
      <c r="SNX128" s="40"/>
      <c r="SNY128" s="24"/>
      <c r="SNZ128" s="40"/>
      <c r="SOA128" s="24"/>
      <c r="SOB128" s="40"/>
      <c r="SOC128" s="24"/>
      <c r="SOD128" s="40"/>
      <c r="SOE128" s="24"/>
      <c r="SOF128" s="40"/>
      <c r="SOG128" s="24"/>
      <c r="SOH128" s="40"/>
      <c r="SOI128" s="24"/>
      <c r="SOJ128" s="40"/>
      <c r="SOK128" s="24"/>
      <c r="SOL128" s="40"/>
      <c r="SOM128" s="24"/>
      <c r="SON128" s="40"/>
      <c r="SOO128" s="24"/>
      <c r="SOP128" s="40"/>
      <c r="SOQ128" s="24"/>
      <c r="SOR128" s="40"/>
      <c r="SOS128" s="24"/>
      <c r="SOT128" s="40"/>
      <c r="SOU128" s="24"/>
      <c r="SOV128" s="40"/>
      <c r="SOW128" s="24"/>
      <c r="SOX128" s="40"/>
      <c r="SOY128" s="24"/>
      <c r="SOZ128" s="40"/>
      <c r="SPA128" s="24"/>
      <c r="SPB128" s="40"/>
      <c r="SPC128" s="24"/>
      <c r="SPD128" s="40"/>
      <c r="SPE128" s="24"/>
      <c r="SPF128" s="40"/>
      <c r="SPG128" s="24"/>
      <c r="SPH128" s="40"/>
      <c r="SPI128" s="24"/>
      <c r="SPJ128" s="40"/>
      <c r="SPK128" s="24"/>
      <c r="SPL128" s="40"/>
      <c r="SPM128" s="24"/>
      <c r="SPN128" s="40"/>
      <c r="SPO128" s="24"/>
      <c r="SPP128" s="40"/>
      <c r="SPQ128" s="24"/>
      <c r="SPR128" s="40"/>
      <c r="SPS128" s="24"/>
      <c r="SPT128" s="40"/>
      <c r="SPU128" s="24"/>
      <c r="SPV128" s="40"/>
      <c r="SPW128" s="24"/>
      <c r="SPX128" s="40"/>
      <c r="SPY128" s="24"/>
      <c r="SPZ128" s="40"/>
      <c r="SQA128" s="24"/>
      <c r="SQB128" s="40"/>
      <c r="SQC128" s="24"/>
      <c r="SQD128" s="40"/>
      <c r="SQE128" s="24"/>
      <c r="SQF128" s="40"/>
      <c r="SQG128" s="24"/>
      <c r="SQH128" s="40"/>
      <c r="SQI128" s="24"/>
      <c r="SQJ128" s="40"/>
      <c r="SQK128" s="24"/>
      <c r="SQL128" s="40"/>
      <c r="SQM128" s="24"/>
      <c r="SQN128" s="40"/>
      <c r="SQO128" s="24"/>
      <c r="SQP128" s="40"/>
      <c r="SQQ128" s="24"/>
      <c r="SQR128" s="40"/>
      <c r="SQS128" s="24"/>
      <c r="SQT128" s="40"/>
      <c r="SQU128" s="24"/>
      <c r="SQV128" s="40"/>
      <c r="SQW128" s="24"/>
      <c r="SQX128" s="40"/>
      <c r="SQY128" s="24"/>
      <c r="SQZ128" s="40"/>
      <c r="SRA128" s="24"/>
      <c r="SRB128" s="40"/>
      <c r="SRC128" s="24"/>
      <c r="SRD128" s="40"/>
      <c r="SRE128" s="24"/>
      <c r="SRF128" s="40"/>
      <c r="SRG128" s="24"/>
      <c r="SRH128" s="40"/>
      <c r="SRI128" s="24"/>
      <c r="SRJ128" s="40"/>
      <c r="SRK128" s="24"/>
      <c r="SRL128" s="40"/>
      <c r="SRM128" s="24"/>
      <c r="SRN128" s="40"/>
      <c r="SRO128" s="24"/>
      <c r="SRP128" s="40"/>
      <c r="SRQ128" s="24"/>
      <c r="SRR128" s="40"/>
      <c r="SRS128" s="24"/>
      <c r="SRT128" s="40"/>
      <c r="SRU128" s="24"/>
      <c r="SRV128" s="40"/>
      <c r="SRW128" s="24"/>
      <c r="SRX128" s="40"/>
      <c r="SRY128" s="24"/>
      <c r="SRZ128" s="40"/>
      <c r="SSA128" s="24"/>
      <c r="SSB128" s="40"/>
      <c r="SSC128" s="24"/>
      <c r="SSD128" s="40"/>
      <c r="SSE128" s="24"/>
      <c r="SSF128" s="40"/>
      <c r="SSG128" s="24"/>
      <c r="SSH128" s="40"/>
      <c r="SSI128" s="24"/>
      <c r="SSJ128" s="40"/>
      <c r="SSK128" s="24"/>
      <c r="SSL128" s="40"/>
      <c r="SSM128" s="24"/>
      <c r="SSN128" s="40"/>
      <c r="SSO128" s="24"/>
      <c r="SSP128" s="40"/>
      <c r="SSQ128" s="24"/>
      <c r="SSR128" s="40"/>
      <c r="SSS128" s="24"/>
      <c r="SST128" s="40"/>
      <c r="SSU128" s="24"/>
      <c r="SSV128" s="40"/>
      <c r="SSW128" s="24"/>
      <c r="SSX128" s="40"/>
      <c r="SSY128" s="24"/>
      <c r="SSZ128" s="40"/>
      <c r="STA128" s="24"/>
      <c r="STB128" s="40"/>
      <c r="STC128" s="24"/>
      <c r="STD128" s="40"/>
      <c r="STE128" s="24"/>
      <c r="STF128" s="40"/>
      <c r="STG128" s="24"/>
      <c r="STH128" s="40"/>
      <c r="STI128" s="24"/>
      <c r="STJ128" s="40"/>
      <c r="STK128" s="24"/>
      <c r="STL128" s="40"/>
      <c r="STM128" s="24"/>
      <c r="STN128" s="40"/>
      <c r="STO128" s="24"/>
      <c r="STP128" s="40"/>
      <c r="STQ128" s="24"/>
      <c r="STR128" s="40"/>
      <c r="STS128" s="24"/>
      <c r="STT128" s="40"/>
      <c r="STU128" s="24"/>
      <c r="STV128" s="40"/>
      <c r="STW128" s="24"/>
      <c r="STX128" s="40"/>
      <c r="STY128" s="24"/>
      <c r="STZ128" s="40"/>
      <c r="SUA128" s="24"/>
      <c r="SUB128" s="40"/>
      <c r="SUC128" s="24"/>
      <c r="SUD128" s="40"/>
      <c r="SUE128" s="24"/>
      <c r="SUF128" s="40"/>
      <c r="SUG128" s="24"/>
      <c r="SUH128" s="40"/>
      <c r="SUI128" s="24"/>
      <c r="SUJ128" s="40"/>
      <c r="SUK128" s="24"/>
      <c r="SUL128" s="40"/>
      <c r="SUM128" s="24"/>
      <c r="SUN128" s="40"/>
      <c r="SUO128" s="24"/>
      <c r="SUP128" s="40"/>
      <c r="SUQ128" s="24"/>
      <c r="SUR128" s="40"/>
      <c r="SUS128" s="24"/>
      <c r="SUT128" s="40"/>
      <c r="SUU128" s="24"/>
      <c r="SUV128" s="40"/>
      <c r="SUW128" s="24"/>
      <c r="SUX128" s="40"/>
      <c r="SUY128" s="24"/>
      <c r="SUZ128" s="40"/>
      <c r="SVA128" s="24"/>
      <c r="SVB128" s="40"/>
      <c r="SVC128" s="24"/>
      <c r="SVD128" s="40"/>
      <c r="SVE128" s="24"/>
      <c r="SVF128" s="40"/>
      <c r="SVG128" s="24"/>
      <c r="SVH128" s="40"/>
      <c r="SVI128" s="24"/>
      <c r="SVJ128" s="40"/>
      <c r="SVK128" s="24"/>
      <c r="SVL128" s="40"/>
      <c r="SVM128" s="24"/>
      <c r="SVN128" s="40"/>
      <c r="SVO128" s="24"/>
      <c r="SVP128" s="40"/>
      <c r="SVQ128" s="24"/>
      <c r="SVR128" s="40"/>
      <c r="SVS128" s="24"/>
      <c r="SVT128" s="40"/>
      <c r="SVU128" s="24"/>
      <c r="SVV128" s="40"/>
      <c r="SVW128" s="24"/>
      <c r="SVX128" s="40"/>
      <c r="SVY128" s="24"/>
      <c r="SVZ128" s="40"/>
      <c r="SWA128" s="24"/>
      <c r="SWB128" s="40"/>
      <c r="SWC128" s="24"/>
      <c r="SWD128" s="40"/>
      <c r="SWE128" s="24"/>
      <c r="SWF128" s="40"/>
      <c r="SWG128" s="24"/>
      <c r="SWH128" s="40"/>
      <c r="SWI128" s="24"/>
      <c r="SWJ128" s="40"/>
      <c r="SWK128" s="24"/>
      <c r="SWL128" s="40"/>
      <c r="SWM128" s="24"/>
      <c r="SWN128" s="40"/>
      <c r="SWO128" s="24"/>
      <c r="SWP128" s="40"/>
      <c r="SWQ128" s="24"/>
      <c r="SWR128" s="40"/>
      <c r="SWS128" s="24"/>
      <c r="SWT128" s="40"/>
      <c r="SWU128" s="24"/>
      <c r="SWV128" s="40"/>
      <c r="SWW128" s="24"/>
      <c r="SWX128" s="40"/>
      <c r="SWY128" s="24"/>
      <c r="SWZ128" s="40"/>
      <c r="SXA128" s="24"/>
      <c r="SXB128" s="40"/>
      <c r="SXC128" s="24"/>
      <c r="SXD128" s="40"/>
      <c r="SXE128" s="24"/>
      <c r="SXF128" s="40"/>
      <c r="SXG128" s="24"/>
      <c r="SXH128" s="40"/>
      <c r="SXI128" s="24"/>
      <c r="SXJ128" s="40"/>
      <c r="SXK128" s="24"/>
      <c r="SXL128" s="40"/>
      <c r="SXM128" s="24"/>
      <c r="SXN128" s="40"/>
      <c r="SXO128" s="24"/>
      <c r="SXP128" s="40"/>
      <c r="SXQ128" s="24"/>
      <c r="SXR128" s="40"/>
      <c r="SXS128" s="24"/>
      <c r="SXT128" s="40"/>
      <c r="SXU128" s="24"/>
      <c r="SXV128" s="40"/>
      <c r="SXW128" s="24"/>
      <c r="SXX128" s="40"/>
      <c r="SXY128" s="24"/>
      <c r="SXZ128" s="40"/>
      <c r="SYA128" s="24"/>
      <c r="SYB128" s="40"/>
      <c r="SYC128" s="24"/>
      <c r="SYD128" s="40"/>
      <c r="SYE128" s="24"/>
      <c r="SYF128" s="40"/>
      <c r="SYG128" s="24"/>
      <c r="SYH128" s="40"/>
      <c r="SYI128" s="24"/>
      <c r="SYJ128" s="40"/>
      <c r="SYK128" s="24"/>
      <c r="SYL128" s="40"/>
      <c r="SYM128" s="24"/>
      <c r="SYN128" s="40"/>
      <c r="SYO128" s="24"/>
      <c r="SYP128" s="40"/>
      <c r="SYQ128" s="24"/>
      <c r="SYR128" s="40"/>
      <c r="SYS128" s="24"/>
      <c r="SYT128" s="40"/>
      <c r="SYU128" s="24"/>
      <c r="SYV128" s="40"/>
      <c r="SYW128" s="24"/>
      <c r="SYX128" s="40"/>
      <c r="SYY128" s="24"/>
      <c r="SYZ128" s="40"/>
      <c r="SZA128" s="24"/>
      <c r="SZB128" s="40"/>
      <c r="SZC128" s="24"/>
      <c r="SZD128" s="40"/>
      <c r="SZE128" s="24"/>
      <c r="SZF128" s="40"/>
      <c r="SZG128" s="24"/>
      <c r="SZH128" s="40"/>
      <c r="SZI128" s="24"/>
      <c r="SZJ128" s="40"/>
      <c r="SZK128" s="24"/>
      <c r="SZL128" s="40"/>
      <c r="SZM128" s="24"/>
      <c r="SZN128" s="40"/>
      <c r="SZO128" s="24"/>
      <c r="SZP128" s="40"/>
      <c r="SZQ128" s="24"/>
      <c r="SZR128" s="40"/>
      <c r="SZS128" s="24"/>
      <c r="SZT128" s="40"/>
      <c r="SZU128" s="24"/>
      <c r="SZV128" s="40"/>
      <c r="SZW128" s="24"/>
      <c r="SZX128" s="40"/>
      <c r="SZY128" s="24"/>
      <c r="SZZ128" s="40"/>
      <c r="TAA128" s="24"/>
      <c r="TAB128" s="40"/>
      <c r="TAC128" s="24"/>
      <c r="TAD128" s="40"/>
      <c r="TAE128" s="24"/>
      <c r="TAF128" s="40"/>
      <c r="TAG128" s="24"/>
      <c r="TAH128" s="40"/>
      <c r="TAI128" s="24"/>
      <c r="TAJ128" s="40"/>
      <c r="TAK128" s="24"/>
      <c r="TAL128" s="40"/>
      <c r="TAM128" s="24"/>
      <c r="TAN128" s="40"/>
      <c r="TAO128" s="24"/>
      <c r="TAP128" s="40"/>
      <c r="TAQ128" s="24"/>
      <c r="TAR128" s="40"/>
      <c r="TAS128" s="24"/>
      <c r="TAT128" s="40"/>
      <c r="TAU128" s="24"/>
      <c r="TAV128" s="40"/>
      <c r="TAW128" s="24"/>
      <c r="TAX128" s="40"/>
      <c r="TAY128" s="24"/>
      <c r="TAZ128" s="40"/>
      <c r="TBA128" s="24"/>
      <c r="TBB128" s="40"/>
      <c r="TBC128" s="24"/>
      <c r="TBD128" s="40"/>
      <c r="TBE128" s="24"/>
      <c r="TBF128" s="40"/>
      <c r="TBG128" s="24"/>
      <c r="TBH128" s="40"/>
      <c r="TBI128" s="24"/>
      <c r="TBJ128" s="40"/>
      <c r="TBK128" s="24"/>
      <c r="TBL128" s="40"/>
      <c r="TBM128" s="24"/>
      <c r="TBN128" s="40"/>
      <c r="TBO128" s="24"/>
      <c r="TBP128" s="40"/>
      <c r="TBQ128" s="24"/>
      <c r="TBR128" s="40"/>
      <c r="TBS128" s="24"/>
      <c r="TBT128" s="40"/>
      <c r="TBU128" s="24"/>
      <c r="TBV128" s="40"/>
      <c r="TBW128" s="24"/>
      <c r="TBX128" s="40"/>
      <c r="TBY128" s="24"/>
      <c r="TBZ128" s="40"/>
      <c r="TCA128" s="24"/>
      <c r="TCB128" s="40"/>
      <c r="TCC128" s="24"/>
      <c r="TCD128" s="40"/>
      <c r="TCE128" s="24"/>
      <c r="TCF128" s="40"/>
      <c r="TCG128" s="24"/>
      <c r="TCH128" s="40"/>
      <c r="TCI128" s="24"/>
      <c r="TCJ128" s="40"/>
      <c r="TCK128" s="24"/>
      <c r="TCL128" s="40"/>
      <c r="TCM128" s="24"/>
      <c r="TCN128" s="40"/>
      <c r="TCO128" s="24"/>
      <c r="TCP128" s="40"/>
      <c r="TCQ128" s="24"/>
      <c r="TCR128" s="40"/>
      <c r="TCS128" s="24"/>
      <c r="TCT128" s="40"/>
      <c r="TCU128" s="24"/>
      <c r="TCV128" s="40"/>
      <c r="TCW128" s="24"/>
      <c r="TCX128" s="40"/>
      <c r="TCY128" s="24"/>
      <c r="TCZ128" s="40"/>
      <c r="TDA128" s="24"/>
      <c r="TDB128" s="40"/>
      <c r="TDC128" s="24"/>
      <c r="TDD128" s="40"/>
      <c r="TDE128" s="24"/>
      <c r="TDF128" s="40"/>
      <c r="TDG128" s="24"/>
      <c r="TDH128" s="40"/>
      <c r="TDI128" s="24"/>
      <c r="TDJ128" s="40"/>
      <c r="TDK128" s="24"/>
      <c r="TDL128" s="40"/>
      <c r="TDM128" s="24"/>
      <c r="TDN128" s="40"/>
      <c r="TDO128" s="24"/>
      <c r="TDP128" s="40"/>
      <c r="TDQ128" s="24"/>
      <c r="TDR128" s="40"/>
      <c r="TDS128" s="24"/>
      <c r="TDT128" s="40"/>
      <c r="TDU128" s="24"/>
      <c r="TDV128" s="40"/>
      <c r="TDW128" s="24"/>
      <c r="TDX128" s="40"/>
      <c r="TDY128" s="24"/>
      <c r="TDZ128" s="40"/>
      <c r="TEA128" s="24"/>
      <c r="TEB128" s="40"/>
      <c r="TEC128" s="24"/>
      <c r="TED128" s="40"/>
      <c r="TEE128" s="24"/>
      <c r="TEF128" s="40"/>
      <c r="TEG128" s="24"/>
      <c r="TEH128" s="40"/>
      <c r="TEI128" s="24"/>
      <c r="TEJ128" s="40"/>
      <c r="TEK128" s="24"/>
      <c r="TEL128" s="40"/>
      <c r="TEM128" s="24"/>
      <c r="TEN128" s="40"/>
      <c r="TEO128" s="24"/>
      <c r="TEP128" s="40"/>
      <c r="TEQ128" s="24"/>
      <c r="TER128" s="40"/>
      <c r="TES128" s="24"/>
      <c r="TET128" s="40"/>
      <c r="TEU128" s="24"/>
      <c r="TEV128" s="40"/>
      <c r="TEW128" s="24"/>
      <c r="TEX128" s="40"/>
      <c r="TEY128" s="24"/>
      <c r="TEZ128" s="40"/>
      <c r="TFA128" s="24"/>
      <c r="TFB128" s="40"/>
      <c r="TFC128" s="24"/>
      <c r="TFD128" s="40"/>
      <c r="TFE128" s="24"/>
      <c r="TFF128" s="40"/>
      <c r="TFG128" s="24"/>
      <c r="TFH128" s="40"/>
      <c r="TFI128" s="24"/>
      <c r="TFJ128" s="40"/>
      <c r="TFK128" s="24"/>
      <c r="TFL128" s="40"/>
      <c r="TFM128" s="24"/>
      <c r="TFN128" s="40"/>
      <c r="TFO128" s="24"/>
      <c r="TFP128" s="40"/>
      <c r="TFQ128" s="24"/>
      <c r="TFR128" s="40"/>
      <c r="TFS128" s="24"/>
      <c r="TFT128" s="40"/>
      <c r="TFU128" s="24"/>
      <c r="TFV128" s="40"/>
      <c r="TFW128" s="24"/>
      <c r="TFX128" s="40"/>
      <c r="TFY128" s="24"/>
      <c r="TFZ128" s="40"/>
      <c r="TGA128" s="24"/>
      <c r="TGB128" s="40"/>
      <c r="TGC128" s="24"/>
      <c r="TGD128" s="40"/>
      <c r="TGE128" s="24"/>
      <c r="TGF128" s="40"/>
      <c r="TGG128" s="24"/>
      <c r="TGH128" s="40"/>
      <c r="TGI128" s="24"/>
      <c r="TGJ128" s="40"/>
      <c r="TGK128" s="24"/>
      <c r="TGL128" s="40"/>
      <c r="TGM128" s="24"/>
      <c r="TGN128" s="40"/>
      <c r="TGO128" s="24"/>
      <c r="TGP128" s="40"/>
      <c r="TGQ128" s="24"/>
      <c r="TGR128" s="40"/>
      <c r="TGS128" s="24"/>
      <c r="TGT128" s="40"/>
      <c r="TGU128" s="24"/>
      <c r="TGV128" s="40"/>
      <c r="TGW128" s="24"/>
      <c r="TGX128" s="40"/>
      <c r="TGY128" s="24"/>
      <c r="TGZ128" s="40"/>
      <c r="THA128" s="24"/>
      <c r="THB128" s="40"/>
      <c r="THC128" s="24"/>
      <c r="THD128" s="40"/>
      <c r="THE128" s="24"/>
      <c r="THF128" s="40"/>
      <c r="THG128" s="24"/>
      <c r="THH128" s="40"/>
      <c r="THI128" s="24"/>
      <c r="THJ128" s="40"/>
      <c r="THK128" s="24"/>
      <c r="THL128" s="40"/>
      <c r="THM128" s="24"/>
      <c r="THN128" s="40"/>
      <c r="THO128" s="24"/>
      <c r="THP128" s="40"/>
      <c r="THQ128" s="24"/>
      <c r="THR128" s="40"/>
      <c r="THS128" s="24"/>
      <c r="THT128" s="40"/>
      <c r="THU128" s="24"/>
      <c r="THV128" s="40"/>
      <c r="THW128" s="24"/>
      <c r="THX128" s="40"/>
      <c r="THY128" s="24"/>
      <c r="THZ128" s="40"/>
      <c r="TIA128" s="24"/>
      <c r="TIB128" s="40"/>
      <c r="TIC128" s="24"/>
      <c r="TID128" s="40"/>
      <c r="TIE128" s="24"/>
      <c r="TIF128" s="40"/>
      <c r="TIG128" s="24"/>
      <c r="TIH128" s="40"/>
      <c r="TII128" s="24"/>
      <c r="TIJ128" s="40"/>
      <c r="TIK128" s="24"/>
      <c r="TIL128" s="40"/>
      <c r="TIM128" s="24"/>
      <c r="TIN128" s="40"/>
      <c r="TIO128" s="24"/>
      <c r="TIP128" s="40"/>
      <c r="TIQ128" s="24"/>
      <c r="TIR128" s="40"/>
      <c r="TIS128" s="24"/>
      <c r="TIT128" s="40"/>
      <c r="TIU128" s="24"/>
      <c r="TIV128" s="40"/>
      <c r="TIW128" s="24"/>
      <c r="TIX128" s="40"/>
      <c r="TIY128" s="24"/>
      <c r="TIZ128" s="40"/>
      <c r="TJA128" s="24"/>
      <c r="TJB128" s="40"/>
      <c r="TJC128" s="24"/>
      <c r="TJD128" s="40"/>
      <c r="TJE128" s="24"/>
      <c r="TJF128" s="40"/>
      <c r="TJG128" s="24"/>
      <c r="TJH128" s="40"/>
      <c r="TJI128" s="24"/>
      <c r="TJJ128" s="40"/>
      <c r="TJK128" s="24"/>
      <c r="TJL128" s="40"/>
      <c r="TJM128" s="24"/>
      <c r="TJN128" s="40"/>
      <c r="TJO128" s="24"/>
      <c r="TJP128" s="40"/>
      <c r="TJQ128" s="24"/>
      <c r="TJR128" s="40"/>
      <c r="TJS128" s="24"/>
      <c r="TJT128" s="40"/>
      <c r="TJU128" s="24"/>
      <c r="TJV128" s="40"/>
      <c r="TJW128" s="24"/>
      <c r="TJX128" s="40"/>
      <c r="TJY128" s="24"/>
      <c r="TJZ128" s="40"/>
      <c r="TKA128" s="24"/>
      <c r="TKB128" s="40"/>
      <c r="TKC128" s="24"/>
      <c r="TKD128" s="40"/>
      <c r="TKE128" s="24"/>
      <c r="TKF128" s="40"/>
      <c r="TKG128" s="24"/>
      <c r="TKH128" s="40"/>
      <c r="TKI128" s="24"/>
      <c r="TKJ128" s="40"/>
      <c r="TKK128" s="24"/>
      <c r="TKL128" s="40"/>
      <c r="TKM128" s="24"/>
      <c r="TKN128" s="40"/>
      <c r="TKO128" s="24"/>
      <c r="TKP128" s="40"/>
      <c r="TKQ128" s="24"/>
      <c r="TKR128" s="40"/>
      <c r="TKS128" s="24"/>
      <c r="TKT128" s="40"/>
      <c r="TKU128" s="24"/>
      <c r="TKV128" s="40"/>
      <c r="TKW128" s="24"/>
      <c r="TKX128" s="40"/>
      <c r="TKY128" s="24"/>
      <c r="TKZ128" s="40"/>
      <c r="TLA128" s="24"/>
      <c r="TLB128" s="40"/>
      <c r="TLC128" s="24"/>
      <c r="TLD128" s="40"/>
      <c r="TLE128" s="24"/>
      <c r="TLF128" s="40"/>
      <c r="TLG128" s="24"/>
      <c r="TLH128" s="40"/>
      <c r="TLI128" s="24"/>
      <c r="TLJ128" s="40"/>
      <c r="TLK128" s="24"/>
      <c r="TLL128" s="40"/>
      <c r="TLM128" s="24"/>
      <c r="TLN128" s="40"/>
      <c r="TLO128" s="24"/>
      <c r="TLP128" s="40"/>
      <c r="TLQ128" s="24"/>
      <c r="TLR128" s="40"/>
      <c r="TLS128" s="24"/>
      <c r="TLT128" s="40"/>
      <c r="TLU128" s="24"/>
      <c r="TLV128" s="40"/>
      <c r="TLW128" s="24"/>
      <c r="TLX128" s="40"/>
      <c r="TLY128" s="24"/>
      <c r="TLZ128" s="40"/>
      <c r="TMA128" s="24"/>
      <c r="TMB128" s="40"/>
      <c r="TMC128" s="24"/>
      <c r="TMD128" s="40"/>
      <c r="TME128" s="24"/>
      <c r="TMF128" s="40"/>
      <c r="TMG128" s="24"/>
      <c r="TMH128" s="40"/>
      <c r="TMI128" s="24"/>
      <c r="TMJ128" s="40"/>
      <c r="TMK128" s="24"/>
      <c r="TML128" s="40"/>
      <c r="TMM128" s="24"/>
      <c r="TMN128" s="40"/>
      <c r="TMO128" s="24"/>
      <c r="TMP128" s="40"/>
      <c r="TMQ128" s="24"/>
      <c r="TMR128" s="40"/>
      <c r="TMS128" s="24"/>
      <c r="TMT128" s="40"/>
      <c r="TMU128" s="24"/>
      <c r="TMV128" s="40"/>
      <c r="TMW128" s="24"/>
      <c r="TMX128" s="40"/>
      <c r="TMY128" s="24"/>
      <c r="TMZ128" s="40"/>
      <c r="TNA128" s="24"/>
      <c r="TNB128" s="40"/>
      <c r="TNC128" s="24"/>
      <c r="TND128" s="40"/>
      <c r="TNE128" s="24"/>
      <c r="TNF128" s="40"/>
      <c r="TNG128" s="24"/>
      <c r="TNH128" s="40"/>
      <c r="TNI128" s="24"/>
      <c r="TNJ128" s="40"/>
      <c r="TNK128" s="24"/>
      <c r="TNL128" s="40"/>
      <c r="TNM128" s="24"/>
      <c r="TNN128" s="40"/>
      <c r="TNO128" s="24"/>
      <c r="TNP128" s="40"/>
      <c r="TNQ128" s="24"/>
      <c r="TNR128" s="40"/>
      <c r="TNS128" s="24"/>
      <c r="TNT128" s="40"/>
      <c r="TNU128" s="24"/>
      <c r="TNV128" s="40"/>
      <c r="TNW128" s="24"/>
      <c r="TNX128" s="40"/>
      <c r="TNY128" s="24"/>
      <c r="TNZ128" s="40"/>
      <c r="TOA128" s="24"/>
      <c r="TOB128" s="40"/>
      <c r="TOC128" s="24"/>
      <c r="TOD128" s="40"/>
      <c r="TOE128" s="24"/>
      <c r="TOF128" s="40"/>
      <c r="TOG128" s="24"/>
      <c r="TOH128" s="40"/>
      <c r="TOI128" s="24"/>
      <c r="TOJ128" s="40"/>
      <c r="TOK128" s="24"/>
      <c r="TOL128" s="40"/>
      <c r="TOM128" s="24"/>
      <c r="TON128" s="40"/>
      <c r="TOO128" s="24"/>
      <c r="TOP128" s="40"/>
      <c r="TOQ128" s="24"/>
      <c r="TOR128" s="40"/>
      <c r="TOS128" s="24"/>
      <c r="TOT128" s="40"/>
      <c r="TOU128" s="24"/>
      <c r="TOV128" s="40"/>
      <c r="TOW128" s="24"/>
      <c r="TOX128" s="40"/>
      <c r="TOY128" s="24"/>
      <c r="TOZ128" s="40"/>
      <c r="TPA128" s="24"/>
      <c r="TPB128" s="40"/>
      <c r="TPC128" s="24"/>
      <c r="TPD128" s="40"/>
      <c r="TPE128" s="24"/>
      <c r="TPF128" s="40"/>
      <c r="TPG128" s="24"/>
      <c r="TPH128" s="40"/>
      <c r="TPI128" s="24"/>
      <c r="TPJ128" s="40"/>
      <c r="TPK128" s="24"/>
      <c r="TPL128" s="40"/>
      <c r="TPM128" s="24"/>
      <c r="TPN128" s="40"/>
      <c r="TPO128" s="24"/>
      <c r="TPP128" s="40"/>
      <c r="TPQ128" s="24"/>
      <c r="TPR128" s="40"/>
      <c r="TPS128" s="24"/>
      <c r="TPT128" s="40"/>
      <c r="TPU128" s="24"/>
      <c r="TPV128" s="40"/>
      <c r="TPW128" s="24"/>
      <c r="TPX128" s="40"/>
      <c r="TPY128" s="24"/>
      <c r="TPZ128" s="40"/>
      <c r="TQA128" s="24"/>
      <c r="TQB128" s="40"/>
      <c r="TQC128" s="24"/>
      <c r="TQD128" s="40"/>
      <c r="TQE128" s="24"/>
      <c r="TQF128" s="40"/>
      <c r="TQG128" s="24"/>
      <c r="TQH128" s="40"/>
      <c r="TQI128" s="24"/>
      <c r="TQJ128" s="40"/>
      <c r="TQK128" s="24"/>
      <c r="TQL128" s="40"/>
      <c r="TQM128" s="24"/>
      <c r="TQN128" s="40"/>
      <c r="TQO128" s="24"/>
      <c r="TQP128" s="40"/>
      <c r="TQQ128" s="24"/>
      <c r="TQR128" s="40"/>
      <c r="TQS128" s="24"/>
      <c r="TQT128" s="40"/>
      <c r="TQU128" s="24"/>
      <c r="TQV128" s="40"/>
      <c r="TQW128" s="24"/>
      <c r="TQX128" s="40"/>
      <c r="TQY128" s="24"/>
      <c r="TQZ128" s="40"/>
      <c r="TRA128" s="24"/>
      <c r="TRB128" s="40"/>
      <c r="TRC128" s="24"/>
      <c r="TRD128" s="40"/>
      <c r="TRE128" s="24"/>
      <c r="TRF128" s="40"/>
      <c r="TRG128" s="24"/>
      <c r="TRH128" s="40"/>
      <c r="TRI128" s="24"/>
      <c r="TRJ128" s="40"/>
      <c r="TRK128" s="24"/>
      <c r="TRL128" s="40"/>
      <c r="TRM128" s="24"/>
      <c r="TRN128" s="40"/>
      <c r="TRO128" s="24"/>
      <c r="TRP128" s="40"/>
      <c r="TRQ128" s="24"/>
      <c r="TRR128" s="40"/>
      <c r="TRS128" s="24"/>
      <c r="TRT128" s="40"/>
      <c r="TRU128" s="24"/>
      <c r="TRV128" s="40"/>
      <c r="TRW128" s="24"/>
      <c r="TRX128" s="40"/>
      <c r="TRY128" s="24"/>
      <c r="TRZ128" s="40"/>
      <c r="TSA128" s="24"/>
      <c r="TSB128" s="40"/>
      <c r="TSC128" s="24"/>
      <c r="TSD128" s="40"/>
      <c r="TSE128" s="24"/>
      <c r="TSF128" s="40"/>
      <c r="TSG128" s="24"/>
      <c r="TSH128" s="40"/>
      <c r="TSI128" s="24"/>
      <c r="TSJ128" s="40"/>
      <c r="TSK128" s="24"/>
      <c r="TSL128" s="40"/>
      <c r="TSM128" s="24"/>
      <c r="TSN128" s="40"/>
      <c r="TSO128" s="24"/>
      <c r="TSP128" s="40"/>
      <c r="TSQ128" s="24"/>
      <c r="TSR128" s="40"/>
      <c r="TSS128" s="24"/>
      <c r="TST128" s="40"/>
      <c r="TSU128" s="24"/>
      <c r="TSV128" s="40"/>
      <c r="TSW128" s="24"/>
      <c r="TSX128" s="40"/>
      <c r="TSY128" s="24"/>
      <c r="TSZ128" s="40"/>
      <c r="TTA128" s="24"/>
      <c r="TTB128" s="40"/>
      <c r="TTC128" s="24"/>
      <c r="TTD128" s="40"/>
      <c r="TTE128" s="24"/>
      <c r="TTF128" s="40"/>
      <c r="TTG128" s="24"/>
      <c r="TTH128" s="40"/>
      <c r="TTI128" s="24"/>
      <c r="TTJ128" s="40"/>
      <c r="TTK128" s="24"/>
      <c r="TTL128" s="40"/>
      <c r="TTM128" s="24"/>
      <c r="TTN128" s="40"/>
      <c r="TTO128" s="24"/>
      <c r="TTP128" s="40"/>
      <c r="TTQ128" s="24"/>
      <c r="TTR128" s="40"/>
      <c r="TTS128" s="24"/>
      <c r="TTT128" s="40"/>
      <c r="TTU128" s="24"/>
      <c r="TTV128" s="40"/>
      <c r="TTW128" s="24"/>
      <c r="TTX128" s="40"/>
      <c r="TTY128" s="24"/>
      <c r="TTZ128" s="40"/>
      <c r="TUA128" s="24"/>
      <c r="TUB128" s="40"/>
      <c r="TUC128" s="24"/>
      <c r="TUD128" s="40"/>
      <c r="TUE128" s="24"/>
      <c r="TUF128" s="40"/>
      <c r="TUG128" s="24"/>
      <c r="TUH128" s="40"/>
      <c r="TUI128" s="24"/>
      <c r="TUJ128" s="40"/>
      <c r="TUK128" s="24"/>
      <c r="TUL128" s="40"/>
      <c r="TUM128" s="24"/>
      <c r="TUN128" s="40"/>
      <c r="TUO128" s="24"/>
      <c r="TUP128" s="40"/>
      <c r="TUQ128" s="24"/>
      <c r="TUR128" s="40"/>
      <c r="TUS128" s="24"/>
      <c r="TUT128" s="40"/>
      <c r="TUU128" s="24"/>
      <c r="TUV128" s="40"/>
      <c r="TUW128" s="24"/>
      <c r="TUX128" s="40"/>
      <c r="TUY128" s="24"/>
      <c r="TUZ128" s="40"/>
      <c r="TVA128" s="24"/>
      <c r="TVB128" s="40"/>
      <c r="TVC128" s="24"/>
      <c r="TVD128" s="40"/>
      <c r="TVE128" s="24"/>
      <c r="TVF128" s="40"/>
      <c r="TVG128" s="24"/>
      <c r="TVH128" s="40"/>
      <c r="TVI128" s="24"/>
      <c r="TVJ128" s="40"/>
      <c r="TVK128" s="24"/>
      <c r="TVL128" s="40"/>
      <c r="TVM128" s="24"/>
      <c r="TVN128" s="40"/>
      <c r="TVO128" s="24"/>
      <c r="TVP128" s="40"/>
      <c r="TVQ128" s="24"/>
      <c r="TVR128" s="40"/>
      <c r="TVS128" s="24"/>
      <c r="TVT128" s="40"/>
      <c r="TVU128" s="24"/>
      <c r="TVV128" s="40"/>
      <c r="TVW128" s="24"/>
      <c r="TVX128" s="40"/>
      <c r="TVY128" s="24"/>
      <c r="TVZ128" s="40"/>
      <c r="TWA128" s="24"/>
      <c r="TWB128" s="40"/>
      <c r="TWC128" s="24"/>
      <c r="TWD128" s="40"/>
      <c r="TWE128" s="24"/>
      <c r="TWF128" s="40"/>
      <c r="TWG128" s="24"/>
      <c r="TWH128" s="40"/>
      <c r="TWI128" s="24"/>
      <c r="TWJ128" s="40"/>
      <c r="TWK128" s="24"/>
      <c r="TWL128" s="40"/>
      <c r="TWM128" s="24"/>
      <c r="TWN128" s="40"/>
      <c r="TWO128" s="24"/>
      <c r="TWP128" s="40"/>
      <c r="TWQ128" s="24"/>
      <c r="TWR128" s="40"/>
      <c r="TWS128" s="24"/>
      <c r="TWT128" s="40"/>
      <c r="TWU128" s="24"/>
      <c r="TWV128" s="40"/>
      <c r="TWW128" s="24"/>
      <c r="TWX128" s="40"/>
      <c r="TWY128" s="24"/>
      <c r="TWZ128" s="40"/>
      <c r="TXA128" s="24"/>
      <c r="TXB128" s="40"/>
      <c r="TXC128" s="24"/>
      <c r="TXD128" s="40"/>
      <c r="TXE128" s="24"/>
      <c r="TXF128" s="40"/>
      <c r="TXG128" s="24"/>
      <c r="TXH128" s="40"/>
      <c r="TXI128" s="24"/>
      <c r="TXJ128" s="40"/>
      <c r="TXK128" s="24"/>
      <c r="TXL128" s="40"/>
      <c r="TXM128" s="24"/>
      <c r="TXN128" s="40"/>
      <c r="TXO128" s="24"/>
      <c r="TXP128" s="40"/>
      <c r="TXQ128" s="24"/>
      <c r="TXR128" s="40"/>
      <c r="TXS128" s="24"/>
      <c r="TXT128" s="40"/>
      <c r="TXU128" s="24"/>
      <c r="TXV128" s="40"/>
      <c r="TXW128" s="24"/>
      <c r="TXX128" s="40"/>
      <c r="TXY128" s="24"/>
      <c r="TXZ128" s="40"/>
      <c r="TYA128" s="24"/>
      <c r="TYB128" s="40"/>
      <c r="TYC128" s="24"/>
      <c r="TYD128" s="40"/>
      <c r="TYE128" s="24"/>
      <c r="TYF128" s="40"/>
      <c r="TYG128" s="24"/>
      <c r="TYH128" s="40"/>
      <c r="TYI128" s="24"/>
      <c r="TYJ128" s="40"/>
      <c r="TYK128" s="24"/>
      <c r="TYL128" s="40"/>
      <c r="TYM128" s="24"/>
      <c r="TYN128" s="40"/>
      <c r="TYO128" s="24"/>
      <c r="TYP128" s="40"/>
      <c r="TYQ128" s="24"/>
      <c r="TYR128" s="40"/>
      <c r="TYS128" s="24"/>
      <c r="TYT128" s="40"/>
      <c r="TYU128" s="24"/>
      <c r="TYV128" s="40"/>
      <c r="TYW128" s="24"/>
      <c r="TYX128" s="40"/>
      <c r="TYY128" s="24"/>
      <c r="TYZ128" s="40"/>
      <c r="TZA128" s="24"/>
      <c r="TZB128" s="40"/>
      <c r="TZC128" s="24"/>
      <c r="TZD128" s="40"/>
      <c r="TZE128" s="24"/>
      <c r="TZF128" s="40"/>
      <c r="TZG128" s="24"/>
      <c r="TZH128" s="40"/>
      <c r="TZI128" s="24"/>
      <c r="TZJ128" s="40"/>
      <c r="TZK128" s="24"/>
      <c r="TZL128" s="40"/>
      <c r="TZM128" s="24"/>
      <c r="TZN128" s="40"/>
      <c r="TZO128" s="24"/>
      <c r="TZP128" s="40"/>
      <c r="TZQ128" s="24"/>
      <c r="TZR128" s="40"/>
      <c r="TZS128" s="24"/>
      <c r="TZT128" s="40"/>
      <c r="TZU128" s="24"/>
      <c r="TZV128" s="40"/>
      <c r="TZW128" s="24"/>
      <c r="TZX128" s="40"/>
      <c r="TZY128" s="24"/>
      <c r="TZZ128" s="40"/>
      <c r="UAA128" s="24"/>
      <c r="UAB128" s="40"/>
      <c r="UAC128" s="24"/>
      <c r="UAD128" s="40"/>
      <c r="UAE128" s="24"/>
      <c r="UAF128" s="40"/>
      <c r="UAG128" s="24"/>
      <c r="UAH128" s="40"/>
      <c r="UAI128" s="24"/>
      <c r="UAJ128" s="40"/>
      <c r="UAK128" s="24"/>
      <c r="UAL128" s="40"/>
      <c r="UAM128" s="24"/>
      <c r="UAN128" s="40"/>
      <c r="UAO128" s="24"/>
      <c r="UAP128" s="40"/>
      <c r="UAQ128" s="24"/>
      <c r="UAR128" s="40"/>
      <c r="UAS128" s="24"/>
      <c r="UAT128" s="40"/>
      <c r="UAU128" s="24"/>
      <c r="UAV128" s="40"/>
      <c r="UAW128" s="24"/>
      <c r="UAX128" s="40"/>
      <c r="UAY128" s="24"/>
      <c r="UAZ128" s="40"/>
      <c r="UBA128" s="24"/>
      <c r="UBB128" s="40"/>
      <c r="UBC128" s="24"/>
      <c r="UBD128" s="40"/>
      <c r="UBE128" s="24"/>
      <c r="UBF128" s="40"/>
      <c r="UBG128" s="24"/>
      <c r="UBH128" s="40"/>
      <c r="UBI128" s="24"/>
      <c r="UBJ128" s="40"/>
      <c r="UBK128" s="24"/>
      <c r="UBL128" s="40"/>
      <c r="UBM128" s="24"/>
      <c r="UBN128" s="40"/>
      <c r="UBO128" s="24"/>
      <c r="UBP128" s="40"/>
      <c r="UBQ128" s="24"/>
      <c r="UBR128" s="40"/>
      <c r="UBS128" s="24"/>
      <c r="UBT128" s="40"/>
      <c r="UBU128" s="24"/>
      <c r="UBV128" s="40"/>
      <c r="UBW128" s="24"/>
      <c r="UBX128" s="40"/>
      <c r="UBY128" s="24"/>
      <c r="UBZ128" s="40"/>
      <c r="UCA128" s="24"/>
      <c r="UCB128" s="40"/>
      <c r="UCC128" s="24"/>
      <c r="UCD128" s="40"/>
      <c r="UCE128" s="24"/>
      <c r="UCF128" s="40"/>
      <c r="UCG128" s="24"/>
      <c r="UCH128" s="40"/>
      <c r="UCI128" s="24"/>
      <c r="UCJ128" s="40"/>
      <c r="UCK128" s="24"/>
      <c r="UCL128" s="40"/>
      <c r="UCM128" s="24"/>
      <c r="UCN128" s="40"/>
      <c r="UCO128" s="24"/>
      <c r="UCP128" s="40"/>
      <c r="UCQ128" s="24"/>
      <c r="UCR128" s="40"/>
      <c r="UCS128" s="24"/>
      <c r="UCT128" s="40"/>
      <c r="UCU128" s="24"/>
      <c r="UCV128" s="40"/>
      <c r="UCW128" s="24"/>
      <c r="UCX128" s="40"/>
      <c r="UCY128" s="24"/>
      <c r="UCZ128" s="40"/>
      <c r="UDA128" s="24"/>
      <c r="UDB128" s="40"/>
      <c r="UDC128" s="24"/>
      <c r="UDD128" s="40"/>
      <c r="UDE128" s="24"/>
      <c r="UDF128" s="40"/>
      <c r="UDG128" s="24"/>
      <c r="UDH128" s="40"/>
      <c r="UDI128" s="24"/>
      <c r="UDJ128" s="40"/>
      <c r="UDK128" s="24"/>
      <c r="UDL128" s="40"/>
      <c r="UDM128" s="24"/>
      <c r="UDN128" s="40"/>
      <c r="UDO128" s="24"/>
      <c r="UDP128" s="40"/>
      <c r="UDQ128" s="24"/>
      <c r="UDR128" s="40"/>
      <c r="UDS128" s="24"/>
      <c r="UDT128" s="40"/>
      <c r="UDU128" s="24"/>
      <c r="UDV128" s="40"/>
      <c r="UDW128" s="24"/>
      <c r="UDX128" s="40"/>
      <c r="UDY128" s="24"/>
      <c r="UDZ128" s="40"/>
      <c r="UEA128" s="24"/>
      <c r="UEB128" s="40"/>
      <c r="UEC128" s="24"/>
      <c r="UED128" s="40"/>
      <c r="UEE128" s="24"/>
      <c r="UEF128" s="40"/>
      <c r="UEG128" s="24"/>
      <c r="UEH128" s="40"/>
      <c r="UEI128" s="24"/>
      <c r="UEJ128" s="40"/>
      <c r="UEK128" s="24"/>
      <c r="UEL128" s="40"/>
      <c r="UEM128" s="24"/>
      <c r="UEN128" s="40"/>
      <c r="UEO128" s="24"/>
      <c r="UEP128" s="40"/>
      <c r="UEQ128" s="24"/>
      <c r="UER128" s="40"/>
      <c r="UES128" s="24"/>
      <c r="UET128" s="40"/>
      <c r="UEU128" s="24"/>
      <c r="UEV128" s="40"/>
      <c r="UEW128" s="24"/>
      <c r="UEX128" s="40"/>
      <c r="UEY128" s="24"/>
      <c r="UEZ128" s="40"/>
      <c r="UFA128" s="24"/>
      <c r="UFB128" s="40"/>
      <c r="UFC128" s="24"/>
      <c r="UFD128" s="40"/>
      <c r="UFE128" s="24"/>
      <c r="UFF128" s="40"/>
      <c r="UFG128" s="24"/>
      <c r="UFH128" s="40"/>
      <c r="UFI128" s="24"/>
      <c r="UFJ128" s="40"/>
      <c r="UFK128" s="24"/>
      <c r="UFL128" s="40"/>
      <c r="UFM128" s="24"/>
      <c r="UFN128" s="40"/>
      <c r="UFO128" s="24"/>
      <c r="UFP128" s="40"/>
      <c r="UFQ128" s="24"/>
      <c r="UFR128" s="40"/>
      <c r="UFS128" s="24"/>
      <c r="UFT128" s="40"/>
      <c r="UFU128" s="24"/>
      <c r="UFV128" s="40"/>
      <c r="UFW128" s="24"/>
      <c r="UFX128" s="40"/>
      <c r="UFY128" s="24"/>
      <c r="UFZ128" s="40"/>
      <c r="UGA128" s="24"/>
      <c r="UGB128" s="40"/>
      <c r="UGC128" s="24"/>
      <c r="UGD128" s="40"/>
      <c r="UGE128" s="24"/>
      <c r="UGF128" s="40"/>
      <c r="UGG128" s="24"/>
      <c r="UGH128" s="40"/>
      <c r="UGI128" s="24"/>
      <c r="UGJ128" s="40"/>
      <c r="UGK128" s="24"/>
      <c r="UGL128" s="40"/>
      <c r="UGM128" s="24"/>
      <c r="UGN128" s="40"/>
      <c r="UGO128" s="24"/>
      <c r="UGP128" s="40"/>
      <c r="UGQ128" s="24"/>
      <c r="UGR128" s="40"/>
      <c r="UGS128" s="24"/>
      <c r="UGT128" s="40"/>
      <c r="UGU128" s="24"/>
      <c r="UGV128" s="40"/>
      <c r="UGW128" s="24"/>
      <c r="UGX128" s="40"/>
      <c r="UGY128" s="24"/>
      <c r="UGZ128" s="40"/>
      <c r="UHA128" s="24"/>
      <c r="UHB128" s="40"/>
      <c r="UHC128" s="24"/>
      <c r="UHD128" s="40"/>
      <c r="UHE128" s="24"/>
      <c r="UHF128" s="40"/>
      <c r="UHG128" s="24"/>
      <c r="UHH128" s="40"/>
      <c r="UHI128" s="24"/>
      <c r="UHJ128" s="40"/>
      <c r="UHK128" s="24"/>
      <c r="UHL128" s="40"/>
      <c r="UHM128" s="24"/>
      <c r="UHN128" s="40"/>
      <c r="UHO128" s="24"/>
      <c r="UHP128" s="40"/>
      <c r="UHQ128" s="24"/>
      <c r="UHR128" s="40"/>
      <c r="UHS128" s="24"/>
      <c r="UHT128" s="40"/>
      <c r="UHU128" s="24"/>
      <c r="UHV128" s="40"/>
      <c r="UHW128" s="24"/>
      <c r="UHX128" s="40"/>
      <c r="UHY128" s="24"/>
      <c r="UHZ128" s="40"/>
      <c r="UIA128" s="24"/>
      <c r="UIB128" s="40"/>
      <c r="UIC128" s="24"/>
      <c r="UID128" s="40"/>
      <c r="UIE128" s="24"/>
      <c r="UIF128" s="40"/>
      <c r="UIG128" s="24"/>
      <c r="UIH128" s="40"/>
      <c r="UII128" s="24"/>
      <c r="UIJ128" s="40"/>
      <c r="UIK128" s="24"/>
      <c r="UIL128" s="40"/>
      <c r="UIM128" s="24"/>
      <c r="UIN128" s="40"/>
      <c r="UIO128" s="24"/>
      <c r="UIP128" s="40"/>
      <c r="UIQ128" s="24"/>
      <c r="UIR128" s="40"/>
      <c r="UIS128" s="24"/>
      <c r="UIT128" s="40"/>
      <c r="UIU128" s="24"/>
      <c r="UIV128" s="40"/>
      <c r="UIW128" s="24"/>
      <c r="UIX128" s="40"/>
      <c r="UIY128" s="24"/>
      <c r="UIZ128" s="40"/>
      <c r="UJA128" s="24"/>
      <c r="UJB128" s="40"/>
      <c r="UJC128" s="24"/>
      <c r="UJD128" s="40"/>
      <c r="UJE128" s="24"/>
      <c r="UJF128" s="40"/>
      <c r="UJG128" s="24"/>
      <c r="UJH128" s="40"/>
      <c r="UJI128" s="24"/>
      <c r="UJJ128" s="40"/>
      <c r="UJK128" s="24"/>
      <c r="UJL128" s="40"/>
      <c r="UJM128" s="24"/>
      <c r="UJN128" s="40"/>
      <c r="UJO128" s="24"/>
      <c r="UJP128" s="40"/>
      <c r="UJQ128" s="24"/>
      <c r="UJR128" s="40"/>
      <c r="UJS128" s="24"/>
      <c r="UJT128" s="40"/>
      <c r="UJU128" s="24"/>
      <c r="UJV128" s="40"/>
      <c r="UJW128" s="24"/>
      <c r="UJX128" s="40"/>
      <c r="UJY128" s="24"/>
      <c r="UJZ128" s="40"/>
      <c r="UKA128" s="24"/>
      <c r="UKB128" s="40"/>
      <c r="UKC128" s="24"/>
      <c r="UKD128" s="40"/>
      <c r="UKE128" s="24"/>
      <c r="UKF128" s="40"/>
      <c r="UKG128" s="24"/>
      <c r="UKH128" s="40"/>
      <c r="UKI128" s="24"/>
      <c r="UKJ128" s="40"/>
      <c r="UKK128" s="24"/>
      <c r="UKL128" s="40"/>
      <c r="UKM128" s="24"/>
      <c r="UKN128" s="40"/>
      <c r="UKO128" s="24"/>
      <c r="UKP128" s="40"/>
      <c r="UKQ128" s="24"/>
      <c r="UKR128" s="40"/>
      <c r="UKS128" s="24"/>
      <c r="UKT128" s="40"/>
      <c r="UKU128" s="24"/>
      <c r="UKV128" s="40"/>
      <c r="UKW128" s="24"/>
      <c r="UKX128" s="40"/>
      <c r="UKY128" s="24"/>
      <c r="UKZ128" s="40"/>
      <c r="ULA128" s="24"/>
      <c r="ULB128" s="40"/>
      <c r="ULC128" s="24"/>
      <c r="ULD128" s="40"/>
      <c r="ULE128" s="24"/>
      <c r="ULF128" s="40"/>
      <c r="ULG128" s="24"/>
      <c r="ULH128" s="40"/>
      <c r="ULI128" s="24"/>
      <c r="ULJ128" s="40"/>
      <c r="ULK128" s="24"/>
      <c r="ULL128" s="40"/>
      <c r="ULM128" s="24"/>
      <c r="ULN128" s="40"/>
      <c r="ULO128" s="24"/>
      <c r="ULP128" s="40"/>
      <c r="ULQ128" s="24"/>
      <c r="ULR128" s="40"/>
      <c r="ULS128" s="24"/>
      <c r="ULT128" s="40"/>
      <c r="ULU128" s="24"/>
      <c r="ULV128" s="40"/>
      <c r="ULW128" s="24"/>
      <c r="ULX128" s="40"/>
      <c r="ULY128" s="24"/>
      <c r="ULZ128" s="40"/>
      <c r="UMA128" s="24"/>
      <c r="UMB128" s="40"/>
      <c r="UMC128" s="24"/>
      <c r="UMD128" s="40"/>
      <c r="UME128" s="24"/>
      <c r="UMF128" s="40"/>
      <c r="UMG128" s="24"/>
      <c r="UMH128" s="40"/>
      <c r="UMI128" s="24"/>
      <c r="UMJ128" s="40"/>
      <c r="UMK128" s="24"/>
      <c r="UML128" s="40"/>
      <c r="UMM128" s="24"/>
      <c r="UMN128" s="40"/>
      <c r="UMO128" s="24"/>
      <c r="UMP128" s="40"/>
      <c r="UMQ128" s="24"/>
      <c r="UMR128" s="40"/>
      <c r="UMS128" s="24"/>
      <c r="UMT128" s="40"/>
      <c r="UMU128" s="24"/>
      <c r="UMV128" s="40"/>
      <c r="UMW128" s="24"/>
      <c r="UMX128" s="40"/>
      <c r="UMY128" s="24"/>
      <c r="UMZ128" s="40"/>
      <c r="UNA128" s="24"/>
      <c r="UNB128" s="40"/>
      <c r="UNC128" s="24"/>
      <c r="UND128" s="40"/>
      <c r="UNE128" s="24"/>
      <c r="UNF128" s="40"/>
      <c r="UNG128" s="24"/>
      <c r="UNH128" s="40"/>
      <c r="UNI128" s="24"/>
      <c r="UNJ128" s="40"/>
      <c r="UNK128" s="24"/>
      <c r="UNL128" s="40"/>
      <c r="UNM128" s="24"/>
      <c r="UNN128" s="40"/>
      <c r="UNO128" s="24"/>
      <c r="UNP128" s="40"/>
      <c r="UNQ128" s="24"/>
      <c r="UNR128" s="40"/>
      <c r="UNS128" s="24"/>
      <c r="UNT128" s="40"/>
      <c r="UNU128" s="24"/>
      <c r="UNV128" s="40"/>
      <c r="UNW128" s="24"/>
      <c r="UNX128" s="40"/>
      <c r="UNY128" s="24"/>
      <c r="UNZ128" s="40"/>
      <c r="UOA128" s="24"/>
      <c r="UOB128" s="40"/>
      <c r="UOC128" s="24"/>
      <c r="UOD128" s="40"/>
      <c r="UOE128" s="24"/>
      <c r="UOF128" s="40"/>
      <c r="UOG128" s="24"/>
      <c r="UOH128" s="40"/>
      <c r="UOI128" s="24"/>
      <c r="UOJ128" s="40"/>
      <c r="UOK128" s="24"/>
      <c r="UOL128" s="40"/>
      <c r="UOM128" s="24"/>
      <c r="UON128" s="40"/>
      <c r="UOO128" s="24"/>
      <c r="UOP128" s="40"/>
      <c r="UOQ128" s="24"/>
      <c r="UOR128" s="40"/>
      <c r="UOS128" s="24"/>
      <c r="UOT128" s="40"/>
      <c r="UOU128" s="24"/>
      <c r="UOV128" s="40"/>
      <c r="UOW128" s="24"/>
      <c r="UOX128" s="40"/>
      <c r="UOY128" s="24"/>
      <c r="UOZ128" s="40"/>
      <c r="UPA128" s="24"/>
      <c r="UPB128" s="40"/>
      <c r="UPC128" s="24"/>
      <c r="UPD128" s="40"/>
      <c r="UPE128" s="24"/>
      <c r="UPF128" s="40"/>
      <c r="UPG128" s="24"/>
      <c r="UPH128" s="40"/>
      <c r="UPI128" s="24"/>
      <c r="UPJ128" s="40"/>
      <c r="UPK128" s="24"/>
      <c r="UPL128" s="40"/>
      <c r="UPM128" s="24"/>
      <c r="UPN128" s="40"/>
      <c r="UPO128" s="24"/>
      <c r="UPP128" s="40"/>
      <c r="UPQ128" s="24"/>
      <c r="UPR128" s="40"/>
      <c r="UPS128" s="24"/>
      <c r="UPT128" s="40"/>
      <c r="UPU128" s="24"/>
      <c r="UPV128" s="40"/>
      <c r="UPW128" s="24"/>
      <c r="UPX128" s="40"/>
      <c r="UPY128" s="24"/>
      <c r="UPZ128" s="40"/>
      <c r="UQA128" s="24"/>
      <c r="UQB128" s="40"/>
      <c r="UQC128" s="24"/>
      <c r="UQD128" s="40"/>
      <c r="UQE128" s="24"/>
      <c r="UQF128" s="40"/>
      <c r="UQG128" s="24"/>
      <c r="UQH128" s="40"/>
      <c r="UQI128" s="24"/>
      <c r="UQJ128" s="40"/>
      <c r="UQK128" s="24"/>
      <c r="UQL128" s="40"/>
      <c r="UQM128" s="24"/>
      <c r="UQN128" s="40"/>
      <c r="UQO128" s="24"/>
      <c r="UQP128" s="40"/>
      <c r="UQQ128" s="24"/>
      <c r="UQR128" s="40"/>
      <c r="UQS128" s="24"/>
      <c r="UQT128" s="40"/>
      <c r="UQU128" s="24"/>
      <c r="UQV128" s="40"/>
      <c r="UQW128" s="24"/>
      <c r="UQX128" s="40"/>
      <c r="UQY128" s="24"/>
      <c r="UQZ128" s="40"/>
      <c r="URA128" s="24"/>
      <c r="URB128" s="40"/>
      <c r="URC128" s="24"/>
      <c r="URD128" s="40"/>
      <c r="URE128" s="24"/>
      <c r="URF128" s="40"/>
      <c r="URG128" s="24"/>
      <c r="URH128" s="40"/>
      <c r="URI128" s="24"/>
      <c r="URJ128" s="40"/>
      <c r="URK128" s="24"/>
      <c r="URL128" s="40"/>
      <c r="URM128" s="24"/>
      <c r="URN128" s="40"/>
      <c r="URO128" s="24"/>
      <c r="URP128" s="40"/>
      <c r="URQ128" s="24"/>
      <c r="URR128" s="40"/>
      <c r="URS128" s="24"/>
      <c r="URT128" s="40"/>
      <c r="URU128" s="24"/>
      <c r="URV128" s="40"/>
      <c r="URW128" s="24"/>
      <c r="URX128" s="40"/>
      <c r="URY128" s="24"/>
      <c r="URZ128" s="40"/>
      <c r="USA128" s="24"/>
      <c r="USB128" s="40"/>
      <c r="USC128" s="24"/>
      <c r="USD128" s="40"/>
      <c r="USE128" s="24"/>
      <c r="USF128" s="40"/>
      <c r="USG128" s="24"/>
      <c r="USH128" s="40"/>
      <c r="USI128" s="24"/>
      <c r="USJ128" s="40"/>
      <c r="USK128" s="24"/>
      <c r="USL128" s="40"/>
      <c r="USM128" s="24"/>
      <c r="USN128" s="40"/>
      <c r="USO128" s="24"/>
      <c r="USP128" s="40"/>
      <c r="USQ128" s="24"/>
      <c r="USR128" s="40"/>
      <c r="USS128" s="24"/>
      <c r="UST128" s="40"/>
      <c r="USU128" s="24"/>
      <c r="USV128" s="40"/>
      <c r="USW128" s="24"/>
      <c r="USX128" s="40"/>
      <c r="USY128" s="24"/>
      <c r="USZ128" s="40"/>
      <c r="UTA128" s="24"/>
      <c r="UTB128" s="40"/>
      <c r="UTC128" s="24"/>
      <c r="UTD128" s="40"/>
      <c r="UTE128" s="24"/>
      <c r="UTF128" s="40"/>
      <c r="UTG128" s="24"/>
      <c r="UTH128" s="40"/>
      <c r="UTI128" s="24"/>
      <c r="UTJ128" s="40"/>
      <c r="UTK128" s="24"/>
      <c r="UTL128" s="40"/>
      <c r="UTM128" s="24"/>
      <c r="UTN128" s="40"/>
      <c r="UTO128" s="24"/>
      <c r="UTP128" s="40"/>
      <c r="UTQ128" s="24"/>
      <c r="UTR128" s="40"/>
      <c r="UTS128" s="24"/>
      <c r="UTT128" s="40"/>
      <c r="UTU128" s="24"/>
      <c r="UTV128" s="40"/>
      <c r="UTW128" s="24"/>
      <c r="UTX128" s="40"/>
      <c r="UTY128" s="24"/>
      <c r="UTZ128" s="40"/>
      <c r="UUA128" s="24"/>
      <c r="UUB128" s="40"/>
      <c r="UUC128" s="24"/>
      <c r="UUD128" s="40"/>
      <c r="UUE128" s="24"/>
      <c r="UUF128" s="40"/>
      <c r="UUG128" s="24"/>
      <c r="UUH128" s="40"/>
      <c r="UUI128" s="24"/>
      <c r="UUJ128" s="40"/>
      <c r="UUK128" s="24"/>
      <c r="UUL128" s="40"/>
      <c r="UUM128" s="24"/>
      <c r="UUN128" s="40"/>
      <c r="UUO128" s="24"/>
      <c r="UUP128" s="40"/>
      <c r="UUQ128" s="24"/>
      <c r="UUR128" s="40"/>
      <c r="UUS128" s="24"/>
      <c r="UUT128" s="40"/>
      <c r="UUU128" s="24"/>
      <c r="UUV128" s="40"/>
      <c r="UUW128" s="24"/>
      <c r="UUX128" s="40"/>
      <c r="UUY128" s="24"/>
      <c r="UUZ128" s="40"/>
      <c r="UVA128" s="24"/>
      <c r="UVB128" s="40"/>
      <c r="UVC128" s="24"/>
      <c r="UVD128" s="40"/>
      <c r="UVE128" s="24"/>
      <c r="UVF128" s="40"/>
      <c r="UVG128" s="24"/>
      <c r="UVH128" s="40"/>
      <c r="UVI128" s="24"/>
      <c r="UVJ128" s="40"/>
      <c r="UVK128" s="24"/>
      <c r="UVL128" s="40"/>
      <c r="UVM128" s="24"/>
      <c r="UVN128" s="40"/>
      <c r="UVO128" s="24"/>
      <c r="UVP128" s="40"/>
      <c r="UVQ128" s="24"/>
      <c r="UVR128" s="40"/>
      <c r="UVS128" s="24"/>
      <c r="UVT128" s="40"/>
      <c r="UVU128" s="24"/>
      <c r="UVV128" s="40"/>
      <c r="UVW128" s="24"/>
      <c r="UVX128" s="40"/>
      <c r="UVY128" s="24"/>
      <c r="UVZ128" s="40"/>
      <c r="UWA128" s="24"/>
      <c r="UWB128" s="40"/>
      <c r="UWC128" s="24"/>
      <c r="UWD128" s="40"/>
      <c r="UWE128" s="24"/>
      <c r="UWF128" s="40"/>
      <c r="UWG128" s="24"/>
      <c r="UWH128" s="40"/>
      <c r="UWI128" s="24"/>
      <c r="UWJ128" s="40"/>
      <c r="UWK128" s="24"/>
      <c r="UWL128" s="40"/>
      <c r="UWM128" s="24"/>
      <c r="UWN128" s="40"/>
      <c r="UWO128" s="24"/>
      <c r="UWP128" s="40"/>
      <c r="UWQ128" s="24"/>
      <c r="UWR128" s="40"/>
      <c r="UWS128" s="24"/>
      <c r="UWT128" s="40"/>
      <c r="UWU128" s="24"/>
      <c r="UWV128" s="40"/>
      <c r="UWW128" s="24"/>
      <c r="UWX128" s="40"/>
      <c r="UWY128" s="24"/>
      <c r="UWZ128" s="40"/>
      <c r="UXA128" s="24"/>
      <c r="UXB128" s="40"/>
      <c r="UXC128" s="24"/>
      <c r="UXD128" s="40"/>
      <c r="UXE128" s="24"/>
      <c r="UXF128" s="40"/>
      <c r="UXG128" s="24"/>
      <c r="UXH128" s="40"/>
      <c r="UXI128" s="24"/>
      <c r="UXJ128" s="40"/>
      <c r="UXK128" s="24"/>
      <c r="UXL128" s="40"/>
      <c r="UXM128" s="24"/>
      <c r="UXN128" s="40"/>
      <c r="UXO128" s="24"/>
      <c r="UXP128" s="40"/>
      <c r="UXQ128" s="24"/>
      <c r="UXR128" s="40"/>
      <c r="UXS128" s="24"/>
      <c r="UXT128" s="40"/>
      <c r="UXU128" s="24"/>
      <c r="UXV128" s="40"/>
      <c r="UXW128" s="24"/>
      <c r="UXX128" s="40"/>
      <c r="UXY128" s="24"/>
      <c r="UXZ128" s="40"/>
      <c r="UYA128" s="24"/>
      <c r="UYB128" s="40"/>
      <c r="UYC128" s="24"/>
      <c r="UYD128" s="40"/>
      <c r="UYE128" s="24"/>
      <c r="UYF128" s="40"/>
      <c r="UYG128" s="24"/>
      <c r="UYH128" s="40"/>
      <c r="UYI128" s="24"/>
      <c r="UYJ128" s="40"/>
      <c r="UYK128" s="24"/>
      <c r="UYL128" s="40"/>
      <c r="UYM128" s="24"/>
      <c r="UYN128" s="40"/>
      <c r="UYO128" s="24"/>
      <c r="UYP128" s="40"/>
      <c r="UYQ128" s="24"/>
      <c r="UYR128" s="40"/>
      <c r="UYS128" s="24"/>
      <c r="UYT128" s="40"/>
      <c r="UYU128" s="24"/>
      <c r="UYV128" s="40"/>
      <c r="UYW128" s="24"/>
      <c r="UYX128" s="40"/>
      <c r="UYY128" s="24"/>
      <c r="UYZ128" s="40"/>
      <c r="UZA128" s="24"/>
      <c r="UZB128" s="40"/>
      <c r="UZC128" s="24"/>
      <c r="UZD128" s="40"/>
      <c r="UZE128" s="24"/>
      <c r="UZF128" s="40"/>
      <c r="UZG128" s="24"/>
      <c r="UZH128" s="40"/>
      <c r="UZI128" s="24"/>
      <c r="UZJ128" s="40"/>
      <c r="UZK128" s="24"/>
      <c r="UZL128" s="40"/>
      <c r="UZM128" s="24"/>
      <c r="UZN128" s="40"/>
      <c r="UZO128" s="24"/>
      <c r="UZP128" s="40"/>
      <c r="UZQ128" s="24"/>
      <c r="UZR128" s="40"/>
      <c r="UZS128" s="24"/>
      <c r="UZT128" s="40"/>
      <c r="UZU128" s="24"/>
      <c r="UZV128" s="40"/>
      <c r="UZW128" s="24"/>
      <c r="UZX128" s="40"/>
      <c r="UZY128" s="24"/>
      <c r="UZZ128" s="40"/>
      <c r="VAA128" s="24"/>
      <c r="VAB128" s="40"/>
      <c r="VAC128" s="24"/>
      <c r="VAD128" s="40"/>
      <c r="VAE128" s="24"/>
      <c r="VAF128" s="40"/>
      <c r="VAG128" s="24"/>
      <c r="VAH128" s="40"/>
      <c r="VAI128" s="24"/>
      <c r="VAJ128" s="40"/>
      <c r="VAK128" s="24"/>
      <c r="VAL128" s="40"/>
      <c r="VAM128" s="24"/>
      <c r="VAN128" s="40"/>
      <c r="VAO128" s="24"/>
      <c r="VAP128" s="40"/>
      <c r="VAQ128" s="24"/>
      <c r="VAR128" s="40"/>
      <c r="VAS128" s="24"/>
      <c r="VAT128" s="40"/>
      <c r="VAU128" s="24"/>
      <c r="VAV128" s="40"/>
      <c r="VAW128" s="24"/>
      <c r="VAX128" s="40"/>
      <c r="VAY128" s="24"/>
      <c r="VAZ128" s="40"/>
      <c r="VBA128" s="24"/>
      <c r="VBB128" s="40"/>
      <c r="VBC128" s="24"/>
      <c r="VBD128" s="40"/>
      <c r="VBE128" s="24"/>
      <c r="VBF128" s="40"/>
      <c r="VBG128" s="24"/>
      <c r="VBH128" s="40"/>
      <c r="VBI128" s="24"/>
      <c r="VBJ128" s="40"/>
      <c r="VBK128" s="24"/>
      <c r="VBL128" s="40"/>
      <c r="VBM128" s="24"/>
      <c r="VBN128" s="40"/>
      <c r="VBO128" s="24"/>
      <c r="VBP128" s="40"/>
      <c r="VBQ128" s="24"/>
      <c r="VBR128" s="40"/>
      <c r="VBS128" s="24"/>
      <c r="VBT128" s="40"/>
      <c r="VBU128" s="24"/>
      <c r="VBV128" s="40"/>
      <c r="VBW128" s="24"/>
      <c r="VBX128" s="40"/>
      <c r="VBY128" s="24"/>
      <c r="VBZ128" s="40"/>
      <c r="VCA128" s="24"/>
      <c r="VCB128" s="40"/>
      <c r="VCC128" s="24"/>
      <c r="VCD128" s="40"/>
      <c r="VCE128" s="24"/>
      <c r="VCF128" s="40"/>
      <c r="VCG128" s="24"/>
      <c r="VCH128" s="40"/>
      <c r="VCI128" s="24"/>
      <c r="VCJ128" s="40"/>
      <c r="VCK128" s="24"/>
      <c r="VCL128" s="40"/>
      <c r="VCM128" s="24"/>
      <c r="VCN128" s="40"/>
      <c r="VCO128" s="24"/>
      <c r="VCP128" s="40"/>
      <c r="VCQ128" s="24"/>
      <c r="VCR128" s="40"/>
      <c r="VCS128" s="24"/>
      <c r="VCT128" s="40"/>
      <c r="VCU128" s="24"/>
      <c r="VCV128" s="40"/>
      <c r="VCW128" s="24"/>
      <c r="VCX128" s="40"/>
      <c r="VCY128" s="24"/>
      <c r="VCZ128" s="40"/>
      <c r="VDA128" s="24"/>
      <c r="VDB128" s="40"/>
      <c r="VDC128" s="24"/>
      <c r="VDD128" s="40"/>
      <c r="VDE128" s="24"/>
      <c r="VDF128" s="40"/>
      <c r="VDG128" s="24"/>
      <c r="VDH128" s="40"/>
      <c r="VDI128" s="24"/>
      <c r="VDJ128" s="40"/>
      <c r="VDK128" s="24"/>
      <c r="VDL128" s="40"/>
      <c r="VDM128" s="24"/>
      <c r="VDN128" s="40"/>
      <c r="VDO128" s="24"/>
      <c r="VDP128" s="40"/>
      <c r="VDQ128" s="24"/>
      <c r="VDR128" s="40"/>
      <c r="VDS128" s="24"/>
      <c r="VDT128" s="40"/>
      <c r="VDU128" s="24"/>
      <c r="VDV128" s="40"/>
      <c r="VDW128" s="24"/>
      <c r="VDX128" s="40"/>
      <c r="VDY128" s="24"/>
      <c r="VDZ128" s="40"/>
      <c r="VEA128" s="24"/>
      <c r="VEB128" s="40"/>
      <c r="VEC128" s="24"/>
      <c r="VED128" s="40"/>
      <c r="VEE128" s="24"/>
      <c r="VEF128" s="40"/>
      <c r="VEG128" s="24"/>
      <c r="VEH128" s="40"/>
      <c r="VEI128" s="24"/>
      <c r="VEJ128" s="40"/>
      <c r="VEK128" s="24"/>
      <c r="VEL128" s="40"/>
      <c r="VEM128" s="24"/>
      <c r="VEN128" s="40"/>
      <c r="VEO128" s="24"/>
      <c r="VEP128" s="40"/>
      <c r="VEQ128" s="24"/>
      <c r="VER128" s="40"/>
      <c r="VES128" s="24"/>
      <c r="VET128" s="40"/>
      <c r="VEU128" s="24"/>
      <c r="VEV128" s="40"/>
      <c r="VEW128" s="24"/>
      <c r="VEX128" s="40"/>
      <c r="VEY128" s="24"/>
      <c r="VEZ128" s="40"/>
      <c r="VFA128" s="24"/>
      <c r="VFB128" s="40"/>
      <c r="VFC128" s="24"/>
      <c r="VFD128" s="40"/>
      <c r="VFE128" s="24"/>
      <c r="VFF128" s="40"/>
      <c r="VFG128" s="24"/>
      <c r="VFH128" s="40"/>
      <c r="VFI128" s="24"/>
      <c r="VFJ128" s="40"/>
      <c r="VFK128" s="24"/>
      <c r="VFL128" s="40"/>
      <c r="VFM128" s="24"/>
      <c r="VFN128" s="40"/>
      <c r="VFO128" s="24"/>
      <c r="VFP128" s="40"/>
      <c r="VFQ128" s="24"/>
      <c r="VFR128" s="40"/>
      <c r="VFS128" s="24"/>
      <c r="VFT128" s="40"/>
      <c r="VFU128" s="24"/>
      <c r="VFV128" s="40"/>
      <c r="VFW128" s="24"/>
      <c r="VFX128" s="40"/>
      <c r="VFY128" s="24"/>
      <c r="VFZ128" s="40"/>
      <c r="VGA128" s="24"/>
      <c r="VGB128" s="40"/>
      <c r="VGC128" s="24"/>
      <c r="VGD128" s="40"/>
      <c r="VGE128" s="24"/>
      <c r="VGF128" s="40"/>
      <c r="VGG128" s="24"/>
      <c r="VGH128" s="40"/>
      <c r="VGI128" s="24"/>
      <c r="VGJ128" s="40"/>
      <c r="VGK128" s="24"/>
      <c r="VGL128" s="40"/>
      <c r="VGM128" s="24"/>
      <c r="VGN128" s="40"/>
      <c r="VGO128" s="24"/>
      <c r="VGP128" s="40"/>
      <c r="VGQ128" s="24"/>
      <c r="VGR128" s="40"/>
      <c r="VGS128" s="24"/>
      <c r="VGT128" s="40"/>
      <c r="VGU128" s="24"/>
      <c r="VGV128" s="40"/>
      <c r="VGW128" s="24"/>
      <c r="VGX128" s="40"/>
      <c r="VGY128" s="24"/>
      <c r="VGZ128" s="40"/>
      <c r="VHA128" s="24"/>
      <c r="VHB128" s="40"/>
      <c r="VHC128" s="24"/>
      <c r="VHD128" s="40"/>
      <c r="VHE128" s="24"/>
      <c r="VHF128" s="40"/>
      <c r="VHG128" s="24"/>
      <c r="VHH128" s="40"/>
      <c r="VHI128" s="24"/>
      <c r="VHJ128" s="40"/>
      <c r="VHK128" s="24"/>
      <c r="VHL128" s="40"/>
      <c r="VHM128" s="24"/>
      <c r="VHN128" s="40"/>
      <c r="VHO128" s="24"/>
      <c r="VHP128" s="40"/>
      <c r="VHQ128" s="24"/>
      <c r="VHR128" s="40"/>
      <c r="VHS128" s="24"/>
      <c r="VHT128" s="40"/>
      <c r="VHU128" s="24"/>
      <c r="VHV128" s="40"/>
      <c r="VHW128" s="24"/>
      <c r="VHX128" s="40"/>
      <c r="VHY128" s="24"/>
      <c r="VHZ128" s="40"/>
      <c r="VIA128" s="24"/>
      <c r="VIB128" s="40"/>
      <c r="VIC128" s="24"/>
      <c r="VID128" s="40"/>
      <c r="VIE128" s="24"/>
      <c r="VIF128" s="40"/>
      <c r="VIG128" s="24"/>
      <c r="VIH128" s="40"/>
      <c r="VII128" s="24"/>
      <c r="VIJ128" s="40"/>
      <c r="VIK128" s="24"/>
      <c r="VIL128" s="40"/>
      <c r="VIM128" s="24"/>
      <c r="VIN128" s="40"/>
      <c r="VIO128" s="24"/>
      <c r="VIP128" s="40"/>
      <c r="VIQ128" s="24"/>
      <c r="VIR128" s="40"/>
      <c r="VIS128" s="24"/>
      <c r="VIT128" s="40"/>
      <c r="VIU128" s="24"/>
      <c r="VIV128" s="40"/>
      <c r="VIW128" s="24"/>
      <c r="VIX128" s="40"/>
      <c r="VIY128" s="24"/>
      <c r="VIZ128" s="40"/>
      <c r="VJA128" s="24"/>
      <c r="VJB128" s="40"/>
      <c r="VJC128" s="24"/>
      <c r="VJD128" s="40"/>
      <c r="VJE128" s="24"/>
      <c r="VJF128" s="40"/>
      <c r="VJG128" s="24"/>
      <c r="VJH128" s="40"/>
      <c r="VJI128" s="24"/>
      <c r="VJJ128" s="40"/>
      <c r="VJK128" s="24"/>
      <c r="VJL128" s="40"/>
      <c r="VJM128" s="24"/>
      <c r="VJN128" s="40"/>
      <c r="VJO128" s="24"/>
      <c r="VJP128" s="40"/>
      <c r="VJQ128" s="24"/>
      <c r="VJR128" s="40"/>
      <c r="VJS128" s="24"/>
      <c r="VJT128" s="40"/>
      <c r="VJU128" s="24"/>
      <c r="VJV128" s="40"/>
      <c r="VJW128" s="24"/>
      <c r="VJX128" s="40"/>
      <c r="VJY128" s="24"/>
      <c r="VJZ128" s="40"/>
      <c r="VKA128" s="24"/>
      <c r="VKB128" s="40"/>
      <c r="VKC128" s="24"/>
      <c r="VKD128" s="40"/>
      <c r="VKE128" s="24"/>
      <c r="VKF128" s="40"/>
      <c r="VKG128" s="24"/>
      <c r="VKH128" s="40"/>
      <c r="VKI128" s="24"/>
      <c r="VKJ128" s="40"/>
      <c r="VKK128" s="24"/>
      <c r="VKL128" s="40"/>
      <c r="VKM128" s="24"/>
      <c r="VKN128" s="40"/>
      <c r="VKO128" s="24"/>
      <c r="VKP128" s="40"/>
      <c r="VKQ128" s="24"/>
      <c r="VKR128" s="40"/>
      <c r="VKS128" s="24"/>
      <c r="VKT128" s="40"/>
      <c r="VKU128" s="24"/>
      <c r="VKV128" s="40"/>
      <c r="VKW128" s="24"/>
      <c r="VKX128" s="40"/>
      <c r="VKY128" s="24"/>
      <c r="VKZ128" s="40"/>
      <c r="VLA128" s="24"/>
      <c r="VLB128" s="40"/>
      <c r="VLC128" s="24"/>
      <c r="VLD128" s="40"/>
      <c r="VLE128" s="24"/>
      <c r="VLF128" s="40"/>
      <c r="VLG128" s="24"/>
      <c r="VLH128" s="40"/>
      <c r="VLI128" s="24"/>
      <c r="VLJ128" s="40"/>
      <c r="VLK128" s="24"/>
      <c r="VLL128" s="40"/>
      <c r="VLM128" s="24"/>
      <c r="VLN128" s="40"/>
      <c r="VLO128" s="24"/>
      <c r="VLP128" s="40"/>
      <c r="VLQ128" s="24"/>
      <c r="VLR128" s="40"/>
      <c r="VLS128" s="24"/>
      <c r="VLT128" s="40"/>
      <c r="VLU128" s="24"/>
      <c r="VLV128" s="40"/>
      <c r="VLW128" s="24"/>
      <c r="VLX128" s="40"/>
      <c r="VLY128" s="24"/>
      <c r="VLZ128" s="40"/>
      <c r="VMA128" s="24"/>
      <c r="VMB128" s="40"/>
      <c r="VMC128" s="24"/>
      <c r="VMD128" s="40"/>
      <c r="VME128" s="24"/>
      <c r="VMF128" s="40"/>
      <c r="VMG128" s="24"/>
      <c r="VMH128" s="40"/>
      <c r="VMI128" s="24"/>
      <c r="VMJ128" s="40"/>
      <c r="VMK128" s="24"/>
      <c r="VML128" s="40"/>
      <c r="VMM128" s="24"/>
      <c r="VMN128" s="40"/>
      <c r="VMO128" s="24"/>
      <c r="VMP128" s="40"/>
      <c r="VMQ128" s="24"/>
      <c r="VMR128" s="40"/>
      <c r="VMS128" s="24"/>
      <c r="VMT128" s="40"/>
      <c r="VMU128" s="24"/>
      <c r="VMV128" s="40"/>
      <c r="VMW128" s="24"/>
      <c r="VMX128" s="40"/>
      <c r="VMY128" s="24"/>
      <c r="VMZ128" s="40"/>
      <c r="VNA128" s="24"/>
      <c r="VNB128" s="40"/>
      <c r="VNC128" s="24"/>
      <c r="VND128" s="40"/>
      <c r="VNE128" s="24"/>
      <c r="VNF128" s="40"/>
      <c r="VNG128" s="24"/>
      <c r="VNH128" s="40"/>
      <c r="VNI128" s="24"/>
      <c r="VNJ128" s="40"/>
      <c r="VNK128" s="24"/>
      <c r="VNL128" s="40"/>
      <c r="VNM128" s="24"/>
      <c r="VNN128" s="40"/>
      <c r="VNO128" s="24"/>
      <c r="VNP128" s="40"/>
      <c r="VNQ128" s="24"/>
      <c r="VNR128" s="40"/>
      <c r="VNS128" s="24"/>
      <c r="VNT128" s="40"/>
      <c r="VNU128" s="24"/>
      <c r="VNV128" s="40"/>
      <c r="VNW128" s="24"/>
      <c r="VNX128" s="40"/>
      <c r="VNY128" s="24"/>
      <c r="VNZ128" s="40"/>
      <c r="VOA128" s="24"/>
      <c r="VOB128" s="40"/>
      <c r="VOC128" s="24"/>
      <c r="VOD128" s="40"/>
      <c r="VOE128" s="24"/>
      <c r="VOF128" s="40"/>
      <c r="VOG128" s="24"/>
      <c r="VOH128" s="40"/>
      <c r="VOI128" s="24"/>
      <c r="VOJ128" s="40"/>
      <c r="VOK128" s="24"/>
      <c r="VOL128" s="40"/>
      <c r="VOM128" s="24"/>
      <c r="VON128" s="40"/>
      <c r="VOO128" s="24"/>
      <c r="VOP128" s="40"/>
      <c r="VOQ128" s="24"/>
      <c r="VOR128" s="40"/>
      <c r="VOS128" s="24"/>
      <c r="VOT128" s="40"/>
      <c r="VOU128" s="24"/>
      <c r="VOV128" s="40"/>
      <c r="VOW128" s="24"/>
      <c r="VOX128" s="40"/>
      <c r="VOY128" s="24"/>
      <c r="VOZ128" s="40"/>
      <c r="VPA128" s="24"/>
      <c r="VPB128" s="40"/>
      <c r="VPC128" s="24"/>
      <c r="VPD128" s="40"/>
      <c r="VPE128" s="24"/>
      <c r="VPF128" s="40"/>
      <c r="VPG128" s="24"/>
      <c r="VPH128" s="40"/>
      <c r="VPI128" s="24"/>
      <c r="VPJ128" s="40"/>
      <c r="VPK128" s="24"/>
      <c r="VPL128" s="40"/>
      <c r="VPM128" s="24"/>
      <c r="VPN128" s="40"/>
      <c r="VPO128" s="24"/>
      <c r="VPP128" s="40"/>
      <c r="VPQ128" s="24"/>
      <c r="VPR128" s="40"/>
      <c r="VPS128" s="24"/>
      <c r="VPT128" s="40"/>
      <c r="VPU128" s="24"/>
      <c r="VPV128" s="40"/>
      <c r="VPW128" s="24"/>
      <c r="VPX128" s="40"/>
      <c r="VPY128" s="24"/>
      <c r="VPZ128" s="40"/>
      <c r="VQA128" s="24"/>
      <c r="VQB128" s="40"/>
      <c r="VQC128" s="24"/>
      <c r="VQD128" s="40"/>
      <c r="VQE128" s="24"/>
      <c r="VQF128" s="40"/>
      <c r="VQG128" s="24"/>
      <c r="VQH128" s="40"/>
      <c r="VQI128" s="24"/>
      <c r="VQJ128" s="40"/>
      <c r="VQK128" s="24"/>
      <c r="VQL128" s="40"/>
      <c r="VQM128" s="24"/>
      <c r="VQN128" s="40"/>
      <c r="VQO128" s="24"/>
      <c r="VQP128" s="40"/>
      <c r="VQQ128" s="24"/>
      <c r="VQR128" s="40"/>
      <c r="VQS128" s="24"/>
      <c r="VQT128" s="40"/>
      <c r="VQU128" s="24"/>
      <c r="VQV128" s="40"/>
      <c r="VQW128" s="24"/>
      <c r="VQX128" s="40"/>
      <c r="VQY128" s="24"/>
      <c r="VQZ128" s="40"/>
      <c r="VRA128" s="24"/>
      <c r="VRB128" s="40"/>
      <c r="VRC128" s="24"/>
      <c r="VRD128" s="40"/>
      <c r="VRE128" s="24"/>
      <c r="VRF128" s="40"/>
      <c r="VRG128" s="24"/>
      <c r="VRH128" s="40"/>
      <c r="VRI128" s="24"/>
      <c r="VRJ128" s="40"/>
      <c r="VRK128" s="24"/>
      <c r="VRL128" s="40"/>
      <c r="VRM128" s="24"/>
      <c r="VRN128" s="40"/>
      <c r="VRO128" s="24"/>
      <c r="VRP128" s="40"/>
      <c r="VRQ128" s="24"/>
      <c r="VRR128" s="40"/>
      <c r="VRS128" s="24"/>
      <c r="VRT128" s="40"/>
      <c r="VRU128" s="24"/>
      <c r="VRV128" s="40"/>
      <c r="VRW128" s="24"/>
      <c r="VRX128" s="40"/>
      <c r="VRY128" s="24"/>
      <c r="VRZ128" s="40"/>
      <c r="VSA128" s="24"/>
      <c r="VSB128" s="40"/>
      <c r="VSC128" s="24"/>
      <c r="VSD128" s="40"/>
      <c r="VSE128" s="24"/>
      <c r="VSF128" s="40"/>
      <c r="VSG128" s="24"/>
      <c r="VSH128" s="40"/>
      <c r="VSI128" s="24"/>
      <c r="VSJ128" s="40"/>
      <c r="VSK128" s="24"/>
      <c r="VSL128" s="40"/>
      <c r="VSM128" s="24"/>
      <c r="VSN128" s="40"/>
      <c r="VSO128" s="24"/>
      <c r="VSP128" s="40"/>
      <c r="VSQ128" s="24"/>
      <c r="VSR128" s="40"/>
      <c r="VSS128" s="24"/>
      <c r="VST128" s="40"/>
      <c r="VSU128" s="24"/>
      <c r="VSV128" s="40"/>
      <c r="VSW128" s="24"/>
      <c r="VSX128" s="40"/>
      <c r="VSY128" s="24"/>
      <c r="VSZ128" s="40"/>
      <c r="VTA128" s="24"/>
      <c r="VTB128" s="40"/>
      <c r="VTC128" s="24"/>
      <c r="VTD128" s="40"/>
      <c r="VTE128" s="24"/>
      <c r="VTF128" s="40"/>
      <c r="VTG128" s="24"/>
      <c r="VTH128" s="40"/>
      <c r="VTI128" s="24"/>
      <c r="VTJ128" s="40"/>
      <c r="VTK128" s="24"/>
      <c r="VTL128" s="40"/>
      <c r="VTM128" s="24"/>
      <c r="VTN128" s="40"/>
      <c r="VTO128" s="24"/>
      <c r="VTP128" s="40"/>
      <c r="VTQ128" s="24"/>
      <c r="VTR128" s="40"/>
      <c r="VTS128" s="24"/>
      <c r="VTT128" s="40"/>
      <c r="VTU128" s="24"/>
      <c r="VTV128" s="40"/>
      <c r="VTW128" s="24"/>
      <c r="VTX128" s="40"/>
      <c r="VTY128" s="24"/>
      <c r="VTZ128" s="40"/>
      <c r="VUA128" s="24"/>
      <c r="VUB128" s="40"/>
      <c r="VUC128" s="24"/>
      <c r="VUD128" s="40"/>
      <c r="VUE128" s="24"/>
      <c r="VUF128" s="40"/>
      <c r="VUG128" s="24"/>
      <c r="VUH128" s="40"/>
      <c r="VUI128" s="24"/>
      <c r="VUJ128" s="40"/>
      <c r="VUK128" s="24"/>
      <c r="VUL128" s="40"/>
      <c r="VUM128" s="24"/>
      <c r="VUN128" s="40"/>
      <c r="VUO128" s="24"/>
      <c r="VUP128" s="40"/>
      <c r="VUQ128" s="24"/>
      <c r="VUR128" s="40"/>
      <c r="VUS128" s="24"/>
      <c r="VUT128" s="40"/>
      <c r="VUU128" s="24"/>
      <c r="VUV128" s="40"/>
      <c r="VUW128" s="24"/>
      <c r="VUX128" s="40"/>
      <c r="VUY128" s="24"/>
      <c r="VUZ128" s="40"/>
      <c r="VVA128" s="24"/>
      <c r="VVB128" s="40"/>
      <c r="VVC128" s="24"/>
      <c r="VVD128" s="40"/>
      <c r="VVE128" s="24"/>
      <c r="VVF128" s="40"/>
      <c r="VVG128" s="24"/>
      <c r="VVH128" s="40"/>
      <c r="VVI128" s="24"/>
      <c r="VVJ128" s="40"/>
      <c r="VVK128" s="24"/>
      <c r="VVL128" s="40"/>
      <c r="VVM128" s="24"/>
      <c r="VVN128" s="40"/>
      <c r="VVO128" s="24"/>
      <c r="VVP128" s="40"/>
      <c r="VVQ128" s="24"/>
      <c r="VVR128" s="40"/>
      <c r="VVS128" s="24"/>
      <c r="VVT128" s="40"/>
      <c r="VVU128" s="24"/>
      <c r="VVV128" s="40"/>
      <c r="VVW128" s="24"/>
      <c r="VVX128" s="40"/>
      <c r="VVY128" s="24"/>
      <c r="VVZ128" s="40"/>
      <c r="VWA128" s="24"/>
      <c r="VWB128" s="40"/>
      <c r="VWC128" s="24"/>
      <c r="VWD128" s="40"/>
      <c r="VWE128" s="24"/>
      <c r="VWF128" s="40"/>
      <c r="VWG128" s="24"/>
      <c r="VWH128" s="40"/>
      <c r="VWI128" s="24"/>
      <c r="VWJ128" s="40"/>
      <c r="VWK128" s="24"/>
      <c r="VWL128" s="40"/>
      <c r="VWM128" s="24"/>
      <c r="VWN128" s="40"/>
      <c r="VWO128" s="24"/>
      <c r="VWP128" s="40"/>
      <c r="VWQ128" s="24"/>
      <c r="VWR128" s="40"/>
      <c r="VWS128" s="24"/>
      <c r="VWT128" s="40"/>
      <c r="VWU128" s="24"/>
      <c r="VWV128" s="40"/>
      <c r="VWW128" s="24"/>
      <c r="VWX128" s="40"/>
      <c r="VWY128" s="24"/>
      <c r="VWZ128" s="40"/>
      <c r="VXA128" s="24"/>
      <c r="VXB128" s="40"/>
      <c r="VXC128" s="24"/>
      <c r="VXD128" s="40"/>
      <c r="VXE128" s="24"/>
      <c r="VXF128" s="40"/>
      <c r="VXG128" s="24"/>
      <c r="VXH128" s="40"/>
      <c r="VXI128" s="24"/>
      <c r="VXJ128" s="40"/>
      <c r="VXK128" s="24"/>
      <c r="VXL128" s="40"/>
      <c r="VXM128" s="24"/>
      <c r="VXN128" s="40"/>
      <c r="VXO128" s="24"/>
      <c r="VXP128" s="40"/>
      <c r="VXQ128" s="24"/>
      <c r="VXR128" s="40"/>
      <c r="VXS128" s="24"/>
      <c r="VXT128" s="40"/>
      <c r="VXU128" s="24"/>
      <c r="VXV128" s="40"/>
      <c r="VXW128" s="24"/>
      <c r="VXX128" s="40"/>
      <c r="VXY128" s="24"/>
      <c r="VXZ128" s="40"/>
      <c r="VYA128" s="24"/>
      <c r="VYB128" s="40"/>
      <c r="VYC128" s="24"/>
      <c r="VYD128" s="40"/>
      <c r="VYE128" s="24"/>
      <c r="VYF128" s="40"/>
      <c r="VYG128" s="24"/>
      <c r="VYH128" s="40"/>
      <c r="VYI128" s="24"/>
      <c r="VYJ128" s="40"/>
      <c r="VYK128" s="24"/>
      <c r="VYL128" s="40"/>
      <c r="VYM128" s="24"/>
      <c r="VYN128" s="40"/>
      <c r="VYO128" s="24"/>
      <c r="VYP128" s="40"/>
      <c r="VYQ128" s="24"/>
      <c r="VYR128" s="40"/>
      <c r="VYS128" s="24"/>
      <c r="VYT128" s="40"/>
      <c r="VYU128" s="24"/>
      <c r="VYV128" s="40"/>
      <c r="VYW128" s="24"/>
      <c r="VYX128" s="40"/>
      <c r="VYY128" s="24"/>
      <c r="VYZ128" s="40"/>
      <c r="VZA128" s="24"/>
      <c r="VZB128" s="40"/>
      <c r="VZC128" s="24"/>
      <c r="VZD128" s="40"/>
      <c r="VZE128" s="24"/>
      <c r="VZF128" s="40"/>
      <c r="VZG128" s="24"/>
      <c r="VZH128" s="40"/>
      <c r="VZI128" s="24"/>
      <c r="VZJ128" s="40"/>
      <c r="VZK128" s="24"/>
      <c r="VZL128" s="40"/>
      <c r="VZM128" s="24"/>
      <c r="VZN128" s="40"/>
      <c r="VZO128" s="24"/>
      <c r="VZP128" s="40"/>
      <c r="VZQ128" s="24"/>
      <c r="VZR128" s="40"/>
      <c r="VZS128" s="24"/>
      <c r="VZT128" s="40"/>
      <c r="VZU128" s="24"/>
      <c r="VZV128" s="40"/>
      <c r="VZW128" s="24"/>
      <c r="VZX128" s="40"/>
      <c r="VZY128" s="24"/>
      <c r="VZZ128" s="40"/>
      <c r="WAA128" s="24"/>
      <c r="WAB128" s="40"/>
      <c r="WAC128" s="24"/>
      <c r="WAD128" s="40"/>
      <c r="WAE128" s="24"/>
      <c r="WAF128" s="40"/>
      <c r="WAG128" s="24"/>
      <c r="WAH128" s="40"/>
      <c r="WAI128" s="24"/>
      <c r="WAJ128" s="40"/>
      <c r="WAK128" s="24"/>
      <c r="WAL128" s="40"/>
      <c r="WAM128" s="24"/>
      <c r="WAN128" s="40"/>
      <c r="WAO128" s="24"/>
      <c r="WAP128" s="40"/>
      <c r="WAQ128" s="24"/>
      <c r="WAR128" s="40"/>
      <c r="WAS128" s="24"/>
      <c r="WAT128" s="40"/>
      <c r="WAU128" s="24"/>
      <c r="WAV128" s="40"/>
      <c r="WAW128" s="24"/>
      <c r="WAX128" s="40"/>
      <c r="WAY128" s="24"/>
      <c r="WAZ128" s="40"/>
      <c r="WBA128" s="24"/>
      <c r="WBB128" s="40"/>
      <c r="WBC128" s="24"/>
      <c r="WBD128" s="40"/>
      <c r="WBE128" s="24"/>
      <c r="WBF128" s="40"/>
      <c r="WBG128" s="24"/>
      <c r="WBH128" s="40"/>
      <c r="WBI128" s="24"/>
      <c r="WBJ128" s="40"/>
      <c r="WBK128" s="24"/>
      <c r="WBL128" s="40"/>
      <c r="WBM128" s="24"/>
      <c r="WBN128" s="40"/>
      <c r="WBO128" s="24"/>
      <c r="WBP128" s="40"/>
      <c r="WBQ128" s="24"/>
      <c r="WBR128" s="40"/>
      <c r="WBS128" s="24"/>
      <c r="WBT128" s="40"/>
      <c r="WBU128" s="24"/>
      <c r="WBV128" s="40"/>
      <c r="WBW128" s="24"/>
      <c r="WBX128" s="40"/>
      <c r="WBY128" s="24"/>
      <c r="WBZ128" s="40"/>
      <c r="WCA128" s="24"/>
      <c r="WCB128" s="40"/>
      <c r="WCC128" s="24"/>
      <c r="WCD128" s="40"/>
      <c r="WCE128" s="24"/>
      <c r="WCF128" s="40"/>
      <c r="WCG128" s="24"/>
      <c r="WCH128" s="40"/>
      <c r="WCI128" s="24"/>
      <c r="WCJ128" s="40"/>
      <c r="WCK128" s="24"/>
      <c r="WCL128" s="40"/>
      <c r="WCM128" s="24"/>
      <c r="WCN128" s="40"/>
      <c r="WCO128" s="24"/>
      <c r="WCP128" s="40"/>
      <c r="WCQ128" s="24"/>
      <c r="WCR128" s="40"/>
      <c r="WCS128" s="24"/>
      <c r="WCT128" s="40"/>
      <c r="WCU128" s="24"/>
      <c r="WCV128" s="40"/>
      <c r="WCW128" s="24"/>
      <c r="WCX128" s="40"/>
      <c r="WCY128" s="24"/>
      <c r="WCZ128" s="40"/>
      <c r="WDA128" s="24"/>
      <c r="WDB128" s="40"/>
      <c r="WDC128" s="24"/>
      <c r="WDD128" s="40"/>
      <c r="WDE128" s="24"/>
      <c r="WDF128" s="40"/>
      <c r="WDG128" s="24"/>
      <c r="WDH128" s="40"/>
      <c r="WDI128" s="24"/>
      <c r="WDJ128" s="40"/>
      <c r="WDK128" s="24"/>
      <c r="WDL128" s="40"/>
      <c r="WDM128" s="24"/>
      <c r="WDN128" s="40"/>
      <c r="WDO128" s="24"/>
      <c r="WDP128" s="40"/>
      <c r="WDQ128" s="24"/>
      <c r="WDR128" s="40"/>
      <c r="WDS128" s="24"/>
      <c r="WDT128" s="40"/>
      <c r="WDU128" s="24"/>
      <c r="WDV128" s="40"/>
      <c r="WDW128" s="24"/>
      <c r="WDX128" s="40"/>
      <c r="WDY128" s="24"/>
      <c r="WDZ128" s="40"/>
      <c r="WEA128" s="24"/>
      <c r="WEB128" s="40"/>
      <c r="WEC128" s="24"/>
      <c r="WED128" s="40"/>
      <c r="WEE128" s="24"/>
      <c r="WEF128" s="40"/>
      <c r="WEG128" s="24"/>
      <c r="WEH128" s="40"/>
      <c r="WEI128" s="24"/>
      <c r="WEJ128" s="40"/>
      <c r="WEK128" s="24"/>
      <c r="WEL128" s="40"/>
      <c r="WEM128" s="24"/>
      <c r="WEN128" s="40"/>
      <c r="WEO128" s="24"/>
      <c r="WEP128" s="40"/>
      <c r="WEQ128" s="24"/>
      <c r="WER128" s="40"/>
      <c r="WES128" s="24"/>
      <c r="WET128" s="40"/>
      <c r="WEU128" s="24"/>
      <c r="WEV128" s="40"/>
      <c r="WEW128" s="24"/>
      <c r="WEX128" s="40"/>
      <c r="WEY128" s="24"/>
      <c r="WEZ128" s="40"/>
      <c r="WFA128" s="24"/>
      <c r="WFB128" s="40"/>
      <c r="WFC128" s="24"/>
      <c r="WFD128" s="40"/>
      <c r="WFE128" s="24"/>
      <c r="WFF128" s="40"/>
      <c r="WFG128" s="24"/>
      <c r="WFH128" s="40"/>
      <c r="WFI128" s="24"/>
      <c r="WFJ128" s="40"/>
      <c r="WFK128" s="24"/>
      <c r="WFL128" s="40"/>
      <c r="WFM128" s="24"/>
      <c r="WFN128" s="40"/>
      <c r="WFO128" s="24"/>
      <c r="WFP128" s="40"/>
      <c r="WFQ128" s="24"/>
      <c r="WFR128" s="40"/>
      <c r="WFS128" s="24"/>
      <c r="WFT128" s="40"/>
      <c r="WFU128" s="24"/>
      <c r="WFV128" s="40"/>
      <c r="WFW128" s="24"/>
      <c r="WFX128" s="40"/>
      <c r="WFY128" s="24"/>
      <c r="WFZ128" s="40"/>
      <c r="WGA128" s="24"/>
      <c r="WGB128" s="40"/>
      <c r="WGC128" s="24"/>
      <c r="WGD128" s="40"/>
      <c r="WGE128" s="24"/>
      <c r="WGF128" s="40"/>
      <c r="WGG128" s="24"/>
      <c r="WGH128" s="40"/>
      <c r="WGI128" s="24"/>
      <c r="WGJ128" s="40"/>
      <c r="WGK128" s="24"/>
      <c r="WGL128" s="40"/>
      <c r="WGM128" s="24"/>
      <c r="WGN128" s="40"/>
      <c r="WGO128" s="24"/>
      <c r="WGP128" s="40"/>
      <c r="WGQ128" s="24"/>
      <c r="WGR128" s="40"/>
      <c r="WGS128" s="24"/>
      <c r="WGT128" s="40"/>
      <c r="WGU128" s="24"/>
      <c r="WGV128" s="40"/>
      <c r="WGW128" s="24"/>
      <c r="WGX128" s="40"/>
      <c r="WGY128" s="24"/>
      <c r="WGZ128" s="40"/>
      <c r="WHA128" s="24"/>
      <c r="WHB128" s="40"/>
      <c r="WHC128" s="24"/>
      <c r="WHD128" s="40"/>
      <c r="WHE128" s="24"/>
      <c r="WHF128" s="40"/>
      <c r="WHG128" s="24"/>
      <c r="WHH128" s="40"/>
      <c r="WHI128" s="24"/>
      <c r="WHJ128" s="40"/>
      <c r="WHK128" s="24"/>
      <c r="WHL128" s="40"/>
      <c r="WHM128" s="24"/>
      <c r="WHN128" s="40"/>
      <c r="WHO128" s="24"/>
      <c r="WHP128" s="40"/>
      <c r="WHQ128" s="24"/>
      <c r="WHR128" s="40"/>
      <c r="WHS128" s="24"/>
      <c r="WHT128" s="40"/>
      <c r="WHU128" s="24"/>
      <c r="WHV128" s="40"/>
      <c r="WHW128" s="24"/>
      <c r="WHX128" s="40"/>
      <c r="WHY128" s="24"/>
      <c r="WHZ128" s="40"/>
      <c r="WIA128" s="24"/>
      <c r="WIB128" s="40"/>
      <c r="WIC128" s="24"/>
      <c r="WID128" s="40"/>
      <c r="WIE128" s="24"/>
      <c r="WIF128" s="40"/>
      <c r="WIG128" s="24"/>
      <c r="WIH128" s="40"/>
      <c r="WII128" s="24"/>
      <c r="WIJ128" s="40"/>
      <c r="WIK128" s="24"/>
      <c r="WIL128" s="40"/>
      <c r="WIM128" s="24"/>
      <c r="WIN128" s="40"/>
      <c r="WIO128" s="24"/>
      <c r="WIP128" s="40"/>
      <c r="WIQ128" s="24"/>
      <c r="WIR128" s="40"/>
      <c r="WIS128" s="24"/>
      <c r="WIT128" s="40"/>
      <c r="WIU128" s="24"/>
      <c r="WIV128" s="40"/>
      <c r="WIW128" s="24"/>
      <c r="WIX128" s="40"/>
      <c r="WIY128" s="24"/>
      <c r="WIZ128" s="40"/>
      <c r="WJA128" s="24"/>
      <c r="WJB128" s="40"/>
      <c r="WJC128" s="24"/>
      <c r="WJD128" s="40"/>
      <c r="WJE128" s="24"/>
      <c r="WJF128" s="40"/>
      <c r="WJG128" s="24"/>
      <c r="WJH128" s="40"/>
      <c r="WJI128" s="24"/>
      <c r="WJJ128" s="40"/>
      <c r="WJK128" s="24"/>
      <c r="WJL128" s="40"/>
      <c r="WJM128" s="24"/>
      <c r="WJN128" s="40"/>
      <c r="WJO128" s="24"/>
      <c r="WJP128" s="40"/>
      <c r="WJQ128" s="24"/>
      <c r="WJR128" s="40"/>
      <c r="WJS128" s="24"/>
      <c r="WJT128" s="40"/>
      <c r="WJU128" s="24"/>
      <c r="WJV128" s="40"/>
      <c r="WJW128" s="24"/>
      <c r="WJX128" s="40"/>
      <c r="WJY128" s="24"/>
      <c r="WJZ128" s="40"/>
      <c r="WKA128" s="24"/>
      <c r="WKB128" s="40"/>
      <c r="WKC128" s="24"/>
      <c r="WKD128" s="40"/>
      <c r="WKE128" s="24"/>
      <c r="WKF128" s="40"/>
      <c r="WKG128" s="24"/>
      <c r="WKH128" s="40"/>
      <c r="WKI128" s="24"/>
      <c r="WKJ128" s="40"/>
      <c r="WKK128" s="24"/>
      <c r="WKL128" s="40"/>
      <c r="WKM128" s="24"/>
      <c r="WKN128" s="40"/>
      <c r="WKO128" s="24"/>
      <c r="WKP128" s="40"/>
      <c r="WKQ128" s="24"/>
      <c r="WKR128" s="40"/>
      <c r="WKS128" s="24"/>
      <c r="WKT128" s="40"/>
      <c r="WKU128" s="24"/>
      <c r="WKV128" s="40"/>
      <c r="WKW128" s="24"/>
      <c r="WKX128" s="40"/>
      <c r="WKY128" s="24"/>
      <c r="WKZ128" s="40"/>
      <c r="WLA128" s="24"/>
      <c r="WLB128" s="40"/>
      <c r="WLC128" s="24"/>
      <c r="WLD128" s="40"/>
      <c r="WLE128" s="24"/>
      <c r="WLF128" s="40"/>
      <c r="WLG128" s="24"/>
      <c r="WLH128" s="40"/>
      <c r="WLI128" s="24"/>
      <c r="WLJ128" s="40"/>
      <c r="WLK128" s="24"/>
      <c r="WLL128" s="40"/>
      <c r="WLM128" s="24"/>
      <c r="WLN128" s="40"/>
      <c r="WLO128" s="24"/>
      <c r="WLP128" s="40"/>
      <c r="WLQ128" s="24"/>
      <c r="WLR128" s="40"/>
      <c r="WLS128" s="24"/>
      <c r="WLT128" s="40"/>
      <c r="WLU128" s="24"/>
      <c r="WLV128" s="40"/>
      <c r="WLW128" s="24"/>
      <c r="WLX128" s="40"/>
      <c r="WLY128" s="24"/>
      <c r="WLZ128" s="40"/>
      <c r="WMA128" s="24"/>
      <c r="WMB128" s="40"/>
      <c r="WMC128" s="24"/>
      <c r="WMD128" s="40"/>
      <c r="WME128" s="24"/>
      <c r="WMF128" s="40"/>
      <c r="WMG128" s="24"/>
      <c r="WMH128" s="40"/>
      <c r="WMI128" s="24"/>
      <c r="WMJ128" s="40"/>
      <c r="WMK128" s="24"/>
      <c r="WML128" s="40"/>
      <c r="WMM128" s="24"/>
      <c r="WMN128" s="40"/>
      <c r="WMO128" s="24"/>
      <c r="WMP128" s="40"/>
      <c r="WMQ128" s="24"/>
      <c r="WMR128" s="40"/>
      <c r="WMS128" s="24"/>
      <c r="WMT128" s="40"/>
      <c r="WMU128" s="24"/>
      <c r="WMV128" s="40"/>
      <c r="WMW128" s="24"/>
      <c r="WMX128" s="40"/>
      <c r="WMY128" s="24"/>
      <c r="WMZ128" s="40"/>
      <c r="WNA128" s="24"/>
      <c r="WNB128" s="40"/>
      <c r="WNC128" s="24"/>
      <c r="WND128" s="40"/>
      <c r="WNE128" s="24"/>
      <c r="WNF128" s="40"/>
      <c r="WNG128" s="24"/>
      <c r="WNH128" s="40"/>
      <c r="WNI128" s="24"/>
      <c r="WNJ128" s="40"/>
      <c r="WNK128" s="24"/>
      <c r="WNL128" s="40"/>
      <c r="WNM128" s="24"/>
      <c r="WNN128" s="40"/>
      <c r="WNO128" s="24"/>
      <c r="WNP128" s="40"/>
      <c r="WNQ128" s="24"/>
      <c r="WNR128" s="40"/>
      <c r="WNS128" s="24"/>
      <c r="WNT128" s="40"/>
      <c r="WNU128" s="24"/>
      <c r="WNV128" s="40"/>
      <c r="WNW128" s="24"/>
      <c r="WNX128" s="40"/>
      <c r="WNY128" s="24"/>
      <c r="WNZ128" s="40"/>
      <c r="WOA128" s="24"/>
      <c r="WOB128" s="40"/>
      <c r="WOC128" s="24"/>
      <c r="WOD128" s="40"/>
      <c r="WOE128" s="24"/>
      <c r="WOF128" s="40"/>
      <c r="WOG128" s="24"/>
      <c r="WOH128" s="40"/>
      <c r="WOI128" s="24"/>
      <c r="WOJ128" s="40"/>
      <c r="WOK128" s="24"/>
      <c r="WOL128" s="40"/>
      <c r="WOM128" s="24"/>
      <c r="WON128" s="40"/>
      <c r="WOO128" s="24"/>
      <c r="WOP128" s="40"/>
      <c r="WOQ128" s="24"/>
      <c r="WOR128" s="40"/>
      <c r="WOS128" s="24"/>
      <c r="WOT128" s="40"/>
      <c r="WOU128" s="24"/>
      <c r="WOV128" s="40"/>
      <c r="WOW128" s="24"/>
      <c r="WOX128" s="40"/>
      <c r="WOY128" s="24"/>
      <c r="WOZ128" s="40"/>
      <c r="WPA128" s="24"/>
      <c r="WPB128" s="40"/>
      <c r="WPC128" s="24"/>
      <c r="WPD128" s="40"/>
      <c r="WPE128" s="24"/>
      <c r="WPF128" s="40"/>
      <c r="WPG128" s="24"/>
      <c r="WPH128" s="40"/>
      <c r="WPI128" s="24"/>
      <c r="WPJ128" s="40"/>
      <c r="WPK128" s="24"/>
      <c r="WPL128" s="40"/>
      <c r="WPM128" s="24"/>
      <c r="WPN128" s="40"/>
      <c r="WPO128" s="24"/>
      <c r="WPP128" s="40"/>
      <c r="WPQ128" s="24"/>
      <c r="WPR128" s="40"/>
      <c r="WPS128" s="24"/>
      <c r="WPT128" s="40"/>
      <c r="WPU128" s="24"/>
      <c r="WPV128" s="40"/>
      <c r="WPW128" s="24"/>
      <c r="WPX128" s="40"/>
      <c r="WPY128" s="24"/>
      <c r="WPZ128" s="40"/>
      <c r="WQA128" s="24"/>
      <c r="WQB128" s="40"/>
      <c r="WQC128" s="24"/>
      <c r="WQD128" s="40"/>
      <c r="WQE128" s="24"/>
      <c r="WQF128" s="40"/>
      <c r="WQG128" s="24"/>
      <c r="WQH128" s="40"/>
      <c r="WQI128" s="24"/>
      <c r="WQJ128" s="40"/>
      <c r="WQK128" s="24"/>
      <c r="WQL128" s="40"/>
      <c r="WQM128" s="24"/>
      <c r="WQN128" s="40"/>
      <c r="WQO128" s="24"/>
      <c r="WQP128" s="40"/>
      <c r="WQQ128" s="24"/>
      <c r="WQR128" s="40"/>
      <c r="WQS128" s="24"/>
      <c r="WQT128" s="40"/>
      <c r="WQU128" s="24"/>
      <c r="WQV128" s="40"/>
      <c r="WQW128" s="24"/>
      <c r="WQX128" s="40"/>
      <c r="WQY128" s="24"/>
      <c r="WQZ128" s="40"/>
      <c r="WRA128" s="24"/>
      <c r="WRB128" s="40"/>
      <c r="WRC128" s="24"/>
      <c r="WRD128" s="40"/>
      <c r="WRE128" s="24"/>
      <c r="WRF128" s="40"/>
      <c r="WRG128" s="24"/>
      <c r="WRH128" s="40"/>
      <c r="WRI128" s="24"/>
      <c r="WRJ128" s="40"/>
      <c r="WRK128" s="24"/>
      <c r="WRL128" s="40"/>
      <c r="WRM128" s="24"/>
      <c r="WRN128" s="40"/>
      <c r="WRO128" s="24"/>
      <c r="WRP128" s="40"/>
      <c r="WRQ128" s="24"/>
      <c r="WRR128" s="40"/>
      <c r="WRS128" s="24"/>
      <c r="WRT128" s="40"/>
      <c r="WRU128" s="24"/>
      <c r="WRV128" s="40"/>
      <c r="WRW128" s="24"/>
      <c r="WRX128" s="40"/>
      <c r="WRY128" s="24"/>
      <c r="WRZ128" s="40"/>
      <c r="WSA128" s="24"/>
      <c r="WSB128" s="40"/>
      <c r="WSC128" s="24"/>
      <c r="WSD128" s="40"/>
      <c r="WSE128" s="24"/>
      <c r="WSF128" s="40"/>
      <c r="WSG128" s="24"/>
      <c r="WSH128" s="40"/>
      <c r="WSI128" s="24"/>
      <c r="WSJ128" s="40"/>
      <c r="WSK128" s="24"/>
      <c r="WSL128" s="40"/>
      <c r="WSM128" s="24"/>
      <c r="WSN128" s="40"/>
      <c r="WSO128" s="24"/>
      <c r="WSP128" s="40"/>
      <c r="WSQ128" s="24"/>
      <c r="WSR128" s="40"/>
      <c r="WSS128" s="24"/>
      <c r="WST128" s="40"/>
      <c r="WSU128" s="24"/>
      <c r="WSV128" s="40"/>
      <c r="WSW128" s="24"/>
      <c r="WSX128" s="40"/>
      <c r="WSY128" s="24"/>
      <c r="WSZ128" s="40"/>
      <c r="WTA128" s="24"/>
      <c r="WTB128" s="40"/>
      <c r="WTC128" s="24"/>
      <c r="WTD128" s="40"/>
      <c r="WTE128" s="24"/>
      <c r="WTF128" s="40"/>
      <c r="WTG128" s="24"/>
      <c r="WTH128" s="40"/>
      <c r="WTI128" s="24"/>
      <c r="WTJ128" s="40"/>
      <c r="WTK128" s="24"/>
      <c r="WTL128" s="40"/>
      <c r="WTM128" s="24"/>
      <c r="WTN128" s="40"/>
      <c r="WTO128" s="24"/>
      <c r="WTP128" s="40"/>
      <c r="WTQ128" s="24"/>
      <c r="WTR128" s="40"/>
      <c r="WTS128" s="24"/>
      <c r="WTT128" s="40"/>
      <c r="WTU128" s="24"/>
      <c r="WTV128" s="40"/>
      <c r="WTW128" s="24"/>
      <c r="WTX128" s="40"/>
      <c r="WTY128" s="24"/>
      <c r="WTZ128" s="40"/>
      <c r="WUA128" s="24"/>
      <c r="WUB128" s="40"/>
      <c r="WUC128" s="24"/>
      <c r="WUD128" s="40"/>
      <c r="WUE128" s="24"/>
      <c r="WUF128" s="40"/>
      <c r="WUG128" s="24"/>
      <c r="WUH128" s="40"/>
      <c r="WUI128" s="24"/>
      <c r="WUJ128" s="40"/>
      <c r="WUK128" s="24"/>
      <c r="WUL128" s="40"/>
      <c r="WUM128" s="24"/>
      <c r="WUN128" s="40"/>
      <c r="WUO128" s="24"/>
      <c r="WUP128" s="40"/>
      <c r="WUQ128" s="24"/>
      <c r="WUR128" s="40"/>
      <c r="WUS128" s="24"/>
      <c r="WUT128" s="40"/>
      <c r="WUU128" s="24"/>
      <c r="WUV128" s="40"/>
      <c r="WUW128" s="24"/>
      <c r="WUX128" s="40"/>
      <c r="WUY128" s="24"/>
      <c r="WUZ128" s="40"/>
      <c r="WVA128" s="24"/>
      <c r="WVB128" s="40"/>
      <c r="WVC128" s="24"/>
      <c r="WVD128" s="40"/>
      <c r="WVE128" s="24"/>
      <c r="WVF128" s="40"/>
      <c r="WVG128" s="24"/>
      <c r="WVH128" s="40"/>
      <c r="WVI128" s="24"/>
      <c r="WVJ128" s="40"/>
      <c r="WVK128" s="24"/>
      <c r="WVL128" s="40"/>
      <c r="WVM128" s="24"/>
      <c r="WVN128" s="40"/>
      <c r="WVO128" s="24"/>
      <c r="WVP128" s="40"/>
      <c r="WVQ128" s="24"/>
      <c r="WVR128" s="40"/>
      <c r="WVS128" s="24"/>
      <c r="WVT128" s="40"/>
      <c r="WVU128" s="24"/>
      <c r="WVV128" s="40"/>
      <c r="WVW128" s="24"/>
      <c r="WVX128" s="40"/>
      <c r="WVY128" s="24"/>
      <c r="WVZ128" s="40"/>
      <c r="WWA128" s="24"/>
      <c r="WWB128" s="40"/>
      <c r="WWC128" s="24"/>
      <c r="WWD128" s="40"/>
      <c r="WWE128" s="24"/>
      <c r="WWF128" s="40"/>
      <c r="WWG128" s="24"/>
      <c r="WWH128" s="40"/>
      <c r="WWI128" s="24"/>
      <c r="WWJ128" s="40"/>
      <c r="WWK128" s="24"/>
      <c r="WWL128" s="40"/>
      <c r="WWM128" s="24"/>
      <c r="WWN128" s="40"/>
      <c r="WWO128" s="24"/>
      <c r="WWP128" s="40"/>
      <c r="WWQ128" s="24"/>
      <c r="WWR128" s="40"/>
      <c r="WWS128" s="24"/>
      <c r="WWT128" s="40"/>
      <c r="WWU128" s="24"/>
      <c r="WWV128" s="40"/>
      <c r="WWW128" s="24"/>
      <c r="WWX128" s="40"/>
      <c r="WWY128" s="24"/>
      <c r="WWZ128" s="40"/>
      <c r="WXA128" s="24"/>
      <c r="WXB128" s="40"/>
      <c r="WXC128" s="24"/>
      <c r="WXD128" s="40"/>
      <c r="WXE128" s="24"/>
      <c r="WXF128" s="40"/>
      <c r="WXG128" s="24"/>
      <c r="WXH128" s="40"/>
      <c r="WXI128" s="24"/>
      <c r="WXJ128" s="40"/>
      <c r="WXK128" s="24"/>
      <c r="WXL128" s="40"/>
      <c r="WXM128" s="24"/>
      <c r="WXN128" s="40"/>
      <c r="WXO128" s="24"/>
      <c r="WXP128" s="40"/>
      <c r="WXQ128" s="24"/>
      <c r="WXR128" s="40"/>
      <c r="WXS128" s="24"/>
      <c r="WXT128" s="40"/>
      <c r="WXU128" s="24"/>
      <c r="WXV128" s="40"/>
      <c r="WXW128" s="24"/>
      <c r="WXX128" s="40"/>
      <c r="WXY128" s="24"/>
      <c r="WXZ128" s="40"/>
      <c r="WYA128" s="24"/>
      <c r="WYB128" s="40"/>
      <c r="WYC128" s="24"/>
      <c r="WYD128" s="40"/>
      <c r="WYE128" s="24"/>
      <c r="WYF128" s="40"/>
      <c r="WYG128" s="24"/>
      <c r="WYH128" s="40"/>
      <c r="WYI128" s="24"/>
      <c r="WYJ128" s="40"/>
      <c r="WYK128" s="24"/>
      <c r="WYL128" s="40"/>
      <c r="WYM128" s="24"/>
      <c r="WYN128" s="40"/>
      <c r="WYO128" s="24"/>
      <c r="WYP128" s="40"/>
      <c r="WYQ128" s="24"/>
      <c r="WYR128" s="40"/>
      <c r="WYS128" s="24"/>
      <c r="WYT128" s="40"/>
      <c r="WYU128" s="24"/>
      <c r="WYV128" s="40"/>
      <c r="WYW128" s="24"/>
      <c r="WYX128" s="40"/>
      <c r="WYY128" s="24"/>
      <c r="WYZ128" s="40"/>
      <c r="WZA128" s="24"/>
      <c r="WZB128" s="40"/>
      <c r="WZC128" s="24"/>
      <c r="WZD128" s="40"/>
      <c r="WZE128" s="24"/>
      <c r="WZF128" s="40"/>
      <c r="WZG128" s="24"/>
      <c r="WZH128" s="40"/>
      <c r="WZI128" s="24"/>
      <c r="WZJ128" s="40"/>
      <c r="WZK128" s="24"/>
      <c r="WZL128" s="40"/>
      <c r="WZM128" s="24"/>
      <c r="WZN128" s="40"/>
      <c r="WZO128" s="24"/>
      <c r="WZP128" s="40"/>
      <c r="WZQ128" s="24"/>
      <c r="WZR128" s="40"/>
      <c r="WZS128" s="24"/>
      <c r="WZT128" s="40"/>
      <c r="WZU128" s="24"/>
      <c r="WZV128" s="40"/>
      <c r="WZW128" s="24"/>
      <c r="WZX128" s="40"/>
      <c r="WZY128" s="24"/>
      <c r="WZZ128" s="40"/>
      <c r="XAA128" s="24"/>
      <c r="XAB128" s="40"/>
      <c r="XAC128" s="24"/>
      <c r="XAD128" s="40"/>
      <c r="XAE128" s="24"/>
      <c r="XAF128" s="40"/>
      <c r="XAG128" s="24"/>
      <c r="XAH128" s="40"/>
      <c r="XAI128" s="24"/>
      <c r="XAJ128" s="40"/>
      <c r="XAK128" s="24"/>
      <c r="XAL128" s="40"/>
      <c r="XAM128" s="24"/>
      <c r="XAN128" s="40"/>
      <c r="XAO128" s="24"/>
      <c r="XAP128" s="40"/>
      <c r="XAQ128" s="24"/>
      <c r="XAR128" s="40"/>
      <c r="XAS128" s="24"/>
      <c r="XAT128" s="40"/>
      <c r="XAU128" s="24"/>
      <c r="XAV128" s="40"/>
      <c r="XAW128" s="24"/>
      <c r="XAX128" s="40"/>
      <c r="XAY128" s="24"/>
      <c r="XAZ128" s="40"/>
      <c r="XBA128" s="24"/>
      <c r="XBB128" s="40"/>
      <c r="XBC128" s="24"/>
      <c r="XBD128" s="40"/>
      <c r="XBE128" s="24"/>
      <c r="XBF128" s="40"/>
      <c r="XBG128" s="24"/>
      <c r="XBH128" s="40"/>
      <c r="XBI128" s="24"/>
      <c r="XBJ128" s="40"/>
      <c r="XBK128" s="24"/>
      <c r="XBL128" s="40"/>
      <c r="XBM128" s="24"/>
      <c r="XBN128" s="40"/>
      <c r="XBO128" s="24"/>
      <c r="XBP128" s="40"/>
      <c r="XBQ128" s="24"/>
      <c r="XBR128" s="40"/>
      <c r="XBS128" s="24"/>
      <c r="XBT128" s="40"/>
      <c r="XBU128" s="24"/>
      <c r="XBV128" s="40"/>
      <c r="XBW128" s="24"/>
      <c r="XBX128" s="40"/>
      <c r="XBY128" s="24"/>
      <c r="XBZ128" s="40"/>
      <c r="XCA128" s="24"/>
      <c r="XCB128" s="40"/>
      <c r="XCC128" s="24"/>
      <c r="XCD128" s="40"/>
      <c r="XCE128" s="24"/>
      <c r="XCF128" s="40"/>
      <c r="XCG128" s="24"/>
      <c r="XCH128" s="40"/>
      <c r="XCI128" s="24"/>
      <c r="XCJ128" s="40"/>
      <c r="XCK128" s="24"/>
      <c r="XCL128" s="40"/>
      <c r="XCM128" s="24"/>
      <c r="XCN128" s="40"/>
      <c r="XCO128" s="24"/>
      <c r="XCP128" s="40"/>
      <c r="XCQ128" s="24"/>
      <c r="XCR128" s="40"/>
      <c r="XCS128" s="24"/>
      <c r="XCT128" s="40"/>
      <c r="XCU128" s="24"/>
      <c r="XCV128" s="40"/>
      <c r="XCW128" s="24"/>
      <c r="XCX128" s="40"/>
      <c r="XCY128" s="24"/>
      <c r="XCZ128" s="40"/>
      <c r="XDA128" s="24"/>
      <c r="XDB128" s="40"/>
      <c r="XDC128" s="24"/>
      <c r="XDD128" s="40"/>
      <c r="XDE128" s="24"/>
      <c r="XDF128" s="40"/>
      <c r="XDG128" s="24"/>
      <c r="XDH128" s="40"/>
      <c r="XDI128" s="24"/>
      <c r="XDJ128" s="40"/>
      <c r="XDK128" s="24"/>
      <c r="XDL128" s="40"/>
      <c r="XDM128" s="24"/>
      <c r="XDN128" s="40"/>
      <c r="XDO128" s="24"/>
      <c r="XDP128" s="40"/>
      <c r="XDQ128" s="24"/>
      <c r="XDR128" s="40"/>
      <c r="XDS128" s="24"/>
      <c r="XDT128" s="40"/>
      <c r="XDU128" s="24"/>
      <c r="XDV128" s="40"/>
      <c r="XDW128" s="24"/>
      <c r="XDX128" s="40"/>
      <c r="XDY128" s="24"/>
      <c r="XDZ128" s="40"/>
      <c r="XEA128" s="24"/>
      <c r="XEB128" s="40"/>
      <c r="XEC128" s="24"/>
      <c r="XED128" s="40"/>
      <c r="XEE128" s="24"/>
      <c r="XEF128" s="40"/>
      <c r="XEG128" s="24"/>
      <c r="XEH128" s="40"/>
      <c r="XEI128" s="24"/>
      <c r="XEJ128" s="40"/>
      <c r="XEK128" s="24"/>
      <c r="XEL128" s="40"/>
      <c r="XEM128" s="24"/>
      <c r="XEN128" s="40"/>
      <c r="XEO128" s="24"/>
      <c r="XEP128" s="40"/>
      <c r="XEQ128" s="24"/>
      <c r="XER128" s="40"/>
      <c r="XES128" s="24"/>
      <c r="XET128" s="40"/>
      <c r="XEU128" s="24"/>
      <c r="XEV128" s="40"/>
      <c r="XEW128" s="24"/>
      <c r="XEX128" s="40"/>
      <c r="XEY128" s="24"/>
      <c r="XEZ128" s="40"/>
      <c r="XFA128" s="24"/>
      <c r="XFB128" s="40"/>
      <c r="XFC128" s="24"/>
      <c r="XFD128" s="40"/>
    </row>
    <row r="129" spans="2:13" hidden="1" x14ac:dyDescent="0.25">
      <c r="B129" s="24" t="s">
        <v>812</v>
      </c>
      <c r="C129" s="37" t="e">
        <f>(C155*1.03*3.054)/0.6/((0.00795*C150)-0.0014)/18.4</f>
        <v>#DIV/0!</v>
      </c>
      <c r="D129" s="29" t="s">
        <v>813</v>
      </c>
      <c r="E129" s="37"/>
      <c r="F129" s="157"/>
      <c r="K129" s="643"/>
      <c r="L129" s="643"/>
      <c r="M129" s="643"/>
    </row>
    <row r="130" spans="2:13" hidden="1" x14ac:dyDescent="0.25">
      <c r="B130" s="27"/>
      <c r="C130" s="37"/>
      <c r="D130" s="29"/>
      <c r="E130" s="37"/>
      <c r="F130" s="157"/>
      <c r="K130" s="643"/>
      <c r="L130" s="643"/>
      <c r="M130" s="643"/>
    </row>
    <row r="131" spans="2:13" hidden="1" x14ac:dyDescent="0.25">
      <c r="B131" s="24" t="s">
        <v>715</v>
      </c>
      <c r="C131" s="37" t="e">
        <f>C127+C129</f>
        <v>#DIV/0!</v>
      </c>
      <c r="D131" s="29"/>
      <c r="E131" s="37"/>
      <c r="F131" s="157"/>
    </row>
    <row r="132" spans="2:13" hidden="1" x14ac:dyDescent="0.25">
      <c r="B132" s="27"/>
      <c r="C132" s="158"/>
      <c r="D132" s="29"/>
      <c r="E132" s="37"/>
      <c r="F132" s="157"/>
    </row>
    <row r="133" spans="2:13" hidden="1" x14ac:dyDescent="0.25">
      <c r="B133" s="24" t="s">
        <v>819</v>
      </c>
      <c r="C133" s="37" t="e">
        <f>24.51-(0.0788*C135)</f>
        <v>#DIV/0!</v>
      </c>
      <c r="D133" s="29" t="s">
        <v>815</v>
      </c>
      <c r="E133" s="37"/>
      <c r="F133" s="157"/>
    </row>
    <row r="134" spans="2:13" hidden="1" x14ac:dyDescent="0.25">
      <c r="B134" s="27"/>
      <c r="C134" s="158"/>
      <c r="D134" s="29"/>
      <c r="E134" s="37"/>
      <c r="F134" s="157"/>
    </row>
    <row r="135" spans="2:13" hidden="1" x14ac:dyDescent="0.25">
      <c r="B135" s="24" t="s">
        <v>807</v>
      </c>
      <c r="C135" s="37" t="e">
        <f>(C179*10)*0.98</f>
        <v>#DIV/0!</v>
      </c>
      <c r="D135" s="29" t="s">
        <v>717</v>
      </c>
      <c r="E135" s="37"/>
      <c r="F135" s="157"/>
    </row>
    <row r="136" spans="2:13" hidden="1" x14ac:dyDescent="0.25">
      <c r="B136" s="27"/>
      <c r="C136" s="158"/>
      <c r="D136" s="29"/>
      <c r="E136" s="37"/>
      <c r="F136" s="157"/>
    </row>
    <row r="137" spans="2:13" hidden="1" x14ac:dyDescent="0.25">
      <c r="B137" s="24" t="s">
        <v>11</v>
      </c>
      <c r="C137" s="43" t="e">
        <f>C133*C131/1000</f>
        <v>#DIV/0!</v>
      </c>
      <c r="D137" s="29" t="s">
        <v>719</v>
      </c>
      <c r="E137" s="159"/>
      <c r="F137" s="157"/>
    </row>
    <row r="138" spans="2:13" hidden="1" x14ac:dyDescent="0.25">
      <c r="B138" s="46"/>
      <c r="C138" s="159"/>
      <c r="D138" s="29"/>
      <c r="E138" s="42"/>
      <c r="F138" s="157"/>
    </row>
    <row r="139" spans="2:13" hidden="1" x14ac:dyDescent="0.25">
      <c r="B139" s="24" t="s">
        <v>12</v>
      </c>
      <c r="C139" s="32">
        <f>$C$13</f>
        <v>0</v>
      </c>
      <c r="D139" s="29"/>
      <c r="E139" s="37"/>
      <c r="F139" s="157"/>
      <c r="G139" s="213"/>
    </row>
    <row r="140" spans="2:13" hidden="1" x14ac:dyDescent="0.25">
      <c r="B140" s="24" t="s">
        <v>13</v>
      </c>
      <c r="C140" s="44" t="e">
        <f>C137*C139*365</f>
        <v>#DIV/0!</v>
      </c>
      <c r="D140" s="29"/>
      <c r="E140" s="43"/>
      <c r="F140" s="157"/>
    </row>
    <row r="141" spans="2:13" hidden="1" x14ac:dyDescent="0.25">
      <c r="B141" s="27" t="s">
        <v>14</v>
      </c>
      <c r="C141" s="45" t="e">
        <f>C140*25/1000</f>
        <v>#DIV/0!</v>
      </c>
      <c r="D141" s="29"/>
      <c r="E141" s="37"/>
      <c r="F141" s="157"/>
    </row>
    <row r="142" spans="2:13" hidden="1" x14ac:dyDescent="0.25">
      <c r="B142" s="27"/>
      <c r="C142" s="45"/>
      <c r="D142" s="29"/>
      <c r="E142" s="37"/>
      <c r="F142" s="157"/>
    </row>
    <row r="143" spans="2:13" hidden="1" x14ac:dyDescent="0.25">
      <c r="B143" s="27"/>
      <c r="C143" s="45"/>
      <c r="D143" s="29"/>
      <c r="E143" s="37"/>
      <c r="F143" s="157"/>
    </row>
    <row r="144" spans="2:13" hidden="1" x14ac:dyDescent="0.25">
      <c r="B144" s="27" t="s">
        <v>716</v>
      </c>
      <c r="C144" s="45" t="e">
        <f>C120-C141</f>
        <v>#DIV/0!</v>
      </c>
      <c r="D144" s="29" t="s">
        <v>814</v>
      </c>
      <c r="E144" s="37"/>
      <c r="F144" s="157"/>
    </row>
    <row r="145" spans="2:6" hidden="1" x14ac:dyDescent="0.25">
      <c r="B145" s="24"/>
      <c r="C145" s="42"/>
      <c r="D145" s="29"/>
      <c r="E145" s="42"/>
      <c r="F145" s="157"/>
    </row>
    <row r="146" spans="2:6" hidden="1" x14ac:dyDescent="0.25">
      <c r="B146" s="48" t="s">
        <v>704</v>
      </c>
      <c r="C146" s="31"/>
      <c r="D146" s="29"/>
      <c r="E146" s="29"/>
    </row>
    <row r="147" spans="2:6" hidden="1" x14ac:dyDescent="0.25">
      <c r="B147" s="24" t="s">
        <v>147</v>
      </c>
      <c r="C147" s="31" t="e">
        <f>(C18*0.1604)-1.037</f>
        <v>#DIV/0!</v>
      </c>
      <c r="D147" s="29" t="s">
        <v>155</v>
      </c>
      <c r="E147" s="29"/>
    </row>
    <row r="148" spans="2:6" hidden="1" x14ac:dyDescent="0.25">
      <c r="B148" s="24" t="s">
        <v>132</v>
      </c>
      <c r="C148" s="31" t="e">
        <f>C147*'Baseline farm'!D189</f>
        <v>#DIV/0!</v>
      </c>
      <c r="D148" s="29" t="s">
        <v>154</v>
      </c>
      <c r="E148" s="29"/>
    </row>
    <row r="149" spans="2:6" hidden="1" x14ac:dyDescent="0.25">
      <c r="B149" s="29" t="s">
        <v>136</v>
      </c>
      <c r="C149" s="31" t="e">
        <f>(('Baseline farm'!$D$189*$C$18)-($C$25*$C$27))/('Baseline farm'!$D$189-$C$25)</f>
        <v>#DIV/0!</v>
      </c>
      <c r="D149" s="29" t="s">
        <v>156</v>
      </c>
      <c r="E149" s="29"/>
    </row>
    <row r="150" spans="2:6" hidden="1" x14ac:dyDescent="0.25">
      <c r="B150" s="24" t="s">
        <v>706</v>
      </c>
      <c r="C150" s="31" t="e">
        <f>C149*('Baseline farm'!$D$189-$C$25)/'Baseline farm'!$D$189+$C$35*$C$25/'Baseline farm'!$D$189</f>
        <v>#DIV/0!</v>
      </c>
      <c r="D150" s="29" t="s">
        <v>817</v>
      </c>
      <c r="E150" s="29"/>
    </row>
    <row r="151" spans="2:6" hidden="1" x14ac:dyDescent="0.25">
      <c r="B151" s="24" t="s">
        <v>705</v>
      </c>
      <c r="C151" s="31" t="e">
        <f>C150*0.1604-1.037</f>
        <v>#DIV/0!</v>
      </c>
      <c r="D151" s="29" t="s">
        <v>183</v>
      </c>
      <c r="E151" s="29"/>
    </row>
    <row r="152" spans="2:6" hidden="1" x14ac:dyDescent="0.25">
      <c r="B152" s="29" t="s">
        <v>711</v>
      </c>
      <c r="C152" s="31" t="e">
        <f>C151*'Baseline farm'!D189</f>
        <v>#DIV/0!</v>
      </c>
      <c r="D152" s="29" t="s">
        <v>154</v>
      </c>
      <c r="E152" s="29"/>
    </row>
    <row r="153" spans="2:6" hidden="1" x14ac:dyDescent="0.25">
      <c r="B153" s="24" t="s">
        <v>134</v>
      </c>
      <c r="C153" s="31" t="e">
        <f>C152-C148</f>
        <v>#DIV/0!</v>
      </c>
      <c r="D153" s="29"/>
      <c r="E153" s="29"/>
    </row>
    <row r="154" spans="2:6" hidden="1" x14ac:dyDescent="0.25">
      <c r="B154" s="24" t="s">
        <v>710</v>
      </c>
      <c r="C154" s="31" t="e">
        <f>C153/5.5</f>
        <v>#DIV/0!</v>
      </c>
      <c r="D154" s="29" t="s">
        <v>712</v>
      </c>
      <c r="E154" s="29"/>
    </row>
    <row r="155" spans="2:6" hidden="1" x14ac:dyDescent="0.25">
      <c r="B155" s="24" t="s">
        <v>709</v>
      </c>
      <c r="C155" s="31" t="e">
        <f>(C16*C17/365)+C154</f>
        <v>#DIV/0!</v>
      </c>
      <c r="D155" s="29"/>
      <c r="E155" s="29"/>
    </row>
    <row r="156" spans="2:6" hidden="1" x14ac:dyDescent="0.25">
      <c r="B156" s="29" t="s">
        <v>468</v>
      </c>
      <c r="C156" s="31" t="e">
        <f>(('Baseline farm'!D189*C19)-(C25*C29))/('Baseline farm'!D189-C25)</f>
        <v>#DIV/0!</v>
      </c>
      <c r="D156" s="29" t="s">
        <v>470</v>
      </c>
      <c r="E156" s="29"/>
    </row>
    <row r="157" spans="2:6" hidden="1" x14ac:dyDescent="0.25">
      <c r="B157" s="24" t="s">
        <v>707</v>
      </c>
      <c r="C157" s="31" t="e">
        <f>C156*('Baseline farm'!D189-C25)/'Baseline farm'!D189+((C37*C25)/'Baseline farm'!D189)</f>
        <v>#DIV/0!</v>
      </c>
      <c r="D157" s="29" t="s">
        <v>818</v>
      </c>
      <c r="E157" s="29"/>
    </row>
    <row r="158" spans="2:6" hidden="1" x14ac:dyDescent="0.25">
      <c r="B158" s="24" t="s">
        <v>708</v>
      </c>
      <c r="C158" s="31" t="e">
        <f>'Baseline farm'!D189</f>
        <v>#DIV/0!</v>
      </c>
      <c r="D158" s="29" t="s">
        <v>148</v>
      </c>
      <c r="E158" s="29"/>
    </row>
    <row r="159" spans="2:6" hidden="1" x14ac:dyDescent="0.25">
      <c r="B159" s="24"/>
      <c r="C159" s="31"/>
      <c r="D159" s="29"/>
      <c r="E159" s="29"/>
    </row>
    <row r="160" spans="2:6" hidden="1" x14ac:dyDescent="0.25">
      <c r="B160" s="48" t="s">
        <v>1544</v>
      </c>
      <c r="C160" s="31"/>
      <c r="D160" s="29"/>
    </row>
    <row r="161" spans="2:5" hidden="1" x14ac:dyDescent="0.25">
      <c r="B161" s="29" t="s">
        <v>724</v>
      </c>
      <c r="C161" s="31" t="e">
        <f>C110</f>
        <v>#DIV/0!</v>
      </c>
      <c r="D161" s="29" t="s">
        <v>731</v>
      </c>
    </row>
    <row r="162" spans="2:5" hidden="1" x14ac:dyDescent="0.25">
      <c r="B162" s="24" t="s">
        <v>725</v>
      </c>
      <c r="C162" s="31" t="e">
        <f>C18*0.134 + 1.23 + (0.235 * C21)</f>
        <v>#DIV/0!</v>
      </c>
      <c r="D162" s="29" t="s">
        <v>471</v>
      </c>
    </row>
    <row r="163" spans="2:5" hidden="1" x14ac:dyDescent="0.25">
      <c r="B163" s="24" t="s">
        <v>729</v>
      </c>
      <c r="C163" s="31" t="e">
        <f>C161*C162</f>
        <v>#DIV/0!</v>
      </c>
      <c r="D163" s="29" t="s">
        <v>154</v>
      </c>
    </row>
    <row r="164" spans="2:5" hidden="1" x14ac:dyDescent="0.25">
      <c r="B164" s="24" t="s">
        <v>732</v>
      </c>
      <c r="C164" s="31">
        <f>C25</f>
        <v>4</v>
      </c>
      <c r="D164" s="29"/>
    </row>
    <row r="165" spans="2:5" hidden="1" x14ac:dyDescent="0.25">
      <c r="B165" s="24" t="s">
        <v>733</v>
      </c>
      <c r="C165" s="31">
        <f>IF((C35*0.134)+1.23+(0.235*C39)&gt;13.5,13.5,(C35*0.134)+1.23+(0.235*C39))</f>
        <v>13.5</v>
      </c>
      <c r="D165" s="29" t="s">
        <v>883</v>
      </c>
    </row>
    <row r="166" spans="2:5" hidden="1" x14ac:dyDescent="0.25">
      <c r="B166" s="24" t="s">
        <v>726</v>
      </c>
      <c r="C166" s="31">
        <f>C165*C25</f>
        <v>54</v>
      </c>
      <c r="D166" s="29" t="s">
        <v>734</v>
      </c>
    </row>
    <row r="167" spans="2:5" hidden="1" x14ac:dyDescent="0.25">
      <c r="B167" s="24" t="s">
        <v>724</v>
      </c>
      <c r="C167" s="31" t="e">
        <f>(C161-C164)</f>
        <v>#DIV/0!</v>
      </c>
      <c r="D167" s="29" t="s">
        <v>816</v>
      </c>
    </row>
    <row r="168" spans="2:5" hidden="1" x14ac:dyDescent="0.25">
      <c r="B168" s="24" t="s">
        <v>727</v>
      </c>
      <c r="C168" s="31" t="e">
        <f>C167*C162</f>
        <v>#DIV/0!</v>
      </c>
      <c r="D168" s="29" t="s">
        <v>1077</v>
      </c>
    </row>
    <row r="169" spans="2:5" hidden="1" x14ac:dyDescent="0.25">
      <c r="B169" s="24" t="s">
        <v>728</v>
      </c>
      <c r="C169" s="31" t="e">
        <f>C168+C166</f>
        <v>#DIV/0!</v>
      </c>
      <c r="D169" s="29" t="s">
        <v>1078</v>
      </c>
    </row>
    <row r="170" spans="2:5" hidden="1" x14ac:dyDescent="0.25">
      <c r="B170" s="24" t="s">
        <v>730</v>
      </c>
      <c r="C170" s="31" t="e">
        <f>C169-C163</f>
        <v>#DIV/0!</v>
      </c>
      <c r="D170" s="29" t="s">
        <v>736</v>
      </c>
    </row>
    <row r="171" spans="2:5" hidden="1" x14ac:dyDescent="0.25">
      <c r="B171" s="24" t="s">
        <v>737</v>
      </c>
      <c r="C171" s="31" t="e">
        <f>C170/5.5</f>
        <v>#DIV/0!</v>
      </c>
      <c r="D171" s="29" t="s">
        <v>712</v>
      </c>
    </row>
    <row r="172" spans="2:5" hidden="1" x14ac:dyDescent="0.25">
      <c r="B172" s="24" t="s">
        <v>738</v>
      </c>
      <c r="C172" s="31" t="e">
        <f>(C16+C171)</f>
        <v>#DIV/0!</v>
      </c>
      <c r="D172" s="29" t="s">
        <v>739</v>
      </c>
    </row>
    <row r="173" spans="2:5" hidden="1" x14ac:dyDescent="0.25">
      <c r="B173" s="24" t="s">
        <v>1238</v>
      </c>
      <c r="C173" s="31" t="e">
        <f>(C171*C43*C13)*(0.2534+(0.1226*'Baseline farm'!P172)+(0.0776*'Baseline farm'!P173))</f>
        <v>#DIV/0!</v>
      </c>
      <c r="D173" s="29"/>
      <c r="E173" s="29"/>
    </row>
    <row r="174" spans="2:5" hidden="1" x14ac:dyDescent="0.25">
      <c r="B174" s="24" t="s">
        <v>833</v>
      </c>
      <c r="C174" s="31" t="e">
        <f>C173/365</f>
        <v>#DIV/0!</v>
      </c>
      <c r="D174" s="29"/>
      <c r="E174" s="29"/>
    </row>
    <row r="175" spans="2:5" hidden="1" x14ac:dyDescent="0.25">
      <c r="B175" s="24" t="s">
        <v>834</v>
      </c>
      <c r="C175" s="31" t="e">
        <f>C174/C13</f>
        <v>#DIV/0!</v>
      </c>
      <c r="D175" s="29"/>
      <c r="E175" s="29"/>
    </row>
    <row r="176" spans="2:5" hidden="1" x14ac:dyDescent="0.25">
      <c r="B176" s="24"/>
      <c r="C176" s="31"/>
      <c r="D176" s="29"/>
      <c r="E176" s="29"/>
    </row>
    <row r="177" spans="2:5" hidden="1" x14ac:dyDescent="0.25">
      <c r="B177" s="27" t="s">
        <v>176</v>
      </c>
      <c r="C177" s="31"/>
      <c r="D177" s="29"/>
      <c r="E177" s="29"/>
    </row>
    <row r="178" spans="2:5" hidden="1" x14ac:dyDescent="0.25">
      <c r="B178" s="29" t="s">
        <v>66</v>
      </c>
      <c r="C178" s="31" t="e">
        <f>(('Baseline farm'!D189*C21)-(C25*C31))/('Baseline farm'!D189-C25)</f>
        <v>#DIV/0!</v>
      </c>
      <c r="D178" s="29" t="s">
        <v>160</v>
      </c>
      <c r="E178" s="29"/>
    </row>
    <row r="179" spans="2:5" hidden="1" x14ac:dyDescent="0.25">
      <c r="B179" s="24" t="s">
        <v>41</v>
      </c>
      <c r="C179" s="31" t="e">
        <f>C178*(('Baseline farm'!D189-C25)/'Baseline farm'!D189)+(C39*C25)/'Baseline farm'!D189</f>
        <v>#DIV/0!</v>
      </c>
      <c r="D179" s="29" t="s">
        <v>161</v>
      </c>
      <c r="E179" s="29"/>
    </row>
    <row r="180" spans="2:5" hidden="1" x14ac:dyDescent="0.25">
      <c r="B180" s="24" t="s">
        <v>42</v>
      </c>
      <c r="C180" s="49" t="e">
        <f>C179-C21</f>
        <v>#DIV/0!</v>
      </c>
      <c r="D180" s="29" t="s">
        <v>149</v>
      </c>
      <c r="E180" s="29"/>
    </row>
    <row r="181" spans="2:5" hidden="1" x14ac:dyDescent="0.25">
      <c r="B181" s="24"/>
      <c r="C181" s="31"/>
      <c r="D181" s="29"/>
      <c r="E181" s="29"/>
    </row>
    <row r="182" spans="2:5" hidden="1" x14ac:dyDescent="0.25">
      <c r="B182" s="29"/>
      <c r="C182" s="29"/>
      <c r="D182" s="29"/>
      <c r="E182" s="29"/>
    </row>
    <row r="183" spans="2:5" hidden="1" x14ac:dyDescent="0.25">
      <c r="B183" s="27" t="s">
        <v>177</v>
      </c>
      <c r="C183" s="29"/>
      <c r="D183" s="29"/>
      <c r="E183" s="29"/>
    </row>
    <row r="184" spans="2:5" hidden="1" x14ac:dyDescent="0.25">
      <c r="B184" s="24" t="s">
        <v>213</v>
      </c>
      <c r="C184" s="31" t="e">
        <f>C422</f>
        <v>#DIV/0!</v>
      </c>
      <c r="D184" s="31"/>
      <c r="E184" s="29"/>
    </row>
    <row r="185" spans="2:5" hidden="1" x14ac:dyDescent="0.25">
      <c r="B185" s="24" t="s">
        <v>837</v>
      </c>
      <c r="C185" s="51">
        <f>'Baseline farm'!P176</f>
        <v>0</v>
      </c>
      <c r="D185" s="51"/>
      <c r="E185" s="29"/>
    </row>
    <row r="186" spans="2:5" hidden="1" x14ac:dyDescent="0.25">
      <c r="B186" s="24" t="s">
        <v>214</v>
      </c>
      <c r="C186" s="49" t="e">
        <f>C184*1000/C185</f>
        <v>#DIV/0!</v>
      </c>
      <c r="D186" s="49"/>
      <c r="E186" s="29"/>
    </row>
    <row r="187" spans="2:5" hidden="1" x14ac:dyDescent="0.25">
      <c r="B187" s="24" t="s">
        <v>215</v>
      </c>
      <c r="C187" s="31" t="e">
        <f>C422-C436</f>
        <v>#DIV/0!</v>
      </c>
      <c r="D187" s="31"/>
      <c r="E187" s="52"/>
    </row>
    <row r="188" spans="2:5" hidden="1" x14ac:dyDescent="0.25">
      <c r="B188" s="24" t="s">
        <v>838</v>
      </c>
      <c r="C188" s="51" t="e">
        <f>C185+C173</f>
        <v>#DIV/0!</v>
      </c>
      <c r="D188" s="51"/>
      <c r="E188" s="29"/>
    </row>
    <row r="189" spans="2:5" hidden="1" x14ac:dyDescent="0.25">
      <c r="B189" s="24" t="s">
        <v>839</v>
      </c>
      <c r="C189" s="49" t="e">
        <f>C187*1000/C188</f>
        <v>#DIV/0!</v>
      </c>
      <c r="D189" s="49"/>
      <c r="E189" s="29"/>
    </row>
    <row r="190" spans="2:5" hidden="1" x14ac:dyDescent="0.25">
      <c r="B190" s="24" t="s">
        <v>840</v>
      </c>
      <c r="C190" s="49" t="e">
        <f>C186-C189</f>
        <v>#DIV/0!</v>
      </c>
      <c r="D190" s="49"/>
      <c r="E190" s="29"/>
    </row>
    <row r="191" spans="2:5" hidden="1" x14ac:dyDescent="0.25">
      <c r="B191" s="27"/>
      <c r="C191" s="37"/>
      <c r="D191" s="37"/>
      <c r="E191" s="29"/>
    </row>
    <row r="192" spans="2:5" hidden="1" x14ac:dyDescent="0.25">
      <c r="B192" s="27" t="s">
        <v>1545</v>
      </c>
      <c r="C192" s="37"/>
      <c r="D192" s="37"/>
      <c r="E192" s="29"/>
    </row>
    <row r="193" spans="2:36" hidden="1" x14ac:dyDescent="0.25">
      <c r="B193" s="24" t="s">
        <v>840</v>
      </c>
      <c r="C193" s="49" t="e">
        <f>C190</f>
        <v>#DIV/0!</v>
      </c>
      <c r="D193" s="49"/>
      <c r="E193" s="29"/>
    </row>
    <row r="194" spans="2:36" hidden="1" x14ac:dyDescent="0.25">
      <c r="B194" s="29" t="s">
        <v>841</v>
      </c>
      <c r="C194" s="515" t="e">
        <f>C188</f>
        <v>#DIV/0!</v>
      </c>
      <c r="D194" s="515"/>
      <c r="E194" s="29"/>
    </row>
    <row r="195" spans="2:36" hidden="1" x14ac:dyDescent="0.25">
      <c r="B195" s="29" t="s">
        <v>878</v>
      </c>
      <c r="C195" s="515" t="e">
        <f>C194*C193</f>
        <v>#DIV/0!</v>
      </c>
      <c r="D195" s="515"/>
      <c r="E195" s="29"/>
    </row>
    <row r="196" spans="2:36" hidden="1" x14ac:dyDescent="0.25">
      <c r="B196" s="29" t="s">
        <v>879</v>
      </c>
      <c r="C196" s="515" t="e">
        <f>C195/365</f>
        <v>#DIV/0!</v>
      </c>
      <c r="D196" s="515"/>
      <c r="E196" s="29"/>
    </row>
    <row r="197" spans="2:36" hidden="1" x14ac:dyDescent="0.25">
      <c r="B197" s="29" t="s">
        <v>880</v>
      </c>
      <c r="C197" s="515">
        <f>C43</f>
        <v>90</v>
      </c>
      <c r="D197" s="515"/>
      <c r="E197" s="29"/>
    </row>
    <row r="198" spans="2:36" hidden="1" x14ac:dyDescent="0.25">
      <c r="B198" s="29" t="s">
        <v>881</v>
      </c>
      <c r="C198" s="515" t="e">
        <f>C197*C196</f>
        <v>#DIV/0!</v>
      </c>
      <c r="D198" s="515"/>
      <c r="E198" s="29"/>
    </row>
    <row r="199" spans="2:36" hidden="1" x14ac:dyDescent="0.25">
      <c r="B199" s="29" t="s">
        <v>226</v>
      </c>
      <c r="C199" s="53">
        <f>C49</f>
        <v>6.5</v>
      </c>
      <c r="D199" s="53"/>
      <c r="E199" s="29"/>
    </row>
    <row r="200" spans="2:36" hidden="1" x14ac:dyDescent="0.25">
      <c r="B200" s="29" t="s">
        <v>1546</v>
      </c>
      <c r="C200" s="54" t="e">
        <f>C198/1000*C199</f>
        <v>#DIV/0!</v>
      </c>
      <c r="D200" s="54"/>
      <c r="E200" s="29"/>
    </row>
    <row r="201" spans="2:36" hidden="1" x14ac:dyDescent="0.25">
      <c r="B201" s="27"/>
      <c r="C201" s="37"/>
      <c r="D201" s="29"/>
      <c r="E201" s="29"/>
    </row>
    <row r="202" spans="2:36" hidden="1" x14ac:dyDescent="0.25">
      <c r="B202" s="29"/>
      <c r="C202" s="29"/>
      <c r="D202" s="29"/>
    </row>
    <row r="203" spans="2:36" s="20" customFormat="1" hidden="1" x14ac:dyDescent="0.25">
      <c r="B203" s="27" t="s">
        <v>170</v>
      </c>
      <c r="C203" s="164"/>
      <c r="D203" s="164"/>
      <c r="I203" s="559"/>
      <c r="J203" s="559"/>
      <c r="K203" s="559"/>
      <c r="L203" s="559"/>
      <c r="M203" s="559"/>
      <c r="N203" s="559"/>
      <c r="O203" s="559"/>
      <c r="P203" s="559"/>
      <c r="Q203" s="559"/>
      <c r="R203" s="559"/>
      <c r="S203" s="559"/>
      <c r="T203" s="559"/>
      <c r="U203" s="559"/>
      <c r="V203" s="559"/>
      <c r="W203" s="559"/>
      <c r="X203" s="559"/>
      <c r="Y203" s="559"/>
      <c r="Z203" s="559"/>
      <c r="AA203" s="559"/>
      <c r="AB203" s="559"/>
      <c r="AC203" s="559"/>
      <c r="AD203" s="559"/>
      <c r="AE203" s="559"/>
      <c r="AF203" s="559"/>
      <c r="AG203" s="559"/>
      <c r="AH203" s="559"/>
      <c r="AI203" s="559"/>
      <c r="AJ203" s="559"/>
    </row>
    <row r="204" spans="2:36" s="20" customFormat="1" hidden="1" x14ac:dyDescent="0.25">
      <c r="B204" s="27" t="s">
        <v>479</v>
      </c>
      <c r="C204" s="164"/>
      <c r="D204" s="164"/>
      <c r="I204" s="559"/>
      <c r="J204" s="559"/>
      <c r="K204" s="559"/>
      <c r="L204" s="559"/>
      <c r="M204" s="559"/>
      <c r="N204" s="559"/>
      <c r="O204" s="559"/>
      <c r="P204" s="559"/>
      <c r="Q204" s="559"/>
      <c r="R204" s="559"/>
      <c r="S204" s="559"/>
      <c r="T204" s="559"/>
      <c r="U204" s="559"/>
      <c r="V204" s="559"/>
      <c r="W204" s="559"/>
      <c r="X204" s="559"/>
      <c r="Y204" s="559"/>
      <c r="Z204" s="559"/>
      <c r="AA204" s="559"/>
      <c r="AB204" s="559"/>
      <c r="AC204" s="559"/>
      <c r="AD204" s="559"/>
      <c r="AE204" s="559"/>
      <c r="AF204" s="559"/>
      <c r="AG204" s="559"/>
      <c r="AH204" s="559"/>
      <c r="AI204" s="559"/>
      <c r="AJ204" s="559"/>
    </row>
    <row r="205" spans="2:36" s="20" customFormat="1" hidden="1" x14ac:dyDescent="0.25">
      <c r="B205" s="24" t="s">
        <v>11</v>
      </c>
      <c r="C205" s="218" t="e">
        <f>'Baseline farm'!D222</f>
        <v>#DIV/0!</v>
      </c>
      <c r="D205" s="164"/>
      <c r="I205" s="559"/>
      <c r="J205" s="559"/>
      <c r="K205" s="559"/>
      <c r="L205" s="559"/>
      <c r="M205" s="559"/>
      <c r="N205" s="559"/>
      <c r="O205" s="559"/>
      <c r="P205" s="559"/>
      <c r="Q205" s="559"/>
      <c r="R205" s="559"/>
      <c r="S205" s="559"/>
      <c r="T205" s="559"/>
      <c r="U205" s="559"/>
      <c r="V205" s="559"/>
      <c r="W205" s="559"/>
      <c r="X205" s="559"/>
      <c r="Y205" s="559"/>
      <c r="Z205" s="559"/>
      <c r="AA205" s="559"/>
      <c r="AB205" s="559"/>
      <c r="AC205" s="559"/>
      <c r="AD205" s="559"/>
      <c r="AE205" s="559"/>
      <c r="AF205" s="559"/>
      <c r="AG205" s="559"/>
      <c r="AH205" s="559"/>
      <c r="AI205" s="559"/>
      <c r="AJ205" s="559"/>
    </row>
    <row r="206" spans="2:36" s="20" customFormat="1" hidden="1" x14ac:dyDescent="0.25">
      <c r="B206" s="164"/>
      <c r="C206" s="164"/>
      <c r="D206" s="164"/>
      <c r="I206" s="559"/>
      <c r="J206" s="559"/>
      <c r="K206" s="559"/>
      <c r="L206" s="559"/>
      <c r="M206" s="559"/>
      <c r="N206" s="559"/>
      <c r="O206" s="559"/>
      <c r="P206" s="559"/>
      <c r="Q206" s="559"/>
      <c r="R206" s="559"/>
      <c r="S206" s="559"/>
      <c r="T206" s="559"/>
      <c r="U206" s="559"/>
      <c r="V206" s="559"/>
      <c r="W206" s="559"/>
      <c r="X206" s="559"/>
      <c r="Y206" s="559"/>
      <c r="Z206" s="559"/>
      <c r="AA206" s="559"/>
      <c r="AB206" s="559"/>
      <c r="AC206" s="559"/>
      <c r="AD206" s="559"/>
      <c r="AE206" s="559"/>
      <c r="AF206" s="559"/>
      <c r="AG206" s="559"/>
      <c r="AH206" s="559"/>
      <c r="AI206" s="559"/>
      <c r="AJ206" s="559"/>
    </row>
    <row r="207" spans="2:36" s="20" customFormat="1" hidden="1" x14ac:dyDescent="0.25">
      <c r="B207" s="24" t="s">
        <v>12</v>
      </c>
      <c r="C207" s="32">
        <f>$C$13</f>
        <v>0</v>
      </c>
      <c r="D207" s="29"/>
      <c r="I207" s="559"/>
      <c r="J207" s="559"/>
      <c r="K207" s="559"/>
      <c r="L207" s="559"/>
      <c r="M207" s="559"/>
      <c r="N207" s="559"/>
      <c r="O207" s="559"/>
      <c r="P207" s="559"/>
      <c r="Q207" s="559"/>
      <c r="R207" s="559"/>
      <c r="S207" s="559"/>
      <c r="T207" s="559"/>
      <c r="U207" s="559"/>
      <c r="V207" s="559"/>
      <c r="W207" s="559"/>
      <c r="X207" s="559"/>
      <c r="Y207" s="559"/>
      <c r="Z207" s="559"/>
      <c r="AA207" s="559"/>
      <c r="AB207" s="559"/>
      <c r="AC207" s="559"/>
      <c r="AD207" s="559"/>
      <c r="AE207" s="559"/>
      <c r="AF207" s="559"/>
      <c r="AG207" s="559"/>
      <c r="AH207" s="559"/>
      <c r="AI207" s="559"/>
      <c r="AJ207" s="559"/>
    </row>
    <row r="208" spans="2:36" s="20" customFormat="1" hidden="1" x14ac:dyDescent="0.25">
      <c r="B208" s="24" t="s">
        <v>13</v>
      </c>
      <c r="C208" s="44" t="e">
        <f>C205*C207*365</f>
        <v>#DIV/0!</v>
      </c>
      <c r="D208" s="29"/>
      <c r="I208" s="559"/>
      <c r="J208" s="559"/>
      <c r="K208" s="559"/>
      <c r="L208" s="559"/>
      <c r="M208" s="559"/>
      <c r="N208" s="559"/>
      <c r="O208" s="559"/>
      <c r="P208" s="559"/>
      <c r="Q208" s="559"/>
      <c r="R208" s="559"/>
      <c r="S208" s="559"/>
      <c r="T208" s="559"/>
      <c r="U208" s="559"/>
      <c r="V208" s="559"/>
      <c r="W208" s="559"/>
      <c r="X208" s="559"/>
      <c r="Y208" s="559"/>
      <c r="Z208" s="559"/>
      <c r="AA208" s="559"/>
      <c r="AB208" s="559"/>
      <c r="AC208" s="559"/>
      <c r="AD208" s="559"/>
      <c r="AE208" s="559"/>
      <c r="AF208" s="559"/>
      <c r="AG208" s="559"/>
      <c r="AH208" s="559"/>
      <c r="AI208" s="559"/>
      <c r="AJ208" s="559"/>
    </row>
    <row r="209" spans="2:36" s="20" customFormat="1" hidden="1" x14ac:dyDescent="0.25">
      <c r="B209" s="27" t="s">
        <v>14</v>
      </c>
      <c r="C209" s="45" t="e">
        <f>C208*25/1000</f>
        <v>#DIV/0!</v>
      </c>
      <c r="D209" s="29"/>
      <c r="G209" s="45"/>
      <c r="I209" s="559"/>
      <c r="J209" s="559"/>
      <c r="K209" s="559"/>
      <c r="L209" s="559"/>
      <c r="M209" s="559"/>
      <c r="N209" s="559"/>
      <c r="O209" s="559"/>
      <c r="P209" s="559"/>
      <c r="Q209" s="559"/>
      <c r="R209" s="559"/>
      <c r="S209" s="559"/>
      <c r="T209" s="559"/>
      <c r="U209" s="559"/>
      <c r="V209" s="559"/>
      <c r="W209" s="559"/>
      <c r="X209" s="559"/>
      <c r="Y209" s="559"/>
      <c r="Z209" s="559"/>
      <c r="AA209" s="559"/>
      <c r="AB209" s="559"/>
      <c r="AC209" s="559"/>
      <c r="AD209" s="559"/>
      <c r="AE209" s="559"/>
      <c r="AF209" s="559"/>
      <c r="AG209" s="559"/>
      <c r="AH209" s="559"/>
      <c r="AI209" s="559"/>
      <c r="AJ209" s="559"/>
    </row>
    <row r="210" spans="2:36" s="20" customFormat="1" hidden="1" x14ac:dyDescent="0.25">
      <c r="B210" s="164"/>
      <c r="C210" s="164"/>
      <c r="D210" s="164"/>
      <c r="I210" s="559"/>
      <c r="J210" s="559"/>
      <c r="K210" s="559"/>
      <c r="L210" s="559"/>
      <c r="M210" s="559"/>
      <c r="N210" s="559"/>
      <c r="O210" s="559"/>
      <c r="P210" s="559"/>
      <c r="Q210" s="559"/>
      <c r="R210" s="559"/>
      <c r="S210" s="559"/>
      <c r="T210" s="559"/>
      <c r="U210" s="559"/>
      <c r="V210" s="559"/>
      <c r="W210" s="559"/>
      <c r="X210" s="559"/>
      <c r="Y210" s="559"/>
      <c r="Z210" s="559"/>
      <c r="AA210" s="559"/>
      <c r="AB210" s="559"/>
      <c r="AC210" s="559"/>
      <c r="AD210" s="559"/>
      <c r="AE210" s="559"/>
      <c r="AF210" s="559"/>
      <c r="AG210" s="559"/>
      <c r="AH210" s="559"/>
      <c r="AI210" s="559"/>
      <c r="AJ210" s="559"/>
    </row>
    <row r="211" spans="2:36" s="20" customFormat="1" hidden="1" x14ac:dyDescent="0.25">
      <c r="B211" s="164"/>
      <c r="C211" s="164"/>
      <c r="D211" s="164"/>
      <c r="I211" s="559"/>
      <c r="J211" s="559"/>
      <c r="K211" s="559"/>
      <c r="L211" s="559"/>
      <c r="M211" s="559"/>
      <c r="N211" s="559"/>
      <c r="O211" s="559"/>
      <c r="P211" s="559"/>
      <c r="Q211" s="559"/>
      <c r="R211" s="559"/>
      <c r="S211" s="559"/>
      <c r="T211" s="559"/>
      <c r="U211" s="559"/>
      <c r="V211" s="559"/>
      <c r="W211" s="559"/>
      <c r="X211" s="559"/>
      <c r="Y211" s="559"/>
      <c r="Z211" s="559"/>
      <c r="AA211" s="559"/>
      <c r="AB211" s="559"/>
      <c r="AC211" s="559"/>
      <c r="AD211" s="559"/>
      <c r="AE211" s="559"/>
      <c r="AF211" s="559"/>
      <c r="AG211" s="559"/>
      <c r="AH211" s="559"/>
      <c r="AI211" s="559"/>
      <c r="AJ211" s="559"/>
    </row>
    <row r="212" spans="2:36" s="20" customFormat="1" hidden="1" x14ac:dyDescent="0.25">
      <c r="B212" s="48" t="s">
        <v>171</v>
      </c>
      <c r="C212" s="164"/>
      <c r="D212" s="164"/>
      <c r="I212" s="559"/>
      <c r="J212" s="559"/>
      <c r="K212" s="559"/>
      <c r="L212" s="559"/>
      <c r="M212" s="559"/>
      <c r="N212" s="559"/>
      <c r="O212" s="559"/>
      <c r="P212" s="559"/>
      <c r="Q212" s="559"/>
      <c r="R212" s="559"/>
      <c r="S212" s="559"/>
      <c r="T212" s="559"/>
      <c r="U212" s="559"/>
      <c r="V212" s="559"/>
      <c r="W212" s="559"/>
      <c r="X212" s="559"/>
      <c r="Y212" s="559"/>
      <c r="Z212" s="559"/>
      <c r="AA212" s="559"/>
      <c r="AB212" s="559"/>
      <c r="AC212" s="559"/>
      <c r="AD212" s="559"/>
      <c r="AE212" s="559"/>
      <c r="AF212" s="559"/>
      <c r="AG212" s="559"/>
      <c r="AH212" s="559"/>
      <c r="AI212" s="559"/>
      <c r="AJ212" s="559"/>
    </row>
    <row r="213" spans="2:36" s="20" customFormat="1" hidden="1" x14ac:dyDescent="0.25">
      <c r="B213" s="27" t="s">
        <v>479</v>
      </c>
      <c r="C213" s="164"/>
      <c r="D213" s="164"/>
      <c r="I213" s="559"/>
      <c r="J213" s="559"/>
      <c r="K213" s="559"/>
      <c r="L213" s="559"/>
      <c r="M213" s="559"/>
      <c r="N213" s="559"/>
      <c r="O213" s="559"/>
      <c r="P213" s="559"/>
      <c r="Q213" s="559"/>
      <c r="R213" s="559"/>
      <c r="S213" s="559"/>
      <c r="T213" s="559"/>
      <c r="U213" s="559"/>
      <c r="V213" s="559"/>
      <c r="W213" s="559"/>
      <c r="X213" s="559"/>
      <c r="Y213" s="559"/>
      <c r="Z213" s="559"/>
      <c r="AA213" s="559"/>
      <c r="AB213" s="559"/>
      <c r="AC213" s="559"/>
      <c r="AD213" s="559"/>
      <c r="AE213" s="559"/>
      <c r="AF213" s="559"/>
      <c r="AG213" s="559"/>
      <c r="AH213" s="559"/>
      <c r="AI213" s="559"/>
      <c r="AJ213" s="559"/>
    </row>
    <row r="214" spans="2:36" s="20" customFormat="1" hidden="1" x14ac:dyDescent="0.25">
      <c r="B214" s="164"/>
      <c r="C214" s="164"/>
      <c r="D214" s="164"/>
      <c r="I214" s="559"/>
      <c r="J214" s="559"/>
      <c r="K214" s="559"/>
      <c r="L214" s="559"/>
      <c r="M214" s="559"/>
      <c r="N214" s="559"/>
      <c r="O214" s="559"/>
      <c r="P214" s="559"/>
      <c r="Q214" s="559"/>
      <c r="R214" s="559"/>
      <c r="S214" s="559"/>
      <c r="T214" s="559"/>
      <c r="U214" s="559"/>
      <c r="V214" s="559"/>
      <c r="W214" s="559"/>
      <c r="X214" s="559"/>
      <c r="Y214" s="559"/>
      <c r="Z214" s="559"/>
      <c r="AA214" s="559"/>
      <c r="AB214" s="559"/>
      <c r="AC214" s="559"/>
      <c r="AD214" s="559"/>
      <c r="AE214" s="559"/>
      <c r="AF214" s="559"/>
      <c r="AG214" s="559"/>
      <c r="AH214" s="559"/>
      <c r="AI214" s="559"/>
      <c r="AJ214" s="559"/>
    </row>
    <row r="215" spans="2:36" s="20" customFormat="1" hidden="1" x14ac:dyDescent="0.25">
      <c r="B215" s="219" t="s">
        <v>1537</v>
      </c>
      <c r="C215" s="218" t="e">
        <f>(C158*(1-C150%)+(0.04*C158))*(1-0.08)</f>
        <v>#DIV/0!</v>
      </c>
      <c r="D215" s="164"/>
      <c r="E215" s="327"/>
      <c r="I215" s="559"/>
      <c r="J215" s="559"/>
      <c r="K215" s="559"/>
      <c r="L215" s="559"/>
      <c r="M215" s="559"/>
      <c r="N215" s="559"/>
      <c r="O215" s="559"/>
      <c r="P215" s="559"/>
      <c r="Q215" s="559"/>
      <c r="R215" s="559"/>
      <c r="S215" s="559"/>
      <c r="T215" s="559"/>
      <c r="U215" s="559"/>
      <c r="V215" s="559"/>
      <c r="W215" s="559"/>
      <c r="X215" s="559"/>
      <c r="Y215" s="559"/>
      <c r="Z215" s="559"/>
      <c r="AA215" s="559"/>
      <c r="AB215" s="559"/>
      <c r="AC215" s="559"/>
      <c r="AD215" s="559"/>
      <c r="AE215" s="559"/>
      <c r="AF215" s="559"/>
      <c r="AG215" s="559"/>
      <c r="AH215" s="559"/>
      <c r="AI215" s="559"/>
      <c r="AJ215" s="559"/>
    </row>
    <row r="216" spans="2:36" s="20" customFormat="1" hidden="1" x14ac:dyDescent="0.25">
      <c r="B216" s="29"/>
      <c r="C216" s="218"/>
      <c r="D216" s="164"/>
      <c r="I216" s="559"/>
      <c r="J216" s="559"/>
      <c r="K216" s="559"/>
      <c r="L216" s="559"/>
      <c r="M216" s="559"/>
      <c r="N216" s="559"/>
      <c r="O216" s="559"/>
      <c r="P216" s="559"/>
      <c r="Q216" s="559"/>
      <c r="R216" s="559"/>
      <c r="S216" s="559"/>
      <c r="T216" s="559"/>
      <c r="U216" s="559"/>
      <c r="V216" s="559"/>
      <c r="W216" s="559"/>
      <c r="X216" s="559"/>
      <c r="Y216" s="559"/>
      <c r="Z216" s="559"/>
      <c r="AA216" s="559"/>
      <c r="AB216" s="559"/>
      <c r="AC216" s="559"/>
      <c r="AD216" s="559"/>
      <c r="AE216" s="559"/>
      <c r="AF216" s="559"/>
      <c r="AG216" s="559"/>
      <c r="AH216" s="559"/>
      <c r="AI216" s="559"/>
      <c r="AJ216" s="559"/>
    </row>
    <row r="217" spans="2:36" s="20" customFormat="1" hidden="1" x14ac:dyDescent="0.25">
      <c r="B217" s="219" t="s">
        <v>294</v>
      </c>
      <c r="C217" s="218" t="e">
        <f>C215*'Baseline farm'!C210*'Baseline farm'!I90%*'Baseline farm'!C211</f>
        <v>#DIV/0!</v>
      </c>
      <c r="D217" s="164"/>
      <c r="I217" s="559"/>
      <c r="J217" s="559"/>
      <c r="K217" s="559"/>
      <c r="L217" s="559"/>
      <c r="M217" s="559"/>
      <c r="N217" s="559"/>
      <c r="O217" s="559"/>
      <c r="P217" s="559"/>
      <c r="Q217" s="559"/>
      <c r="R217" s="559"/>
      <c r="S217" s="559"/>
      <c r="T217" s="559"/>
      <c r="U217" s="559"/>
      <c r="V217" s="559"/>
      <c r="W217" s="559"/>
      <c r="X217" s="559"/>
      <c r="Y217" s="559"/>
      <c r="Z217" s="559"/>
      <c r="AA217" s="559"/>
      <c r="AB217" s="559"/>
      <c r="AC217" s="559"/>
      <c r="AD217" s="559"/>
      <c r="AE217" s="559"/>
      <c r="AF217" s="559"/>
      <c r="AG217" s="559"/>
      <c r="AH217" s="559"/>
      <c r="AI217" s="559"/>
      <c r="AJ217" s="559"/>
    </row>
    <row r="218" spans="2:36" s="20" customFormat="1" hidden="1" x14ac:dyDescent="0.25">
      <c r="B218" s="164"/>
      <c r="C218" s="218"/>
      <c r="D218" s="164"/>
      <c r="I218" s="559"/>
      <c r="J218" s="559"/>
      <c r="K218" s="559"/>
      <c r="L218" s="559"/>
      <c r="M218" s="559"/>
      <c r="N218" s="559"/>
      <c r="O218" s="559"/>
      <c r="P218" s="559"/>
      <c r="Q218" s="559"/>
      <c r="R218" s="559"/>
      <c r="S218" s="559"/>
      <c r="T218" s="559"/>
      <c r="U218" s="559"/>
      <c r="V218" s="559"/>
      <c r="W218" s="559"/>
      <c r="X218" s="559"/>
      <c r="Y218" s="559"/>
      <c r="Z218" s="559"/>
      <c r="AA218" s="559"/>
      <c r="AB218" s="559"/>
      <c r="AC218" s="559"/>
      <c r="AD218" s="559"/>
      <c r="AE218" s="559"/>
      <c r="AF218" s="559"/>
      <c r="AG218" s="559"/>
      <c r="AH218" s="559"/>
      <c r="AI218" s="559"/>
      <c r="AJ218" s="559"/>
    </row>
    <row r="219" spans="2:36" hidden="1" x14ac:dyDescent="0.25">
      <c r="B219" s="24" t="s">
        <v>12</v>
      </c>
      <c r="C219" s="32">
        <f>$C$13</f>
        <v>0</v>
      </c>
      <c r="D219" s="29"/>
      <c r="E219" s="37"/>
      <c r="F219" s="157"/>
    </row>
    <row r="220" spans="2:36" hidden="1" x14ac:dyDescent="0.25">
      <c r="B220" s="24" t="s">
        <v>13</v>
      </c>
      <c r="C220" s="44" t="e">
        <f>C217*C219*365</f>
        <v>#DIV/0!</v>
      </c>
      <c r="D220" s="29"/>
      <c r="E220" s="43"/>
      <c r="F220" s="157"/>
    </row>
    <row r="221" spans="2:36" hidden="1" x14ac:dyDescent="0.25">
      <c r="B221" s="27" t="s">
        <v>488</v>
      </c>
      <c r="C221" s="45" t="e">
        <f>C220*25/1000</f>
        <v>#DIV/0!</v>
      </c>
      <c r="D221" s="29"/>
      <c r="E221" s="37"/>
      <c r="F221" s="157"/>
    </row>
    <row r="222" spans="2:36" s="20" customFormat="1" hidden="1" x14ac:dyDescent="0.25">
      <c r="B222" s="164"/>
      <c r="C222" s="164"/>
      <c r="D222" s="164"/>
      <c r="I222" s="559"/>
      <c r="J222" s="559"/>
      <c r="K222" s="559"/>
      <c r="L222" s="559"/>
      <c r="M222" s="559"/>
      <c r="N222" s="559"/>
      <c r="O222" s="559"/>
      <c r="P222" s="559"/>
      <c r="Q222" s="559"/>
      <c r="R222" s="559"/>
      <c r="S222" s="559"/>
      <c r="T222" s="559"/>
      <c r="U222" s="559"/>
      <c r="V222" s="559"/>
      <c r="W222" s="559"/>
      <c r="X222" s="559"/>
      <c r="Y222" s="559"/>
      <c r="Z222" s="559"/>
      <c r="AA222" s="559"/>
      <c r="AB222" s="559"/>
      <c r="AC222" s="559"/>
      <c r="AD222" s="559"/>
      <c r="AE222" s="559"/>
      <c r="AF222" s="559"/>
      <c r="AG222" s="559"/>
      <c r="AH222" s="559"/>
      <c r="AI222" s="559"/>
      <c r="AJ222" s="559"/>
    </row>
    <row r="223" spans="2:36" s="20" customFormat="1" hidden="1" x14ac:dyDescent="0.25">
      <c r="B223" s="165" t="s">
        <v>481</v>
      </c>
      <c r="C223" s="220" t="e">
        <f>C209-C221</f>
        <v>#DIV/0!</v>
      </c>
      <c r="D223" s="164"/>
      <c r="I223" s="559"/>
      <c r="J223" s="559"/>
      <c r="K223" s="559"/>
      <c r="L223" s="559"/>
      <c r="M223" s="559"/>
      <c r="N223" s="559"/>
      <c r="O223" s="559"/>
      <c r="P223" s="559"/>
      <c r="Q223" s="559"/>
      <c r="R223" s="559"/>
      <c r="S223" s="559"/>
      <c r="T223" s="559"/>
      <c r="U223" s="559"/>
      <c r="V223" s="559"/>
      <c r="W223" s="559"/>
      <c r="X223" s="559"/>
      <c r="Y223" s="559"/>
      <c r="Z223" s="559"/>
      <c r="AA223" s="559"/>
      <c r="AB223" s="559"/>
      <c r="AC223" s="559"/>
      <c r="AD223" s="559"/>
      <c r="AE223" s="559"/>
      <c r="AF223" s="559"/>
      <c r="AG223" s="559"/>
      <c r="AH223" s="559"/>
      <c r="AI223" s="559"/>
      <c r="AJ223" s="559"/>
    </row>
    <row r="224" spans="2:36" s="20" customFormat="1" hidden="1" x14ac:dyDescent="0.25">
      <c r="B224" s="164"/>
      <c r="C224" s="164"/>
      <c r="D224" s="164"/>
      <c r="I224" s="559"/>
      <c r="J224" s="559"/>
      <c r="K224" s="559"/>
      <c r="L224" s="559"/>
      <c r="M224" s="559"/>
      <c r="N224" s="559"/>
      <c r="O224" s="559"/>
      <c r="P224" s="559"/>
      <c r="Q224" s="559"/>
      <c r="R224" s="559"/>
      <c r="S224" s="559"/>
      <c r="T224" s="559"/>
      <c r="U224" s="559"/>
      <c r="V224" s="559"/>
      <c r="W224" s="559"/>
      <c r="X224" s="559"/>
      <c r="Y224" s="559"/>
      <c r="Z224" s="559"/>
      <c r="AA224" s="559"/>
      <c r="AB224" s="559"/>
      <c r="AC224" s="559"/>
      <c r="AD224" s="559"/>
      <c r="AE224" s="559"/>
      <c r="AF224" s="559"/>
      <c r="AG224" s="559"/>
      <c r="AH224" s="559"/>
      <c r="AI224" s="559"/>
      <c r="AJ224" s="559"/>
    </row>
    <row r="225" spans="2:36" s="20" customFormat="1" hidden="1" x14ac:dyDescent="0.25">
      <c r="B225" s="27" t="s">
        <v>170</v>
      </c>
      <c r="C225" s="164"/>
      <c r="D225" s="164"/>
      <c r="I225" s="559"/>
      <c r="J225" s="559"/>
      <c r="K225" s="559"/>
      <c r="L225" s="559"/>
      <c r="M225" s="559"/>
      <c r="N225" s="559"/>
      <c r="O225" s="559"/>
      <c r="P225" s="559"/>
      <c r="Q225" s="559"/>
      <c r="R225" s="559"/>
      <c r="S225" s="559"/>
      <c r="T225" s="559"/>
      <c r="U225" s="559"/>
      <c r="V225" s="559"/>
      <c r="W225" s="559"/>
      <c r="X225" s="559"/>
      <c r="Y225" s="559"/>
      <c r="Z225" s="559"/>
      <c r="AA225" s="559"/>
      <c r="AB225" s="559"/>
      <c r="AC225" s="559"/>
      <c r="AD225" s="559"/>
      <c r="AE225" s="559"/>
      <c r="AF225" s="559"/>
      <c r="AG225" s="559"/>
      <c r="AH225" s="559"/>
      <c r="AI225" s="559"/>
      <c r="AJ225" s="559"/>
    </row>
    <row r="226" spans="2:36" s="20" customFormat="1" hidden="1" x14ac:dyDescent="0.25">
      <c r="B226" s="166" t="s">
        <v>464</v>
      </c>
      <c r="C226" s="164"/>
      <c r="D226" s="164"/>
      <c r="I226" s="559"/>
      <c r="J226" s="559"/>
      <c r="K226" s="559"/>
      <c r="L226" s="559"/>
      <c r="M226" s="559"/>
      <c r="N226" s="559"/>
      <c r="O226" s="559"/>
      <c r="P226" s="559"/>
      <c r="Q226" s="559"/>
      <c r="R226" s="559"/>
      <c r="S226" s="559"/>
      <c r="T226" s="559"/>
      <c r="U226" s="559"/>
      <c r="V226" s="559"/>
      <c r="W226" s="559"/>
      <c r="X226" s="559"/>
      <c r="Y226" s="559"/>
      <c r="Z226" s="559"/>
      <c r="AA226" s="559"/>
      <c r="AB226" s="559"/>
      <c r="AC226" s="559"/>
      <c r="AD226" s="559"/>
      <c r="AE226" s="559"/>
      <c r="AF226" s="559"/>
      <c r="AG226" s="559"/>
      <c r="AH226" s="559"/>
      <c r="AI226" s="559"/>
      <c r="AJ226" s="559"/>
    </row>
    <row r="227" spans="2:36" s="20" customFormat="1" hidden="1" x14ac:dyDescent="0.25">
      <c r="B227" s="164" t="s">
        <v>490</v>
      </c>
      <c r="C227" s="218" t="e">
        <f>'Baseline farm'!D102/298*1000</f>
        <v>#DIV/0!</v>
      </c>
      <c r="D227" s="164"/>
      <c r="I227" s="559"/>
      <c r="J227" s="559"/>
      <c r="K227" s="559"/>
      <c r="L227" s="559"/>
      <c r="M227" s="559"/>
      <c r="N227" s="559"/>
      <c r="O227" s="559"/>
      <c r="P227" s="559"/>
      <c r="Q227" s="559"/>
      <c r="R227" s="559"/>
      <c r="S227" s="559"/>
      <c r="T227" s="559"/>
      <c r="U227" s="559"/>
      <c r="V227" s="559"/>
      <c r="W227" s="559"/>
      <c r="X227" s="559"/>
      <c r="Y227" s="559"/>
      <c r="Z227" s="559"/>
      <c r="AA227" s="559"/>
      <c r="AB227" s="559"/>
      <c r="AC227" s="559"/>
      <c r="AD227" s="559"/>
      <c r="AE227" s="559"/>
      <c r="AF227" s="559"/>
      <c r="AG227" s="559"/>
      <c r="AH227" s="559"/>
      <c r="AI227" s="559"/>
      <c r="AJ227" s="559"/>
    </row>
    <row r="228" spans="2:36" s="20" customFormat="1" hidden="1" x14ac:dyDescent="0.25">
      <c r="B228" s="164"/>
      <c r="C228" s="164"/>
      <c r="D228" s="164"/>
      <c r="I228" s="559"/>
      <c r="J228" s="559"/>
      <c r="K228" s="559"/>
      <c r="L228" s="559"/>
      <c r="M228" s="559"/>
      <c r="N228" s="559"/>
      <c r="O228" s="559"/>
      <c r="P228" s="559"/>
      <c r="Q228" s="559"/>
      <c r="R228" s="559"/>
      <c r="S228" s="559"/>
      <c r="T228" s="559"/>
      <c r="U228" s="559"/>
      <c r="V228" s="559"/>
      <c r="W228" s="559"/>
      <c r="X228" s="559"/>
      <c r="Y228" s="559"/>
      <c r="Z228" s="559"/>
      <c r="AA228" s="559"/>
      <c r="AB228" s="559"/>
      <c r="AC228" s="559"/>
      <c r="AD228" s="559"/>
      <c r="AE228" s="559"/>
      <c r="AF228" s="559"/>
      <c r="AG228" s="559"/>
      <c r="AH228" s="559"/>
      <c r="AI228" s="559"/>
      <c r="AJ228" s="559"/>
    </row>
    <row r="229" spans="2:36" s="20" customFormat="1" hidden="1" x14ac:dyDescent="0.25">
      <c r="B229" s="166" t="s">
        <v>1538</v>
      </c>
      <c r="C229" s="164"/>
      <c r="D229" s="164"/>
      <c r="I229" s="559"/>
      <c r="J229" s="559"/>
      <c r="K229" s="559"/>
      <c r="L229" s="559"/>
      <c r="M229" s="559"/>
      <c r="N229" s="559"/>
      <c r="O229" s="559"/>
      <c r="P229" s="559"/>
      <c r="Q229" s="559"/>
      <c r="R229" s="559"/>
      <c r="S229" s="559"/>
      <c r="T229" s="559"/>
      <c r="U229" s="559"/>
      <c r="V229" s="559"/>
      <c r="W229" s="559"/>
      <c r="X229" s="559"/>
      <c r="Y229" s="559"/>
      <c r="Z229" s="559"/>
      <c r="AA229" s="559"/>
      <c r="AB229" s="559"/>
      <c r="AC229" s="559"/>
      <c r="AD229" s="559"/>
      <c r="AE229" s="559"/>
      <c r="AF229" s="559"/>
      <c r="AG229" s="559"/>
      <c r="AH229" s="559"/>
      <c r="AI229" s="559"/>
      <c r="AJ229" s="559"/>
    </row>
    <row r="230" spans="2:36" s="20" customFormat="1" hidden="1" x14ac:dyDescent="0.25">
      <c r="B230" s="164" t="s">
        <v>490</v>
      </c>
      <c r="C230" s="218" t="e">
        <f>'Baseline farm'!D103/298*1000</f>
        <v>#DIV/0!</v>
      </c>
      <c r="D230" s="164"/>
      <c r="I230" s="559"/>
      <c r="J230" s="559"/>
      <c r="K230" s="559"/>
      <c r="L230" s="559"/>
      <c r="M230" s="559"/>
      <c r="N230" s="559"/>
      <c r="O230" s="559"/>
      <c r="P230" s="559"/>
      <c r="Q230" s="559"/>
      <c r="R230" s="559"/>
      <c r="S230" s="559"/>
      <c r="T230" s="559"/>
      <c r="U230" s="559"/>
      <c r="V230" s="559"/>
      <c r="W230" s="559"/>
      <c r="X230" s="559"/>
      <c r="Y230" s="559"/>
      <c r="Z230" s="559"/>
      <c r="AA230" s="559"/>
      <c r="AB230" s="559"/>
      <c r="AC230" s="559"/>
      <c r="AD230" s="559"/>
      <c r="AE230" s="559"/>
      <c r="AF230" s="559"/>
      <c r="AG230" s="559"/>
      <c r="AH230" s="559"/>
      <c r="AI230" s="559"/>
      <c r="AJ230" s="559"/>
    </row>
    <row r="231" spans="2:36" s="20" customFormat="1" hidden="1" x14ac:dyDescent="0.25">
      <c r="B231" s="29"/>
      <c r="C231" s="164"/>
      <c r="D231" s="164"/>
      <c r="I231" s="559"/>
      <c r="J231" s="559"/>
      <c r="K231" s="559"/>
      <c r="L231" s="559"/>
      <c r="M231" s="559"/>
      <c r="N231" s="559"/>
      <c r="O231" s="559"/>
      <c r="P231" s="559"/>
      <c r="Q231" s="559"/>
      <c r="R231" s="559"/>
      <c r="S231" s="559"/>
      <c r="T231" s="559"/>
      <c r="U231" s="559"/>
      <c r="V231" s="559"/>
      <c r="W231" s="559"/>
      <c r="X231" s="559"/>
      <c r="Y231" s="559"/>
      <c r="Z231" s="559"/>
      <c r="AA231" s="559"/>
      <c r="AB231" s="559"/>
      <c r="AC231" s="559"/>
      <c r="AD231" s="559"/>
      <c r="AE231" s="559"/>
      <c r="AF231" s="559"/>
      <c r="AG231" s="559"/>
      <c r="AH231" s="559"/>
      <c r="AI231" s="559"/>
      <c r="AJ231" s="559"/>
    </row>
    <row r="232" spans="2:36" s="20" customFormat="1" hidden="1" x14ac:dyDescent="0.25">
      <c r="B232" s="166" t="s">
        <v>461</v>
      </c>
      <c r="C232" s="164"/>
      <c r="D232" s="164"/>
      <c r="I232" s="559"/>
      <c r="J232" s="559"/>
      <c r="K232" s="559"/>
      <c r="L232" s="559"/>
      <c r="M232" s="559"/>
      <c r="N232" s="559"/>
      <c r="O232" s="559"/>
      <c r="P232" s="559"/>
      <c r="Q232" s="559"/>
      <c r="R232" s="559"/>
      <c r="S232" s="559"/>
      <c r="T232" s="559"/>
      <c r="U232" s="559"/>
      <c r="V232" s="559"/>
      <c r="W232" s="559"/>
      <c r="X232" s="559"/>
      <c r="Y232" s="559"/>
      <c r="Z232" s="559"/>
      <c r="AA232" s="559"/>
      <c r="AB232" s="559"/>
      <c r="AC232" s="559"/>
      <c r="AD232" s="559"/>
      <c r="AE232" s="559"/>
      <c r="AF232" s="559"/>
      <c r="AG232" s="559"/>
      <c r="AH232" s="559"/>
      <c r="AI232" s="559"/>
      <c r="AJ232" s="559"/>
    </row>
    <row r="233" spans="2:36" s="20" customFormat="1" hidden="1" x14ac:dyDescent="0.25">
      <c r="B233" s="164" t="s">
        <v>490</v>
      </c>
      <c r="C233" s="218" t="e">
        <f>'Baseline farm'!D104/298*1000</f>
        <v>#DIV/0!</v>
      </c>
      <c r="D233" s="164"/>
      <c r="I233" s="559"/>
      <c r="J233" s="559"/>
      <c r="K233" s="559"/>
      <c r="L233" s="559"/>
      <c r="M233" s="559"/>
      <c r="N233" s="559"/>
      <c r="O233" s="559"/>
      <c r="P233" s="559"/>
      <c r="Q233" s="559"/>
      <c r="R233" s="559"/>
      <c r="S233" s="559"/>
      <c r="T233" s="559"/>
      <c r="U233" s="559"/>
      <c r="V233" s="559"/>
      <c r="W233" s="559"/>
      <c r="X233" s="559"/>
      <c r="Y233" s="559"/>
      <c r="Z233" s="559"/>
      <c r="AA233" s="559"/>
      <c r="AB233" s="559"/>
      <c r="AC233" s="559"/>
      <c r="AD233" s="559"/>
      <c r="AE233" s="559"/>
      <c r="AF233" s="559"/>
      <c r="AG233" s="559"/>
      <c r="AH233" s="559"/>
      <c r="AI233" s="559"/>
      <c r="AJ233" s="559"/>
    </row>
    <row r="234" spans="2:36" s="20" customFormat="1" hidden="1" x14ac:dyDescent="0.25">
      <c r="B234" s="164"/>
      <c r="C234" s="164"/>
      <c r="D234" s="164"/>
      <c r="I234" s="559"/>
      <c r="J234" s="559"/>
      <c r="K234" s="559"/>
      <c r="L234" s="559"/>
      <c r="M234" s="559"/>
      <c r="N234" s="559"/>
      <c r="O234" s="559"/>
      <c r="P234" s="559"/>
      <c r="Q234" s="559"/>
      <c r="R234" s="559"/>
      <c r="S234" s="559"/>
      <c r="T234" s="559"/>
      <c r="U234" s="559"/>
      <c r="V234" s="559"/>
      <c r="W234" s="559"/>
      <c r="X234" s="559"/>
      <c r="Y234" s="559"/>
      <c r="Z234" s="559"/>
      <c r="AA234" s="559"/>
      <c r="AB234" s="559"/>
      <c r="AC234" s="559"/>
      <c r="AD234" s="559"/>
      <c r="AE234" s="559"/>
      <c r="AF234" s="559"/>
      <c r="AG234" s="559"/>
      <c r="AH234" s="559"/>
      <c r="AI234" s="559"/>
      <c r="AJ234" s="559"/>
    </row>
    <row r="235" spans="2:36" s="20" customFormat="1" hidden="1" x14ac:dyDescent="0.25">
      <c r="B235" s="165" t="s">
        <v>485</v>
      </c>
      <c r="C235" s="164"/>
      <c r="D235" s="164"/>
      <c r="I235" s="559"/>
      <c r="J235" s="559"/>
      <c r="K235" s="559"/>
      <c r="L235" s="559"/>
      <c r="M235" s="559"/>
      <c r="N235" s="559"/>
      <c r="O235" s="559"/>
      <c r="P235" s="559"/>
      <c r="Q235" s="559"/>
      <c r="R235" s="559"/>
      <c r="S235" s="559"/>
      <c r="T235" s="559"/>
      <c r="U235" s="559"/>
      <c r="V235" s="559"/>
      <c r="W235" s="559"/>
      <c r="X235" s="559"/>
      <c r="Y235" s="559"/>
      <c r="Z235" s="559"/>
      <c r="AA235" s="559"/>
      <c r="AB235" s="559"/>
      <c r="AC235" s="559"/>
      <c r="AD235" s="559"/>
      <c r="AE235" s="559"/>
      <c r="AF235" s="559"/>
      <c r="AG235" s="559"/>
      <c r="AH235" s="559"/>
      <c r="AI235" s="559"/>
      <c r="AJ235" s="559"/>
    </row>
    <row r="236" spans="2:36" s="20" customFormat="1" hidden="1" x14ac:dyDescent="0.25">
      <c r="B236" s="164" t="s">
        <v>490</v>
      </c>
      <c r="C236" s="218" t="e">
        <f>C227+C230+C233</f>
        <v>#DIV/0!</v>
      </c>
      <c r="D236" s="164"/>
      <c r="I236" s="559"/>
      <c r="J236" s="559"/>
      <c r="K236" s="559"/>
      <c r="L236" s="559"/>
      <c r="M236" s="559"/>
      <c r="N236" s="559"/>
      <c r="O236" s="559"/>
      <c r="P236" s="559"/>
      <c r="Q236" s="559"/>
      <c r="R236" s="559"/>
      <c r="S236" s="559"/>
      <c r="T236" s="559"/>
      <c r="U236" s="559"/>
      <c r="V236" s="559"/>
      <c r="W236" s="559"/>
      <c r="X236" s="559"/>
      <c r="Y236" s="559"/>
      <c r="Z236" s="559"/>
      <c r="AA236" s="559"/>
      <c r="AB236" s="559"/>
      <c r="AC236" s="559"/>
      <c r="AD236" s="559"/>
      <c r="AE236" s="559"/>
      <c r="AF236" s="559"/>
      <c r="AG236" s="559"/>
      <c r="AH236" s="559"/>
      <c r="AI236" s="559"/>
      <c r="AJ236" s="559"/>
    </row>
    <row r="237" spans="2:36" s="20" customFormat="1" hidden="1" x14ac:dyDescent="0.25">
      <c r="B237" s="164"/>
      <c r="C237" s="164"/>
      <c r="D237" s="164"/>
      <c r="I237" s="559"/>
      <c r="J237" s="559"/>
      <c r="K237" s="559"/>
      <c r="L237" s="559"/>
      <c r="M237" s="559"/>
      <c r="N237" s="559"/>
      <c r="O237" s="559"/>
      <c r="P237" s="559"/>
      <c r="Q237" s="559"/>
      <c r="R237" s="559"/>
      <c r="S237" s="559"/>
      <c r="T237" s="559"/>
      <c r="U237" s="559"/>
      <c r="V237" s="559"/>
      <c r="W237" s="559"/>
      <c r="X237" s="559"/>
      <c r="Y237" s="559"/>
      <c r="Z237" s="559"/>
      <c r="AA237" s="559"/>
      <c r="AB237" s="559"/>
      <c r="AC237" s="559"/>
      <c r="AD237" s="559"/>
      <c r="AE237" s="559"/>
      <c r="AF237" s="559"/>
      <c r="AG237" s="559"/>
      <c r="AH237" s="559"/>
      <c r="AI237" s="559"/>
      <c r="AJ237" s="559"/>
    </row>
    <row r="238" spans="2:36" hidden="1" x14ac:dyDescent="0.25">
      <c r="B238" s="27" t="s">
        <v>487</v>
      </c>
      <c r="C238" s="45" t="e">
        <f>C236*298/1000</f>
        <v>#DIV/0!</v>
      </c>
      <c r="D238" s="29"/>
      <c r="E238" s="37"/>
      <c r="F238" s="157"/>
    </row>
    <row r="239" spans="2:36" s="20" customFormat="1" hidden="1" x14ac:dyDescent="0.25">
      <c r="I239" s="559"/>
      <c r="J239" s="559"/>
      <c r="K239" s="559"/>
      <c r="L239" s="559"/>
      <c r="M239" s="559"/>
      <c r="N239" s="559"/>
      <c r="O239" s="559"/>
      <c r="P239" s="559"/>
      <c r="Q239" s="559"/>
      <c r="R239" s="559"/>
      <c r="S239" s="559"/>
      <c r="T239" s="559"/>
      <c r="U239" s="559"/>
      <c r="V239" s="559"/>
      <c r="W239" s="559"/>
      <c r="X239" s="559"/>
      <c r="Y239" s="559"/>
      <c r="Z239" s="559"/>
      <c r="AA239" s="559"/>
      <c r="AB239" s="559"/>
      <c r="AC239" s="559"/>
      <c r="AD239" s="559"/>
      <c r="AE239" s="559"/>
      <c r="AF239" s="559"/>
      <c r="AG239" s="559"/>
      <c r="AH239" s="559"/>
      <c r="AI239" s="559"/>
      <c r="AJ239" s="559"/>
    </row>
    <row r="240" spans="2:36" s="20" customFormat="1" hidden="1" x14ac:dyDescent="0.25">
      <c r="I240" s="559"/>
      <c r="J240" s="559"/>
      <c r="K240" s="559"/>
      <c r="L240" s="559"/>
      <c r="M240" s="559"/>
      <c r="N240" s="559"/>
      <c r="O240" s="559"/>
      <c r="P240" s="559"/>
      <c r="Q240" s="559"/>
      <c r="R240" s="559"/>
      <c r="S240" s="559"/>
      <c r="T240" s="559"/>
      <c r="U240" s="559"/>
      <c r="V240" s="559"/>
      <c r="W240" s="559"/>
      <c r="X240" s="559"/>
      <c r="Y240" s="559"/>
      <c r="Z240" s="559"/>
      <c r="AA240" s="559"/>
      <c r="AB240" s="559"/>
      <c r="AC240" s="559"/>
      <c r="AD240" s="559"/>
      <c r="AE240" s="559"/>
      <c r="AF240" s="559"/>
      <c r="AG240" s="559"/>
      <c r="AH240" s="559"/>
      <c r="AI240" s="559"/>
      <c r="AJ240" s="559"/>
    </row>
    <row r="241" spans="2:36" s="20" customFormat="1" hidden="1" x14ac:dyDescent="0.25">
      <c r="B241" s="48" t="s">
        <v>171</v>
      </c>
      <c r="I241" s="559"/>
      <c r="J241" s="559"/>
      <c r="K241" s="559"/>
      <c r="L241" s="559"/>
      <c r="M241" s="559"/>
      <c r="N241" s="559"/>
      <c r="O241" s="559"/>
      <c r="P241" s="559"/>
      <c r="Q241" s="559"/>
      <c r="R241" s="559"/>
      <c r="S241" s="559"/>
      <c r="T241" s="559"/>
      <c r="U241" s="559"/>
      <c r="V241" s="559"/>
      <c r="W241" s="559"/>
      <c r="X241" s="559"/>
      <c r="Y241" s="559"/>
      <c r="Z241" s="559"/>
      <c r="AA241" s="559"/>
      <c r="AB241" s="559"/>
      <c r="AC241" s="559"/>
      <c r="AD241" s="559"/>
      <c r="AE241" s="559"/>
      <c r="AF241" s="559"/>
      <c r="AG241" s="559"/>
      <c r="AH241" s="559"/>
      <c r="AI241" s="559"/>
      <c r="AJ241" s="559"/>
    </row>
    <row r="242" spans="2:36" s="20" customFormat="1" hidden="1" x14ac:dyDescent="0.25">
      <c r="I242" s="559"/>
      <c r="J242" s="559"/>
      <c r="K242" s="559"/>
      <c r="L242" s="559"/>
      <c r="M242" s="559"/>
      <c r="N242" s="559"/>
      <c r="O242" s="559"/>
      <c r="P242" s="559"/>
      <c r="Q242" s="559"/>
      <c r="R242" s="559"/>
      <c r="S242" s="559"/>
      <c r="T242" s="559"/>
      <c r="U242" s="559"/>
      <c r="V242" s="559"/>
      <c r="W242" s="559"/>
      <c r="X242" s="559"/>
      <c r="Y242" s="559"/>
      <c r="Z242" s="559"/>
      <c r="AA242" s="559"/>
      <c r="AB242" s="559"/>
      <c r="AC242" s="559"/>
      <c r="AD242" s="559"/>
      <c r="AE242" s="559"/>
      <c r="AF242" s="559"/>
      <c r="AG242" s="559"/>
      <c r="AH242" s="559"/>
      <c r="AI242" s="559"/>
      <c r="AJ242" s="559"/>
    </row>
    <row r="243" spans="2:36" s="17" customFormat="1" ht="15.75" hidden="1" x14ac:dyDescent="0.25">
      <c r="B243" s="221" t="s">
        <v>304</v>
      </c>
      <c r="C243" s="221" t="s">
        <v>253</v>
      </c>
      <c r="D243" s="222" t="s">
        <v>489</v>
      </c>
      <c r="E243" s="222"/>
      <c r="F243" s="222"/>
      <c r="G243" s="222"/>
      <c r="H243" s="222"/>
      <c r="I243" s="649">
        <f>I95</f>
        <v>0</v>
      </c>
      <c r="J243" s="650"/>
      <c r="K243" s="559"/>
      <c r="L243" s="559"/>
      <c r="M243" s="559"/>
      <c r="N243" s="559"/>
      <c r="O243" s="559"/>
      <c r="P243" s="559"/>
      <c r="Q243" s="559"/>
      <c r="R243" s="559"/>
      <c r="S243" s="559"/>
      <c r="T243" s="559"/>
      <c r="U243" s="559"/>
      <c r="V243" s="559"/>
      <c r="W243" s="559"/>
      <c r="X243" s="559"/>
      <c r="Y243" s="559"/>
      <c r="Z243" s="559"/>
      <c r="AA243" s="559"/>
      <c r="AB243" s="559"/>
      <c r="AC243" s="559"/>
      <c r="AD243" s="559"/>
      <c r="AE243" s="559"/>
      <c r="AF243" s="559"/>
      <c r="AG243" s="559"/>
      <c r="AH243" s="559"/>
      <c r="AI243" s="559"/>
      <c r="AJ243" s="559"/>
    </row>
    <row r="244" spans="2:36" s="17" customFormat="1" ht="15.75" hidden="1" x14ac:dyDescent="0.25">
      <c r="B244" s="224"/>
      <c r="C244" s="224"/>
      <c r="D244" s="224"/>
      <c r="E244" s="224"/>
      <c r="F244" s="224"/>
      <c r="G244" s="224"/>
      <c r="H244" s="224"/>
      <c r="I244" s="56"/>
      <c r="J244" s="261"/>
      <c r="K244" s="559"/>
      <c r="L244" s="559"/>
      <c r="M244" s="559"/>
      <c r="N244" s="559"/>
      <c r="O244" s="559"/>
      <c r="P244" s="559"/>
      <c r="Q244" s="559"/>
      <c r="R244" s="559"/>
      <c r="S244" s="559"/>
      <c r="T244" s="559"/>
      <c r="U244" s="559"/>
      <c r="V244" s="559"/>
      <c r="W244" s="559"/>
      <c r="X244" s="559"/>
      <c r="Y244" s="559"/>
      <c r="Z244" s="559"/>
      <c r="AA244" s="559"/>
      <c r="AB244" s="559"/>
      <c r="AC244" s="559"/>
      <c r="AD244" s="559"/>
      <c r="AE244" s="559"/>
      <c r="AF244" s="559"/>
      <c r="AG244" s="559"/>
      <c r="AH244" s="559"/>
      <c r="AI244" s="559"/>
      <c r="AJ244" s="559"/>
    </row>
    <row r="245" spans="2:36" s="17" customFormat="1" ht="15.75" hidden="1" x14ac:dyDescent="0.25">
      <c r="B245" s="226" t="s">
        <v>305</v>
      </c>
      <c r="C245" s="224"/>
      <c r="D245" s="226" t="s">
        <v>306</v>
      </c>
      <c r="E245" s="227"/>
      <c r="F245" s="227"/>
      <c r="G245" s="228"/>
      <c r="H245" s="224"/>
      <c r="I245" s="56"/>
      <c r="J245" s="261"/>
      <c r="K245" s="559"/>
      <c r="L245" s="559"/>
      <c r="M245" s="559"/>
      <c r="N245" s="559"/>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row>
    <row r="246" spans="2:36" s="17" customFormat="1" ht="15.75" hidden="1" x14ac:dyDescent="0.25">
      <c r="B246" s="224"/>
      <c r="C246" s="229" t="s">
        <v>472</v>
      </c>
      <c r="D246" s="230" t="e">
        <f>C158*C157%</f>
        <v>#DIV/0!</v>
      </c>
      <c r="E246" s="230"/>
      <c r="F246" s="230"/>
      <c r="G246" s="230"/>
      <c r="H246" s="230"/>
      <c r="I246" s="56" t="s">
        <v>292</v>
      </c>
      <c r="J246" s="261"/>
      <c r="K246" s="559"/>
      <c r="L246" s="559"/>
      <c r="M246" s="559"/>
      <c r="N246" s="559"/>
      <c r="O246" s="559"/>
      <c r="P246" s="559"/>
      <c r="Q246" s="559"/>
      <c r="R246" s="559"/>
      <c r="S246" s="559"/>
      <c r="T246" s="559"/>
      <c r="U246" s="559"/>
      <c r="V246" s="559"/>
      <c r="W246" s="559"/>
      <c r="X246" s="559"/>
      <c r="Y246" s="559"/>
      <c r="Z246" s="559"/>
      <c r="AA246" s="559"/>
      <c r="AB246" s="559"/>
      <c r="AC246" s="559"/>
      <c r="AD246" s="559"/>
      <c r="AE246" s="559"/>
      <c r="AF246" s="559"/>
      <c r="AG246" s="559"/>
      <c r="AH246" s="559"/>
      <c r="AI246" s="559"/>
      <c r="AJ246" s="559"/>
    </row>
    <row r="247" spans="2:36" s="17" customFormat="1" ht="15.75" hidden="1" x14ac:dyDescent="0.25">
      <c r="B247" s="231"/>
      <c r="C247" s="231"/>
      <c r="D247" s="231"/>
      <c r="E247" s="231"/>
      <c r="F247" s="231"/>
      <c r="G247" s="232"/>
      <c r="H247" s="224"/>
      <c r="I247" s="56"/>
      <c r="J247" s="261"/>
      <c r="K247" s="559"/>
      <c r="L247" s="559"/>
      <c r="M247" s="559"/>
      <c r="N247" s="559"/>
      <c r="O247" s="559"/>
      <c r="P247" s="559"/>
      <c r="Q247" s="559"/>
      <c r="R247" s="559"/>
      <c r="S247" s="559"/>
      <c r="T247" s="559"/>
      <c r="U247" s="559"/>
      <c r="V247" s="559"/>
      <c r="W247" s="559"/>
      <c r="X247" s="559"/>
      <c r="Y247" s="559"/>
      <c r="Z247" s="559"/>
      <c r="AA247" s="559"/>
      <c r="AB247" s="559"/>
      <c r="AC247" s="559"/>
      <c r="AD247" s="559"/>
      <c r="AE247" s="559"/>
      <c r="AF247" s="559"/>
      <c r="AG247" s="559"/>
      <c r="AH247" s="559"/>
      <c r="AI247" s="559"/>
      <c r="AJ247" s="559"/>
    </row>
    <row r="248" spans="2:36" s="17" customFormat="1" ht="15.75" hidden="1" x14ac:dyDescent="0.25">
      <c r="B248" s="226" t="s">
        <v>308</v>
      </c>
      <c r="C248" s="227"/>
      <c r="D248" s="226" t="s">
        <v>309</v>
      </c>
      <c r="E248" s="227"/>
      <c r="F248" s="227"/>
      <c r="G248" s="228"/>
      <c r="H248" s="224"/>
      <c r="I248" s="56"/>
      <c r="J248" s="261"/>
      <c r="K248" s="559"/>
      <c r="L248" s="559"/>
      <c r="M248" s="559"/>
      <c r="N248" s="559"/>
      <c r="O248" s="559"/>
      <c r="P248" s="559"/>
      <c r="Q248" s="559"/>
      <c r="R248" s="559"/>
      <c r="S248" s="559"/>
      <c r="T248" s="559"/>
      <c r="U248" s="559"/>
      <c r="V248" s="559"/>
      <c r="W248" s="559"/>
      <c r="X248" s="559"/>
      <c r="Y248" s="559"/>
      <c r="Z248" s="559"/>
      <c r="AA248" s="559"/>
      <c r="AB248" s="559"/>
      <c r="AC248" s="559"/>
      <c r="AD248" s="559"/>
      <c r="AE248" s="559"/>
      <c r="AF248" s="559"/>
      <c r="AG248" s="559"/>
      <c r="AH248" s="559"/>
      <c r="AI248" s="559"/>
      <c r="AJ248" s="559"/>
    </row>
    <row r="249" spans="2:36" s="17" customFormat="1" ht="15.75" hidden="1" x14ac:dyDescent="0.25">
      <c r="B249" s="227"/>
      <c r="C249" s="224"/>
      <c r="D249" s="224" t="s">
        <v>311</v>
      </c>
      <c r="E249" s="227"/>
      <c r="F249" s="227"/>
      <c r="G249" s="228"/>
      <c r="H249" s="224"/>
      <c r="I249" s="56"/>
      <c r="J249" s="261"/>
      <c r="K249" s="559"/>
      <c r="L249" s="559"/>
      <c r="M249" s="559"/>
      <c r="N249" s="559"/>
      <c r="O249" s="559"/>
      <c r="P249" s="559"/>
      <c r="Q249" s="559"/>
      <c r="R249" s="559"/>
      <c r="S249" s="559"/>
      <c r="T249" s="559"/>
      <c r="U249" s="559"/>
      <c r="V249" s="559"/>
      <c r="W249" s="559"/>
      <c r="X249" s="559"/>
      <c r="Y249" s="559"/>
      <c r="Z249" s="559"/>
      <c r="AA249" s="559"/>
      <c r="AB249" s="559"/>
      <c r="AC249" s="559"/>
      <c r="AD249" s="559"/>
      <c r="AE249" s="559"/>
      <c r="AF249" s="559"/>
      <c r="AG249" s="559"/>
      <c r="AH249" s="559"/>
      <c r="AI249" s="559"/>
      <c r="AJ249" s="559"/>
    </row>
    <row r="250" spans="2:36" s="17" customFormat="1" ht="15.75" hidden="1" x14ac:dyDescent="0.25">
      <c r="B250" s="224"/>
      <c r="C250" s="224"/>
      <c r="D250" s="224" t="s">
        <v>312</v>
      </c>
      <c r="E250" s="233"/>
      <c r="F250" s="233"/>
      <c r="G250" s="228"/>
      <c r="H250" s="224"/>
      <c r="I250" s="56"/>
      <c r="J250" s="261"/>
      <c r="K250" s="559"/>
      <c r="L250" s="559"/>
      <c r="M250" s="559"/>
      <c r="N250" s="559"/>
      <c r="O250" s="559"/>
      <c r="P250" s="559"/>
      <c r="Q250" s="559"/>
      <c r="R250" s="559"/>
      <c r="S250" s="559"/>
      <c r="T250" s="559"/>
      <c r="U250" s="559"/>
      <c r="V250" s="559"/>
      <c r="W250" s="559"/>
      <c r="X250" s="559"/>
      <c r="Y250" s="559"/>
      <c r="Z250" s="559"/>
      <c r="AA250" s="559"/>
      <c r="AB250" s="559"/>
      <c r="AC250" s="559"/>
      <c r="AD250" s="559"/>
      <c r="AE250" s="559"/>
      <c r="AF250" s="559"/>
      <c r="AG250" s="559"/>
      <c r="AH250" s="559"/>
      <c r="AI250" s="559"/>
      <c r="AJ250" s="559"/>
    </row>
    <row r="251" spans="2:36" s="17" customFormat="1" ht="15.75" hidden="1" x14ac:dyDescent="0.25">
      <c r="B251" s="224"/>
      <c r="C251" s="229" t="s">
        <v>472</v>
      </c>
      <c r="D251" s="230" t="e">
        <f>(0.3*((D246*(1-((C150+10)/100))))+(0.105*((C151)*'Baseline farm'!D189*0.008))+(0.0152*'Baseline farm'!D189))/6.25</f>
        <v>#DIV/0!</v>
      </c>
      <c r="E251" s="230"/>
      <c r="F251" s="230"/>
      <c r="G251" s="230"/>
      <c r="H251" s="230"/>
      <c r="I251" s="56" t="s">
        <v>292</v>
      </c>
      <c r="J251" s="261"/>
      <c r="K251" s="559"/>
      <c r="L251" s="559"/>
      <c r="M251" s="559"/>
      <c r="N251" s="559"/>
      <c r="O251" s="559"/>
      <c r="P251" s="559"/>
      <c r="Q251" s="559"/>
      <c r="R251" s="559"/>
      <c r="S251" s="559"/>
      <c r="T251" s="559"/>
      <c r="U251" s="559"/>
      <c r="V251" s="559"/>
      <c r="W251" s="559"/>
      <c r="X251" s="559"/>
      <c r="Y251" s="559"/>
      <c r="Z251" s="559"/>
      <c r="AA251" s="559"/>
      <c r="AB251" s="559"/>
      <c r="AC251" s="559"/>
      <c r="AD251" s="559"/>
      <c r="AE251" s="559"/>
      <c r="AF251" s="559"/>
      <c r="AG251" s="559"/>
      <c r="AH251" s="559"/>
      <c r="AI251" s="559"/>
      <c r="AJ251" s="559"/>
    </row>
    <row r="252" spans="2:36" s="17" customFormat="1" ht="15.75" hidden="1" x14ac:dyDescent="0.25">
      <c r="B252" s="224"/>
      <c r="C252" s="224"/>
      <c r="D252" s="224"/>
      <c r="E252" s="224"/>
      <c r="F252" s="224"/>
      <c r="G252" s="224"/>
      <c r="H252" s="224"/>
      <c r="I252" s="56"/>
      <c r="J252" s="261"/>
      <c r="K252" s="559"/>
      <c r="L252" s="559"/>
      <c r="M252" s="559"/>
      <c r="N252" s="559"/>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row>
    <row r="253" spans="2:36" s="17" customFormat="1" ht="17.25" hidden="1" x14ac:dyDescent="0.3">
      <c r="B253" s="226" t="s">
        <v>313</v>
      </c>
      <c r="C253" s="224"/>
      <c r="D253" s="234" t="s">
        <v>1539</v>
      </c>
      <c r="E253" s="235"/>
      <c r="F253" s="235"/>
      <c r="G253" s="235"/>
      <c r="H253" s="235"/>
      <c r="I253" s="56"/>
      <c r="J253" s="261"/>
      <c r="K253" s="559"/>
      <c r="L253" s="559"/>
      <c r="M253" s="559"/>
      <c r="N253" s="559"/>
      <c r="O253" s="559"/>
      <c r="P253" s="559"/>
      <c r="Q253" s="559"/>
      <c r="R253" s="559"/>
      <c r="S253" s="559"/>
      <c r="T253" s="559"/>
      <c r="U253" s="559"/>
      <c r="V253" s="559"/>
      <c r="W253" s="559"/>
      <c r="X253" s="559"/>
      <c r="Y253" s="559"/>
      <c r="Z253" s="559"/>
      <c r="AA253" s="559"/>
      <c r="AB253" s="559"/>
      <c r="AC253" s="559"/>
      <c r="AD253" s="559"/>
      <c r="AE253" s="559"/>
      <c r="AF253" s="559"/>
      <c r="AG253" s="559"/>
      <c r="AH253" s="559"/>
      <c r="AI253" s="559"/>
      <c r="AJ253" s="559"/>
    </row>
    <row r="254" spans="2:36" s="17" customFormat="1" ht="16.5" hidden="1" thickBot="1" x14ac:dyDescent="0.3">
      <c r="B254" s="224"/>
      <c r="C254" s="224"/>
      <c r="D254" s="224"/>
      <c r="E254" s="224"/>
      <c r="F254" s="224"/>
      <c r="G254" s="224"/>
      <c r="H254" s="224"/>
      <c r="I254" s="56"/>
      <c r="J254" s="261"/>
      <c r="K254" s="559"/>
      <c r="L254" s="559"/>
      <c r="M254" s="559"/>
      <c r="N254" s="559"/>
      <c r="O254" s="559"/>
      <c r="P254" s="559"/>
      <c r="Q254" s="559"/>
      <c r="R254" s="559"/>
      <c r="S254" s="559"/>
      <c r="T254" s="559"/>
      <c r="U254" s="559"/>
      <c r="V254" s="559"/>
      <c r="W254" s="559"/>
      <c r="X254" s="559"/>
      <c r="Y254" s="559"/>
      <c r="Z254" s="559"/>
      <c r="AA254" s="559"/>
      <c r="AB254" s="559"/>
      <c r="AC254" s="559"/>
      <c r="AD254" s="559"/>
      <c r="AE254" s="559"/>
      <c r="AF254" s="559"/>
      <c r="AG254" s="559"/>
      <c r="AH254" s="559"/>
      <c r="AI254" s="559"/>
      <c r="AJ254" s="559"/>
    </row>
    <row r="255" spans="2:36" s="17" customFormat="1" ht="16.5" hidden="1" thickBot="1" x14ac:dyDescent="0.3">
      <c r="B255" s="236"/>
      <c r="C255" s="237" t="s">
        <v>897</v>
      </c>
      <c r="D255" s="238"/>
      <c r="E255" s="238"/>
      <c r="F255" s="238"/>
      <c r="G255" s="238"/>
      <c r="H255" s="239"/>
      <c r="I255" s="56"/>
      <c r="J255" s="261"/>
      <c r="K255" s="559"/>
      <c r="L255" s="559"/>
      <c r="M255" s="559"/>
      <c r="N255" s="559"/>
      <c r="O255" s="559"/>
      <c r="P255" s="559"/>
      <c r="Q255" s="559"/>
      <c r="R255" s="559"/>
      <c r="S255" s="559"/>
      <c r="T255" s="559"/>
      <c r="U255" s="559"/>
      <c r="V255" s="559"/>
      <c r="W255" s="559"/>
      <c r="X255" s="559"/>
      <c r="Y255" s="559"/>
      <c r="Z255" s="559"/>
      <c r="AA255" s="559"/>
      <c r="AB255" s="559"/>
      <c r="AC255" s="559"/>
      <c r="AD255" s="559"/>
      <c r="AE255" s="559"/>
      <c r="AF255" s="559"/>
      <c r="AG255" s="559"/>
      <c r="AH255" s="559"/>
      <c r="AI255" s="559"/>
      <c r="AJ255" s="559"/>
    </row>
    <row r="256" spans="2:36" s="17" customFormat="1" ht="15.75" hidden="1" x14ac:dyDescent="0.25">
      <c r="B256" s="224"/>
      <c r="C256" s="237"/>
      <c r="D256" s="240" t="s">
        <v>249</v>
      </c>
      <c r="E256" s="238"/>
      <c r="F256" s="238"/>
      <c r="G256" s="238"/>
      <c r="H256" s="239"/>
      <c r="I256" s="56"/>
      <c r="J256" s="261"/>
      <c r="K256" s="559"/>
      <c r="L256" s="559"/>
      <c r="M256" s="559"/>
      <c r="N256" s="559"/>
      <c r="O256" s="559"/>
      <c r="P256" s="559"/>
      <c r="Q256" s="559"/>
      <c r="R256" s="559"/>
      <c r="S256" s="559"/>
      <c r="T256" s="559"/>
      <c r="U256" s="559"/>
      <c r="V256" s="559"/>
      <c r="W256" s="559"/>
      <c r="X256" s="559"/>
      <c r="Y256" s="559"/>
      <c r="Z256" s="559"/>
      <c r="AA256" s="559"/>
      <c r="AB256" s="559"/>
      <c r="AC256" s="559"/>
      <c r="AD256" s="559"/>
      <c r="AE256" s="559"/>
      <c r="AF256" s="559"/>
      <c r="AG256" s="559"/>
      <c r="AH256" s="559"/>
      <c r="AI256" s="559"/>
      <c r="AJ256" s="559"/>
    </row>
    <row r="257" spans="2:36" s="17" customFormat="1" ht="15.75" hidden="1" x14ac:dyDescent="0.25">
      <c r="B257" s="236">
        <v>1</v>
      </c>
      <c r="C257" s="621" t="s">
        <v>1008</v>
      </c>
      <c r="D257" s="242">
        <v>590</v>
      </c>
      <c r="E257" s="242"/>
      <c r="F257" s="242"/>
      <c r="G257" s="242"/>
      <c r="H257" s="243"/>
      <c r="I257" s="56"/>
      <c r="J257" s="261"/>
      <c r="K257" s="559"/>
      <c r="L257" s="559"/>
      <c r="M257" s="559"/>
      <c r="N257" s="559"/>
      <c r="O257" s="559"/>
      <c r="P257" s="559"/>
      <c r="Q257" s="559"/>
      <c r="R257" s="559"/>
      <c r="S257" s="559"/>
      <c r="T257" s="559"/>
      <c r="U257" s="559"/>
      <c r="V257" s="559"/>
      <c r="W257" s="559"/>
      <c r="X257" s="559"/>
      <c r="Y257" s="559"/>
      <c r="Z257" s="559"/>
      <c r="AA257" s="559"/>
      <c r="AB257" s="559"/>
      <c r="AC257" s="559"/>
      <c r="AD257" s="559"/>
      <c r="AE257" s="559"/>
      <c r="AF257" s="559"/>
      <c r="AG257" s="559"/>
      <c r="AH257" s="559"/>
      <c r="AI257" s="559"/>
      <c r="AJ257" s="559"/>
    </row>
    <row r="258" spans="2:36" s="17" customFormat="1" ht="15.75" hidden="1" x14ac:dyDescent="0.25">
      <c r="B258" s="236">
        <v>2</v>
      </c>
      <c r="C258" s="621" t="s">
        <v>1015</v>
      </c>
      <c r="D258" s="242">
        <v>590</v>
      </c>
      <c r="E258" s="242"/>
      <c r="F258" s="242"/>
      <c r="G258" s="242"/>
      <c r="H258" s="243"/>
      <c r="I258" s="56"/>
      <c r="J258" s="261"/>
      <c r="K258" s="559"/>
      <c r="L258" s="559"/>
      <c r="M258" s="559"/>
      <c r="N258" s="559"/>
      <c r="O258" s="559"/>
      <c r="P258" s="559"/>
      <c r="Q258" s="559"/>
      <c r="R258" s="559"/>
      <c r="S258" s="559"/>
      <c r="T258" s="559"/>
      <c r="U258" s="559"/>
      <c r="V258" s="559"/>
      <c r="W258" s="559"/>
      <c r="X258" s="559"/>
      <c r="Y258" s="559"/>
      <c r="Z258" s="559"/>
      <c r="AA258" s="559"/>
      <c r="AB258" s="559"/>
      <c r="AC258" s="559"/>
      <c r="AD258" s="559"/>
      <c r="AE258" s="559"/>
      <c r="AF258" s="559"/>
      <c r="AG258" s="559"/>
      <c r="AH258" s="559"/>
      <c r="AI258" s="559"/>
      <c r="AJ258" s="559"/>
    </row>
    <row r="259" spans="2:36" s="17" customFormat="1" ht="15.75" hidden="1" x14ac:dyDescent="0.25">
      <c r="B259" s="236">
        <v>3</v>
      </c>
      <c r="C259" s="621" t="s">
        <v>960</v>
      </c>
      <c r="D259" s="242">
        <v>590</v>
      </c>
      <c r="E259" s="242"/>
      <c r="F259" s="242"/>
      <c r="G259" s="242"/>
      <c r="H259" s="243"/>
      <c r="I259" s="651"/>
      <c r="J259" s="261"/>
      <c r="K259" s="559"/>
      <c r="L259" s="559"/>
      <c r="M259" s="559"/>
      <c r="N259" s="559"/>
      <c r="O259" s="559"/>
      <c r="P259" s="559"/>
      <c r="Q259" s="559"/>
      <c r="R259" s="559"/>
      <c r="S259" s="559"/>
      <c r="T259" s="559"/>
      <c r="U259" s="559"/>
      <c r="V259" s="559"/>
      <c r="W259" s="559"/>
      <c r="X259" s="559"/>
      <c r="Y259" s="559"/>
      <c r="Z259" s="559"/>
      <c r="AA259" s="559"/>
      <c r="AB259" s="559"/>
      <c r="AC259" s="559"/>
      <c r="AD259" s="559"/>
      <c r="AE259" s="559"/>
      <c r="AF259" s="559"/>
      <c r="AG259" s="559"/>
      <c r="AH259" s="559"/>
      <c r="AI259" s="559"/>
      <c r="AJ259" s="559"/>
    </row>
    <row r="260" spans="2:36" s="17" customFormat="1" ht="15.75" hidden="1" x14ac:dyDescent="0.25">
      <c r="B260" s="236">
        <v>4</v>
      </c>
      <c r="C260" s="621" t="s">
        <v>1010</v>
      </c>
      <c r="D260" s="242">
        <v>590</v>
      </c>
      <c r="E260" s="242"/>
      <c r="F260" s="242"/>
      <c r="G260" s="242"/>
      <c r="H260" s="243"/>
      <c r="I260" s="56"/>
      <c r="J260" s="261"/>
      <c r="K260" s="559"/>
      <c r="L260" s="559"/>
      <c r="M260" s="559"/>
      <c r="N260" s="559"/>
      <c r="O260" s="559"/>
      <c r="P260" s="559"/>
      <c r="Q260" s="559"/>
      <c r="R260" s="559"/>
      <c r="S260" s="559"/>
      <c r="T260" s="559"/>
      <c r="U260" s="559"/>
      <c r="V260" s="559"/>
      <c r="W260" s="559"/>
      <c r="X260" s="559"/>
      <c r="Y260" s="559"/>
      <c r="Z260" s="559"/>
      <c r="AA260" s="559"/>
      <c r="AB260" s="559"/>
      <c r="AC260" s="559"/>
      <c r="AD260" s="559"/>
      <c r="AE260" s="559"/>
      <c r="AF260" s="559"/>
      <c r="AG260" s="559"/>
      <c r="AH260" s="559"/>
      <c r="AI260" s="559"/>
      <c r="AJ260" s="559"/>
    </row>
    <row r="261" spans="2:36" s="17" customFormat="1" ht="15.75" hidden="1" x14ac:dyDescent="0.25">
      <c r="B261" s="236">
        <v>5</v>
      </c>
      <c r="C261" s="621" t="s">
        <v>1016</v>
      </c>
      <c r="D261" s="242">
        <v>590</v>
      </c>
      <c r="E261" s="242"/>
      <c r="F261" s="242"/>
      <c r="G261" s="242"/>
      <c r="H261" s="243"/>
      <c r="I261" s="56"/>
      <c r="J261" s="261"/>
      <c r="K261" s="559"/>
      <c r="L261" s="559"/>
      <c r="M261" s="559"/>
      <c r="N261" s="559"/>
      <c r="O261" s="559"/>
      <c r="P261" s="559"/>
      <c r="Q261" s="559"/>
      <c r="R261" s="559"/>
      <c r="S261" s="559"/>
      <c r="T261" s="559"/>
      <c r="U261" s="559"/>
      <c r="V261" s="559"/>
      <c r="W261" s="559"/>
      <c r="X261" s="559"/>
      <c r="Y261" s="559"/>
      <c r="Z261" s="559"/>
      <c r="AA261" s="559"/>
      <c r="AB261" s="559"/>
      <c r="AC261" s="559"/>
      <c r="AD261" s="559"/>
      <c r="AE261" s="559"/>
      <c r="AF261" s="559"/>
      <c r="AG261" s="559"/>
      <c r="AH261" s="559"/>
      <c r="AI261" s="559"/>
      <c r="AJ261" s="559"/>
    </row>
    <row r="262" spans="2:36" s="17" customFormat="1" ht="15.75" hidden="1" x14ac:dyDescent="0.25">
      <c r="B262" s="236">
        <v>6</v>
      </c>
      <c r="C262" s="622" t="s">
        <v>1017</v>
      </c>
      <c r="D262" s="242">
        <v>590</v>
      </c>
      <c r="E262" s="242"/>
      <c r="F262" s="242"/>
      <c r="G262" s="242"/>
      <c r="H262" s="243"/>
      <c r="I262" s="56"/>
      <c r="J262" s="261"/>
      <c r="K262" s="559"/>
      <c r="L262" s="559"/>
      <c r="M262" s="559"/>
      <c r="N262" s="559"/>
      <c r="O262" s="559"/>
      <c r="P262" s="559"/>
      <c r="Q262" s="559"/>
      <c r="R262" s="559"/>
      <c r="S262" s="559"/>
      <c r="T262" s="559"/>
      <c r="U262" s="559"/>
      <c r="V262" s="559"/>
      <c r="W262" s="559"/>
      <c r="X262" s="559"/>
      <c r="Y262" s="559"/>
      <c r="Z262" s="559"/>
      <c r="AA262" s="559"/>
      <c r="AB262" s="559"/>
      <c r="AC262" s="559"/>
      <c r="AD262" s="559"/>
      <c r="AE262" s="559"/>
      <c r="AF262" s="559"/>
      <c r="AG262" s="559"/>
      <c r="AH262" s="559"/>
      <c r="AI262" s="559"/>
      <c r="AJ262" s="559"/>
    </row>
    <row r="263" spans="2:36" s="17" customFormat="1" ht="16.5" hidden="1" thickBot="1" x14ac:dyDescent="0.3">
      <c r="B263" s="236">
        <v>7</v>
      </c>
      <c r="C263" s="623" t="s">
        <v>1018</v>
      </c>
      <c r="D263" s="242">
        <v>590</v>
      </c>
      <c r="E263" s="242"/>
      <c r="F263" s="242"/>
      <c r="G263" s="242"/>
      <c r="H263" s="243"/>
      <c r="I263" s="56"/>
      <c r="J263" s="261"/>
      <c r="K263" s="559"/>
      <c r="L263" s="559"/>
      <c r="M263" s="559"/>
      <c r="N263" s="559"/>
      <c r="O263" s="559"/>
      <c r="P263" s="559"/>
      <c r="Q263" s="559"/>
      <c r="R263" s="559"/>
      <c r="S263" s="559"/>
      <c r="T263" s="559"/>
      <c r="U263" s="559"/>
      <c r="V263" s="559"/>
      <c r="W263" s="559"/>
      <c r="X263" s="559"/>
      <c r="Y263" s="559"/>
      <c r="Z263" s="559"/>
      <c r="AA263" s="559"/>
      <c r="AB263" s="559"/>
      <c r="AC263" s="559"/>
      <c r="AD263" s="559"/>
      <c r="AE263" s="559"/>
      <c r="AF263" s="559"/>
      <c r="AG263" s="559"/>
      <c r="AH263" s="559"/>
      <c r="AI263" s="559"/>
      <c r="AJ263" s="559"/>
    </row>
    <row r="264" spans="2:36" s="17" customFormat="1" ht="16.5" hidden="1" thickBot="1" x14ac:dyDescent="0.3">
      <c r="B264" s="224"/>
      <c r="C264" s="244" t="s">
        <v>265</v>
      </c>
      <c r="D264" s="245" t="e">
        <f>VLOOKUP('Baseline farm'!$D$14,$C$257:$H$263,2,FALSE)</f>
        <v>#N/A</v>
      </c>
      <c r="E264" s="246"/>
      <c r="F264" s="246"/>
      <c r="G264" s="246"/>
      <c r="H264" s="246"/>
      <c r="I264" s="56"/>
      <c r="J264" s="261"/>
      <c r="K264" s="559"/>
      <c r="L264" s="559"/>
      <c r="M264" s="559"/>
      <c r="N264" s="559"/>
      <c r="O264" s="559"/>
      <c r="P264" s="559"/>
      <c r="Q264" s="559"/>
      <c r="R264" s="559"/>
      <c r="S264" s="559"/>
      <c r="T264" s="559"/>
      <c r="U264" s="559"/>
      <c r="V264" s="559"/>
      <c r="W264" s="559"/>
      <c r="X264" s="559"/>
      <c r="Y264" s="559"/>
      <c r="Z264" s="559"/>
      <c r="AA264" s="559"/>
      <c r="AB264" s="559"/>
      <c r="AC264" s="559"/>
      <c r="AD264" s="559"/>
      <c r="AE264" s="559"/>
      <c r="AF264" s="559"/>
      <c r="AG264" s="559"/>
      <c r="AH264" s="559"/>
      <c r="AI264" s="559"/>
      <c r="AJ264" s="559"/>
    </row>
    <row r="265" spans="2:36" s="17" customFormat="1" ht="16.5" hidden="1" thickBot="1" x14ac:dyDescent="0.3">
      <c r="B265" s="224"/>
      <c r="C265" s="244" t="s">
        <v>337</v>
      </c>
      <c r="D265" s="247" t="e">
        <f>IF(D264&gt;0,C14/D264,0)</f>
        <v>#N/A</v>
      </c>
      <c r="E265" s="248"/>
      <c r="F265" s="248"/>
      <c r="G265" s="248"/>
      <c r="H265" s="249"/>
      <c r="I265" s="651"/>
      <c r="J265" s="261"/>
      <c r="K265" s="559"/>
      <c r="L265" s="559"/>
      <c r="M265" s="559"/>
      <c r="N265" s="559"/>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c r="AJ265" s="559"/>
    </row>
    <row r="266" spans="2:36" s="17" customFormat="1" ht="15.75" hidden="1" x14ac:dyDescent="0.25">
      <c r="B266" s="224"/>
      <c r="C266" s="224"/>
      <c r="D266" s="224"/>
      <c r="E266" s="224"/>
      <c r="F266" s="224"/>
      <c r="G266" s="224"/>
      <c r="H266" s="224"/>
      <c r="I266" s="56"/>
      <c r="J266" s="261"/>
      <c r="K266" s="559"/>
      <c r="L266" s="559"/>
      <c r="M266" s="559"/>
      <c r="N266" s="559"/>
      <c r="O266" s="559"/>
      <c r="P266" s="559"/>
      <c r="Q266" s="559"/>
      <c r="R266" s="559"/>
      <c r="S266" s="559"/>
      <c r="T266" s="559"/>
      <c r="U266" s="559"/>
      <c r="V266" s="559"/>
      <c r="W266" s="559"/>
      <c r="X266" s="559"/>
      <c r="Y266" s="559"/>
      <c r="Z266" s="559"/>
      <c r="AA266" s="559"/>
      <c r="AB266" s="559"/>
      <c r="AC266" s="559"/>
      <c r="AD266" s="559"/>
      <c r="AE266" s="559"/>
      <c r="AF266" s="559"/>
      <c r="AG266" s="559"/>
      <c r="AH266" s="559"/>
      <c r="AI266" s="559"/>
      <c r="AJ266" s="559"/>
    </row>
    <row r="267" spans="2:36" s="17" customFormat="1" ht="15.75" hidden="1" x14ac:dyDescent="0.25">
      <c r="B267" s="224"/>
      <c r="C267" s="229" t="s">
        <v>472</v>
      </c>
      <c r="D267" s="250" t="e">
        <f>((0.032*C155*1.03/6.38)+((0.212-0.008*('Baseline farm'!D256-2)-((0.14-0.008*('Baseline farm'!D256-2))/(1+EXP(-6*(D265-0.4)))))*(C15*0.92))/6.25)</f>
        <v>#DIV/0!</v>
      </c>
      <c r="E267" s="250"/>
      <c r="F267" s="250"/>
      <c r="G267" s="250"/>
      <c r="H267" s="250"/>
      <c r="I267" s="651" t="s">
        <v>320</v>
      </c>
      <c r="J267" s="261"/>
      <c r="K267" s="559"/>
      <c r="L267" s="559"/>
      <c r="M267" s="559"/>
      <c r="N267" s="559"/>
      <c r="O267" s="559"/>
      <c r="P267" s="559"/>
      <c r="Q267" s="559"/>
      <c r="R267" s="559"/>
      <c r="S267" s="559"/>
      <c r="T267" s="559"/>
      <c r="U267" s="559"/>
      <c r="V267" s="559"/>
      <c r="W267" s="559"/>
      <c r="X267" s="559"/>
      <c r="Y267" s="559"/>
      <c r="Z267" s="559"/>
      <c r="AA267" s="559"/>
      <c r="AB267" s="559"/>
      <c r="AC267" s="559"/>
      <c r="AD267" s="559"/>
      <c r="AE267" s="559"/>
      <c r="AF267" s="559"/>
      <c r="AG267" s="559"/>
      <c r="AH267" s="559"/>
      <c r="AI267" s="559"/>
      <c r="AJ267" s="559"/>
    </row>
    <row r="268" spans="2:36" s="17" customFormat="1" ht="15.75" hidden="1" x14ac:dyDescent="0.25">
      <c r="B268" s="224"/>
      <c r="C268" s="251"/>
      <c r="D268" s="250"/>
      <c r="E268" s="250"/>
      <c r="F268" s="250"/>
      <c r="G268" s="250"/>
      <c r="H268" s="250"/>
      <c r="I268" s="651"/>
      <c r="J268" s="261"/>
      <c r="K268" s="559"/>
      <c r="L268" s="559"/>
      <c r="M268" s="559"/>
      <c r="N268" s="559"/>
      <c r="O268" s="559"/>
      <c r="P268" s="559"/>
      <c r="Q268" s="559"/>
      <c r="R268" s="559"/>
      <c r="S268" s="559"/>
      <c r="T268" s="559"/>
      <c r="U268" s="559"/>
      <c r="V268" s="559"/>
      <c r="W268" s="559"/>
      <c r="X268" s="559"/>
      <c r="Y268" s="559"/>
      <c r="Z268" s="559"/>
      <c r="AA268" s="559"/>
      <c r="AB268" s="559"/>
      <c r="AC268" s="559"/>
      <c r="AD268" s="559"/>
      <c r="AE268" s="559"/>
      <c r="AF268" s="559"/>
      <c r="AG268" s="559"/>
      <c r="AH268" s="559"/>
      <c r="AI268" s="559"/>
      <c r="AJ268" s="559"/>
    </row>
    <row r="269" spans="2:36" s="17" customFormat="1" ht="18.75" hidden="1" x14ac:dyDescent="0.25">
      <c r="B269" s="226" t="s">
        <v>321</v>
      </c>
      <c r="C269" s="224"/>
      <c r="D269" s="252" t="s">
        <v>322</v>
      </c>
      <c r="E269" s="250"/>
      <c r="F269" s="250"/>
      <c r="G269" s="250"/>
      <c r="H269" s="224"/>
      <c r="I269" s="651"/>
      <c r="J269" s="261"/>
      <c r="K269" s="559"/>
      <c r="L269" s="559"/>
      <c r="M269" s="559"/>
      <c r="N269" s="559"/>
      <c r="O269" s="559"/>
      <c r="P269" s="559"/>
      <c r="Q269" s="559"/>
      <c r="R269" s="559"/>
      <c r="S269" s="559"/>
      <c r="T269" s="559"/>
      <c r="U269" s="559"/>
      <c r="V269" s="559"/>
      <c r="W269" s="559"/>
      <c r="X269" s="559"/>
      <c r="Y269" s="559"/>
      <c r="Z269" s="559"/>
      <c r="AA269" s="559"/>
      <c r="AB269" s="559"/>
      <c r="AC269" s="559"/>
      <c r="AD269" s="559"/>
      <c r="AE269" s="559"/>
      <c r="AF269" s="559"/>
      <c r="AG269" s="559"/>
      <c r="AH269" s="559"/>
      <c r="AI269" s="559"/>
      <c r="AJ269" s="559"/>
    </row>
    <row r="270" spans="2:36" s="17" customFormat="1" ht="15.75" hidden="1" x14ac:dyDescent="0.25">
      <c r="B270" s="224"/>
      <c r="C270" s="229" t="s">
        <v>472</v>
      </c>
      <c r="D270" s="250" t="e">
        <f>(D246/6.25)-D267-D251-((1.1*10^-4*C14^0.75)/6.25)</f>
        <v>#DIV/0!</v>
      </c>
      <c r="E270" s="250"/>
      <c r="F270" s="250"/>
      <c r="G270" s="250"/>
      <c r="H270" s="250"/>
      <c r="I270" s="651" t="s">
        <v>320</v>
      </c>
      <c r="J270" s="261"/>
      <c r="K270" s="559"/>
      <c r="L270" s="559"/>
      <c r="M270" s="559"/>
      <c r="N270" s="559"/>
      <c r="O270" s="559"/>
      <c r="P270" s="559"/>
      <c r="Q270" s="559"/>
      <c r="R270" s="559"/>
      <c r="S270" s="559"/>
      <c r="T270" s="559"/>
      <c r="U270" s="559"/>
      <c r="V270" s="559"/>
      <c r="W270" s="559"/>
      <c r="X270" s="559"/>
      <c r="Y270" s="559"/>
      <c r="Z270" s="559"/>
      <c r="AA270" s="559"/>
      <c r="AB270" s="559"/>
      <c r="AC270" s="559"/>
      <c r="AD270" s="559"/>
      <c r="AE270" s="559"/>
      <c r="AF270" s="559"/>
      <c r="AG270" s="559"/>
      <c r="AH270" s="559"/>
      <c r="AI270" s="559"/>
      <c r="AJ270" s="559"/>
    </row>
    <row r="271" spans="2:36" s="17" customFormat="1" ht="15.75" hidden="1" x14ac:dyDescent="0.25">
      <c r="B271" s="224"/>
      <c r="C271" s="224"/>
      <c r="D271" s="224"/>
      <c r="E271" s="224"/>
      <c r="F271" s="224"/>
      <c r="G271" s="224"/>
      <c r="H271" s="224"/>
      <c r="I271" s="651"/>
      <c r="J271" s="261"/>
      <c r="K271" s="559"/>
      <c r="L271" s="559"/>
      <c r="M271" s="559"/>
      <c r="N271" s="559"/>
      <c r="O271" s="559"/>
      <c r="P271" s="559"/>
      <c r="Q271" s="559"/>
      <c r="R271" s="559"/>
      <c r="S271" s="559"/>
      <c r="T271" s="559"/>
      <c r="U271" s="559"/>
      <c r="V271" s="559"/>
      <c r="W271" s="559"/>
      <c r="X271" s="559"/>
      <c r="Y271" s="559"/>
      <c r="Z271" s="559"/>
      <c r="AA271" s="559"/>
      <c r="AB271" s="559"/>
      <c r="AC271" s="559"/>
      <c r="AD271" s="559"/>
      <c r="AE271" s="559"/>
      <c r="AF271" s="559"/>
      <c r="AG271" s="559"/>
      <c r="AH271" s="559"/>
      <c r="AI271" s="559"/>
      <c r="AJ271" s="559"/>
    </row>
    <row r="272" spans="2:36" s="17" customFormat="1" ht="15.75" hidden="1" x14ac:dyDescent="0.25">
      <c r="B272" s="226" t="s">
        <v>482</v>
      </c>
      <c r="C272" s="224"/>
      <c r="D272" s="226" t="s">
        <v>474</v>
      </c>
      <c r="E272" s="224"/>
      <c r="F272" s="224"/>
      <c r="G272" s="224"/>
      <c r="H272" s="224"/>
      <c r="I272" s="651"/>
      <c r="J272" s="261"/>
      <c r="K272" s="559"/>
      <c r="L272" s="559"/>
      <c r="M272" s="559"/>
      <c r="N272" s="559"/>
      <c r="O272" s="559"/>
      <c r="P272" s="559"/>
      <c r="Q272" s="559"/>
      <c r="R272" s="559"/>
      <c r="S272" s="559"/>
      <c r="T272" s="559"/>
      <c r="U272" s="559"/>
      <c r="V272" s="559"/>
      <c r="W272" s="559"/>
      <c r="X272" s="559"/>
      <c r="Y272" s="559"/>
      <c r="Z272" s="559"/>
      <c r="AA272" s="559"/>
      <c r="AB272" s="559"/>
      <c r="AC272" s="559"/>
      <c r="AD272" s="559"/>
      <c r="AE272" s="559"/>
      <c r="AF272" s="559"/>
      <c r="AG272" s="559"/>
      <c r="AH272" s="559"/>
      <c r="AI272" s="559"/>
      <c r="AJ272" s="559"/>
    </row>
    <row r="273" spans="2:36" s="17" customFormat="1" ht="15.75" hidden="1" x14ac:dyDescent="0.25">
      <c r="B273" s="224"/>
      <c r="C273" s="224"/>
      <c r="D273" s="224"/>
      <c r="E273" s="224"/>
      <c r="F273" s="224"/>
      <c r="G273" s="224"/>
      <c r="H273" s="224"/>
      <c r="I273" s="56"/>
      <c r="J273" s="261"/>
      <c r="K273" s="559"/>
      <c r="L273" s="559"/>
      <c r="M273" s="559"/>
      <c r="N273" s="559"/>
      <c r="O273" s="559"/>
      <c r="P273" s="559"/>
      <c r="Q273" s="559"/>
      <c r="R273" s="559"/>
      <c r="S273" s="559"/>
      <c r="T273" s="559"/>
      <c r="U273" s="559"/>
      <c r="V273" s="559"/>
      <c r="W273" s="559"/>
      <c r="X273" s="559"/>
      <c r="Y273" s="559"/>
      <c r="Z273" s="559"/>
      <c r="AA273" s="559"/>
      <c r="AB273" s="559"/>
      <c r="AC273" s="559"/>
      <c r="AD273" s="559"/>
      <c r="AE273" s="559"/>
      <c r="AF273" s="559"/>
      <c r="AG273" s="559"/>
      <c r="AH273" s="559"/>
      <c r="AI273" s="559"/>
      <c r="AJ273" s="559"/>
    </row>
    <row r="274" spans="2:36" s="17" customFormat="1" ht="15.75" hidden="1" x14ac:dyDescent="0.25">
      <c r="B274" s="224"/>
      <c r="C274" s="229" t="s">
        <v>472</v>
      </c>
      <c r="D274" s="230" t="e">
        <f>(365*C13*D251)*10^-6</f>
        <v>#DIV/0!</v>
      </c>
      <c r="E274" s="230"/>
      <c r="F274" s="230"/>
      <c r="G274" s="230"/>
      <c r="H274" s="230"/>
      <c r="I274" s="56" t="s">
        <v>476</v>
      </c>
      <c r="J274" s="261"/>
      <c r="K274" s="559"/>
      <c r="L274" s="559"/>
      <c r="M274" s="559"/>
      <c r="N274" s="559"/>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row>
    <row r="275" spans="2:36" s="17" customFormat="1" ht="15.75" hidden="1" x14ac:dyDescent="0.25">
      <c r="B275" s="224"/>
      <c r="C275" s="224"/>
      <c r="D275" s="224"/>
      <c r="E275" s="224"/>
      <c r="F275" s="224"/>
      <c r="G275" s="224"/>
      <c r="H275" s="224"/>
      <c r="I275" s="56"/>
      <c r="J275" s="261"/>
      <c r="K275" s="559"/>
      <c r="L275" s="559"/>
      <c r="M275" s="559"/>
      <c r="N275" s="559"/>
      <c r="O275" s="559"/>
      <c r="P275" s="559"/>
      <c r="Q275" s="559"/>
      <c r="R275" s="559"/>
      <c r="S275" s="559"/>
      <c r="T275" s="559"/>
      <c r="U275" s="559"/>
      <c r="V275" s="559"/>
      <c r="W275" s="559"/>
      <c r="X275" s="559"/>
      <c r="Y275" s="559"/>
      <c r="Z275" s="559"/>
      <c r="AA275" s="559"/>
      <c r="AB275" s="559"/>
      <c r="AC275" s="559"/>
      <c r="AD275" s="559"/>
      <c r="AE275" s="559"/>
      <c r="AF275" s="559"/>
      <c r="AG275" s="559"/>
      <c r="AH275" s="559"/>
      <c r="AI275" s="559"/>
      <c r="AJ275" s="559"/>
    </row>
    <row r="276" spans="2:36" s="17" customFormat="1" ht="15.75" hidden="1" x14ac:dyDescent="0.25">
      <c r="B276" s="226" t="s">
        <v>483</v>
      </c>
      <c r="C276" s="224"/>
      <c r="D276" s="226" t="s">
        <v>475</v>
      </c>
      <c r="E276" s="224"/>
      <c r="F276" s="224"/>
      <c r="G276" s="224"/>
      <c r="H276" s="224"/>
      <c r="I276" s="56"/>
      <c r="J276" s="261"/>
      <c r="K276" s="559"/>
      <c r="L276" s="559"/>
      <c r="M276" s="559"/>
      <c r="N276" s="559"/>
      <c r="O276" s="559"/>
      <c r="P276" s="559"/>
      <c r="Q276" s="559"/>
      <c r="R276" s="559"/>
      <c r="S276" s="559"/>
      <c r="T276" s="559"/>
      <c r="U276" s="559"/>
      <c r="V276" s="559"/>
      <c r="W276" s="559"/>
      <c r="X276" s="559"/>
      <c r="Y276" s="559"/>
      <c r="Z276" s="559"/>
      <c r="AA276" s="559"/>
      <c r="AB276" s="559"/>
      <c r="AC276" s="559"/>
      <c r="AD276" s="559"/>
      <c r="AE276" s="559"/>
      <c r="AF276" s="559"/>
      <c r="AG276" s="559"/>
      <c r="AH276" s="559"/>
      <c r="AI276" s="559"/>
      <c r="AJ276" s="559"/>
    </row>
    <row r="277" spans="2:36" s="17" customFormat="1" ht="15.75" hidden="1" x14ac:dyDescent="0.25">
      <c r="B277" s="224"/>
      <c r="C277" s="224"/>
      <c r="D277" s="224"/>
      <c r="E277" s="224"/>
      <c r="F277" s="224"/>
      <c r="G277" s="224"/>
      <c r="H277" s="224"/>
      <c r="I277" s="56"/>
      <c r="J277" s="261"/>
      <c r="K277" s="559"/>
      <c r="L277" s="559"/>
      <c r="M277" s="559"/>
      <c r="N277" s="559"/>
      <c r="O277" s="559"/>
      <c r="P277" s="559"/>
      <c r="Q277" s="559"/>
      <c r="R277" s="559"/>
      <c r="S277" s="559"/>
      <c r="T277" s="559"/>
      <c r="U277" s="559"/>
      <c r="V277" s="559"/>
      <c r="W277" s="559"/>
      <c r="X277" s="559"/>
      <c r="Y277" s="559"/>
      <c r="Z277" s="559"/>
      <c r="AA277" s="559"/>
      <c r="AB277" s="559"/>
      <c r="AC277" s="559"/>
      <c r="AD277" s="559"/>
      <c r="AE277" s="559"/>
      <c r="AF277" s="559"/>
      <c r="AG277" s="559"/>
      <c r="AH277" s="559"/>
      <c r="AI277" s="559"/>
      <c r="AJ277" s="559"/>
    </row>
    <row r="278" spans="2:36" s="17" customFormat="1" ht="15.75" hidden="1" x14ac:dyDescent="0.25">
      <c r="B278" s="224"/>
      <c r="C278" s="229" t="s">
        <v>472</v>
      </c>
      <c r="D278" s="250" t="e">
        <f>(365*C13*D270)*10^-6</f>
        <v>#DIV/0!</v>
      </c>
      <c r="E278" s="250"/>
      <c r="F278" s="250"/>
      <c r="G278" s="250"/>
      <c r="H278" s="250"/>
      <c r="I278" s="56" t="s">
        <v>476</v>
      </c>
      <c r="J278" s="261"/>
      <c r="K278" s="559"/>
      <c r="L278" s="559"/>
      <c r="M278" s="559"/>
      <c r="N278" s="559"/>
      <c r="O278" s="559"/>
      <c r="P278" s="559"/>
      <c r="Q278" s="559"/>
      <c r="R278" s="559"/>
      <c r="S278" s="559"/>
      <c r="T278" s="559"/>
      <c r="U278" s="559"/>
      <c r="V278" s="559"/>
      <c r="W278" s="559"/>
      <c r="X278" s="559"/>
      <c r="Y278" s="559"/>
      <c r="Z278" s="559"/>
      <c r="AA278" s="559"/>
      <c r="AB278" s="559"/>
      <c r="AC278" s="559"/>
      <c r="AD278" s="559"/>
      <c r="AE278" s="559"/>
      <c r="AF278" s="559"/>
      <c r="AG278" s="559"/>
      <c r="AH278" s="559"/>
      <c r="AI278" s="559"/>
      <c r="AJ278" s="559"/>
    </row>
    <row r="279" spans="2:36" s="17" customFormat="1" ht="15.75" hidden="1" x14ac:dyDescent="0.25">
      <c r="B279" s="224"/>
      <c r="C279" s="224"/>
      <c r="D279" s="224"/>
      <c r="E279" s="224"/>
      <c r="F279" s="224"/>
      <c r="G279" s="224"/>
      <c r="H279" s="224"/>
      <c r="I279" s="56"/>
      <c r="J279" s="261"/>
      <c r="K279" s="559"/>
      <c r="L279" s="559"/>
      <c r="M279" s="559"/>
      <c r="N279" s="559"/>
      <c r="O279" s="559"/>
      <c r="P279" s="559"/>
      <c r="Q279" s="559"/>
      <c r="R279" s="559"/>
      <c r="S279" s="559"/>
      <c r="T279" s="559"/>
      <c r="U279" s="559"/>
      <c r="V279" s="559"/>
      <c r="W279" s="559"/>
      <c r="X279" s="559"/>
      <c r="Y279" s="559"/>
      <c r="Z279" s="559"/>
      <c r="AA279" s="559"/>
      <c r="AB279" s="559"/>
      <c r="AC279" s="559"/>
      <c r="AD279" s="559"/>
      <c r="AE279" s="559"/>
      <c r="AF279" s="559"/>
      <c r="AG279" s="559"/>
      <c r="AH279" s="559"/>
      <c r="AI279" s="559"/>
      <c r="AJ279" s="559"/>
    </row>
    <row r="280" spans="2:36" s="17" customFormat="1" ht="15.75" hidden="1" x14ac:dyDescent="0.25">
      <c r="B280" s="226" t="s">
        <v>484</v>
      </c>
      <c r="C280" s="224"/>
      <c r="D280" s="226" t="s">
        <v>327</v>
      </c>
      <c r="E280" s="224"/>
      <c r="F280" s="224"/>
      <c r="G280" s="224"/>
      <c r="H280" s="224"/>
      <c r="I280" s="56"/>
      <c r="J280" s="261"/>
      <c r="K280" s="559"/>
      <c r="L280" s="559"/>
      <c r="M280" s="559"/>
      <c r="N280" s="559"/>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9"/>
      <c r="AJ280" s="559"/>
    </row>
    <row r="281" spans="2:36" s="17" customFormat="1" ht="15.75" hidden="1" x14ac:dyDescent="0.25">
      <c r="B281" s="224"/>
      <c r="C281" s="224"/>
      <c r="D281" s="253"/>
      <c r="E281" s="253"/>
      <c r="F281" s="253"/>
      <c r="G281" s="253"/>
      <c r="H281" s="253"/>
      <c r="I281" s="651"/>
      <c r="J281" s="261"/>
      <c r="K281" s="559"/>
      <c r="L281" s="559"/>
      <c r="M281" s="559"/>
      <c r="N281" s="559"/>
      <c r="O281" s="559"/>
      <c r="P281" s="559"/>
      <c r="Q281" s="559"/>
      <c r="R281" s="559"/>
      <c r="S281" s="559"/>
      <c r="T281" s="559"/>
      <c r="U281" s="559"/>
      <c r="V281" s="559"/>
      <c r="W281" s="559"/>
      <c r="X281" s="559"/>
      <c r="Y281" s="559"/>
      <c r="Z281" s="559"/>
      <c r="AA281" s="559"/>
      <c r="AB281" s="559"/>
      <c r="AC281" s="559"/>
      <c r="AD281" s="559"/>
      <c r="AE281" s="559"/>
      <c r="AF281" s="559"/>
      <c r="AG281" s="559"/>
      <c r="AH281" s="559"/>
      <c r="AI281" s="559"/>
      <c r="AJ281" s="559"/>
    </row>
    <row r="282" spans="2:36" s="17" customFormat="1" ht="15.75" hidden="1" x14ac:dyDescent="0.25">
      <c r="B282" s="224"/>
      <c r="C282" s="229" t="s">
        <v>472</v>
      </c>
      <c r="D282" s="253" t="e">
        <f>D274+D278</f>
        <v>#DIV/0!</v>
      </c>
      <c r="E282" s="253"/>
      <c r="F282" s="253"/>
      <c r="G282" s="253"/>
      <c r="H282" s="253"/>
      <c r="I282" s="56" t="s">
        <v>476</v>
      </c>
      <c r="J282" s="261"/>
      <c r="K282" s="559"/>
      <c r="L282" s="559"/>
      <c r="M282" s="559"/>
      <c r="N282" s="559"/>
      <c r="O282" s="559"/>
      <c r="P282" s="559"/>
      <c r="Q282" s="559"/>
      <c r="R282" s="559"/>
      <c r="S282" s="559"/>
      <c r="T282" s="559"/>
      <c r="U282" s="559"/>
      <c r="V282" s="559"/>
      <c r="W282" s="559"/>
      <c r="X282" s="559"/>
      <c r="Y282" s="559"/>
      <c r="Z282" s="559"/>
      <c r="AA282" s="559"/>
      <c r="AB282" s="559"/>
      <c r="AC282" s="559"/>
      <c r="AD282" s="559"/>
      <c r="AE282" s="559"/>
      <c r="AF282" s="559"/>
      <c r="AG282" s="559"/>
      <c r="AH282" s="559"/>
      <c r="AI282" s="559"/>
      <c r="AJ282" s="559"/>
    </row>
    <row r="283" spans="2:36" s="17" customFormat="1" ht="15.75" hidden="1" x14ac:dyDescent="0.25">
      <c r="B283" s="224"/>
      <c r="C283" s="229"/>
      <c r="D283" s="224"/>
      <c r="E283" s="224"/>
      <c r="F283" s="224"/>
      <c r="G283" s="224"/>
      <c r="H283" s="224"/>
      <c r="I283" s="56"/>
      <c r="J283" s="261"/>
      <c r="K283" s="559"/>
      <c r="L283" s="559"/>
      <c r="M283" s="559"/>
      <c r="N283" s="559"/>
      <c r="O283" s="559"/>
      <c r="P283" s="559"/>
      <c r="Q283" s="559"/>
      <c r="R283" s="559"/>
      <c r="S283" s="559"/>
      <c r="T283" s="559"/>
      <c r="U283" s="559"/>
      <c r="V283" s="559"/>
      <c r="W283" s="559"/>
      <c r="X283" s="559"/>
      <c r="Y283" s="559"/>
      <c r="Z283" s="559"/>
      <c r="AA283" s="559"/>
      <c r="AB283" s="559"/>
      <c r="AC283" s="559"/>
      <c r="AD283" s="559"/>
      <c r="AE283" s="559"/>
      <c r="AF283" s="559"/>
      <c r="AG283" s="559"/>
      <c r="AH283" s="559"/>
      <c r="AI283" s="559"/>
      <c r="AJ283" s="559"/>
    </row>
    <row r="284" spans="2:36" s="17" customFormat="1" ht="15.75" hidden="1" x14ac:dyDescent="0.25">
      <c r="B284" s="226" t="s">
        <v>328</v>
      </c>
      <c r="C284" s="251"/>
      <c r="D284" s="226" t="s">
        <v>329</v>
      </c>
      <c r="E284" s="251"/>
      <c r="F284" s="251"/>
      <c r="G284" s="251"/>
      <c r="H284" s="236"/>
      <c r="I284" s="56"/>
      <c r="J284" s="261"/>
      <c r="K284" s="559"/>
      <c r="L284" s="559"/>
      <c r="M284" s="559"/>
      <c r="N284" s="559"/>
      <c r="O284" s="559"/>
      <c r="P284" s="559"/>
      <c r="Q284" s="559"/>
      <c r="R284" s="559"/>
      <c r="S284" s="559"/>
      <c r="T284" s="559"/>
      <c r="U284" s="559"/>
      <c r="V284" s="559"/>
      <c r="W284" s="559"/>
      <c r="X284" s="559"/>
      <c r="Y284" s="559"/>
      <c r="Z284" s="559"/>
      <c r="AA284" s="559"/>
      <c r="AB284" s="559"/>
      <c r="AC284" s="559"/>
      <c r="AD284" s="559"/>
      <c r="AE284" s="559"/>
      <c r="AF284" s="559"/>
      <c r="AG284" s="559"/>
      <c r="AH284" s="559"/>
      <c r="AI284" s="559"/>
      <c r="AJ284" s="559"/>
    </row>
    <row r="285" spans="2:36" s="17" customFormat="1" ht="15.75" hidden="1" x14ac:dyDescent="0.25">
      <c r="B285" s="224"/>
      <c r="C285" s="224"/>
      <c r="D285" s="224" t="s">
        <v>330</v>
      </c>
      <c r="E285" s="254"/>
      <c r="F285" s="254"/>
      <c r="G285" s="254"/>
      <c r="H285" s="254"/>
      <c r="I285" s="56"/>
      <c r="J285" s="261"/>
      <c r="K285" s="559"/>
      <c r="L285" s="559"/>
      <c r="M285" s="559"/>
      <c r="N285" s="559"/>
      <c r="O285" s="559"/>
      <c r="P285" s="559"/>
      <c r="Q285" s="559"/>
      <c r="R285" s="559"/>
      <c r="S285" s="559"/>
      <c r="T285" s="559"/>
      <c r="U285" s="559"/>
      <c r="V285" s="559"/>
      <c r="W285" s="559"/>
      <c r="X285" s="559"/>
      <c r="Y285" s="559"/>
      <c r="Z285" s="559"/>
      <c r="AA285" s="559"/>
      <c r="AB285" s="559"/>
      <c r="AC285" s="559"/>
      <c r="AD285" s="559"/>
      <c r="AE285" s="559"/>
      <c r="AF285" s="559"/>
      <c r="AG285" s="559"/>
      <c r="AH285" s="559"/>
      <c r="AI285" s="559"/>
      <c r="AJ285" s="559"/>
    </row>
    <row r="286" spans="2:36" s="17" customFormat="1" ht="15.75" hidden="1" x14ac:dyDescent="0.25">
      <c r="B286" s="224"/>
      <c r="C286" s="224"/>
      <c r="D286" s="224" t="s">
        <v>331</v>
      </c>
      <c r="E286" s="224"/>
      <c r="F286" s="224"/>
      <c r="G286" s="224"/>
      <c r="H286" s="224"/>
      <c r="I286" s="56"/>
      <c r="J286" s="261"/>
      <c r="K286" s="559"/>
      <c r="L286" s="559"/>
      <c r="M286" s="559"/>
      <c r="N286" s="559"/>
      <c r="O286" s="559"/>
      <c r="P286" s="559"/>
      <c r="Q286" s="559"/>
      <c r="R286" s="559"/>
      <c r="S286" s="559"/>
      <c r="T286" s="559"/>
      <c r="U286" s="559"/>
      <c r="V286" s="559"/>
      <c r="W286" s="559"/>
      <c r="X286" s="559"/>
      <c r="Y286" s="559"/>
      <c r="Z286" s="559"/>
      <c r="AA286" s="559"/>
      <c r="AB286" s="559"/>
      <c r="AC286" s="559"/>
      <c r="AD286" s="559"/>
      <c r="AE286" s="559"/>
      <c r="AF286" s="559"/>
      <c r="AG286" s="559"/>
      <c r="AH286" s="559"/>
      <c r="AI286" s="559"/>
      <c r="AJ286" s="559"/>
    </row>
    <row r="287" spans="2:36" s="17" customFormat="1" ht="15.75" hidden="1" x14ac:dyDescent="0.25">
      <c r="B287" s="224"/>
      <c r="C287" s="224"/>
      <c r="D287" s="224"/>
      <c r="E287" s="224"/>
      <c r="F287" s="224"/>
      <c r="G287" s="224"/>
      <c r="H287" s="224"/>
      <c r="I287" s="56"/>
      <c r="J287" s="56"/>
      <c r="K287" s="559"/>
      <c r="L287" s="559"/>
      <c r="M287" s="559"/>
      <c r="N287" s="559"/>
      <c r="O287" s="559"/>
      <c r="P287" s="559"/>
      <c r="Q287" s="559"/>
      <c r="R287" s="559"/>
      <c r="S287" s="559"/>
      <c r="T287" s="559"/>
      <c r="U287" s="559"/>
      <c r="V287" s="559"/>
      <c r="W287" s="559"/>
      <c r="X287" s="559"/>
      <c r="Y287" s="559"/>
      <c r="Z287" s="559"/>
      <c r="AA287" s="559"/>
      <c r="AB287" s="559"/>
      <c r="AC287" s="559"/>
      <c r="AD287" s="559"/>
      <c r="AE287" s="559"/>
      <c r="AF287" s="559"/>
      <c r="AG287" s="559"/>
      <c r="AH287" s="559"/>
      <c r="AI287" s="559"/>
      <c r="AJ287" s="559"/>
    </row>
    <row r="288" spans="2:36" s="17" customFormat="1" ht="17.25" hidden="1" x14ac:dyDescent="0.3">
      <c r="B288" s="1194" t="s">
        <v>332</v>
      </c>
      <c r="C288" s="1447"/>
      <c r="D288" s="1443" t="s">
        <v>1531</v>
      </c>
      <c r="E288" s="224"/>
      <c r="F288" s="224"/>
      <c r="G288" s="1194" t="s">
        <v>333</v>
      </c>
      <c r="H288" s="224"/>
      <c r="I288" s="652"/>
      <c r="J288" s="261"/>
      <c r="K288" s="559"/>
      <c r="L288" s="559"/>
      <c r="M288" s="559"/>
      <c r="N288" s="559"/>
      <c r="O288" s="559"/>
      <c r="P288" s="559"/>
      <c r="Q288" s="559"/>
      <c r="R288" s="559"/>
      <c r="S288" s="559"/>
      <c r="T288" s="559"/>
      <c r="U288" s="559"/>
      <c r="V288" s="559"/>
      <c r="W288" s="559"/>
      <c r="X288" s="559"/>
      <c r="Y288" s="559"/>
      <c r="Z288" s="559"/>
      <c r="AA288" s="559"/>
      <c r="AB288" s="559"/>
      <c r="AC288" s="559"/>
      <c r="AD288" s="559"/>
      <c r="AE288" s="559"/>
      <c r="AF288" s="559"/>
      <c r="AG288" s="559"/>
      <c r="AH288" s="559"/>
      <c r="AI288" s="559"/>
      <c r="AJ288" s="559"/>
    </row>
    <row r="289" spans="2:36" s="17" customFormat="1" ht="15.75" hidden="1" x14ac:dyDescent="0.25">
      <c r="B289" s="1420" t="s">
        <v>1462</v>
      </c>
      <c r="C289" s="1431" t="s">
        <v>472</v>
      </c>
      <c r="D289" s="1503" t="e">
        <f>$D$282*'Baseline farm'!C73%</f>
        <v>#DIV/0!</v>
      </c>
      <c r="E289" s="257"/>
      <c r="F289" s="257"/>
      <c r="G289" s="1420">
        <v>0</v>
      </c>
      <c r="H289" s="257"/>
      <c r="I289" s="568"/>
      <c r="J289" s="261"/>
      <c r="K289" s="559"/>
      <c r="L289" s="559"/>
      <c r="M289" s="559"/>
      <c r="N289" s="559"/>
      <c r="O289" s="559"/>
      <c r="P289" s="559"/>
      <c r="Q289" s="559"/>
      <c r="R289" s="559"/>
      <c r="S289" s="559"/>
      <c r="T289" s="559"/>
      <c r="U289" s="559"/>
      <c r="V289" s="559"/>
      <c r="W289" s="559"/>
      <c r="X289" s="559"/>
      <c r="Y289" s="559"/>
      <c r="Z289" s="559"/>
      <c r="AA289" s="559"/>
      <c r="AB289" s="559"/>
      <c r="AC289" s="559"/>
      <c r="AD289" s="559"/>
      <c r="AE289" s="559"/>
      <c r="AF289" s="559"/>
      <c r="AG289" s="559"/>
      <c r="AH289" s="559"/>
      <c r="AI289" s="559"/>
      <c r="AJ289" s="559"/>
    </row>
    <row r="290" spans="2:36" s="17" customFormat="1" ht="15.75" hidden="1" x14ac:dyDescent="0.25">
      <c r="B290" s="1447"/>
      <c r="C290" s="1447"/>
      <c r="D290" s="1415"/>
      <c r="E290" s="224"/>
      <c r="F290" s="224"/>
      <c r="G290" s="1447"/>
      <c r="H290" s="224"/>
      <c r="I290" s="56"/>
      <c r="J290" s="261"/>
      <c r="K290" s="559"/>
      <c r="L290" s="559"/>
      <c r="M290" s="559"/>
      <c r="N290" s="559"/>
      <c r="O290" s="559"/>
      <c r="P290" s="559"/>
      <c r="Q290" s="559"/>
      <c r="R290" s="559"/>
      <c r="S290" s="559"/>
      <c r="T290" s="559"/>
      <c r="U290" s="559"/>
      <c r="V290" s="559"/>
      <c r="W290" s="559"/>
      <c r="X290" s="559"/>
      <c r="Y290" s="559"/>
      <c r="Z290" s="559"/>
      <c r="AA290" s="559"/>
      <c r="AB290" s="559"/>
      <c r="AC290" s="559"/>
      <c r="AD290" s="559"/>
      <c r="AE290" s="559"/>
      <c r="AF290" s="559"/>
      <c r="AG290" s="559"/>
      <c r="AH290" s="559"/>
      <c r="AI290" s="559"/>
      <c r="AJ290" s="559"/>
    </row>
    <row r="291" spans="2:36" s="17" customFormat="1" ht="15.75" hidden="1" x14ac:dyDescent="0.25">
      <c r="B291" s="1420" t="s">
        <v>1461</v>
      </c>
      <c r="C291" s="1431" t="s">
        <v>472</v>
      </c>
      <c r="D291" s="1503" t="e">
        <f>$D$282*'Baseline farm'!D73%</f>
        <v>#DIV/0!</v>
      </c>
      <c r="E291" s="257"/>
      <c r="F291" s="257"/>
      <c r="G291" s="1420">
        <v>0</v>
      </c>
      <c r="H291" s="257"/>
      <c r="I291" s="568"/>
      <c r="J291" s="261"/>
      <c r="K291" s="559"/>
      <c r="L291" s="559"/>
      <c r="M291" s="559"/>
      <c r="N291" s="559"/>
      <c r="O291" s="559"/>
      <c r="P291" s="559"/>
      <c r="Q291" s="559"/>
      <c r="R291" s="559"/>
      <c r="S291" s="559"/>
      <c r="T291" s="559"/>
      <c r="U291" s="559"/>
      <c r="V291" s="559"/>
      <c r="W291" s="559"/>
      <c r="X291" s="559"/>
      <c r="Y291" s="559"/>
      <c r="Z291" s="559"/>
      <c r="AA291" s="559"/>
      <c r="AB291" s="559"/>
      <c r="AC291" s="559"/>
      <c r="AD291" s="559"/>
      <c r="AE291" s="559"/>
      <c r="AF291" s="559"/>
      <c r="AG291" s="559"/>
      <c r="AH291" s="559"/>
      <c r="AI291" s="559"/>
      <c r="AJ291" s="559"/>
    </row>
    <row r="292" spans="2:36" s="17" customFormat="1" ht="15.75" hidden="1" x14ac:dyDescent="0.25">
      <c r="B292" s="1447"/>
      <c r="C292" s="1447"/>
      <c r="D292" s="1415"/>
      <c r="E292" s="224"/>
      <c r="F292" s="224"/>
      <c r="G292" s="1447"/>
      <c r="H292" s="224"/>
      <c r="I292" s="56"/>
      <c r="J292" s="261"/>
      <c r="K292" s="559"/>
      <c r="L292" s="559"/>
      <c r="M292" s="559"/>
      <c r="N292" s="559"/>
      <c r="O292" s="559"/>
      <c r="P292" s="559"/>
      <c r="Q292" s="559"/>
      <c r="R292" s="559"/>
      <c r="S292" s="559"/>
      <c r="T292" s="559"/>
      <c r="U292" s="559"/>
      <c r="V292" s="559"/>
      <c r="W292" s="559"/>
      <c r="X292" s="559"/>
      <c r="Y292" s="559"/>
      <c r="Z292" s="559"/>
      <c r="AA292" s="559"/>
      <c r="AB292" s="559"/>
      <c r="AC292" s="559"/>
      <c r="AD292" s="559"/>
      <c r="AE292" s="559"/>
      <c r="AF292" s="559"/>
      <c r="AG292" s="559"/>
      <c r="AH292" s="559"/>
      <c r="AI292" s="559"/>
      <c r="AJ292" s="559"/>
    </row>
    <row r="293" spans="2:36" s="17" customFormat="1" ht="15.75" hidden="1" x14ac:dyDescent="0.25">
      <c r="B293" s="1420" t="s">
        <v>1463</v>
      </c>
      <c r="C293" s="1431" t="s">
        <v>472</v>
      </c>
      <c r="D293" s="1503" t="e">
        <f>$D$282*'Baseline farm'!E73%</f>
        <v>#DIV/0!</v>
      </c>
      <c r="E293" s="257"/>
      <c r="F293" s="257"/>
      <c r="G293" s="1420">
        <v>0</v>
      </c>
      <c r="H293" s="257"/>
      <c r="I293" s="568"/>
      <c r="J293" s="261"/>
      <c r="K293" s="559"/>
      <c r="L293" s="559"/>
      <c r="M293" s="559"/>
      <c r="N293" s="559"/>
      <c r="O293" s="559"/>
      <c r="P293" s="559"/>
      <c r="Q293" s="559"/>
      <c r="R293" s="559"/>
      <c r="S293" s="559"/>
      <c r="T293" s="559"/>
      <c r="U293" s="559"/>
      <c r="V293" s="559"/>
      <c r="W293" s="559"/>
      <c r="X293" s="559"/>
      <c r="Y293" s="559"/>
      <c r="Z293" s="559"/>
      <c r="AA293" s="559"/>
      <c r="AB293" s="559"/>
      <c r="AC293" s="559"/>
      <c r="AD293" s="559"/>
      <c r="AE293" s="559"/>
      <c r="AF293" s="559"/>
      <c r="AG293" s="559"/>
      <c r="AH293" s="559"/>
      <c r="AI293" s="559"/>
      <c r="AJ293" s="559"/>
    </row>
    <row r="294" spans="2:36" s="17" customFormat="1" ht="15.75" hidden="1" x14ac:dyDescent="0.25">
      <c r="B294" s="1447"/>
      <c r="C294" s="1431"/>
      <c r="D294" s="1415"/>
      <c r="E294" s="257"/>
      <c r="F294" s="257"/>
      <c r="G294" s="1447"/>
      <c r="H294" s="257"/>
      <c r="I294" s="56"/>
      <c r="J294" s="261"/>
      <c r="K294" s="559"/>
      <c r="L294" s="559"/>
      <c r="M294" s="559"/>
      <c r="N294" s="559"/>
      <c r="O294" s="559"/>
      <c r="P294" s="559"/>
      <c r="Q294" s="559"/>
      <c r="R294" s="559"/>
      <c r="S294" s="559"/>
      <c r="T294" s="559"/>
      <c r="U294" s="559"/>
      <c r="V294" s="559"/>
      <c r="W294" s="559"/>
      <c r="X294" s="559"/>
      <c r="Y294" s="559"/>
      <c r="Z294" s="559"/>
      <c r="AA294" s="559"/>
      <c r="AB294" s="559"/>
      <c r="AC294" s="559"/>
      <c r="AD294" s="559"/>
      <c r="AE294" s="559"/>
      <c r="AF294" s="559"/>
      <c r="AG294" s="559"/>
      <c r="AH294" s="559"/>
      <c r="AI294" s="559"/>
      <c r="AJ294" s="559"/>
    </row>
    <row r="295" spans="2:36" s="17" customFormat="1" ht="15.75" hidden="1" x14ac:dyDescent="0.25">
      <c r="B295" s="1420" t="s">
        <v>1464</v>
      </c>
      <c r="C295" s="1431" t="s">
        <v>472</v>
      </c>
      <c r="D295" s="1503" t="e">
        <f>$D$282*'Baseline farm'!F73%</f>
        <v>#DIV/0!</v>
      </c>
      <c r="E295" s="257"/>
      <c r="F295" s="257"/>
      <c r="G295" s="1431">
        <v>5.0000000000000001E-3</v>
      </c>
      <c r="H295" s="257"/>
      <c r="I295" s="283"/>
      <c r="J295" s="261"/>
      <c r="K295" s="559"/>
      <c r="L295" s="559"/>
      <c r="M295" s="559"/>
      <c r="N295" s="559"/>
      <c r="O295" s="559"/>
      <c r="P295" s="559"/>
      <c r="Q295" s="559"/>
      <c r="R295" s="559"/>
      <c r="S295" s="559"/>
      <c r="T295" s="559"/>
      <c r="U295" s="559"/>
      <c r="V295" s="559"/>
      <c r="W295" s="559"/>
      <c r="X295" s="559"/>
      <c r="Y295" s="559"/>
      <c r="Z295" s="559"/>
      <c r="AA295" s="559"/>
      <c r="AB295" s="559"/>
      <c r="AC295" s="559"/>
      <c r="AD295" s="559"/>
      <c r="AE295" s="559"/>
      <c r="AF295" s="559"/>
      <c r="AG295" s="559"/>
      <c r="AH295" s="559"/>
      <c r="AI295" s="559"/>
      <c r="AJ295" s="559"/>
    </row>
    <row r="296" spans="2:36" s="17" customFormat="1" ht="15.75" hidden="1" x14ac:dyDescent="0.25">
      <c r="B296" s="1447"/>
      <c r="C296" s="1431"/>
      <c r="D296" s="1415"/>
      <c r="E296" s="257"/>
      <c r="F296" s="257"/>
      <c r="G296" s="1447"/>
      <c r="H296" s="257"/>
      <c r="I296" s="56"/>
      <c r="J296" s="261"/>
      <c r="K296" s="559"/>
      <c r="L296" s="559"/>
      <c r="M296" s="559"/>
      <c r="N296" s="559"/>
      <c r="O296" s="559"/>
      <c r="P296" s="559"/>
      <c r="Q296" s="559"/>
      <c r="R296" s="559"/>
      <c r="S296" s="559"/>
      <c r="T296" s="559"/>
      <c r="U296" s="559"/>
      <c r="V296" s="559"/>
      <c r="W296" s="559"/>
      <c r="X296" s="559"/>
      <c r="Y296" s="559"/>
      <c r="Z296" s="559"/>
      <c r="AA296" s="559"/>
      <c r="AB296" s="559"/>
      <c r="AC296" s="559"/>
      <c r="AD296" s="559"/>
      <c r="AE296" s="559"/>
      <c r="AF296" s="559"/>
      <c r="AG296" s="559"/>
      <c r="AH296" s="559"/>
      <c r="AI296" s="559"/>
      <c r="AJ296" s="559"/>
    </row>
    <row r="297" spans="2:36" s="17" customFormat="1" ht="15.75" hidden="1" x14ac:dyDescent="0.25">
      <c r="B297" s="1420" t="s">
        <v>1465</v>
      </c>
      <c r="C297" s="1431" t="s">
        <v>472</v>
      </c>
      <c r="D297" s="1503" t="e">
        <f>$D$282*'Baseline farm'!G73%</f>
        <v>#DIV/0!</v>
      </c>
      <c r="E297" s="257"/>
      <c r="F297" s="257"/>
      <c r="G297" s="1420">
        <v>0</v>
      </c>
      <c r="H297" s="257"/>
      <c r="I297" s="283"/>
      <c r="J297" s="261"/>
      <c r="K297" s="559"/>
      <c r="L297" s="559"/>
      <c r="M297" s="559"/>
      <c r="N297" s="559"/>
      <c r="O297" s="559"/>
      <c r="P297" s="559"/>
      <c r="Q297" s="559"/>
      <c r="R297" s="559"/>
      <c r="S297" s="559"/>
      <c r="T297" s="559"/>
      <c r="U297" s="559"/>
      <c r="V297" s="559"/>
      <c r="W297" s="559"/>
      <c r="X297" s="559"/>
      <c r="Y297" s="559"/>
      <c r="Z297" s="559"/>
      <c r="AA297" s="559"/>
      <c r="AB297" s="559"/>
      <c r="AC297" s="559"/>
      <c r="AD297" s="559"/>
      <c r="AE297" s="559"/>
      <c r="AF297" s="559"/>
      <c r="AG297" s="559"/>
      <c r="AH297" s="559"/>
      <c r="AI297" s="559"/>
      <c r="AJ297" s="559"/>
    </row>
    <row r="298" spans="2:36" s="17" customFormat="1" ht="15.75" hidden="1" x14ac:dyDescent="0.25">
      <c r="B298" s="1447"/>
      <c r="C298" s="1447"/>
      <c r="D298" s="1415"/>
      <c r="E298" s="257"/>
      <c r="F298" s="257"/>
      <c r="G298" s="1447"/>
      <c r="H298" s="257"/>
      <c r="I298" s="56"/>
      <c r="J298" s="261"/>
      <c r="K298" s="559"/>
      <c r="L298" s="559"/>
      <c r="M298" s="559"/>
      <c r="N298" s="559"/>
      <c r="O298" s="559"/>
      <c r="P298" s="559"/>
      <c r="Q298" s="559"/>
      <c r="R298" s="559"/>
      <c r="S298" s="559"/>
      <c r="T298" s="559"/>
      <c r="U298" s="559"/>
      <c r="V298" s="559"/>
      <c r="W298" s="559"/>
      <c r="X298" s="559"/>
      <c r="Y298" s="559"/>
      <c r="Z298" s="559"/>
      <c r="AA298" s="559"/>
      <c r="AB298" s="559"/>
      <c r="AC298" s="559"/>
      <c r="AD298" s="559"/>
      <c r="AE298" s="559"/>
      <c r="AF298" s="559"/>
      <c r="AG298" s="559"/>
      <c r="AH298" s="559"/>
      <c r="AI298" s="559"/>
      <c r="AJ298" s="559"/>
    </row>
    <row r="299" spans="2:36" s="17" customFormat="1" ht="17.25" hidden="1" x14ac:dyDescent="0.3">
      <c r="B299" s="1443" t="s">
        <v>1450</v>
      </c>
      <c r="C299" s="1431" t="s">
        <v>472</v>
      </c>
      <c r="D299" s="1503" t="e">
        <f>SUM(D289,D291,D293,D295,D297)</f>
        <v>#DIV/0!</v>
      </c>
      <c r="E299" s="257"/>
      <c r="F299" s="257"/>
      <c r="G299" s="1447" t="s">
        <v>476</v>
      </c>
      <c r="H299" s="257"/>
      <c r="I299" s="568"/>
      <c r="J299" s="261"/>
      <c r="K299" s="559"/>
      <c r="L299" s="559"/>
      <c r="M299" s="559"/>
      <c r="N299" s="559"/>
      <c r="O299" s="559"/>
      <c r="P299" s="559"/>
      <c r="Q299" s="559"/>
      <c r="R299" s="559"/>
      <c r="S299" s="559"/>
      <c r="T299" s="559"/>
      <c r="U299" s="559"/>
      <c r="V299" s="559"/>
      <c r="W299" s="559"/>
      <c r="X299" s="559"/>
      <c r="Y299" s="559"/>
      <c r="Z299" s="559"/>
      <c r="AA299" s="559"/>
      <c r="AB299" s="559"/>
      <c r="AC299" s="559"/>
      <c r="AD299" s="559"/>
      <c r="AE299" s="559"/>
      <c r="AF299" s="559"/>
      <c r="AG299" s="559"/>
      <c r="AH299" s="559"/>
      <c r="AI299" s="559"/>
      <c r="AJ299" s="559"/>
    </row>
    <row r="300" spans="2:36" s="17" customFormat="1" ht="15.75" hidden="1" x14ac:dyDescent="0.25">
      <c r="B300" s="1447"/>
      <c r="C300" s="1447"/>
      <c r="D300" s="1504"/>
      <c r="E300" s="257"/>
      <c r="F300" s="257"/>
      <c r="G300" s="1447"/>
      <c r="H300" s="257"/>
      <c r="I300" s="56"/>
      <c r="J300" s="261"/>
      <c r="K300" s="559"/>
      <c r="L300" s="559"/>
      <c r="M300" s="559"/>
      <c r="N300" s="559"/>
      <c r="O300" s="559"/>
      <c r="P300" s="559"/>
      <c r="Q300" s="559"/>
      <c r="R300" s="559"/>
      <c r="S300" s="559"/>
      <c r="T300" s="559"/>
      <c r="U300" s="559"/>
      <c r="V300" s="559"/>
      <c r="W300" s="559"/>
      <c r="X300" s="559"/>
      <c r="Y300" s="559"/>
      <c r="Z300" s="559"/>
      <c r="AA300" s="559"/>
      <c r="AB300" s="559"/>
      <c r="AC300" s="559"/>
      <c r="AD300" s="559"/>
      <c r="AE300" s="559"/>
      <c r="AF300" s="559"/>
      <c r="AG300" s="559"/>
      <c r="AH300" s="559"/>
      <c r="AI300" s="559"/>
      <c r="AJ300" s="559"/>
    </row>
    <row r="301" spans="2:36" s="17" customFormat="1" ht="17.25" hidden="1" x14ac:dyDescent="0.3">
      <c r="B301" s="1443" t="s">
        <v>1480</v>
      </c>
      <c r="C301" s="1431" t="s">
        <v>472</v>
      </c>
      <c r="D301" s="1505" t="e">
        <f>((D289*$G$289)+(D291*$G$291)+(D293*$G$293)+(D295*$G$295))*44/28</f>
        <v>#DIV/0!</v>
      </c>
      <c r="E301" s="257"/>
      <c r="F301" s="257"/>
      <c r="G301" s="1447" t="s">
        <v>1452</v>
      </c>
      <c r="H301" s="257"/>
      <c r="I301" s="56"/>
      <c r="J301" s="261"/>
      <c r="K301" s="559"/>
      <c r="L301" s="559"/>
      <c r="M301" s="559"/>
      <c r="N301" s="559"/>
      <c r="O301" s="559"/>
      <c r="P301" s="559"/>
      <c r="Q301" s="559"/>
      <c r="R301" s="559"/>
      <c r="S301" s="559"/>
      <c r="T301" s="559"/>
      <c r="U301" s="559"/>
      <c r="V301" s="559"/>
      <c r="W301" s="559"/>
      <c r="X301" s="559"/>
      <c r="Y301" s="559"/>
      <c r="Z301" s="559"/>
      <c r="AA301" s="559"/>
      <c r="AB301" s="559"/>
      <c r="AC301" s="559"/>
      <c r="AD301" s="559"/>
      <c r="AE301" s="559"/>
      <c r="AF301" s="559"/>
      <c r="AG301" s="559"/>
      <c r="AH301" s="559"/>
      <c r="AI301" s="559"/>
      <c r="AJ301" s="559"/>
    </row>
    <row r="302" spans="2:36" s="17" customFormat="1" ht="15.75" hidden="1" x14ac:dyDescent="0.25">
      <c r="B302" s="1447"/>
      <c r="C302" s="1431"/>
      <c r="D302" s="1447"/>
      <c r="E302" s="224"/>
      <c r="F302" s="224"/>
      <c r="G302" s="1447"/>
      <c r="H302" s="224"/>
      <c r="I302" s="56"/>
      <c r="J302" s="261"/>
      <c r="K302" s="559"/>
      <c r="L302" s="559"/>
      <c r="M302" s="559"/>
      <c r="N302" s="559"/>
      <c r="O302" s="559"/>
      <c r="P302" s="559"/>
      <c r="Q302" s="559"/>
      <c r="R302" s="559"/>
      <c r="S302" s="559"/>
      <c r="T302" s="559"/>
      <c r="U302" s="559"/>
      <c r="V302" s="559"/>
      <c r="W302" s="559"/>
      <c r="X302" s="559"/>
      <c r="Y302" s="559"/>
      <c r="Z302" s="559"/>
      <c r="AA302" s="559"/>
      <c r="AB302" s="559"/>
      <c r="AC302" s="559"/>
      <c r="AD302" s="559"/>
      <c r="AE302" s="559"/>
      <c r="AF302" s="559"/>
      <c r="AG302" s="559"/>
      <c r="AH302" s="559"/>
      <c r="AI302" s="559"/>
      <c r="AJ302" s="559"/>
    </row>
    <row r="303" spans="2:36" s="17" customFormat="1" ht="15.75" hidden="1" x14ac:dyDescent="0.25">
      <c r="B303" s="1443" t="s">
        <v>1437</v>
      </c>
      <c r="C303" s="1431"/>
      <c r="D303" s="1443" t="s">
        <v>1438</v>
      </c>
      <c r="E303" s="257"/>
      <c r="F303" s="257"/>
      <c r="G303" s="1443" t="s">
        <v>1453</v>
      </c>
      <c r="H303" s="257"/>
      <c r="I303" s="56"/>
      <c r="J303" s="261"/>
      <c r="K303" s="559"/>
      <c r="L303" s="559"/>
      <c r="M303" s="559"/>
      <c r="N303" s="559"/>
      <c r="O303" s="559"/>
      <c r="P303" s="559"/>
      <c r="Q303" s="559"/>
      <c r="R303" s="559"/>
      <c r="S303" s="559"/>
      <c r="T303" s="559"/>
      <c r="U303" s="559"/>
      <c r="V303" s="559"/>
      <c r="W303" s="559"/>
      <c r="X303" s="559"/>
      <c r="Y303" s="559"/>
      <c r="Z303" s="559"/>
      <c r="AA303" s="559"/>
      <c r="AB303" s="559"/>
      <c r="AC303" s="559"/>
      <c r="AD303" s="559"/>
      <c r="AE303" s="559"/>
      <c r="AF303" s="559"/>
      <c r="AG303" s="559"/>
      <c r="AH303" s="559"/>
      <c r="AI303" s="559"/>
      <c r="AJ303" s="559"/>
    </row>
    <row r="304" spans="2:36" s="17" customFormat="1" ht="15.75" hidden="1" x14ac:dyDescent="0.25">
      <c r="B304" s="1420"/>
      <c r="C304" s="1431"/>
      <c r="D304" s="1447"/>
      <c r="E304" s="224"/>
      <c r="F304" s="224"/>
      <c r="G304" s="1447"/>
      <c r="H304" s="224"/>
      <c r="I304" s="56"/>
      <c r="J304" s="261"/>
      <c r="K304" s="559"/>
      <c r="L304" s="559"/>
      <c r="M304" s="559"/>
      <c r="N304" s="559"/>
      <c r="O304" s="559"/>
      <c r="P304" s="559"/>
      <c r="Q304" s="559"/>
      <c r="R304" s="559"/>
      <c r="S304" s="559"/>
      <c r="T304" s="559"/>
      <c r="U304" s="559"/>
      <c r="V304" s="559"/>
      <c r="W304" s="559"/>
      <c r="X304" s="559"/>
      <c r="Y304" s="559"/>
      <c r="Z304" s="559"/>
      <c r="AA304" s="559"/>
      <c r="AB304" s="559"/>
      <c r="AC304" s="559"/>
      <c r="AD304" s="559"/>
      <c r="AE304" s="559"/>
      <c r="AF304" s="559"/>
      <c r="AG304" s="559"/>
      <c r="AH304" s="559"/>
      <c r="AI304" s="559"/>
      <c r="AJ304" s="559"/>
    </row>
    <row r="305" spans="2:36" s="17" customFormat="1" ht="15.75" hidden="1" x14ac:dyDescent="0.25">
      <c r="B305" s="1420" t="s">
        <v>1462</v>
      </c>
      <c r="C305" s="1431"/>
      <c r="D305" s="1504" t="e">
        <f>D289*G305</f>
        <v>#DIV/0!</v>
      </c>
      <c r="E305" s="224"/>
      <c r="F305" s="224"/>
      <c r="G305" s="1447">
        <v>0.35</v>
      </c>
      <c r="H305" s="224"/>
      <c r="I305" s="653"/>
      <c r="J305" s="261"/>
      <c r="K305" s="559"/>
      <c r="L305" s="559"/>
      <c r="M305" s="559"/>
      <c r="N305" s="559"/>
      <c r="O305" s="559"/>
      <c r="P305" s="559"/>
      <c r="Q305" s="559"/>
      <c r="R305" s="559"/>
      <c r="S305" s="559"/>
      <c r="T305" s="559"/>
      <c r="U305" s="559"/>
      <c r="V305" s="559"/>
      <c r="W305" s="559"/>
      <c r="X305" s="559"/>
      <c r="Y305" s="559"/>
      <c r="Z305" s="559"/>
      <c r="AA305" s="559"/>
      <c r="AB305" s="559"/>
      <c r="AC305" s="559"/>
      <c r="AD305" s="559"/>
      <c r="AE305" s="559"/>
      <c r="AF305" s="559"/>
      <c r="AG305" s="559"/>
      <c r="AH305" s="559"/>
      <c r="AI305" s="559"/>
      <c r="AJ305" s="559"/>
    </row>
    <row r="306" spans="2:36" s="17" customFormat="1" ht="15.75" hidden="1" x14ac:dyDescent="0.25">
      <c r="B306" s="1447"/>
      <c r="C306" s="1431"/>
      <c r="D306" s="1504"/>
      <c r="E306" s="224"/>
      <c r="F306" s="224"/>
      <c r="G306" s="1447"/>
      <c r="H306" s="224"/>
      <c r="I306" s="56"/>
      <c r="J306" s="261"/>
      <c r="K306" s="559"/>
      <c r="L306" s="559"/>
      <c r="M306" s="559"/>
      <c r="N306" s="559"/>
      <c r="O306" s="559"/>
      <c r="P306" s="559"/>
      <c r="Q306" s="559"/>
      <c r="R306" s="559"/>
      <c r="S306" s="559"/>
      <c r="T306" s="559"/>
      <c r="U306" s="559"/>
      <c r="V306" s="559"/>
      <c r="W306" s="559"/>
      <c r="X306" s="559"/>
      <c r="Y306" s="559"/>
      <c r="Z306" s="559"/>
      <c r="AA306" s="559"/>
      <c r="AB306" s="559"/>
      <c r="AC306" s="559"/>
      <c r="AD306" s="559"/>
      <c r="AE306" s="559"/>
      <c r="AF306" s="559"/>
      <c r="AG306" s="559"/>
      <c r="AH306" s="559"/>
      <c r="AI306" s="559"/>
      <c r="AJ306" s="559"/>
    </row>
    <row r="307" spans="2:36" s="17" customFormat="1" ht="15.75" hidden="1" x14ac:dyDescent="0.25">
      <c r="B307" s="1420" t="s">
        <v>1461</v>
      </c>
      <c r="C307" s="1431"/>
      <c r="D307" s="1504" t="e">
        <f>D291*G307</f>
        <v>#DIV/0!</v>
      </c>
      <c r="E307" s="251"/>
      <c r="F307" s="251"/>
      <c r="G307" s="1447">
        <v>7.0000000000000007E-2</v>
      </c>
      <c r="H307" s="251"/>
      <c r="I307" s="568"/>
      <c r="J307" s="282"/>
      <c r="K307" s="559"/>
      <c r="L307" s="559"/>
      <c r="M307" s="559"/>
      <c r="N307" s="559"/>
      <c r="O307" s="559"/>
      <c r="P307" s="559"/>
      <c r="Q307" s="559"/>
      <c r="R307" s="559"/>
      <c r="S307" s="559"/>
      <c r="T307" s="559"/>
      <c r="U307" s="559"/>
      <c r="V307" s="559"/>
      <c r="W307" s="559"/>
      <c r="X307" s="559"/>
      <c r="Y307" s="559"/>
      <c r="Z307" s="559"/>
      <c r="AA307" s="559"/>
      <c r="AB307" s="559"/>
      <c r="AC307" s="559"/>
      <c r="AD307" s="559"/>
      <c r="AE307" s="559"/>
      <c r="AF307" s="559"/>
      <c r="AG307" s="559"/>
      <c r="AH307" s="559"/>
      <c r="AI307" s="559"/>
      <c r="AJ307" s="559"/>
    </row>
    <row r="308" spans="2:36" s="17" customFormat="1" ht="15.75" hidden="1" x14ac:dyDescent="0.25">
      <c r="B308" s="1447"/>
      <c r="C308" s="1431"/>
      <c r="D308" s="1504"/>
      <c r="E308" s="1502"/>
      <c r="F308" s="1502"/>
      <c r="G308" s="1447"/>
      <c r="H308" s="1502"/>
      <c r="I308" s="167"/>
      <c r="J308" s="167"/>
      <c r="K308" s="559"/>
      <c r="L308" s="559"/>
      <c r="M308" s="559"/>
      <c r="N308" s="559"/>
      <c r="O308" s="559"/>
      <c r="P308" s="559"/>
      <c r="Q308" s="559"/>
      <c r="R308" s="559"/>
      <c r="S308" s="559"/>
      <c r="T308" s="559"/>
      <c r="U308" s="559"/>
      <c r="V308" s="559"/>
      <c r="W308" s="559"/>
      <c r="X308" s="559"/>
      <c r="Y308" s="559"/>
      <c r="Z308" s="559"/>
      <c r="AA308" s="559"/>
      <c r="AB308" s="559"/>
      <c r="AC308" s="559"/>
      <c r="AD308" s="559"/>
      <c r="AE308" s="559"/>
      <c r="AF308" s="559"/>
      <c r="AG308" s="559"/>
      <c r="AH308" s="559"/>
      <c r="AI308" s="559"/>
      <c r="AJ308" s="559"/>
    </row>
    <row r="309" spans="2:36" s="1299" customFormat="1" ht="15.75" hidden="1" x14ac:dyDescent="0.25">
      <c r="B309" s="1420" t="s">
        <v>1463</v>
      </c>
      <c r="C309" s="1431"/>
      <c r="D309" s="1504" t="e">
        <f>D293*G309</f>
        <v>#DIV/0!</v>
      </c>
      <c r="E309" s="224"/>
      <c r="F309" s="224"/>
      <c r="G309" s="1447">
        <v>0.2</v>
      </c>
      <c r="H309" s="224"/>
    </row>
    <row r="310" spans="2:36" s="1299" customFormat="1" ht="15.75" hidden="1" x14ac:dyDescent="0.25">
      <c r="B310" s="1447"/>
      <c r="C310" s="1431"/>
      <c r="D310" s="1504"/>
      <c r="E310" s="224"/>
      <c r="F310" s="224"/>
      <c r="G310" s="1447"/>
      <c r="H310" s="224"/>
    </row>
    <row r="311" spans="2:36" s="1299" customFormat="1" ht="15.75" hidden="1" x14ac:dyDescent="0.25">
      <c r="B311" s="1420" t="s">
        <v>1464</v>
      </c>
      <c r="C311" s="1431"/>
      <c r="D311" s="1504" t="e">
        <f>D295*G311</f>
        <v>#DIV/0!</v>
      </c>
      <c r="E311" s="224"/>
      <c r="F311" s="224"/>
      <c r="G311" s="1447">
        <v>0.3</v>
      </c>
      <c r="H311" s="224"/>
    </row>
    <row r="312" spans="2:36" s="1299" customFormat="1" ht="15.75" hidden="1" x14ac:dyDescent="0.25">
      <c r="B312" s="1447"/>
      <c r="C312" s="1431"/>
      <c r="D312" s="1506"/>
      <c r="E312" s="224"/>
      <c r="F312" s="224"/>
      <c r="G312" s="1447"/>
      <c r="H312" s="224"/>
    </row>
    <row r="313" spans="2:36" s="1299" customFormat="1" ht="15.75" hidden="1" x14ac:dyDescent="0.25">
      <c r="B313" s="1420" t="s">
        <v>1465</v>
      </c>
      <c r="C313" s="1431"/>
      <c r="D313" s="1504" t="e">
        <f>D297*G313</f>
        <v>#DIV/0!</v>
      </c>
      <c r="E313" s="224"/>
      <c r="F313" s="224"/>
      <c r="G313" s="1447">
        <v>0</v>
      </c>
      <c r="H313" s="224"/>
    </row>
    <row r="314" spans="2:36" s="1299" customFormat="1" ht="15.75" hidden="1" x14ac:dyDescent="0.25">
      <c r="B314" s="1447"/>
      <c r="C314" s="1431"/>
      <c r="D314" s="1447"/>
      <c r="E314" s="224"/>
      <c r="F314" s="224"/>
      <c r="G314" s="1447"/>
      <c r="H314" s="224"/>
    </row>
    <row r="315" spans="2:36" s="1299" customFormat="1" ht="15.75" hidden="1" x14ac:dyDescent="0.25">
      <c r="B315" s="1443" t="s">
        <v>1455</v>
      </c>
      <c r="C315" s="1431"/>
      <c r="D315" s="1443" t="s">
        <v>1456</v>
      </c>
      <c r="E315" s="224"/>
      <c r="F315" s="224"/>
      <c r="G315" s="1443" t="s">
        <v>1457</v>
      </c>
      <c r="H315" s="224"/>
    </row>
    <row r="316" spans="2:36" s="1299" customFormat="1" ht="15.75" hidden="1" x14ac:dyDescent="0.25">
      <c r="B316" s="1447"/>
      <c r="C316" s="1431"/>
      <c r="D316" s="1504" t="e">
        <f>SUM(D305:D311)*$G$316*44/28</f>
        <v>#DIV/0!</v>
      </c>
      <c r="E316" s="224"/>
      <c r="F316" s="224"/>
      <c r="G316" s="1447">
        <v>4.0000000000000001E-3</v>
      </c>
      <c r="H316" s="224"/>
    </row>
    <row r="317" spans="2:36" s="1299" customFormat="1" ht="15.75" hidden="1" x14ac:dyDescent="0.25">
      <c r="B317" s="1447"/>
      <c r="C317" s="1431"/>
      <c r="D317" s="1504"/>
      <c r="E317" s="224"/>
      <c r="F317" s="224"/>
      <c r="G317" s="1447"/>
      <c r="H317" s="224"/>
    </row>
    <row r="318" spans="2:36" s="1299" customFormat="1" ht="15.75" hidden="1" x14ac:dyDescent="0.25">
      <c r="B318" s="1447" t="s">
        <v>1460</v>
      </c>
      <c r="C318" s="1431"/>
      <c r="D318" s="1507" t="e">
        <f>SUM(D316)*298*10^3</f>
        <v>#DIV/0!</v>
      </c>
      <c r="E318" s="224"/>
      <c r="F318" s="224"/>
      <c r="G318" s="1447" t="s">
        <v>1468</v>
      </c>
      <c r="H318" s="224"/>
    </row>
    <row r="319" spans="2:36" s="1299" customFormat="1" ht="15.75" hidden="1" x14ac:dyDescent="0.25">
      <c r="B319" s="1447"/>
      <c r="C319" s="1431"/>
      <c r="D319" s="1447"/>
      <c r="E319" s="224"/>
      <c r="F319" s="224"/>
      <c r="G319" s="1447"/>
      <c r="H319" s="224"/>
    </row>
    <row r="320" spans="2:36" s="1299" customFormat="1" ht="17.25" hidden="1" x14ac:dyDescent="0.3">
      <c r="B320" s="1443" t="s">
        <v>1459</v>
      </c>
      <c r="C320" s="1431"/>
      <c r="D320" s="1443" t="s">
        <v>1510</v>
      </c>
      <c r="E320" s="224"/>
      <c r="F320" s="224"/>
      <c r="G320" s="1443" t="s">
        <v>1466</v>
      </c>
      <c r="H320" s="224"/>
    </row>
    <row r="321" spans="2:36" s="1299" customFormat="1" ht="15.75" hidden="1" x14ac:dyDescent="0.25">
      <c r="B321" s="1447"/>
      <c r="C321" s="1431"/>
      <c r="D321" s="1447"/>
      <c r="E321" s="224"/>
      <c r="F321" s="224"/>
      <c r="G321" s="1447">
        <v>1</v>
      </c>
      <c r="H321" s="224"/>
    </row>
    <row r="322" spans="2:36" s="1299" customFormat="1" ht="15.75" hidden="1" x14ac:dyDescent="0.25">
      <c r="B322" s="1447" t="s">
        <v>1522</v>
      </c>
      <c r="C322" s="1431"/>
      <c r="D322" s="1508" t="e">
        <f>D295*$G$321*$G$323</f>
        <v>#DIV/0!</v>
      </c>
      <c r="E322" s="224"/>
      <c r="F322" s="224"/>
      <c r="G322" s="1443" t="s">
        <v>1467</v>
      </c>
      <c r="H322" s="224"/>
    </row>
    <row r="323" spans="2:36" s="1299" customFormat="1" ht="15.75" hidden="1" x14ac:dyDescent="0.25">
      <c r="B323" s="1443"/>
      <c r="C323" s="1423"/>
      <c r="D323" s="1447"/>
      <c r="E323" s="224"/>
      <c r="F323" s="224"/>
      <c r="G323" s="1435">
        <v>0.3</v>
      </c>
      <c r="H323" s="224"/>
    </row>
    <row r="324" spans="2:36" s="1299" customFormat="1" ht="15.75" hidden="1" x14ac:dyDescent="0.25">
      <c r="B324" s="1443"/>
      <c r="C324" s="1423"/>
      <c r="D324" s="1443" t="s">
        <v>1513</v>
      </c>
      <c r="E324" s="224"/>
      <c r="F324" s="224"/>
      <c r="G324" s="1441" t="s">
        <v>1475</v>
      </c>
      <c r="H324" s="224"/>
    </row>
    <row r="325" spans="2:36" s="1299" customFormat="1" ht="15.75" hidden="1" x14ac:dyDescent="0.25">
      <c r="B325" s="1443"/>
      <c r="C325" s="1423"/>
      <c r="D325" s="1509" t="e">
        <f>D322*$G$325*44/28</f>
        <v>#DIV/0!</v>
      </c>
      <c r="E325" s="224"/>
      <c r="F325" s="224"/>
      <c r="G325" s="1440">
        <v>7.4999999999999997E-3</v>
      </c>
      <c r="H325" s="224"/>
    </row>
    <row r="326" spans="2:36" s="1299" customFormat="1" ht="15.75" hidden="1" x14ac:dyDescent="0.25">
      <c r="B326" s="1443"/>
      <c r="C326" s="1235"/>
      <c r="D326" s="1447"/>
      <c r="E326" s="224"/>
      <c r="F326" s="224"/>
      <c r="G326" s="1447"/>
      <c r="H326" s="224"/>
    </row>
    <row r="327" spans="2:36" s="1299" customFormat="1" ht="15.75" hidden="1" x14ac:dyDescent="0.25">
      <c r="B327" s="97" t="s">
        <v>1469</v>
      </c>
      <c r="C327" s="618"/>
      <c r="D327" s="1510" t="e">
        <f>SUM(D325)*298*10^3</f>
        <v>#DIV/0!</v>
      </c>
      <c r="E327" s="1511"/>
      <c r="F327" s="1511"/>
      <c r="G327" s="1237" t="s">
        <v>1468</v>
      </c>
      <c r="H327" s="1511"/>
    </row>
    <row r="328" spans="2:36" s="1299" customFormat="1" hidden="1" x14ac:dyDescent="0.25"/>
    <row r="329" spans="2:36" s="1299" customFormat="1" hidden="1" x14ac:dyDescent="0.25"/>
    <row r="330" spans="2:36" s="17" customFormat="1" ht="15.75" hidden="1" x14ac:dyDescent="0.25">
      <c r="B330" s="258" t="s">
        <v>282</v>
      </c>
      <c r="C330" s="259"/>
      <c r="D330" s="260"/>
      <c r="E330" s="260"/>
      <c r="F330" s="260"/>
      <c r="G330" s="260"/>
      <c r="H330" s="260"/>
      <c r="I330" s="654"/>
      <c r="J330" s="655"/>
      <c r="K330" s="261"/>
      <c r="L330" s="56"/>
      <c r="M330" s="56"/>
      <c r="N330" s="559"/>
      <c r="O330" s="559"/>
      <c r="P330" s="559"/>
      <c r="Q330" s="559"/>
      <c r="R330" s="559"/>
      <c r="S330" s="559"/>
      <c r="T330" s="559"/>
      <c r="U330" s="559"/>
      <c r="V330" s="559"/>
      <c r="W330" s="559"/>
      <c r="X330" s="559"/>
      <c r="Y330" s="559"/>
      <c r="Z330" s="559"/>
      <c r="AA330" s="559"/>
      <c r="AB330" s="559"/>
      <c r="AC330" s="559"/>
      <c r="AD330" s="559"/>
      <c r="AE330" s="559"/>
      <c r="AF330" s="559"/>
      <c r="AG330" s="559"/>
      <c r="AH330" s="559"/>
      <c r="AI330" s="559"/>
      <c r="AJ330" s="559"/>
    </row>
    <row r="331" spans="2:36" s="17" customFormat="1" ht="15.75" hidden="1" x14ac:dyDescent="0.25">
      <c r="B331" s="262"/>
      <c r="C331" s="262"/>
      <c r="D331" s="262"/>
      <c r="E331" s="263"/>
      <c r="F331" s="263"/>
      <c r="G331" s="263"/>
      <c r="H331" s="263"/>
      <c r="I331" s="568"/>
      <c r="J331" s="261"/>
      <c r="K331" s="56"/>
      <c r="L331" s="56"/>
      <c r="M331" s="56"/>
      <c r="N331" s="559"/>
      <c r="O331" s="559"/>
      <c r="P331" s="559"/>
      <c r="Q331" s="559"/>
      <c r="R331" s="559"/>
      <c r="S331" s="559"/>
      <c r="T331" s="559"/>
      <c r="U331" s="559"/>
      <c r="V331" s="559"/>
      <c r="W331" s="559"/>
      <c r="X331" s="559"/>
      <c r="Y331" s="559"/>
      <c r="Z331" s="559"/>
      <c r="AA331" s="559"/>
      <c r="AB331" s="559"/>
      <c r="AC331" s="559"/>
      <c r="AD331" s="559"/>
      <c r="AE331" s="559"/>
      <c r="AF331" s="559"/>
      <c r="AG331" s="559"/>
      <c r="AH331" s="559"/>
      <c r="AI331" s="559"/>
      <c r="AJ331" s="559"/>
    </row>
    <row r="332" spans="2:36" s="17" customFormat="1" ht="17.25" hidden="1" x14ac:dyDescent="0.3">
      <c r="B332" s="1473" t="s">
        <v>365</v>
      </c>
      <c r="C332" s="1473" t="s">
        <v>1477</v>
      </c>
      <c r="D332" s="1474"/>
      <c r="E332" s="263"/>
      <c r="F332" s="263"/>
      <c r="G332" s="266"/>
      <c r="H332" s="266"/>
      <c r="I332" s="568"/>
      <c r="J332" s="261"/>
      <c r="K332" s="56"/>
      <c r="L332" s="56"/>
      <c r="M332" s="56"/>
      <c r="N332" s="559"/>
      <c r="O332" s="559"/>
      <c r="P332" s="559"/>
      <c r="Q332" s="559"/>
      <c r="R332" s="559"/>
      <c r="S332" s="559"/>
      <c r="T332" s="559"/>
      <c r="U332" s="559"/>
      <c r="V332" s="559"/>
      <c r="W332" s="559"/>
      <c r="X332" s="559"/>
      <c r="Y332" s="559"/>
      <c r="Z332" s="559"/>
      <c r="AA332" s="559"/>
      <c r="AB332" s="559"/>
      <c r="AC332" s="559"/>
      <c r="AD332" s="559"/>
      <c r="AE332" s="559"/>
      <c r="AF332" s="559"/>
      <c r="AG332" s="559"/>
      <c r="AH332" s="559"/>
      <c r="AI332" s="559"/>
      <c r="AJ332" s="559"/>
    </row>
    <row r="333" spans="2:36" s="17" customFormat="1" ht="15.75" hidden="1" x14ac:dyDescent="0.25">
      <c r="B333" s="1455"/>
      <c r="C333" s="1455" t="s">
        <v>367</v>
      </c>
      <c r="D333" s="1455"/>
      <c r="E333" s="263"/>
      <c r="F333" s="263"/>
      <c r="G333" s="263"/>
      <c r="H333" s="263"/>
      <c r="I333" s="568"/>
      <c r="J333" s="261"/>
      <c r="K333" s="56"/>
      <c r="L333" s="56"/>
      <c r="M333" s="56"/>
      <c r="N333" s="559"/>
      <c r="O333" s="559"/>
      <c r="P333" s="559"/>
      <c r="Q333" s="559"/>
      <c r="R333" s="559"/>
      <c r="S333" s="559"/>
      <c r="T333" s="559"/>
      <c r="U333" s="559"/>
      <c r="V333" s="559"/>
      <c r="W333" s="559"/>
      <c r="X333" s="559"/>
      <c r="Y333" s="559"/>
      <c r="Z333" s="559"/>
      <c r="AA333" s="559"/>
      <c r="AB333" s="559"/>
      <c r="AC333" s="559"/>
      <c r="AD333" s="559"/>
      <c r="AE333" s="559"/>
      <c r="AF333" s="559"/>
      <c r="AG333" s="559"/>
      <c r="AH333" s="559"/>
      <c r="AI333" s="559"/>
      <c r="AJ333" s="559"/>
    </row>
    <row r="334" spans="2:36" s="17" customFormat="1" ht="15.75" hidden="1" x14ac:dyDescent="0.25">
      <c r="B334" s="1455"/>
      <c r="C334" s="1474" t="s">
        <v>1504</v>
      </c>
      <c r="D334" s="1455"/>
      <c r="E334" s="263"/>
      <c r="F334" s="263"/>
      <c r="G334" s="263"/>
      <c r="H334" s="263"/>
      <c r="I334" s="568"/>
      <c r="J334" s="261"/>
      <c r="K334" s="56"/>
      <c r="L334" s="56"/>
      <c r="M334" s="56"/>
      <c r="N334" s="559"/>
      <c r="O334" s="559"/>
      <c r="P334" s="559"/>
      <c r="Q334" s="559"/>
      <c r="R334" s="559"/>
      <c r="S334" s="559"/>
      <c r="T334" s="559"/>
      <c r="U334" s="559"/>
      <c r="V334" s="559"/>
      <c r="W334" s="559"/>
      <c r="X334" s="559"/>
      <c r="Y334" s="559"/>
      <c r="Z334" s="559"/>
      <c r="AA334" s="559"/>
      <c r="AB334" s="559"/>
      <c r="AC334" s="559"/>
      <c r="AD334" s="559"/>
      <c r="AE334" s="559"/>
      <c r="AF334" s="559"/>
      <c r="AG334" s="559"/>
      <c r="AH334" s="559"/>
      <c r="AI334" s="559"/>
      <c r="AJ334" s="559"/>
    </row>
    <row r="335" spans="2:36" s="17" customFormat="1" ht="15.75" hidden="1" x14ac:dyDescent="0.25">
      <c r="B335" s="1474"/>
      <c r="C335" s="1474" t="s">
        <v>1478</v>
      </c>
      <c r="D335" s="1455"/>
      <c r="E335" s="263"/>
      <c r="F335" s="263"/>
      <c r="G335" s="263"/>
      <c r="H335" s="263"/>
      <c r="I335" s="568"/>
      <c r="J335" s="261"/>
      <c r="K335" s="56"/>
      <c r="L335" s="56"/>
      <c r="M335" s="56"/>
      <c r="N335" s="559"/>
      <c r="O335" s="559"/>
      <c r="P335" s="559"/>
      <c r="Q335" s="559"/>
      <c r="R335" s="559"/>
      <c r="S335" s="559"/>
      <c r="T335" s="559"/>
      <c r="U335" s="559"/>
      <c r="V335" s="559"/>
      <c r="W335" s="559"/>
      <c r="X335" s="559"/>
      <c r="Y335" s="559"/>
      <c r="Z335" s="559"/>
      <c r="AA335" s="559"/>
      <c r="AB335" s="559"/>
      <c r="AC335" s="559"/>
      <c r="AD335" s="559"/>
      <c r="AE335" s="559"/>
      <c r="AF335" s="559"/>
      <c r="AG335" s="559"/>
      <c r="AH335" s="559"/>
      <c r="AI335" s="559"/>
      <c r="AJ335" s="559"/>
    </row>
    <row r="336" spans="2:36" s="17" customFormat="1" ht="15.75" hidden="1" x14ac:dyDescent="0.25">
      <c r="B336" s="1474"/>
      <c r="C336" s="1474" t="s">
        <v>1479</v>
      </c>
      <c r="D336" s="1455"/>
      <c r="E336" s="267"/>
      <c r="F336" s="262"/>
      <c r="G336" s="262"/>
      <c r="H336" s="262"/>
      <c r="I336" s="56"/>
      <c r="J336" s="261"/>
      <c r="K336" s="56"/>
      <c r="L336" s="56"/>
      <c r="M336" s="56"/>
      <c r="N336" s="559"/>
      <c r="O336" s="559"/>
      <c r="P336" s="559"/>
      <c r="Q336" s="559"/>
      <c r="R336" s="559"/>
      <c r="S336" s="559"/>
      <c r="T336" s="559"/>
      <c r="U336" s="559"/>
      <c r="V336" s="559"/>
      <c r="W336" s="559"/>
      <c r="X336" s="559"/>
      <c r="Y336" s="559"/>
      <c r="Z336" s="559"/>
      <c r="AA336" s="559"/>
      <c r="AB336" s="559"/>
      <c r="AC336" s="559"/>
      <c r="AD336" s="559"/>
      <c r="AE336" s="559"/>
      <c r="AF336" s="559"/>
      <c r="AG336" s="559"/>
      <c r="AH336" s="559"/>
      <c r="AI336" s="559"/>
      <c r="AJ336" s="559"/>
    </row>
    <row r="337" spans="2:36" s="17" customFormat="1" ht="15.75" hidden="1" x14ac:dyDescent="0.25">
      <c r="B337" s="1474"/>
      <c r="C337" s="1455"/>
      <c r="D337" s="1455"/>
      <c r="E337" s="267"/>
      <c r="F337" s="262"/>
      <c r="G337" s="262"/>
      <c r="H337" s="262"/>
      <c r="I337" s="56"/>
      <c r="J337" s="261"/>
      <c r="K337" s="56"/>
      <c r="L337" s="56"/>
      <c r="M337" s="56"/>
      <c r="N337" s="559"/>
      <c r="O337" s="559"/>
      <c r="P337" s="559"/>
      <c r="Q337" s="559"/>
      <c r="R337" s="559"/>
      <c r="S337" s="559"/>
      <c r="T337" s="559"/>
      <c r="U337" s="559"/>
      <c r="V337" s="559"/>
      <c r="W337" s="559"/>
      <c r="X337" s="559"/>
      <c r="Y337" s="559"/>
      <c r="Z337" s="559"/>
      <c r="AA337" s="559"/>
      <c r="AB337" s="559"/>
      <c r="AC337" s="559"/>
      <c r="AD337" s="559"/>
      <c r="AE337" s="559"/>
      <c r="AF337" s="559"/>
      <c r="AG337" s="559"/>
      <c r="AH337" s="559"/>
      <c r="AI337" s="559"/>
      <c r="AJ337" s="559"/>
    </row>
    <row r="338" spans="2:36" s="17" customFormat="1" ht="15.75" hidden="1" x14ac:dyDescent="0.25">
      <c r="B338" s="1473"/>
      <c r="C338" s="1474"/>
      <c r="D338" s="117"/>
      <c r="E338" s="268"/>
      <c r="F338" s="268"/>
      <c r="G338" s="268"/>
      <c r="H338" s="268"/>
      <c r="I338" s="56"/>
      <c r="J338" s="261"/>
      <c r="K338" s="56"/>
      <c r="L338" s="56"/>
      <c r="M338" s="56"/>
      <c r="N338" s="559"/>
      <c r="O338" s="559"/>
      <c r="P338" s="559"/>
      <c r="Q338" s="559"/>
      <c r="R338" s="559"/>
      <c r="S338" s="559"/>
      <c r="T338" s="559"/>
      <c r="U338" s="559"/>
      <c r="V338" s="559"/>
      <c r="W338" s="559"/>
      <c r="X338" s="559"/>
      <c r="Y338" s="559"/>
      <c r="Z338" s="559"/>
      <c r="AA338" s="559"/>
      <c r="AB338" s="559"/>
      <c r="AC338" s="559"/>
      <c r="AD338" s="559"/>
      <c r="AE338" s="559"/>
      <c r="AF338" s="559"/>
      <c r="AG338" s="559"/>
      <c r="AH338" s="559"/>
      <c r="AI338" s="559"/>
      <c r="AJ338" s="559"/>
    </row>
    <row r="339" spans="2:36" s="17" customFormat="1" ht="15.75" hidden="1" x14ac:dyDescent="0.25">
      <c r="B339" s="1473" t="s">
        <v>1525</v>
      </c>
      <c r="C339" s="1475" t="s">
        <v>478</v>
      </c>
      <c r="D339" s="1512" t="e">
        <f>(($D$282*'Baseline farm'!$C$73%)*(1-$G289-$G305))-0</f>
        <v>#DIV/0!</v>
      </c>
      <c r="E339" s="270"/>
      <c r="F339" s="270"/>
      <c r="G339" s="270"/>
      <c r="H339" s="270"/>
      <c r="I339" s="56"/>
      <c r="J339" s="261"/>
      <c r="K339" s="568"/>
      <c r="L339" s="271"/>
      <c r="M339" s="272"/>
      <c r="N339" s="559"/>
      <c r="O339" s="559"/>
      <c r="P339" s="559"/>
      <c r="Q339" s="559"/>
      <c r="R339" s="559"/>
      <c r="S339" s="559"/>
      <c r="T339" s="559"/>
      <c r="U339" s="559"/>
      <c r="V339" s="559"/>
      <c r="W339" s="559"/>
      <c r="X339" s="559"/>
      <c r="Y339" s="559"/>
      <c r="Z339" s="559"/>
      <c r="AA339" s="559"/>
      <c r="AB339" s="559"/>
      <c r="AC339" s="559"/>
      <c r="AD339" s="559"/>
      <c r="AE339" s="559"/>
      <c r="AF339" s="559"/>
      <c r="AG339" s="559"/>
      <c r="AH339" s="559"/>
      <c r="AI339" s="559"/>
      <c r="AJ339" s="559"/>
    </row>
    <row r="340" spans="2:36" s="17" customFormat="1" ht="15.75" hidden="1" x14ac:dyDescent="0.25">
      <c r="B340" s="1474"/>
      <c r="C340" s="1474"/>
      <c r="D340" s="1512"/>
      <c r="E340" s="262"/>
      <c r="F340" s="262"/>
      <c r="G340" s="262"/>
      <c r="H340" s="262"/>
      <c r="I340" s="656"/>
      <c r="J340" s="261"/>
      <c r="K340" s="568"/>
      <c r="L340" s="271"/>
      <c r="M340" s="273"/>
      <c r="N340" s="559"/>
      <c r="O340" s="559"/>
      <c r="P340" s="559"/>
      <c r="Q340" s="559"/>
      <c r="R340" s="559"/>
      <c r="S340" s="559"/>
      <c r="T340" s="559"/>
      <c r="U340" s="559"/>
      <c r="V340" s="559"/>
      <c r="W340" s="559"/>
      <c r="X340" s="559"/>
      <c r="Y340" s="559"/>
      <c r="Z340" s="559"/>
      <c r="AA340" s="559"/>
      <c r="AB340" s="559"/>
      <c r="AC340" s="559"/>
      <c r="AD340" s="559"/>
      <c r="AE340" s="559"/>
      <c r="AF340" s="559"/>
      <c r="AG340" s="559"/>
      <c r="AH340" s="559"/>
      <c r="AI340" s="559"/>
      <c r="AJ340" s="559"/>
    </row>
    <row r="341" spans="2:36" s="17" customFormat="1" ht="15.75" hidden="1" x14ac:dyDescent="0.25">
      <c r="B341" s="1473" t="s">
        <v>1526</v>
      </c>
      <c r="C341" s="1475" t="s">
        <v>478</v>
      </c>
      <c r="D341" s="1512" t="e">
        <f>(($D$282*'Baseline farm'!$D$73%)*(1-$G291-$G307))-0</f>
        <v>#DIV/0!</v>
      </c>
      <c r="E341" s="270"/>
      <c r="F341" s="270"/>
      <c r="G341" s="270"/>
      <c r="H341" s="270"/>
      <c r="I341" s="656"/>
      <c r="J341" s="261"/>
      <c r="K341" s="56"/>
      <c r="L341" s="568"/>
      <c r="M341" s="273"/>
      <c r="N341" s="559"/>
      <c r="O341" s="559"/>
      <c r="P341" s="559"/>
      <c r="Q341" s="559"/>
      <c r="R341" s="559"/>
      <c r="S341" s="559"/>
      <c r="T341" s="559"/>
      <c r="U341" s="559"/>
      <c r="V341" s="559"/>
      <c r="W341" s="559"/>
      <c r="X341" s="559"/>
      <c r="Y341" s="559"/>
      <c r="Z341" s="559"/>
      <c r="AA341" s="559"/>
      <c r="AB341" s="559"/>
      <c r="AC341" s="559"/>
      <c r="AD341" s="559"/>
      <c r="AE341" s="559"/>
      <c r="AF341" s="559"/>
      <c r="AG341" s="559"/>
      <c r="AH341" s="559"/>
      <c r="AI341" s="559"/>
      <c r="AJ341" s="559"/>
    </row>
    <row r="342" spans="2:36" s="17" customFormat="1" ht="15.75" hidden="1" x14ac:dyDescent="0.25">
      <c r="B342" s="1474"/>
      <c r="C342" s="1474"/>
      <c r="D342" s="1512"/>
      <c r="E342" s="274"/>
      <c r="F342" s="274"/>
      <c r="G342" s="274"/>
      <c r="H342" s="274"/>
      <c r="I342" s="56"/>
      <c r="J342" s="56"/>
      <c r="K342" s="56"/>
      <c r="L342" s="276"/>
      <c r="M342" s="273"/>
      <c r="N342" s="56"/>
      <c r="O342" s="56"/>
      <c r="P342" s="56"/>
      <c r="Q342" s="56"/>
      <c r="R342" s="56"/>
      <c r="S342" s="56"/>
      <c r="T342" s="56"/>
      <c r="U342" s="559"/>
      <c r="V342" s="559"/>
      <c r="W342" s="559"/>
      <c r="X342" s="559"/>
      <c r="Y342" s="559"/>
      <c r="Z342" s="559"/>
      <c r="AA342" s="559"/>
      <c r="AB342" s="559"/>
      <c r="AC342" s="559"/>
      <c r="AD342" s="559"/>
      <c r="AE342" s="559"/>
      <c r="AF342" s="559"/>
      <c r="AG342" s="559"/>
      <c r="AH342" s="559"/>
      <c r="AI342" s="559"/>
      <c r="AJ342" s="559"/>
    </row>
    <row r="343" spans="2:36" s="17" customFormat="1" ht="15.75" hidden="1" x14ac:dyDescent="0.25">
      <c r="B343" s="1473" t="s">
        <v>1527</v>
      </c>
      <c r="C343" s="1475" t="s">
        <v>478</v>
      </c>
      <c r="D343" s="1512" t="e">
        <f>(($D$282*'Baseline farm'!$E$73%)*(1-$G293-$G309))-0</f>
        <v>#DIV/0!</v>
      </c>
      <c r="E343" s="277"/>
      <c r="F343" s="277"/>
      <c r="G343" s="277"/>
      <c r="H343" s="277"/>
      <c r="I343" s="56"/>
      <c r="J343" s="56"/>
      <c r="K343" s="56"/>
      <c r="L343" s="276"/>
      <c r="M343" s="273"/>
      <c r="N343" s="56"/>
      <c r="O343" s="56"/>
      <c r="P343" s="56"/>
      <c r="Q343" s="56"/>
      <c r="R343" s="56"/>
      <c r="S343" s="56"/>
      <c r="T343" s="56"/>
      <c r="U343" s="559"/>
      <c r="V343" s="559"/>
      <c r="W343" s="559"/>
      <c r="X343" s="559"/>
      <c r="Y343" s="559"/>
      <c r="Z343" s="559"/>
      <c r="AA343" s="559"/>
      <c r="AB343" s="559"/>
      <c r="AC343" s="559"/>
      <c r="AD343" s="559"/>
      <c r="AE343" s="559"/>
      <c r="AF343" s="559"/>
      <c r="AG343" s="559"/>
      <c r="AH343" s="559"/>
      <c r="AI343" s="559"/>
      <c r="AJ343" s="559"/>
    </row>
    <row r="344" spans="2:36" s="17" customFormat="1" ht="15.75" hidden="1" x14ac:dyDescent="0.25">
      <c r="B344" s="1474"/>
      <c r="C344" s="1475"/>
      <c r="D344" s="1512"/>
      <c r="E344" s="278"/>
      <c r="F344" s="278"/>
      <c r="G344" s="278"/>
      <c r="H344" s="278"/>
      <c r="I344" s="56"/>
      <c r="J344" s="56"/>
      <c r="K344" s="56"/>
      <c r="L344" s="276"/>
      <c r="M344" s="276"/>
      <c r="N344" s="56"/>
      <c r="O344" s="56"/>
      <c r="P344" s="56"/>
      <c r="Q344" s="56"/>
      <c r="R344" s="56"/>
      <c r="S344" s="56"/>
      <c r="T344" s="56"/>
      <c r="U344" s="559"/>
      <c r="V344" s="559"/>
      <c r="W344" s="559"/>
      <c r="X344" s="559"/>
      <c r="Y344" s="559"/>
      <c r="Z344" s="559"/>
      <c r="AA344" s="559"/>
      <c r="AB344" s="559"/>
      <c r="AC344" s="559"/>
      <c r="AD344" s="559"/>
      <c r="AE344" s="559"/>
      <c r="AF344" s="559"/>
      <c r="AG344" s="559"/>
      <c r="AH344" s="559"/>
      <c r="AI344" s="559"/>
      <c r="AJ344" s="559"/>
    </row>
    <row r="345" spans="2:36" s="17" customFormat="1" ht="15.75" hidden="1" x14ac:dyDescent="0.25">
      <c r="B345" s="1473" t="s">
        <v>1528</v>
      </c>
      <c r="C345" s="1475" t="s">
        <v>478</v>
      </c>
      <c r="D345" s="1512" t="e">
        <f>(($D$282*'Baseline farm'!$F$73%)*(1-$G295-$G311))-D322</f>
        <v>#DIV/0!</v>
      </c>
      <c r="E345" s="270"/>
      <c r="F345" s="270"/>
      <c r="G345" s="270"/>
      <c r="H345" s="270"/>
      <c r="I345" s="56"/>
      <c r="J345" s="56"/>
      <c r="K345" s="56"/>
      <c r="L345" s="276"/>
      <c r="M345" s="276"/>
      <c r="N345" s="56"/>
      <c r="O345" s="56"/>
      <c r="P345" s="56"/>
      <c r="Q345" s="56"/>
      <c r="R345" s="56"/>
      <c r="S345" s="56"/>
      <c r="T345" s="56"/>
      <c r="U345" s="559"/>
      <c r="V345" s="559"/>
      <c r="W345" s="559"/>
      <c r="X345" s="559"/>
      <c r="Y345" s="559"/>
      <c r="Z345" s="559"/>
      <c r="AA345" s="559"/>
      <c r="AB345" s="559"/>
      <c r="AC345" s="559"/>
      <c r="AD345" s="559"/>
      <c r="AE345" s="559"/>
      <c r="AF345" s="559"/>
      <c r="AG345" s="559"/>
      <c r="AH345" s="559"/>
      <c r="AI345" s="559"/>
      <c r="AJ345" s="559"/>
    </row>
    <row r="346" spans="2:36" s="17" customFormat="1" ht="15.75" hidden="1" x14ac:dyDescent="0.25">
      <c r="B346" s="1474"/>
      <c r="C346" s="1475"/>
      <c r="D346" s="1512"/>
      <c r="E346" s="262"/>
      <c r="F346" s="262"/>
      <c r="G346" s="262"/>
      <c r="H346" s="262"/>
      <c r="I346" s="56"/>
      <c r="J346" s="56"/>
      <c r="K346" s="568"/>
      <c r="L346" s="639"/>
      <c r="M346" s="56"/>
      <c r="N346" s="56"/>
      <c r="O346" s="56"/>
      <c r="P346" s="56"/>
      <c r="Q346" s="56"/>
      <c r="R346" s="56"/>
      <c r="S346" s="56"/>
      <c r="T346" s="56"/>
      <c r="U346" s="559"/>
      <c r="V346" s="559"/>
      <c r="W346" s="559"/>
      <c r="X346" s="559"/>
      <c r="Y346" s="559"/>
      <c r="Z346" s="559"/>
      <c r="AA346" s="559"/>
      <c r="AB346" s="559"/>
      <c r="AC346" s="559"/>
      <c r="AD346" s="559"/>
      <c r="AE346" s="559"/>
      <c r="AF346" s="559"/>
      <c r="AG346" s="559"/>
      <c r="AH346" s="559"/>
      <c r="AI346" s="559"/>
      <c r="AJ346" s="559"/>
    </row>
    <row r="347" spans="2:36" s="17" customFormat="1" ht="15.75" hidden="1" x14ac:dyDescent="0.25">
      <c r="B347" s="1473" t="s">
        <v>1529</v>
      </c>
      <c r="C347" s="1475" t="s">
        <v>478</v>
      </c>
      <c r="D347" s="1512" t="e">
        <f>SUM(D339:D345)</f>
        <v>#DIV/0!</v>
      </c>
      <c r="E347" s="262"/>
      <c r="F347" s="262"/>
      <c r="G347" s="262"/>
      <c r="H347" s="262"/>
      <c r="I347" s="283"/>
      <c r="J347" s="261"/>
      <c r="K347" s="568"/>
      <c r="L347" s="273"/>
      <c r="M347" s="56"/>
      <c r="N347" s="56"/>
      <c r="O347" s="56"/>
      <c r="P347" s="56"/>
      <c r="Q347" s="56"/>
      <c r="R347" s="56"/>
      <c r="S347" s="56"/>
      <c r="T347" s="56"/>
      <c r="U347" s="559"/>
      <c r="V347" s="559"/>
      <c r="W347" s="559"/>
      <c r="X347" s="559"/>
      <c r="Y347" s="559"/>
      <c r="Z347" s="559"/>
      <c r="AA347" s="559"/>
      <c r="AB347" s="559"/>
      <c r="AC347" s="559"/>
      <c r="AD347" s="559"/>
      <c r="AE347" s="559"/>
      <c r="AF347" s="559"/>
      <c r="AG347" s="559"/>
      <c r="AH347" s="559"/>
      <c r="AI347" s="559"/>
      <c r="AJ347" s="559"/>
    </row>
    <row r="348" spans="2:36" s="17" customFormat="1" ht="15.75" hidden="1" x14ac:dyDescent="0.25">
      <c r="B348" s="1474"/>
      <c r="C348" s="1474"/>
      <c r="D348" s="1474"/>
      <c r="E348" s="262"/>
      <c r="F348" s="262"/>
      <c r="G348" s="262"/>
      <c r="H348" s="262"/>
      <c r="I348" s="56"/>
      <c r="J348" s="56"/>
      <c r="K348" s="568"/>
      <c r="L348" s="280"/>
      <c r="M348" s="56"/>
      <c r="N348" s="56"/>
      <c r="O348" s="56"/>
      <c r="P348" s="56"/>
      <c r="Q348" s="56"/>
      <c r="R348" s="56"/>
      <c r="S348" s="56"/>
      <c r="T348" s="56"/>
      <c r="U348" s="559"/>
      <c r="V348" s="559"/>
      <c r="W348" s="559"/>
      <c r="X348" s="559"/>
      <c r="Y348" s="559"/>
      <c r="Z348" s="559"/>
      <c r="AA348" s="559"/>
      <c r="AB348" s="559"/>
      <c r="AC348" s="559"/>
      <c r="AD348" s="559"/>
      <c r="AE348" s="559"/>
      <c r="AF348" s="559"/>
      <c r="AG348" s="559"/>
      <c r="AH348" s="559"/>
      <c r="AI348" s="559"/>
      <c r="AJ348" s="559"/>
    </row>
    <row r="349" spans="2:36" s="17" customFormat="1" ht="15.75" hidden="1" x14ac:dyDescent="0.25">
      <c r="B349" s="1473" t="s">
        <v>368</v>
      </c>
      <c r="C349" s="1473" t="s">
        <v>369</v>
      </c>
      <c r="D349" s="1478"/>
      <c r="E349" s="281"/>
      <c r="F349" s="281"/>
      <c r="G349" s="281"/>
      <c r="H349" s="281"/>
      <c r="I349" s="283"/>
      <c r="J349" s="56"/>
      <c r="K349" s="568"/>
      <c r="L349" s="639"/>
      <c r="M349" s="56"/>
      <c r="N349" s="56"/>
      <c r="O349" s="56"/>
      <c r="P349" s="56"/>
      <c r="Q349" s="56"/>
      <c r="R349" s="56"/>
      <c r="S349" s="56"/>
      <c r="T349" s="56"/>
      <c r="U349" s="559"/>
      <c r="V349" s="559"/>
      <c r="W349" s="559"/>
      <c r="X349" s="559"/>
      <c r="Y349" s="559"/>
      <c r="Z349" s="559"/>
      <c r="AA349" s="559"/>
      <c r="AB349" s="559"/>
      <c r="AC349" s="559"/>
      <c r="AD349" s="559"/>
      <c r="AE349" s="559"/>
      <c r="AF349" s="559"/>
      <c r="AG349" s="559"/>
      <c r="AH349" s="559"/>
      <c r="AI349" s="559"/>
      <c r="AJ349" s="559"/>
    </row>
    <row r="350" spans="2:36" s="17" customFormat="1" ht="15.75" hidden="1" x14ac:dyDescent="0.25">
      <c r="B350" s="1474"/>
      <c r="C350" s="1474" t="s">
        <v>371</v>
      </c>
      <c r="D350" s="1513">
        <v>0.01</v>
      </c>
      <c r="E350" s="262"/>
      <c r="F350" s="262"/>
      <c r="G350" s="262"/>
      <c r="H350" s="262"/>
      <c r="I350" s="56"/>
      <c r="J350" s="56"/>
      <c r="K350" s="282"/>
      <c r="L350" s="568"/>
      <c r="M350" s="568"/>
      <c r="N350" s="56"/>
      <c r="O350" s="56"/>
      <c r="P350" s="56"/>
      <c r="Q350" s="56"/>
      <c r="R350" s="56"/>
      <c r="S350" s="56"/>
      <c r="T350" s="56"/>
      <c r="U350" s="559"/>
      <c r="V350" s="559"/>
      <c r="W350" s="559"/>
      <c r="X350" s="559"/>
      <c r="Y350" s="559"/>
      <c r="Z350" s="559"/>
      <c r="AA350" s="559"/>
      <c r="AB350" s="559"/>
      <c r="AC350" s="559"/>
      <c r="AD350" s="559"/>
      <c r="AE350" s="559"/>
      <c r="AF350" s="559"/>
      <c r="AG350" s="559"/>
      <c r="AH350" s="559"/>
      <c r="AI350" s="559"/>
      <c r="AJ350" s="559"/>
    </row>
    <row r="351" spans="2:36" s="17" customFormat="1" ht="15.75" hidden="1" x14ac:dyDescent="0.25">
      <c r="B351" s="1474"/>
      <c r="C351" s="1475" t="s">
        <v>478</v>
      </c>
      <c r="D351" s="1514" t="e">
        <f>D347*$D$350*44/28</f>
        <v>#DIV/0!</v>
      </c>
      <c r="E351" s="262"/>
      <c r="F351" s="262"/>
      <c r="G351" s="262"/>
      <c r="H351" s="262"/>
      <c r="I351" s="56"/>
      <c r="J351" s="261"/>
      <c r="K351" s="56"/>
      <c r="L351" s="56"/>
      <c r="M351" s="283"/>
      <c r="N351" s="56"/>
      <c r="O351" s="56"/>
      <c r="P351" s="56"/>
      <c r="Q351" s="56"/>
      <c r="R351" s="56"/>
      <c r="S351" s="56"/>
      <c r="T351" s="56"/>
      <c r="U351" s="559"/>
      <c r="V351" s="559"/>
      <c r="W351" s="559"/>
      <c r="X351" s="559"/>
      <c r="Y351" s="559"/>
      <c r="Z351" s="559"/>
      <c r="AA351" s="559"/>
      <c r="AB351" s="559"/>
      <c r="AC351" s="559"/>
      <c r="AD351" s="559"/>
      <c r="AE351" s="559"/>
      <c r="AF351" s="559"/>
      <c r="AG351" s="559"/>
      <c r="AH351" s="559"/>
      <c r="AI351" s="559"/>
      <c r="AJ351" s="559"/>
    </row>
    <row r="352" spans="2:36" s="17" customFormat="1" ht="15.75" hidden="1" x14ac:dyDescent="0.25">
      <c r="B352" s="265" t="s">
        <v>405</v>
      </c>
      <c r="C352" s="262"/>
      <c r="D352" s="262"/>
      <c r="E352" s="262"/>
      <c r="F352" s="262"/>
      <c r="G352" s="262"/>
      <c r="H352" s="262"/>
      <c r="I352" s="56"/>
      <c r="J352" s="261"/>
      <c r="K352" s="56"/>
      <c r="L352" s="56"/>
      <c r="M352" s="283"/>
      <c r="N352" s="56"/>
      <c r="O352" s="56"/>
      <c r="P352" s="56"/>
      <c r="Q352" s="56"/>
      <c r="R352" s="56"/>
      <c r="S352" s="56"/>
      <c r="T352" s="56"/>
      <c r="U352" s="559"/>
      <c r="V352" s="559"/>
      <c r="W352" s="559"/>
      <c r="X352" s="559"/>
      <c r="Y352" s="559"/>
      <c r="Z352" s="559"/>
      <c r="AA352" s="559"/>
      <c r="AB352" s="559"/>
      <c r="AC352" s="559"/>
      <c r="AD352" s="559"/>
      <c r="AE352" s="559"/>
      <c r="AF352" s="559"/>
      <c r="AG352" s="559"/>
      <c r="AH352" s="559"/>
      <c r="AI352" s="559"/>
      <c r="AJ352" s="559"/>
    </row>
    <row r="353" spans="2:36" s="17" customFormat="1" ht="15.75" hidden="1" x14ac:dyDescent="0.25">
      <c r="B353" s="262"/>
      <c r="C353" s="265" t="s">
        <v>407</v>
      </c>
      <c r="D353" s="262"/>
      <c r="E353" s="262"/>
      <c r="F353" s="262"/>
      <c r="G353" s="262"/>
      <c r="H353" s="262"/>
      <c r="I353" s="56"/>
      <c r="J353" s="261"/>
      <c r="K353" s="56"/>
      <c r="L353" s="56"/>
      <c r="M353" s="283"/>
      <c r="N353" s="56"/>
      <c r="O353" s="56"/>
      <c r="P353" s="56"/>
      <c r="Q353" s="56"/>
      <c r="R353" s="56"/>
      <c r="S353" s="56"/>
      <c r="T353" s="56"/>
      <c r="U353" s="559"/>
      <c r="V353" s="559"/>
      <c r="W353" s="559"/>
      <c r="X353" s="559"/>
      <c r="Y353" s="559"/>
      <c r="Z353" s="559"/>
      <c r="AA353" s="559"/>
      <c r="AB353" s="559"/>
      <c r="AC353" s="559"/>
      <c r="AD353" s="559"/>
      <c r="AE353" s="559"/>
      <c r="AF353" s="559"/>
      <c r="AG353" s="559"/>
      <c r="AH353" s="559"/>
      <c r="AI353" s="559"/>
      <c r="AJ353" s="559"/>
    </row>
    <row r="354" spans="2:36" s="17" customFormat="1" ht="15.75" hidden="1" x14ac:dyDescent="0.25">
      <c r="B354" s="262"/>
      <c r="C354" s="262"/>
      <c r="D354" s="262"/>
      <c r="E354" s="262"/>
      <c r="F354" s="262"/>
      <c r="G354" s="262"/>
      <c r="H354" s="262"/>
      <c r="I354" s="56"/>
      <c r="J354" s="56"/>
      <c r="K354" s="56"/>
      <c r="L354" s="56"/>
      <c r="M354" s="283"/>
      <c r="N354" s="56"/>
      <c r="O354" s="56"/>
      <c r="P354" s="56"/>
      <c r="Q354" s="56"/>
      <c r="R354" s="56"/>
      <c r="S354" s="56"/>
      <c r="T354" s="56"/>
      <c r="U354" s="559"/>
      <c r="V354" s="559"/>
      <c r="W354" s="559"/>
      <c r="X354" s="559"/>
      <c r="Y354" s="559"/>
      <c r="Z354" s="559"/>
      <c r="AA354" s="559"/>
      <c r="AB354" s="559"/>
      <c r="AC354" s="559"/>
      <c r="AD354" s="559"/>
      <c r="AE354" s="559"/>
      <c r="AF354" s="559"/>
      <c r="AG354" s="559"/>
      <c r="AH354" s="559"/>
      <c r="AI354" s="559"/>
      <c r="AJ354" s="559"/>
    </row>
    <row r="355" spans="2:36" s="17" customFormat="1" ht="15.75" hidden="1" x14ac:dyDescent="0.25">
      <c r="B355" s="284"/>
      <c r="C355" s="269" t="s">
        <v>478</v>
      </c>
      <c r="D355" s="1515" t="e">
        <f>D274*'Baseline farm'!G73%</f>
        <v>#DIV/0!</v>
      </c>
      <c r="E355" s="274"/>
      <c r="F355" s="274"/>
      <c r="G355" s="274"/>
      <c r="H355" s="274"/>
      <c r="I355" s="56"/>
      <c r="J355" s="261"/>
      <c r="K355" s="285"/>
      <c r="L355" s="285"/>
      <c r="M355" s="286"/>
      <c r="N355" s="56"/>
      <c r="O355" s="56"/>
      <c r="P355" s="56"/>
      <c r="Q355" s="56"/>
      <c r="R355" s="56"/>
      <c r="S355" s="56"/>
      <c r="T355" s="56"/>
      <c r="U355" s="559"/>
      <c r="V355" s="559"/>
      <c r="W355" s="559"/>
      <c r="X355" s="559"/>
      <c r="Y355" s="559"/>
      <c r="Z355" s="559"/>
      <c r="AA355" s="559"/>
      <c r="AB355" s="559"/>
      <c r="AC355" s="559"/>
      <c r="AD355" s="559"/>
      <c r="AE355" s="559"/>
      <c r="AF355" s="559"/>
      <c r="AG355" s="559"/>
      <c r="AH355" s="559"/>
      <c r="AI355" s="559"/>
      <c r="AJ355" s="559"/>
    </row>
    <row r="356" spans="2:36" s="17" customFormat="1" ht="15.75" hidden="1" x14ac:dyDescent="0.25">
      <c r="B356" s="262"/>
      <c r="C356" s="262"/>
      <c r="D356" s="1515"/>
      <c r="E356" s="274"/>
      <c r="F356" s="274"/>
      <c r="G356" s="274"/>
      <c r="H356" s="274"/>
      <c r="I356" s="56"/>
      <c r="J356" s="261"/>
      <c r="K356" s="285"/>
      <c r="L356" s="285"/>
      <c r="M356" s="285"/>
      <c r="N356" s="56"/>
      <c r="O356" s="56"/>
      <c r="P356" s="56"/>
      <c r="Q356" s="56"/>
      <c r="R356" s="56"/>
      <c r="S356" s="56"/>
      <c r="T356" s="56"/>
      <c r="U356" s="559"/>
      <c r="V356" s="559"/>
      <c r="W356" s="559"/>
      <c r="X356" s="559"/>
      <c r="Y356" s="559"/>
      <c r="Z356" s="559"/>
      <c r="AA356" s="559"/>
      <c r="AB356" s="559"/>
      <c r="AC356" s="559"/>
      <c r="AD356" s="559"/>
      <c r="AE356" s="559"/>
      <c r="AF356" s="559"/>
      <c r="AG356" s="559"/>
      <c r="AH356" s="559"/>
      <c r="AI356" s="559"/>
      <c r="AJ356" s="559"/>
    </row>
    <row r="357" spans="2:36" s="17" customFormat="1" ht="15.75" hidden="1" x14ac:dyDescent="0.25">
      <c r="B357" s="262"/>
      <c r="C357" s="265" t="s">
        <v>409</v>
      </c>
      <c r="D357" s="1515"/>
      <c r="E357" s="274"/>
      <c r="F357" s="274"/>
      <c r="G357" s="274"/>
      <c r="H357" s="274"/>
      <c r="I357" s="56"/>
      <c r="J357" s="261"/>
      <c r="K357" s="285"/>
      <c r="L357" s="285"/>
      <c r="M357" s="286"/>
      <c r="N357" s="568"/>
      <c r="O357" s="568"/>
      <c r="P357" s="568"/>
      <c r="Q357" s="568"/>
      <c r="R357" s="568"/>
      <c r="S357" s="568"/>
      <c r="T357" s="568"/>
      <c r="U357" s="559"/>
      <c r="V357" s="559"/>
      <c r="W357" s="559"/>
      <c r="X357" s="559"/>
      <c r="Y357" s="559"/>
      <c r="Z357" s="559"/>
      <c r="AA357" s="559"/>
      <c r="AB357" s="559"/>
      <c r="AC357" s="559"/>
      <c r="AD357" s="559"/>
      <c r="AE357" s="559"/>
      <c r="AF357" s="559"/>
      <c r="AG357" s="559"/>
      <c r="AH357" s="559"/>
      <c r="AI357" s="559"/>
      <c r="AJ357" s="559"/>
    </row>
    <row r="358" spans="2:36" s="17" customFormat="1" ht="15.75" hidden="1" x14ac:dyDescent="0.25">
      <c r="B358" s="262"/>
      <c r="C358" s="262"/>
      <c r="D358" s="1515"/>
      <c r="E358" s="274"/>
      <c r="F358" s="274"/>
      <c r="G358" s="274"/>
      <c r="H358" s="274"/>
      <c r="I358" s="56"/>
      <c r="J358" s="56"/>
      <c r="K358" s="285"/>
      <c r="L358" s="285"/>
      <c r="M358" s="286"/>
      <c r="N358" s="568"/>
      <c r="O358" s="568"/>
      <c r="P358" s="568"/>
      <c r="Q358" s="568"/>
      <c r="R358" s="568"/>
      <c r="S358" s="282"/>
      <c r="T358" s="568"/>
      <c r="U358" s="559"/>
      <c r="V358" s="559"/>
      <c r="W358" s="559"/>
      <c r="X358" s="559"/>
      <c r="Y358" s="559"/>
      <c r="Z358" s="559"/>
      <c r="AA358" s="559"/>
      <c r="AB358" s="559"/>
      <c r="AC358" s="559"/>
      <c r="AD358" s="559"/>
      <c r="AE358" s="559"/>
      <c r="AF358" s="559"/>
      <c r="AG358" s="559"/>
      <c r="AH358" s="559"/>
      <c r="AI358" s="559"/>
      <c r="AJ358" s="559"/>
    </row>
    <row r="359" spans="2:36" s="17" customFormat="1" ht="15.75" hidden="1" x14ac:dyDescent="0.25">
      <c r="B359" s="262"/>
      <c r="C359" s="269" t="s">
        <v>478</v>
      </c>
      <c r="D359" s="1515" t="e">
        <f>D278*'Baseline farm'!G73%</f>
        <v>#DIV/0!</v>
      </c>
      <c r="E359" s="274"/>
      <c r="F359" s="274"/>
      <c r="G359" s="274"/>
      <c r="H359" s="274"/>
      <c r="I359" s="56"/>
      <c r="J359" s="56"/>
      <c r="K359" s="285"/>
      <c r="L359" s="285"/>
      <c r="M359" s="286"/>
      <c r="N359" s="568"/>
      <c r="O359" s="287"/>
      <c r="P359" s="287"/>
      <c r="Q359" s="568"/>
      <c r="R359" s="568"/>
      <c r="S359" s="282"/>
      <c r="T359" s="568"/>
      <c r="U359" s="559"/>
      <c r="V359" s="559"/>
      <c r="W359" s="559"/>
      <c r="X359" s="559"/>
      <c r="Y359" s="559"/>
      <c r="Z359" s="559"/>
      <c r="AA359" s="559"/>
      <c r="AB359" s="559"/>
      <c r="AC359" s="559"/>
      <c r="AD359" s="559"/>
      <c r="AE359" s="559"/>
      <c r="AF359" s="559"/>
      <c r="AG359" s="559"/>
      <c r="AH359" s="559"/>
      <c r="AI359" s="559"/>
      <c r="AJ359" s="559"/>
    </row>
    <row r="360" spans="2:36" s="17" customFormat="1" ht="15.75" hidden="1" x14ac:dyDescent="0.25">
      <c r="B360" s="262"/>
      <c r="C360" s="262"/>
      <c r="D360" s="262"/>
      <c r="E360" s="262"/>
      <c r="F360" s="262"/>
      <c r="G360" s="262"/>
      <c r="H360" s="262"/>
      <c r="I360" s="56"/>
      <c r="J360" s="56"/>
      <c r="K360" s="56"/>
      <c r="L360" s="56"/>
      <c r="M360" s="56"/>
      <c r="N360" s="56"/>
      <c r="O360" s="56"/>
      <c r="P360" s="56"/>
      <c r="Q360" s="56"/>
      <c r="R360" s="56"/>
      <c r="S360" s="56"/>
      <c r="T360" s="56"/>
      <c r="U360" s="559"/>
      <c r="V360" s="559"/>
      <c r="W360" s="559"/>
      <c r="X360" s="559"/>
      <c r="Y360" s="559"/>
      <c r="Z360" s="559"/>
      <c r="AA360" s="559"/>
      <c r="AB360" s="559"/>
      <c r="AC360" s="559"/>
      <c r="AD360" s="559"/>
      <c r="AE360" s="559"/>
      <c r="AF360" s="559"/>
      <c r="AG360" s="559"/>
      <c r="AH360" s="559"/>
      <c r="AI360" s="559"/>
      <c r="AJ360" s="559"/>
    </row>
    <row r="361" spans="2:36" s="17" customFormat="1" ht="15.75" hidden="1" x14ac:dyDescent="0.25">
      <c r="B361" s="265" t="s">
        <v>411</v>
      </c>
      <c r="C361" s="265" t="s">
        <v>412</v>
      </c>
      <c r="D361" s="262"/>
      <c r="E361" s="262"/>
      <c r="F361" s="262"/>
      <c r="G361" s="262"/>
      <c r="H361" s="262"/>
      <c r="I361" s="56"/>
      <c r="J361" s="261"/>
      <c r="K361" s="56"/>
      <c r="L361" s="56"/>
      <c r="M361" s="56"/>
      <c r="N361" s="56"/>
      <c r="O361" s="56"/>
      <c r="P361" s="56"/>
      <c r="Q361" s="56"/>
      <c r="R361" s="56"/>
      <c r="S361" s="56"/>
      <c r="T361" s="56"/>
      <c r="U361" s="559"/>
      <c r="V361" s="559"/>
      <c r="W361" s="559"/>
      <c r="X361" s="559"/>
      <c r="Y361" s="559"/>
      <c r="Z361" s="559"/>
      <c r="AA361" s="559"/>
      <c r="AB361" s="559"/>
      <c r="AC361" s="559"/>
      <c r="AD361" s="559"/>
      <c r="AE361" s="559"/>
      <c r="AF361" s="559"/>
      <c r="AG361" s="559"/>
      <c r="AH361" s="559"/>
      <c r="AI361" s="559"/>
      <c r="AJ361" s="559"/>
    </row>
    <row r="362" spans="2:36" s="17" customFormat="1" ht="15.75" hidden="1" x14ac:dyDescent="0.25">
      <c r="B362" s="262"/>
      <c r="C362" s="262" t="s">
        <v>414</v>
      </c>
      <c r="D362" s="294">
        <v>4.0000000000000001E-3</v>
      </c>
      <c r="E362" s="262"/>
      <c r="F362" s="262"/>
      <c r="G362" s="262"/>
      <c r="H362" s="262"/>
      <c r="I362" s="56"/>
      <c r="J362" s="56"/>
      <c r="K362" s="56"/>
      <c r="L362" s="56"/>
      <c r="M362" s="56"/>
      <c r="N362" s="56"/>
      <c r="O362" s="56"/>
      <c r="P362" s="56"/>
      <c r="Q362" s="56"/>
      <c r="R362" s="56"/>
      <c r="S362" s="56"/>
      <c r="T362" s="56"/>
      <c r="U362" s="559"/>
      <c r="V362" s="559"/>
      <c r="W362" s="559"/>
      <c r="X362" s="559"/>
      <c r="Y362" s="559"/>
      <c r="Z362" s="559"/>
      <c r="AA362" s="559"/>
      <c r="AB362" s="559"/>
      <c r="AC362" s="559"/>
      <c r="AD362" s="559"/>
      <c r="AE362" s="559"/>
      <c r="AF362" s="559"/>
      <c r="AG362" s="559"/>
      <c r="AH362" s="559"/>
      <c r="AI362" s="559"/>
      <c r="AJ362" s="559"/>
    </row>
    <row r="363" spans="2:36" s="17" customFormat="1" ht="15.75" hidden="1" x14ac:dyDescent="0.25">
      <c r="B363" s="262"/>
      <c r="C363" s="262" t="s">
        <v>415</v>
      </c>
      <c r="D363" s="294">
        <v>4.0000000000000001E-3</v>
      </c>
      <c r="E363" s="262"/>
      <c r="F363" s="262"/>
      <c r="G363" s="262"/>
      <c r="H363" s="262"/>
      <c r="I363" s="56"/>
      <c r="J363" s="56"/>
      <c r="K363" s="56"/>
      <c r="L363" s="56"/>
      <c r="M363" s="56"/>
      <c r="N363" s="56"/>
      <c r="O363" s="56"/>
      <c r="P363" s="56"/>
      <c r="Q363" s="56"/>
      <c r="R363" s="56"/>
      <c r="S363" s="56"/>
      <c r="T363" s="56"/>
      <c r="U363" s="559"/>
      <c r="V363" s="559"/>
      <c r="W363" s="559"/>
      <c r="X363" s="559"/>
      <c r="Y363" s="559"/>
      <c r="Z363" s="559"/>
      <c r="AA363" s="559"/>
      <c r="AB363" s="559"/>
      <c r="AC363" s="559"/>
      <c r="AD363" s="559"/>
      <c r="AE363" s="559"/>
      <c r="AF363" s="559"/>
      <c r="AG363" s="559"/>
      <c r="AH363" s="559"/>
      <c r="AI363" s="559"/>
      <c r="AJ363" s="559"/>
    </row>
    <row r="364" spans="2:36" s="17" customFormat="1" ht="15.75" hidden="1" x14ac:dyDescent="0.25">
      <c r="B364" s="262"/>
      <c r="C364" s="262"/>
      <c r="D364" s="262"/>
      <c r="E364" s="262"/>
      <c r="F364" s="262"/>
      <c r="G364" s="262"/>
      <c r="H364" s="262"/>
      <c r="I364" s="56"/>
      <c r="J364" s="56"/>
      <c r="K364" s="56"/>
      <c r="L364" s="56"/>
      <c r="M364" s="56"/>
      <c r="N364" s="568"/>
      <c r="O364" s="568"/>
      <c r="P364" s="568"/>
      <c r="Q364" s="568"/>
      <c r="R364" s="568"/>
      <c r="S364" s="568"/>
      <c r="T364" s="568"/>
      <c r="U364" s="559"/>
      <c r="V364" s="559"/>
      <c r="W364" s="559"/>
      <c r="X364" s="559"/>
      <c r="Y364" s="559"/>
      <c r="Z364" s="559"/>
      <c r="AA364" s="559"/>
      <c r="AB364" s="559"/>
      <c r="AC364" s="559"/>
      <c r="AD364" s="559"/>
      <c r="AE364" s="559"/>
      <c r="AF364" s="559"/>
      <c r="AG364" s="559"/>
      <c r="AH364" s="559"/>
      <c r="AI364" s="559"/>
      <c r="AJ364" s="559"/>
    </row>
    <row r="365" spans="2:36" s="17" customFormat="1" ht="15.75" hidden="1" x14ac:dyDescent="0.25">
      <c r="B365" s="262"/>
      <c r="C365" s="269" t="s">
        <v>478</v>
      </c>
      <c r="D365" s="1516" t="e">
        <f>(D355+D359)*D362*44/28</f>
        <v>#DIV/0!</v>
      </c>
      <c r="E365" s="288"/>
      <c r="F365" s="288"/>
      <c r="G365" s="288"/>
      <c r="H365" s="288"/>
      <c r="I365" s="283"/>
      <c r="J365" s="56"/>
      <c r="K365" s="56"/>
      <c r="L365" s="289"/>
      <c r="M365" s="56"/>
      <c r="N365" s="568"/>
      <c r="O365" s="568"/>
      <c r="P365" s="568"/>
      <c r="Q365" s="568"/>
      <c r="R365" s="568"/>
      <c r="S365" s="568"/>
      <c r="T365" s="568"/>
      <c r="U365" s="559"/>
      <c r="V365" s="559"/>
      <c r="W365" s="559"/>
      <c r="X365" s="559"/>
      <c r="Y365" s="559"/>
      <c r="Z365" s="559"/>
      <c r="AA365" s="559"/>
      <c r="AB365" s="559"/>
      <c r="AC365" s="559"/>
      <c r="AD365" s="559"/>
      <c r="AE365" s="559"/>
      <c r="AF365" s="559"/>
      <c r="AG365" s="559"/>
      <c r="AH365" s="559"/>
      <c r="AI365" s="559"/>
      <c r="AJ365" s="559"/>
    </row>
    <row r="366" spans="2:36" s="17" customFormat="1" ht="15.75" hidden="1" x14ac:dyDescent="0.25">
      <c r="B366" s="262"/>
      <c r="C366" s="262"/>
      <c r="D366" s="1517"/>
      <c r="E366" s="262"/>
      <c r="F366" s="262"/>
      <c r="G366" s="262"/>
      <c r="H366" s="262"/>
      <c r="I366" s="56"/>
      <c r="J366" s="56"/>
      <c r="K366" s="56"/>
      <c r="L366" s="56"/>
      <c r="M366" s="56"/>
      <c r="N366" s="56"/>
      <c r="O366" s="56"/>
      <c r="P366" s="56"/>
      <c r="Q366" s="56"/>
      <c r="R366" s="56"/>
      <c r="S366" s="56"/>
      <c r="T366" s="56"/>
      <c r="U366" s="559"/>
      <c r="V366" s="559"/>
      <c r="W366" s="559"/>
      <c r="X366" s="559"/>
      <c r="Y366" s="559"/>
      <c r="Z366" s="559"/>
      <c r="AA366" s="559"/>
      <c r="AB366" s="559"/>
      <c r="AC366" s="559"/>
      <c r="AD366" s="559"/>
      <c r="AE366" s="559"/>
      <c r="AF366" s="559"/>
      <c r="AG366" s="559"/>
      <c r="AH366" s="559"/>
      <c r="AI366" s="559"/>
      <c r="AJ366" s="559"/>
    </row>
    <row r="367" spans="2:36" s="17" customFormat="1" ht="15.75" hidden="1" x14ac:dyDescent="0.25">
      <c r="B367" s="265" t="s">
        <v>416</v>
      </c>
      <c r="C367" s="262"/>
      <c r="D367" s="1518"/>
      <c r="E367" s="262"/>
      <c r="F367" s="262"/>
      <c r="G367" s="262"/>
      <c r="H367" s="262"/>
      <c r="I367" s="56"/>
      <c r="J367" s="56"/>
      <c r="K367" s="56"/>
      <c r="L367" s="56"/>
      <c r="M367" s="56"/>
      <c r="N367" s="56"/>
      <c r="O367" s="56"/>
      <c r="P367" s="56"/>
      <c r="Q367" s="56"/>
      <c r="R367" s="56"/>
      <c r="S367" s="56"/>
      <c r="T367" s="56"/>
      <c r="U367" s="559"/>
      <c r="V367" s="559"/>
      <c r="W367" s="559"/>
      <c r="X367" s="559"/>
      <c r="Y367" s="559"/>
      <c r="Z367" s="559"/>
      <c r="AA367" s="559"/>
      <c r="AB367" s="559"/>
      <c r="AC367" s="559"/>
      <c r="AD367" s="559"/>
      <c r="AE367" s="559"/>
      <c r="AF367" s="559"/>
      <c r="AG367" s="559"/>
      <c r="AH367" s="559"/>
      <c r="AI367" s="559"/>
      <c r="AJ367" s="559"/>
    </row>
    <row r="368" spans="2:36" s="17" customFormat="1" ht="15.75" hidden="1" x14ac:dyDescent="0.25">
      <c r="B368" s="262"/>
      <c r="C368" s="269" t="s">
        <v>478</v>
      </c>
      <c r="D368" s="1519" t="e">
        <f>D351+D365</f>
        <v>#DIV/0!</v>
      </c>
      <c r="E368" s="284"/>
      <c r="F368" s="284"/>
      <c r="G368" s="284"/>
      <c r="H368" s="284"/>
      <c r="I368" s="283"/>
      <c r="J368" s="56"/>
      <c r="K368" s="559"/>
      <c r="L368" s="559"/>
      <c r="M368" s="559"/>
      <c r="N368" s="56"/>
      <c r="O368" s="56"/>
      <c r="P368" s="56"/>
      <c r="Q368" s="56"/>
      <c r="R368" s="56"/>
      <c r="S368" s="56"/>
      <c r="T368" s="56"/>
      <c r="U368" s="559"/>
      <c r="V368" s="559"/>
      <c r="W368" s="559"/>
      <c r="X368" s="559"/>
      <c r="Y368" s="559"/>
      <c r="Z368" s="559"/>
      <c r="AA368" s="559"/>
      <c r="AB368" s="559"/>
      <c r="AC368" s="559"/>
      <c r="AD368" s="559"/>
      <c r="AE368" s="559"/>
      <c r="AF368" s="559"/>
      <c r="AG368" s="559"/>
      <c r="AH368" s="559"/>
      <c r="AI368" s="559"/>
      <c r="AJ368" s="559"/>
    </row>
    <row r="369" spans="2:36" s="17" customFormat="1" ht="15.75" hidden="1" x14ac:dyDescent="0.25">
      <c r="B369" s="262"/>
      <c r="C369" s="269"/>
      <c r="D369" s="284"/>
      <c r="E369" s="284"/>
      <c r="F369" s="284"/>
      <c r="G369" s="284"/>
      <c r="H369" s="284"/>
      <c r="I369" s="283"/>
      <c r="J369" s="657"/>
      <c r="K369" s="559"/>
      <c r="L369" s="559"/>
      <c r="M369" s="559"/>
      <c r="N369" s="56"/>
      <c r="O369" s="56"/>
      <c r="P369" s="56"/>
      <c r="Q369" s="56"/>
      <c r="R369" s="56"/>
      <c r="S369" s="56"/>
      <c r="T369" s="56"/>
      <c r="U369" s="559"/>
      <c r="V369" s="559"/>
      <c r="W369" s="559"/>
      <c r="X369" s="559"/>
      <c r="Y369" s="559"/>
      <c r="Z369" s="559"/>
      <c r="AA369" s="559"/>
      <c r="AB369" s="559"/>
      <c r="AC369" s="559"/>
      <c r="AD369" s="559"/>
      <c r="AE369" s="559"/>
      <c r="AF369" s="559"/>
      <c r="AG369" s="559"/>
      <c r="AH369" s="559"/>
      <c r="AI369" s="559"/>
      <c r="AJ369" s="559"/>
    </row>
    <row r="370" spans="2:36" s="17" customFormat="1" ht="15.75" hidden="1" x14ac:dyDescent="0.25">
      <c r="B370" s="262"/>
      <c r="C370" s="269"/>
      <c r="D370" s="281"/>
      <c r="E370" s="267"/>
      <c r="F370" s="262"/>
      <c r="G370" s="262"/>
      <c r="H370" s="262"/>
      <c r="I370" s="658"/>
      <c r="J370" s="261"/>
      <c r="K370" s="56"/>
      <c r="L370" s="1472"/>
      <c r="M370" s="1472"/>
      <c r="N370" s="1472"/>
      <c r="O370" s="1472"/>
      <c r="P370" s="1472"/>
      <c r="Q370" s="1472"/>
      <c r="R370" s="1472"/>
      <c r="S370" s="1472"/>
      <c r="T370" s="1472"/>
      <c r="U370" s="559"/>
      <c r="V370" s="559"/>
      <c r="W370" s="559"/>
      <c r="X370" s="559"/>
      <c r="Y370" s="559"/>
      <c r="Z370" s="559"/>
      <c r="AA370" s="559"/>
      <c r="AB370" s="559"/>
      <c r="AC370" s="559"/>
      <c r="AD370" s="559"/>
      <c r="AE370" s="559"/>
      <c r="AF370" s="559"/>
      <c r="AG370" s="559"/>
      <c r="AH370" s="559"/>
      <c r="AI370" s="559"/>
      <c r="AJ370" s="559"/>
    </row>
    <row r="371" spans="2:36" s="17" customFormat="1" ht="15.75" hidden="1" x14ac:dyDescent="0.25">
      <c r="B371" s="1473" t="s">
        <v>423</v>
      </c>
      <c r="C371" s="1473" t="s">
        <v>1484</v>
      </c>
      <c r="D371" s="1474"/>
      <c r="E371" s="262"/>
      <c r="F371" s="262"/>
      <c r="G371" s="262"/>
      <c r="H371" s="262"/>
      <c r="I371" s="56"/>
      <c r="J371" s="261"/>
      <c r="K371" s="56"/>
      <c r="L371" s="1472"/>
      <c r="M371" s="1472"/>
      <c r="N371" s="1472"/>
      <c r="O371" s="1472"/>
      <c r="P371" s="1472"/>
      <c r="Q371" s="1472"/>
      <c r="R371" s="1472"/>
      <c r="S371" s="1472"/>
      <c r="T371" s="1472"/>
      <c r="U371" s="559"/>
      <c r="V371" s="559"/>
      <c r="W371" s="559"/>
      <c r="X371" s="559"/>
      <c r="Y371" s="559"/>
      <c r="Z371" s="559"/>
      <c r="AA371" s="559"/>
      <c r="AB371" s="559"/>
      <c r="AC371" s="559"/>
      <c r="AD371" s="559"/>
      <c r="AE371" s="559"/>
      <c r="AF371" s="559"/>
      <c r="AG371" s="559"/>
      <c r="AH371" s="559"/>
      <c r="AI371" s="559"/>
      <c r="AJ371" s="559"/>
    </row>
    <row r="372" spans="2:36" s="17" customFormat="1" ht="15.75" hidden="1" x14ac:dyDescent="0.25">
      <c r="B372" s="1474"/>
      <c r="C372" s="1474" t="s">
        <v>1485</v>
      </c>
      <c r="D372" s="1520">
        <v>0.2</v>
      </c>
      <c r="E372" s="262"/>
      <c r="F372" s="262"/>
      <c r="G372" s="262"/>
      <c r="H372" s="262"/>
      <c r="I372" s="56"/>
      <c r="J372" s="261"/>
      <c r="K372" s="56"/>
      <c r="L372" s="1472"/>
      <c r="M372" s="1472"/>
      <c r="N372" s="1472"/>
      <c r="O372" s="1472"/>
      <c r="P372" s="1472"/>
      <c r="Q372" s="1472"/>
      <c r="R372" s="1472"/>
      <c r="S372" s="1472"/>
      <c r="T372" s="1472"/>
      <c r="U372" s="559"/>
      <c r="V372" s="559"/>
      <c r="W372" s="559"/>
      <c r="X372" s="559"/>
      <c r="Y372" s="559"/>
      <c r="Z372" s="559"/>
      <c r="AA372" s="559"/>
      <c r="AB372" s="559"/>
      <c r="AC372" s="559"/>
      <c r="AD372" s="559"/>
      <c r="AE372" s="559"/>
      <c r="AF372" s="559"/>
      <c r="AG372" s="559"/>
      <c r="AH372" s="559"/>
      <c r="AI372" s="559"/>
      <c r="AJ372" s="559"/>
    </row>
    <row r="373" spans="2:36" s="17" customFormat="1" ht="15.75" hidden="1" x14ac:dyDescent="0.25">
      <c r="B373" s="1474"/>
      <c r="C373" s="1474"/>
      <c r="D373" s="1474"/>
      <c r="E373" s="262"/>
      <c r="F373" s="262"/>
      <c r="G373" s="262"/>
      <c r="H373" s="262"/>
      <c r="I373" s="56"/>
      <c r="J373" s="56"/>
      <c r="K373" s="56"/>
      <c r="L373" s="1472"/>
      <c r="M373" s="1472"/>
      <c r="N373" s="1472"/>
      <c r="O373" s="1472"/>
      <c r="P373" s="1472"/>
      <c r="Q373" s="1472"/>
      <c r="R373" s="1472"/>
      <c r="S373" s="1472"/>
      <c r="T373" s="1472"/>
      <c r="U373" s="559"/>
      <c r="V373" s="559"/>
      <c r="W373" s="559"/>
      <c r="X373" s="559"/>
      <c r="Y373" s="559"/>
      <c r="Z373" s="559"/>
      <c r="AA373" s="559"/>
      <c r="AB373" s="559"/>
      <c r="AC373" s="559"/>
      <c r="AD373" s="559"/>
      <c r="AE373" s="559"/>
      <c r="AF373" s="559"/>
      <c r="AG373" s="559"/>
      <c r="AH373" s="559"/>
      <c r="AI373" s="559"/>
      <c r="AJ373" s="559"/>
    </row>
    <row r="374" spans="2:36" s="17" customFormat="1" ht="15.75" hidden="1" x14ac:dyDescent="0.25">
      <c r="B374" s="1474" t="s">
        <v>427</v>
      </c>
      <c r="C374" s="1475" t="s">
        <v>478</v>
      </c>
      <c r="D374" s="1521" t="e">
        <f>(D347+D355+D359)*D372</f>
        <v>#DIV/0!</v>
      </c>
      <c r="E374" s="267"/>
      <c r="F374" s="295"/>
      <c r="G374" s="295"/>
      <c r="H374" s="295"/>
      <c r="I374" s="658"/>
      <c r="J374" s="261"/>
      <c r="K374" s="56"/>
      <c r="L374" s="1472"/>
      <c r="M374" s="1472"/>
      <c r="N374" s="1472"/>
      <c r="O374" s="1472"/>
      <c r="P374" s="1472"/>
      <c r="Q374" s="1472"/>
      <c r="R374" s="1472"/>
      <c r="S374" s="1472"/>
      <c r="T374" s="1472"/>
      <c r="U374" s="559"/>
      <c r="V374" s="559"/>
      <c r="W374" s="559"/>
      <c r="X374" s="559"/>
      <c r="Y374" s="559"/>
      <c r="Z374" s="559"/>
      <c r="AA374" s="559"/>
      <c r="AB374" s="559"/>
      <c r="AC374" s="559"/>
      <c r="AD374" s="559"/>
      <c r="AE374" s="559"/>
      <c r="AF374" s="559"/>
      <c r="AG374" s="559"/>
      <c r="AH374" s="559"/>
      <c r="AI374" s="559"/>
      <c r="AJ374" s="559"/>
    </row>
    <row r="375" spans="2:36" s="17" customFormat="1" ht="15.75" hidden="1" x14ac:dyDescent="0.25">
      <c r="B375" s="262"/>
      <c r="C375" s="262"/>
      <c r="D375" s="262"/>
      <c r="E375" s="267"/>
      <c r="F375" s="262"/>
      <c r="G375" s="262"/>
      <c r="H375" s="262"/>
      <c r="I375" s="56"/>
      <c r="J375" s="56"/>
      <c r="K375" s="56"/>
      <c r="L375" s="1472"/>
      <c r="M375" s="1472"/>
      <c r="N375" s="1472"/>
      <c r="O375" s="1472"/>
      <c r="P375" s="1472"/>
      <c r="Q375" s="1472"/>
      <c r="R375" s="1472"/>
      <c r="S375" s="1472"/>
      <c r="T375" s="1472"/>
      <c r="U375" s="559"/>
      <c r="V375" s="559"/>
      <c r="W375" s="559"/>
      <c r="X375" s="559"/>
      <c r="Y375" s="559"/>
      <c r="Z375" s="559"/>
      <c r="AA375" s="559"/>
      <c r="AB375" s="559"/>
      <c r="AC375" s="559"/>
      <c r="AD375" s="559"/>
      <c r="AE375" s="559"/>
      <c r="AF375" s="559"/>
      <c r="AG375" s="559"/>
      <c r="AH375" s="559"/>
      <c r="AI375" s="559"/>
      <c r="AJ375" s="559"/>
    </row>
    <row r="376" spans="2:36" s="17" customFormat="1" ht="15.75" hidden="1" x14ac:dyDescent="0.25">
      <c r="B376" s="1474"/>
      <c r="C376" s="1473" t="s">
        <v>386</v>
      </c>
      <c r="D376" s="1474"/>
      <c r="E376" s="262"/>
      <c r="F376" s="262"/>
      <c r="G376" s="262"/>
      <c r="H376" s="262"/>
      <c r="I376" s="56"/>
      <c r="J376" s="56"/>
      <c r="K376" s="56"/>
      <c r="L376" s="56"/>
      <c r="M376" s="56"/>
      <c r="N376" s="559"/>
      <c r="O376" s="559"/>
      <c r="P376" s="559"/>
      <c r="Q376" s="559"/>
      <c r="R376" s="559"/>
      <c r="S376" s="559"/>
      <c r="T376" s="559"/>
      <c r="U376" s="559"/>
      <c r="V376" s="559"/>
      <c r="W376" s="559"/>
      <c r="X376" s="559"/>
      <c r="Y376" s="559"/>
      <c r="Z376" s="559"/>
      <c r="AA376" s="559"/>
      <c r="AB376" s="559"/>
      <c r="AC376" s="559"/>
      <c r="AD376" s="559"/>
      <c r="AE376" s="559"/>
      <c r="AF376" s="559"/>
      <c r="AG376" s="559"/>
      <c r="AH376" s="559"/>
      <c r="AI376" s="559"/>
      <c r="AJ376" s="559"/>
    </row>
    <row r="377" spans="2:36" s="17" customFormat="1" ht="15.75" hidden="1" x14ac:dyDescent="0.25">
      <c r="B377" s="1474"/>
      <c r="C377" s="1474" t="s">
        <v>436</v>
      </c>
      <c r="D377" s="1474"/>
      <c r="E377" s="262"/>
      <c r="F377" s="262"/>
      <c r="G377" s="262"/>
      <c r="H377" s="262"/>
      <c r="I377" s="56"/>
      <c r="J377" s="261"/>
      <c r="K377" s="56"/>
      <c r="L377" s="56"/>
      <c r="M377" s="56"/>
      <c r="N377" s="559"/>
      <c r="O377" s="559"/>
      <c r="P377" s="559"/>
      <c r="Q377" s="559"/>
      <c r="R377" s="559"/>
      <c r="S377" s="559"/>
      <c r="T377" s="559"/>
      <c r="U377" s="559"/>
      <c r="V377" s="559"/>
      <c r="W377" s="559"/>
      <c r="X377" s="559"/>
      <c r="Y377" s="559"/>
      <c r="Z377" s="559"/>
      <c r="AA377" s="559"/>
      <c r="AB377" s="559"/>
      <c r="AC377" s="559"/>
      <c r="AD377" s="559"/>
      <c r="AE377" s="559"/>
      <c r="AF377" s="559"/>
      <c r="AG377" s="559"/>
      <c r="AH377" s="559"/>
      <c r="AI377" s="559"/>
      <c r="AJ377" s="559"/>
    </row>
    <row r="378" spans="2:36" s="17" customFormat="1" ht="15.75" hidden="1" x14ac:dyDescent="0.25">
      <c r="B378" s="1474"/>
      <c r="C378" s="1474" t="s">
        <v>1474</v>
      </c>
      <c r="D378" s="1520">
        <v>4.0000000000000001E-3</v>
      </c>
      <c r="E378" s="262"/>
      <c r="F378" s="262"/>
      <c r="G378" s="262"/>
      <c r="H378" s="262"/>
      <c r="I378" s="56"/>
      <c r="J378" s="261"/>
      <c r="K378" s="56"/>
      <c r="L378" s="56"/>
      <c r="M378" s="56"/>
      <c r="N378" s="559"/>
      <c r="O378" s="559"/>
      <c r="P378" s="559"/>
      <c r="Q378" s="559"/>
      <c r="R378" s="559"/>
      <c r="S378" s="559"/>
      <c r="T378" s="559"/>
      <c r="U378" s="559"/>
      <c r="V378" s="559"/>
      <c r="W378" s="559"/>
      <c r="X378" s="559"/>
      <c r="Y378" s="559"/>
      <c r="Z378" s="559"/>
      <c r="AA378" s="559"/>
      <c r="AB378" s="559"/>
      <c r="AC378" s="559"/>
      <c r="AD378" s="559"/>
      <c r="AE378" s="559"/>
      <c r="AF378" s="559"/>
      <c r="AG378" s="559"/>
      <c r="AH378" s="559"/>
      <c r="AI378" s="559"/>
      <c r="AJ378" s="559"/>
    </row>
    <row r="379" spans="2:36" s="17" customFormat="1" ht="15.75" hidden="1" x14ac:dyDescent="0.25">
      <c r="B379" s="262"/>
      <c r="C379" s="262"/>
      <c r="D379" s="262"/>
      <c r="E379" s="262"/>
      <c r="F379" s="262"/>
      <c r="G379" s="262"/>
      <c r="H379" s="262"/>
      <c r="I379" s="56"/>
      <c r="J379" s="261"/>
      <c r="K379" s="56"/>
      <c r="L379" s="56"/>
      <c r="M379" s="56"/>
      <c r="N379" s="559"/>
      <c r="O379" s="559"/>
      <c r="P379" s="559"/>
      <c r="Q379" s="559"/>
      <c r="R379" s="559"/>
      <c r="S379" s="559"/>
      <c r="T379" s="559"/>
      <c r="U379" s="559"/>
      <c r="V379" s="559"/>
      <c r="W379" s="559"/>
      <c r="X379" s="559"/>
      <c r="Y379" s="559"/>
      <c r="Z379" s="559"/>
      <c r="AA379" s="559"/>
      <c r="AB379" s="559"/>
      <c r="AC379" s="559"/>
      <c r="AD379" s="559"/>
      <c r="AE379" s="559"/>
      <c r="AF379" s="559"/>
      <c r="AG379" s="559"/>
      <c r="AH379" s="559"/>
      <c r="AI379" s="559"/>
      <c r="AJ379" s="559"/>
    </row>
    <row r="380" spans="2:36" s="17" customFormat="1" ht="15.75" hidden="1" x14ac:dyDescent="0.25">
      <c r="B380" s="1473" t="s">
        <v>434</v>
      </c>
      <c r="C380" s="1475" t="s">
        <v>478</v>
      </c>
      <c r="D380" s="1517" t="e">
        <f>D374*D378*44/28</f>
        <v>#DIV/0!</v>
      </c>
      <c r="E380" s="262"/>
      <c r="F380" s="262"/>
      <c r="G380" s="141" t="s">
        <v>336</v>
      </c>
      <c r="H380" s="262"/>
      <c r="I380" s="56"/>
      <c r="J380" s="261"/>
      <c r="K380" s="56"/>
      <c r="L380" s="56"/>
      <c r="M380" s="56"/>
      <c r="N380" s="559"/>
      <c r="O380" s="559"/>
      <c r="P380" s="559"/>
      <c r="Q380" s="559"/>
      <c r="R380" s="559"/>
      <c r="S380" s="559"/>
      <c r="T380" s="559"/>
      <c r="U380" s="559"/>
      <c r="V380" s="559"/>
      <c r="W380" s="559"/>
      <c r="X380" s="559"/>
      <c r="Y380" s="559"/>
      <c r="Z380" s="559"/>
      <c r="AA380" s="559"/>
      <c r="AB380" s="559"/>
      <c r="AC380" s="559"/>
      <c r="AD380" s="559"/>
      <c r="AE380" s="559"/>
      <c r="AF380" s="559"/>
      <c r="AG380" s="559"/>
      <c r="AH380" s="559"/>
      <c r="AI380" s="559"/>
      <c r="AJ380" s="559"/>
    </row>
    <row r="381" spans="2:36" s="17" customFormat="1" ht="15.75" hidden="1" x14ac:dyDescent="0.25">
      <c r="B381" s="265" t="s">
        <v>1540</v>
      </c>
      <c r="C381" s="1475" t="s">
        <v>478</v>
      </c>
      <c r="D381" s="1517" t="e">
        <f>D380*298</f>
        <v>#DIV/0!</v>
      </c>
      <c r="E381" s="262"/>
      <c r="F381" s="262"/>
      <c r="G381" s="141" t="s">
        <v>302</v>
      </c>
      <c r="H381" s="262"/>
      <c r="I381" s="56"/>
      <c r="J381" s="261"/>
      <c r="K381" s="56"/>
      <c r="L381" s="56"/>
      <c r="M381" s="56"/>
      <c r="N381" s="559"/>
      <c r="O381" s="559"/>
      <c r="P381" s="559"/>
      <c r="Q381" s="559"/>
      <c r="R381" s="559"/>
      <c r="S381" s="559"/>
      <c r="T381" s="559"/>
      <c r="U381" s="559"/>
      <c r="V381" s="559"/>
      <c r="W381" s="559"/>
      <c r="X381" s="559"/>
      <c r="Y381" s="559"/>
      <c r="Z381" s="559"/>
      <c r="AA381" s="559"/>
      <c r="AB381" s="559"/>
      <c r="AC381" s="559"/>
      <c r="AD381" s="559"/>
      <c r="AE381" s="559"/>
      <c r="AF381" s="559"/>
      <c r="AG381" s="559"/>
      <c r="AH381" s="559"/>
      <c r="AI381" s="559"/>
      <c r="AJ381" s="559"/>
    </row>
    <row r="382" spans="2:36" s="17" customFormat="1" ht="15.75" hidden="1" x14ac:dyDescent="0.25">
      <c r="B382" s="262"/>
      <c r="C382" s="269"/>
      <c r="D382" s="284"/>
      <c r="E382" s="284"/>
      <c r="F382" s="284"/>
      <c r="G382" s="284"/>
      <c r="H382" s="284"/>
      <c r="I382" s="658"/>
      <c r="J382" s="261"/>
      <c r="K382" s="56"/>
      <c r="L382" s="56"/>
      <c r="M382" s="56"/>
      <c r="N382" s="559"/>
      <c r="O382" s="559"/>
      <c r="P382" s="559"/>
      <c r="Q382" s="559"/>
      <c r="R382" s="559"/>
      <c r="S382" s="559"/>
      <c r="T382" s="559"/>
      <c r="U382" s="559"/>
      <c r="V382" s="559"/>
      <c r="W382" s="559"/>
      <c r="X382" s="559"/>
      <c r="Y382" s="559"/>
      <c r="Z382" s="559"/>
      <c r="AA382" s="559"/>
      <c r="AB382" s="559"/>
      <c r="AC382" s="559"/>
      <c r="AD382" s="559"/>
      <c r="AE382" s="559"/>
      <c r="AF382" s="559"/>
      <c r="AG382" s="559"/>
      <c r="AH382" s="559"/>
      <c r="AI382" s="559"/>
      <c r="AJ382" s="559"/>
    </row>
    <row r="383" spans="2:36" s="17" customFormat="1" ht="15.75" hidden="1" x14ac:dyDescent="0.25">
      <c r="B383" s="1473" t="s">
        <v>446</v>
      </c>
      <c r="C383" s="1473" t="s">
        <v>447</v>
      </c>
      <c r="D383" s="1474"/>
      <c r="E383" s="262"/>
      <c r="F383" s="262"/>
      <c r="G383" s="1474" t="s">
        <v>443</v>
      </c>
      <c r="H383" s="1474">
        <v>1</v>
      </c>
      <c r="I383" s="56"/>
      <c r="J383" s="261"/>
      <c r="K383" s="56"/>
      <c r="L383" s="56"/>
      <c r="M383" s="56"/>
      <c r="N383" s="559"/>
      <c r="O383" s="559"/>
      <c r="P383" s="559"/>
      <c r="Q383" s="559"/>
      <c r="R383" s="559"/>
      <c r="S383" s="559"/>
      <c r="T383" s="559"/>
      <c r="U383" s="559"/>
      <c r="V383" s="559"/>
      <c r="W383" s="559"/>
      <c r="X383" s="559"/>
      <c r="Y383" s="559"/>
      <c r="Z383" s="559"/>
      <c r="AA383" s="559"/>
      <c r="AB383" s="559"/>
      <c r="AC383" s="559"/>
      <c r="AD383" s="559"/>
      <c r="AE383" s="559"/>
      <c r="AF383" s="559"/>
      <c r="AG383" s="559"/>
      <c r="AH383" s="559"/>
      <c r="AI383" s="559"/>
      <c r="AJ383" s="559"/>
    </row>
    <row r="384" spans="2:36" s="17" customFormat="1" ht="15.75" hidden="1" x14ac:dyDescent="0.25">
      <c r="B384" s="1474"/>
      <c r="C384" s="1474" t="s">
        <v>449</v>
      </c>
      <c r="D384" s="1474"/>
      <c r="E384" s="284"/>
      <c r="F384" s="284"/>
      <c r="G384" s="1474" t="s">
        <v>445</v>
      </c>
      <c r="H384" s="1475">
        <v>0.3</v>
      </c>
      <c r="I384" s="658"/>
      <c r="J384" s="56"/>
      <c r="K384" s="56"/>
      <c r="L384" s="56"/>
      <c r="M384" s="56"/>
      <c r="N384" s="559"/>
      <c r="O384" s="559"/>
      <c r="P384" s="559"/>
      <c r="Q384" s="559"/>
      <c r="R384" s="559"/>
      <c r="S384" s="559"/>
      <c r="T384" s="559"/>
      <c r="U384" s="559"/>
      <c r="V384" s="559"/>
      <c r="W384" s="559"/>
      <c r="X384" s="559"/>
      <c r="Y384" s="559"/>
      <c r="Z384" s="559"/>
      <c r="AA384" s="559"/>
      <c r="AB384" s="559"/>
      <c r="AC384" s="559"/>
      <c r="AD384" s="559"/>
      <c r="AE384" s="559"/>
      <c r="AF384" s="559"/>
      <c r="AG384" s="559"/>
      <c r="AH384" s="559"/>
      <c r="AI384" s="559"/>
      <c r="AJ384" s="559"/>
    </row>
    <row r="385" spans="2:36" s="17" customFormat="1" ht="15.75" hidden="1" x14ac:dyDescent="0.25">
      <c r="B385" s="1474"/>
      <c r="C385" s="1474" t="s">
        <v>450</v>
      </c>
      <c r="D385" s="1474"/>
      <c r="E385" s="262"/>
      <c r="F385" s="262"/>
      <c r="G385" s="262"/>
      <c r="H385" s="262"/>
      <c r="I385" s="658"/>
      <c r="J385" s="261"/>
      <c r="K385" s="56"/>
      <c r="L385" s="56"/>
      <c r="M385" s="56"/>
      <c r="N385" s="559"/>
      <c r="O385" s="559"/>
      <c r="P385" s="559"/>
      <c r="Q385" s="559"/>
      <c r="R385" s="559"/>
      <c r="S385" s="559"/>
      <c r="T385" s="559"/>
      <c r="U385" s="559"/>
      <c r="V385" s="559"/>
      <c r="W385" s="559"/>
      <c r="X385" s="559"/>
      <c r="Y385" s="559"/>
      <c r="Z385" s="559"/>
      <c r="AA385" s="559"/>
      <c r="AB385" s="559"/>
      <c r="AC385" s="559"/>
      <c r="AD385" s="559"/>
      <c r="AE385" s="559"/>
      <c r="AF385" s="559"/>
      <c r="AG385" s="559"/>
      <c r="AH385" s="559"/>
      <c r="AI385" s="559"/>
      <c r="AJ385" s="559"/>
    </row>
    <row r="386" spans="2:36" s="17" customFormat="1" ht="15.75" hidden="1" x14ac:dyDescent="0.25">
      <c r="B386" s="1474"/>
      <c r="C386" s="1474" t="s">
        <v>451</v>
      </c>
      <c r="D386" s="1474"/>
      <c r="E386" s="262"/>
      <c r="F386" s="262"/>
      <c r="G386" s="269"/>
      <c r="H386" s="269"/>
      <c r="I386" s="658"/>
      <c r="J386" s="261"/>
      <c r="K386" s="56"/>
      <c r="L386" s="56"/>
      <c r="M386" s="56"/>
      <c r="N386" s="559"/>
      <c r="O386" s="559"/>
      <c r="P386" s="559"/>
      <c r="Q386" s="559"/>
      <c r="R386" s="559"/>
      <c r="S386" s="559"/>
      <c r="T386" s="559"/>
      <c r="U386" s="559"/>
      <c r="V386" s="559"/>
      <c r="W386" s="559"/>
      <c r="X386" s="559"/>
      <c r="Y386" s="559"/>
      <c r="Z386" s="559"/>
      <c r="AA386" s="559"/>
      <c r="AB386" s="559"/>
      <c r="AC386" s="559"/>
      <c r="AD386" s="559"/>
      <c r="AE386" s="559"/>
      <c r="AF386" s="559"/>
      <c r="AG386" s="559"/>
      <c r="AH386" s="559"/>
      <c r="AI386" s="559"/>
      <c r="AJ386" s="559"/>
    </row>
    <row r="387" spans="2:36" s="17" customFormat="1" ht="15.75" hidden="1" x14ac:dyDescent="0.25">
      <c r="B387" s="265"/>
      <c r="C387" s="270"/>
      <c r="D387" s="262"/>
      <c r="E387" s="262"/>
      <c r="F387" s="262"/>
      <c r="G387" s="262"/>
      <c r="H387" s="262"/>
      <c r="I387" s="658"/>
      <c r="J387" s="261"/>
      <c r="K387" s="56"/>
      <c r="L387" s="56"/>
      <c r="M387" s="56"/>
      <c r="N387" s="559"/>
      <c r="O387" s="559"/>
      <c r="P387" s="559"/>
      <c r="Q387" s="559"/>
      <c r="R387" s="559"/>
      <c r="S387" s="559"/>
      <c r="T387" s="559"/>
      <c r="U387" s="559"/>
      <c r="V387" s="559"/>
      <c r="W387" s="559"/>
      <c r="X387" s="559"/>
      <c r="Y387" s="559"/>
      <c r="Z387" s="559"/>
      <c r="AA387" s="559"/>
      <c r="AB387" s="559"/>
      <c r="AC387" s="559"/>
      <c r="AD387" s="559"/>
      <c r="AE387" s="559"/>
      <c r="AF387" s="559"/>
      <c r="AG387" s="559"/>
      <c r="AH387" s="559"/>
      <c r="AI387" s="559"/>
      <c r="AJ387" s="559"/>
    </row>
    <row r="388" spans="2:36" s="17" customFormat="1" ht="15.75" hidden="1" x14ac:dyDescent="0.25">
      <c r="B388" s="265"/>
      <c r="C388" s="1475" t="s">
        <v>478</v>
      </c>
      <c r="D388" s="1522" t="e">
        <f>SUM(D347,D359,D355)*H383*H384</f>
        <v>#DIV/0!</v>
      </c>
      <c r="E388" s="262"/>
      <c r="F388" s="262"/>
      <c r="G388" s="262"/>
      <c r="H388" s="262"/>
      <c r="I388" s="56"/>
      <c r="J388" s="261"/>
      <c r="K388" s="56"/>
      <c r="L388" s="289"/>
      <c r="M388" s="289"/>
      <c r="N388" s="559"/>
      <c r="O388" s="559"/>
      <c r="P388" s="559"/>
      <c r="Q388" s="559"/>
      <c r="R388" s="559"/>
      <c r="S388" s="559"/>
      <c r="T388" s="559"/>
      <c r="U388" s="559"/>
      <c r="V388" s="559"/>
      <c r="W388" s="559"/>
      <c r="X388" s="559"/>
      <c r="Y388" s="559"/>
      <c r="Z388" s="559"/>
      <c r="AA388" s="559"/>
      <c r="AB388" s="559"/>
      <c r="AC388" s="559"/>
      <c r="AD388" s="559"/>
      <c r="AE388" s="559"/>
      <c r="AF388" s="559"/>
      <c r="AG388" s="559"/>
      <c r="AH388" s="559"/>
      <c r="AI388" s="559"/>
      <c r="AJ388" s="559"/>
    </row>
    <row r="389" spans="2:36" s="17" customFormat="1" ht="15.75" hidden="1" x14ac:dyDescent="0.25">
      <c r="B389" s="265"/>
      <c r="C389" s="262"/>
      <c r="D389" s="262"/>
      <c r="E389" s="262"/>
      <c r="F389" s="262"/>
      <c r="G389" s="262"/>
      <c r="H389" s="262"/>
      <c r="I389" s="56"/>
      <c r="J389" s="261"/>
      <c r="K389" s="56"/>
      <c r="L389" s="289"/>
      <c r="M389" s="289"/>
      <c r="N389" s="559"/>
      <c r="O389" s="559"/>
      <c r="P389" s="559"/>
      <c r="Q389" s="559"/>
      <c r="R389" s="559"/>
      <c r="S389" s="559"/>
      <c r="T389" s="559"/>
      <c r="U389" s="296"/>
      <c r="V389" s="296"/>
      <c r="W389" s="296"/>
      <c r="X389" s="559"/>
      <c r="Y389" s="559"/>
      <c r="Z389" s="559"/>
      <c r="AA389" s="559"/>
      <c r="AB389" s="559"/>
      <c r="AC389" s="559"/>
      <c r="AD389" s="559"/>
      <c r="AE389" s="559"/>
      <c r="AF389" s="559"/>
      <c r="AG389" s="559"/>
      <c r="AH389" s="559"/>
      <c r="AI389" s="559"/>
      <c r="AJ389" s="559"/>
    </row>
    <row r="390" spans="2:36" s="17" customFormat="1" ht="15.75" hidden="1" x14ac:dyDescent="0.25">
      <c r="B390" s="1473" t="s">
        <v>452</v>
      </c>
      <c r="C390" s="1473" t="s">
        <v>386</v>
      </c>
      <c r="D390" s="1474"/>
      <c r="E390" s="262"/>
      <c r="F390" s="262"/>
      <c r="G390" s="262"/>
      <c r="H390" s="262"/>
      <c r="I390" s="56"/>
      <c r="J390" s="261"/>
      <c r="K390" s="56"/>
      <c r="L390" s="56"/>
      <c r="M390" s="56"/>
      <c r="N390" s="559"/>
      <c r="O390" s="559"/>
      <c r="P390" s="559"/>
      <c r="Q390" s="559"/>
      <c r="R390" s="559"/>
      <c r="S390" s="559"/>
      <c r="T390" s="559"/>
      <c r="U390" s="296"/>
      <c r="V390" s="559"/>
      <c r="W390" s="559"/>
      <c r="X390" s="559"/>
      <c r="Y390" s="559"/>
      <c r="Z390" s="559"/>
      <c r="AA390" s="559"/>
      <c r="AB390" s="559"/>
      <c r="AC390" s="559"/>
      <c r="AD390" s="559"/>
      <c r="AE390" s="559"/>
      <c r="AF390" s="559"/>
      <c r="AG390" s="559"/>
      <c r="AH390" s="559"/>
      <c r="AI390" s="559"/>
      <c r="AJ390" s="559"/>
    </row>
    <row r="391" spans="2:36" s="17" customFormat="1" ht="15.75" hidden="1" x14ac:dyDescent="0.25">
      <c r="B391" s="1474"/>
      <c r="C391" s="1474" t="s">
        <v>454</v>
      </c>
      <c r="D391" s="1474"/>
      <c r="E391" s="262"/>
      <c r="F391" s="262"/>
      <c r="G391" s="262"/>
      <c r="H391" s="262"/>
      <c r="I391" s="56"/>
      <c r="J391" s="261"/>
      <c r="K391" s="56"/>
      <c r="L391" s="56"/>
      <c r="M391" s="56"/>
      <c r="N391" s="559"/>
      <c r="O391" s="559"/>
      <c r="P391" s="559"/>
      <c r="Q391" s="559"/>
      <c r="R391" s="559"/>
      <c r="S391" s="559"/>
      <c r="T391" s="559"/>
      <c r="U391" s="296"/>
      <c r="V391" s="559"/>
      <c r="W391" s="559"/>
      <c r="X391" s="559"/>
      <c r="Y391" s="559"/>
      <c r="Z391" s="559"/>
      <c r="AA391" s="559"/>
      <c r="AB391" s="559"/>
      <c r="AC391" s="559"/>
      <c r="AD391" s="559"/>
      <c r="AE391" s="559"/>
      <c r="AF391" s="559"/>
      <c r="AG391" s="559"/>
      <c r="AH391" s="559"/>
      <c r="AI391" s="559"/>
      <c r="AJ391" s="559"/>
    </row>
    <row r="392" spans="2:36" s="17" customFormat="1" ht="15.75" hidden="1" x14ac:dyDescent="0.25">
      <c r="B392" s="1474"/>
      <c r="C392" s="1474" t="s">
        <v>1475</v>
      </c>
      <c r="D392" s="1520">
        <v>7.4999999999999997E-3</v>
      </c>
      <c r="E392" s="262"/>
      <c r="F392" s="262"/>
      <c r="G392" s="262"/>
      <c r="H392" s="262"/>
      <c r="I392" s="56"/>
      <c r="J392" s="261"/>
      <c r="K392" s="56"/>
      <c r="L392" s="56"/>
      <c r="M392" s="56"/>
      <c r="N392" s="559"/>
      <c r="O392" s="559"/>
      <c r="P392" s="559"/>
      <c r="Q392" s="559"/>
      <c r="R392" s="559"/>
      <c r="S392" s="559"/>
      <c r="T392" s="559"/>
      <c r="U392" s="296"/>
      <c r="V392" s="559"/>
      <c r="W392" s="559"/>
      <c r="X392" s="559"/>
      <c r="Y392" s="559"/>
      <c r="Z392" s="559"/>
      <c r="AA392" s="559"/>
      <c r="AB392" s="559"/>
      <c r="AC392" s="559"/>
      <c r="AD392" s="559"/>
      <c r="AE392" s="559"/>
      <c r="AF392" s="559"/>
      <c r="AG392" s="559"/>
      <c r="AH392" s="559"/>
      <c r="AI392" s="559"/>
      <c r="AJ392" s="559"/>
    </row>
    <row r="393" spans="2:36" s="17" customFormat="1" ht="15.75" hidden="1" x14ac:dyDescent="0.25">
      <c r="B393" s="262"/>
      <c r="C393" s="262"/>
      <c r="D393" s="293"/>
      <c r="E393" s="262"/>
      <c r="F393" s="262"/>
      <c r="G393" s="262"/>
      <c r="H393" s="262"/>
      <c r="I393" s="56"/>
      <c r="J393" s="261"/>
      <c r="K393" s="261"/>
      <c r="L393" s="56"/>
      <c r="M393" s="56"/>
      <c r="N393" s="559"/>
      <c r="O393" s="559"/>
      <c r="P393" s="559"/>
      <c r="Q393" s="559"/>
      <c r="R393" s="559"/>
      <c r="S393" s="559"/>
      <c r="T393" s="559"/>
      <c r="U393" s="559"/>
      <c r="V393" s="559"/>
      <c r="W393" s="559"/>
      <c r="X393" s="559"/>
      <c r="Y393" s="559"/>
      <c r="Z393" s="559"/>
      <c r="AA393" s="559"/>
      <c r="AB393" s="559"/>
      <c r="AC393" s="559"/>
      <c r="AD393" s="559"/>
      <c r="AE393" s="559"/>
      <c r="AF393" s="559"/>
      <c r="AG393" s="559"/>
      <c r="AH393" s="559"/>
      <c r="AI393" s="559"/>
      <c r="AJ393" s="559"/>
    </row>
    <row r="394" spans="2:36" s="17" customFormat="1" ht="15.75" hidden="1" x14ac:dyDescent="0.25">
      <c r="B394" s="1474" t="s">
        <v>427</v>
      </c>
      <c r="C394" s="1475" t="s">
        <v>478</v>
      </c>
      <c r="D394" s="1522" t="e">
        <f>D388*D392*44/28</f>
        <v>#DIV/0!</v>
      </c>
      <c r="E394" s="262"/>
      <c r="F394" s="262"/>
      <c r="G394" s="141" t="s">
        <v>336</v>
      </c>
      <c r="H394" s="262"/>
      <c r="I394" s="56"/>
      <c r="J394" s="261"/>
      <c r="K394" s="56"/>
      <c r="L394" s="56"/>
      <c r="M394" s="56"/>
      <c r="N394" s="559"/>
      <c r="O394" s="559"/>
      <c r="P394" s="559"/>
      <c r="Q394" s="559"/>
      <c r="R394" s="559"/>
      <c r="S394" s="559"/>
      <c r="T394" s="559"/>
      <c r="U394" s="559"/>
      <c r="V394" s="559"/>
      <c r="W394" s="559"/>
      <c r="X394" s="559"/>
      <c r="Y394" s="559"/>
      <c r="Z394" s="559"/>
      <c r="AA394" s="559"/>
      <c r="AB394" s="559"/>
      <c r="AC394" s="559"/>
      <c r="AD394" s="559"/>
      <c r="AE394" s="559"/>
      <c r="AF394" s="559"/>
      <c r="AG394" s="559"/>
      <c r="AH394" s="559"/>
      <c r="AI394" s="559"/>
      <c r="AJ394" s="559"/>
    </row>
    <row r="395" spans="2:36" s="17" customFormat="1" ht="15.75" hidden="1" x14ac:dyDescent="0.25">
      <c r="B395" s="262"/>
      <c r="C395" s="262"/>
      <c r="D395" s="262"/>
      <c r="E395" s="262"/>
      <c r="F395" s="262"/>
      <c r="G395" s="262"/>
      <c r="H395" s="262"/>
      <c r="I395" s="56"/>
      <c r="J395" s="261"/>
      <c r="K395" s="56"/>
      <c r="L395" s="559"/>
      <c r="M395" s="559"/>
      <c r="N395" s="559"/>
      <c r="O395" s="559"/>
      <c r="P395" s="559"/>
      <c r="Q395" s="559"/>
      <c r="R395" s="559"/>
      <c r="S395" s="559"/>
      <c r="T395" s="559"/>
      <c r="U395" s="559"/>
      <c r="V395" s="559"/>
      <c r="W395" s="559"/>
      <c r="X395" s="559"/>
      <c r="Y395" s="559"/>
      <c r="Z395" s="559"/>
      <c r="AA395" s="559"/>
      <c r="AB395" s="559"/>
      <c r="AC395" s="559"/>
      <c r="AD395" s="559"/>
      <c r="AE395" s="559"/>
      <c r="AF395" s="559"/>
      <c r="AG395" s="559"/>
      <c r="AH395" s="559"/>
      <c r="AI395" s="559"/>
      <c r="AJ395" s="559"/>
    </row>
    <row r="396" spans="2:36" s="17" customFormat="1" ht="15.75" hidden="1" x14ac:dyDescent="0.25">
      <c r="B396" s="1480" t="s">
        <v>455</v>
      </c>
      <c r="C396" s="1345" t="e">
        <f>D394*298</f>
        <v>#DIV/0!</v>
      </c>
      <c r="D396" s="1523"/>
      <c r="E396" s="1523"/>
      <c r="F396" s="1523"/>
      <c r="G396" s="1523" t="s">
        <v>302</v>
      </c>
      <c r="H396" s="1523"/>
      <c r="I396" s="56"/>
      <c r="J396" s="261"/>
      <c r="K396" s="56"/>
      <c r="L396" s="559"/>
      <c r="M396" s="559"/>
      <c r="N396" s="559"/>
      <c r="O396" s="559"/>
      <c r="P396" s="559"/>
      <c r="Q396" s="559"/>
      <c r="R396" s="559"/>
      <c r="S396" s="559"/>
      <c r="T396" s="559"/>
      <c r="U396" s="559"/>
      <c r="V396" s="559"/>
      <c r="W396" s="559"/>
      <c r="X396" s="559"/>
      <c r="Y396" s="559"/>
      <c r="Z396" s="559"/>
      <c r="AA396" s="559"/>
      <c r="AB396" s="559"/>
      <c r="AC396" s="559"/>
      <c r="AD396" s="559"/>
      <c r="AE396" s="559"/>
      <c r="AF396" s="559"/>
      <c r="AG396" s="559"/>
      <c r="AH396" s="559"/>
      <c r="AI396" s="559"/>
      <c r="AJ396" s="559"/>
    </row>
    <row r="397" spans="2:36" s="17" customFormat="1" ht="15.75" hidden="1" x14ac:dyDescent="0.25">
      <c r="I397" s="559"/>
      <c r="J397" s="559"/>
      <c r="K397" s="56"/>
      <c r="L397" s="559"/>
      <c r="M397" s="559"/>
      <c r="N397" s="559"/>
      <c r="O397" s="559"/>
      <c r="P397" s="559"/>
      <c r="Q397" s="559"/>
      <c r="R397" s="559"/>
      <c r="S397" s="559"/>
      <c r="T397" s="559"/>
      <c r="U397" s="559"/>
      <c r="V397" s="559"/>
      <c r="W397" s="559"/>
      <c r="X397" s="559"/>
      <c r="Y397" s="559"/>
      <c r="Z397" s="559"/>
      <c r="AA397" s="559"/>
      <c r="AB397" s="559"/>
      <c r="AC397" s="559"/>
      <c r="AD397" s="559"/>
      <c r="AE397" s="559"/>
      <c r="AF397" s="559"/>
      <c r="AG397" s="559"/>
      <c r="AH397" s="559"/>
      <c r="AI397" s="559"/>
      <c r="AJ397" s="559"/>
    </row>
    <row r="398" spans="2:36" s="20" customFormat="1" hidden="1" x14ac:dyDescent="0.25">
      <c r="I398" s="559"/>
      <c r="J398" s="559"/>
      <c r="K398" s="559"/>
      <c r="L398" s="559"/>
      <c r="M398" s="559"/>
      <c r="N398" s="559"/>
      <c r="O398" s="559"/>
      <c r="P398" s="559"/>
      <c r="Q398" s="559"/>
      <c r="R398" s="559"/>
      <c r="S398" s="559"/>
      <c r="T398" s="559"/>
      <c r="U398" s="559"/>
      <c r="V398" s="559"/>
      <c r="W398" s="559"/>
      <c r="X398" s="559"/>
      <c r="Y398" s="559"/>
      <c r="Z398" s="559"/>
      <c r="AA398" s="559"/>
      <c r="AB398" s="559"/>
      <c r="AC398" s="559"/>
      <c r="AD398" s="559"/>
      <c r="AE398" s="559"/>
      <c r="AF398" s="559"/>
      <c r="AG398" s="559"/>
      <c r="AH398" s="559"/>
      <c r="AI398" s="559"/>
      <c r="AJ398" s="559"/>
    </row>
    <row r="399" spans="2:36" s="20" customFormat="1" hidden="1" x14ac:dyDescent="0.25">
      <c r="I399" s="559"/>
      <c r="J399" s="559"/>
      <c r="K399" s="559"/>
      <c r="L399" s="559"/>
      <c r="M399" s="559"/>
      <c r="N399" s="559"/>
      <c r="O399" s="559"/>
      <c r="P399" s="559"/>
      <c r="Q399" s="559"/>
      <c r="R399" s="559"/>
      <c r="S399" s="559"/>
      <c r="T399" s="559"/>
      <c r="U399" s="559"/>
      <c r="V399" s="559"/>
      <c r="W399" s="559"/>
      <c r="X399" s="559"/>
      <c r="Y399" s="559"/>
      <c r="Z399" s="559"/>
      <c r="AA399" s="559"/>
      <c r="AB399" s="559"/>
      <c r="AC399" s="559"/>
      <c r="AD399" s="559"/>
      <c r="AE399" s="559"/>
      <c r="AF399" s="559"/>
      <c r="AG399" s="559"/>
      <c r="AH399" s="559"/>
      <c r="AI399" s="559"/>
      <c r="AJ399" s="559"/>
    </row>
    <row r="400" spans="2:36" s="20" customFormat="1" ht="15.75" hidden="1" x14ac:dyDescent="0.25">
      <c r="B400" s="297" t="s">
        <v>464</v>
      </c>
      <c r="I400" s="559"/>
      <c r="J400" s="559"/>
      <c r="K400" s="559"/>
      <c r="L400" s="559"/>
      <c r="M400" s="559"/>
      <c r="N400" s="559"/>
      <c r="O400" s="559"/>
      <c r="P400" s="559"/>
      <c r="Q400" s="559"/>
      <c r="R400" s="559"/>
      <c r="S400" s="559"/>
      <c r="T400" s="559"/>
      <c r="U400" s="559"/>
      <c r="V400" s="559"/>
      <c r="W400" s="559"/>
      <c r="X400" s="559"/>
      <c r="Y400" s="559"/>
      <c r="Z400" s="559"/>
      <c r="AA400" s="559"/>
      <c r="AB400" s="559"/>
      <c r="AC400" s="559"/>
      <c r="AD400" s="559"/>
      <c r="AE400" s="559"/>
      <c r="AF400" s="559"/>
      <c r="AG400" s="559"/>
      <c r="AH400" s="559"/>
      <c r="AI400" s="559"/>
      <c r="AJ400" s="559"/>
    </row>
    <row r="401" spans="2:36" s="20" customFormat="1" hidden="1" x14ac:dyDescent="0.25">
      <c r="B401" s="20" t="s">
        <v>490</v>
      </c>
      <c r="C401" s="298" t="e">
        <f>D365*10^6</f>
        <v>#DIV/0!</v>
      </c>
      <c r="I401" s="559"/>
      <c r="J401" s="559"/>
      <c r="K401" s="559"/>
      <c r="L401" s="559"/>
      <c r="M401" s="559"/>
      <c r="N401" s="559"/>
      <c r="O401" s="559"/>
      <c r="P401" s="559"/>
      <c r="Q401" s="559"/>
      <c r="R401" s="559"/>
      <c r="S401" s="559"/>
      <c r="T401" s="559"/>
      <c r="U401" s="559"/>
      <c r="V401" s="559"/>
      <c r="W401" s="559"/>
      <c r="X401" s="559"/>
      <c r="Y401" s="559"/>
      <c r="Z401" s="559"/>
      <c r="AA401" s="559"/>
      <c r="AB401" s="559"/>
      <c r="AC401" s="559"/>
      <c r="AD401" s="559"/>
      <c r="AE401" s="559"/>
      <c r="AF401" s="559"/>
      <c r="AG401" s="559"/>
      <c r="AH401" s="559"/>
      <c r="AI401" s="559"/>
      <c r="AJ401" s="559"/>
    </row>
    <row r="402" spans="2:36" s="20" customFormat="1" hidden="1" x14ac:dyDescent="0.25">
      <c r="I402" s="559"/>
      <c r="J402" s="559"/>
      <c r="K402" s="559"/>
      <c r="L402" s="559"/>
      <c r="M402" s="559"/>
      <c r="N402" s="559"/>
      <c r="O402" s="559"/>
      <c r="P402" s="559"/>
      <c r="Q402" s="559"/>
      <c r="R402" s="559"/>
      <c r="S402" s="559"/>
      <c r="T402" s="559"/>
      <c r="U402" s="559"/>
      <c r="V402" s="559"/>
      <c r="W402" s="559"/>
      <c r="X402" s="559"/>
      <c r="Y402" s="559"/>
      <c r="Z402" s="559"/>
      <c r="AA402" s="559"/>
      <c r="AB402" s="559"/>
      <c r="AC402" s="559"/>
      <c r="AD402" s="559"/>
      <c r="AE402" s="559"/>
      <c r="AF402" s="559"/>
      <c r="AG402" s="559"/>
      <c r="AH402" s="559"/>
      <c r="AI402" s="559"/>
      <c r="AJ402" s="559"/>
    </row>
    <row r="403" spans="2:36" s="20" customFormat="1" ht="15.75" hidden="1" x14ac:dyDescent="0.25">
      <c r="B403" s="297" t="s">
        <v>1538</v>
      </c>
      <c r="I403" s="559"/>
      <c r="J403" s="559"/>
      <c r="K403" s="559"/>
      <c r="L403" s="559"/>
      <c r="M403" s="559"/>
      <c r="N403" s="559"/>
      <c r="O403" s="559"/>
      <c r="P403" s="559"/>
      <c r="Q403" s="559"/>
      <c r="R403" s="559"/>
      <c r="S403" s="559"/>
      <c r="T403" s="559"/>
      <c r="U403" s="559"/>
      <c r="V403" s="559"/>
      <c r="W403" s="559"/>
      <c r="X403" s="559"/>
      <c r="Y403" s="559"/>
      <c r="Z403" s="559"/>
      <c r="AA403" s="559"/>
      <c r="AB403" s="559"/>
      <c r="AC403" s="559"/>
      <c r="AD403" s="559"/>
      <c r="AE403" s="559"/>
      <c r="AF403" s="559"/>
      <c r="AG403" s="559"/>
      <c r="AH403" s="559"/>
      <c r="AI403" s="559"/>
      <c r="AJ403" s="559"/>
    </row>
    <row r="404" spans="2:36" s="20" customFormat="1" hidden="1" x14ac:dyDescent="0.25">
      <c r="B404" s="20" t="s">
        <v>490</v>
      </c>
      <c r="C404" s="298" t="e">
        <f>(D301+D351)*10^6</f>
        <v>#DIV/0!</v>
      </c>
      <c r="I404" s="559"/>
      <c r="J404" s="559"/>
      <c r="K404" s="559"/>
      <c r="L404" s="559"/>
      <c r="M404" s="559"/>
      <c r="N404" s="559"/>
      <c r="O404" s="559"/>
      <c r="P404" s="559"/>
      <c r="Q404" s="559"/>
      <c r="R404" s="559"/>
      <c r="S404" s="559"/>
      <c r="T404" s="559"/>
      <c r="U404" s="559"/>
      <c r="V404" s="559"/>
      <c r="W404" s="559"/>
      <c r="X404" s="559"/>
      <c r="Y404" s="559"/>
      <c r="Z404" s="559"/>
      <c r="AA404" s="559"/>
      <c r="AB404" s="559"/>
      <c r="AC404" s="559"/>
      <c r="AD404" s="559"/>
      <c r="AE404" s="559"/>
      <c r="AF404" s="559"/>
      <c r="AG404" s="559"/>
      <c r="AH404" s="559"/>
      <c r="AI404" s="559"/>
      <c r="AJ404" s="559"/>
    </row>
    <row r="405" spans="2:36" s="20" customFormat="1" hidden="1" x14ac:dyDescent="0.25">
      <c r="B405" s="18"/>
      <c r="I405" s="559"/>
      <c r="J405" s="559"/>
      <c r="K405" s="559"/>
      <c r="L405" s="559"/>
      <c r="M405" s="559"/>
      <c r="N405" s="559"/>
      <c r="O405" s="559"/>
      <c r="P405" s="559"/>
      <c r="Q405" s="559"/>
      <c r="R405" s="559"/>
      <c r="S405" s="559"/>
      <c r="T405" s="559"/>
      <c r="U405" s="559"/>
      <c r="V405" s="559"/>
      <c r="W405" s="559"/>
      <c r="X405" s="559"/>
      <c r="Y405" s="559"/>
      <c r="Z405" s="559"/>
      <c r="AA405" s="559"/>
      <c r="AB405" s="559"/>
      <c r="AC405" s="559"/>
      <c r="AD405" s="559"/>
      <c r="AE405" s="559"/>
      <c r="AF405" s="559"/>
      <c r="AG405" s="559"/>
      <c r="AH405" s="559"/>
      <c r="AI405" s="559"/>
      <c r="AJ405" s="559"/>
    </row>
    <row r="406" spans="2:36" s="20" customFormat="1" ht="15.75" hidden="1" x14ac:dyDescent="0.25">
      <c r="B406" s="297" t="s">
        <v>461</v>
      </c>
      <c r="I406" s="559"/>
      <c r="J406" s="559"/>
      <c r="K406" s="559"/>
      <c r="L406" s="559"/>
      <c r="M406" s="559"/>
      <c r="N406" s="559"/>
      <c r="O406" s="559"/>
      <c r="P406" s="559"/>
      <c r="Q406" s="559"/>
      <c r="R406" s="559"/>
      <c r="S406" s="559"/>
      <c r="T406" s="559"/>
      <c r="U406" s="559"/>
      <c r="V406" s="559"/>
      <c r="W406" s="559"/>
      <c r="X406" s="559"/>
      <c r="Y406" s="559"/>
      <c r="Z406" s="559"/>
      <c r="AA406" s="559"/>
      <c r="AB406" s="559"/>
      <c r="AC406" s="559"/>
      <c r="AD406" s="559"/>
      <c r="AE406" s="559"/>
      <c r="AF406" s="559"/>
      <c r="AG406" s="559"/>
      <c r="AH406" s="559"/>
      <c r="AI406" s="559"/>
      <c r="AJ406" s="559"/>
    </row>
    <row r="407" spans="2:36" s="20" customFormat="1" hidden="1" x14ac:dyDescent="0.25">
      <c r="B407" s="20" t="s">
        <v>490</v>
      </c>
      <c r="C407" s="298" t="e">
        <f>(D316+D325+D380+D394)*10^6</f>
        <v>#DIV/0!</v>
      </c>
      <c r="I407" s="559"/>
      <c r="J407" s="559"/>
      <c r="K407" s="559"/>
      <c r="L407" s="559"/>
      <c r="M407" s="559"/>
      <c r="N407" s="559"/>
      <c r="O407" s="559"/>
      <c r="P407" s="559"/>
      <c r="Q407" s="559"/>
      <c r="R407" s="559"/>
      <c r="S407" s="559"/>
      <c r="T407" s="559"/>
      <c r="U407" s="559"/>
      <c r="V407" s="559"/>
      <c r="W407" s="559"/>
      <c r="X407" s="559"/>
      <c r="Y407" s="559"/>
      <c r="Z407" s="559"/>
      <c r="AA407" s="559"/>
      <c r="AB407" s="559"/>
      <c r="AC407" s="559"/>
      <c r="AD407" s="559"/>
      <c r="AE407" s="559"/>
      <c r="AF407" s="559"/>
      <c r="AG407" s="559"/>
      <c r="AH407" s="559"/>
      <c r="AI407" s="559"/>
      <c r="AJ407" s="559"/>
    </row>
    <row r="408" spans="2:36" s="20" customFormat="1" hidden="1" x14ac:dyDescent="0.25">
      <c r="I408" s="559"/>
      <c r="J408" s="559"/>
      <c r="K408" s="559"/>
      <c r="L408" s="559"/>
      <c r="M408" s="559"/>
      <c r="N408" s="559"/>
      <c r="O408" s="559"/>
      <c r="P408" s="559"/>
      <c r="Q408" s="559"/>
      <c r="R408" s="559"/>
      <c r="S408" s="559"/>
      <c r="T408" s="559"/>
      <c r="U408" s="559"/>
      <c r="V408" s="559"/>
      <c r="W408" s="559"/>
      <c r="X408" s="559"/>
      <c r="Y408" s="559"/>
      <c r="Z408" s="559"/>
      <c r="AA408" s="559"/>
      <c r="AB408" s="559"/>
      <c r="AC408" s="559"/>
      <c r="AD408" s="559"/>
      <c r="AE408" s="559"/>
      <c r="AF408" s="559"/>
      <c r="AG408" s="559"/>
      <c r="AH408" s="559"/>
      <c r="AI408" s="559"/>
      <c r="AJ408" s="559"/>
    </row>
    <row r="409" spans="2:36" s="20" customFormat="1" hidden="1" x14ac:dyDescent="0.25">
      <c r="B409" s="299" t="s">
        <v>485</v>
      </c>
      <c r="I409" s="559"/>
      <c r="J409" s="559"/>
      <c r="K409" s="559"/>
      <c r="L409" s="559"/>
      <c r="M409" s="559"/>
      <c r="N409" s="559"/>
      <c r="O409" s="559"/>
      <c r="P409" s="559"/>
      <c r="Q409" s="559"/>
      <c r="R409" s="559"/>
      <c r="S409" s="559"/>
      <c r="T409" s="559"/>
      <c r="U409" s="559"/>
      <c r="V409" s="559"/>
      <c r="W409" s="559"/>
      <c r="X409" s="559"/>
      <c r="Y409" s="559"/>
      <c r="Z409" s="559"/>
      <c r="AA409" s="559"/>
      <c r="AB409" s="559"/>
      <c r="AC409" s="559"/>
      <c r="AD409" s="559"/>
      <c r="AE409" s="559"/>
      <c r="AF409" s="559"/>
      <c r="AG409" s="559"/>
      <c r="AH409" s="559"/>
      <c r="AI409" s="559"/>
      <c r="AJ409" s="559"/>
    </row>
    <row r="410" spans="2:36" s="20" customFormat="1" hidden="1" x14ac:dyDescent="0.25">
      <c r="B410" s="20" t="s">
        <v>490</v>
      </c>
      <c r="C410" s="298" t="e">
        <f>C401+C404+C407</f>
        <v>#DIV/0!</v>
      </c>
      <c r="I410" s="559"/>
      <c r="J410" s="559"/>
      <c r="K410" s="559"/>
      <c r="L410" s="559"/>
      <c r="M410" s="559"/>
      <c r="N410" s="559"/>
      <c r="O410" s="559"/>
      <c r="P410" s="559"/>
      <c r="Q410" s="559"/>
      <c r="R410" s="559"/>
      <c r="S410" s="559"/>
      <c r="T410" s="559"/>
      <c r="U410" s="559"/>
      <c r="V410" s="559"/>
      <c r="W410" s="559"/>
      <c r="X410" s="559"/>
      <c r="Y410" s="559"/>
      <c r="Z410" s="559"/>
      <c r="AA410" s="559"/>
      <c r="AB410" s="559"/>
      <c r="AC410" s="559"/>
      <c r="AD410" s="559"/>
      <c r="AE410" s="559"/>
      <c r="AF410" s="559"/>
      <c r="AG410" s="559"/>
      <c r="AH410" s="559"/>
      <c r="AI410" s="559"/>
      <c r="AJ410" s="559"/>
    </row>
    <row r="411" spans="2:36" s="20" customFormat="1" hidden="1" x14ac:dyDescent="0.25">
      <c r="I411" s="559"/>
      <c r="J411" s="559"/>
      <c r="K411" s="559"/>
      <c r="L411" s="559"/>
      <c r="M411" s="559"/>
      <c r="N411" s="559"/>
      <c r="O411" s="559"/>
      <c r="P411" s="559"/>
      <c r="Q411" s="559"/>
      <c r="R411" s="559"/>
      <c r="S411" s="559"/>
      <c r="T411" s="559"/>
      <c r="U411" s="559"/>
      <c r="V411" s="559"/>
      <c r="W411" s="559"/>
      <c r="X411" s="559"/>
      <c r="Y411" s="559"/>
      <c r="Z411" s="559"/>
      <c r="AA411" s="559"/>
      <c r="AB411" s="559"/>
      <c r="AC411" s="559"/>
      <c r="AD411" s="559"/>
      <c r="AE411" s="559"/>
      <c r="AF411" s="559"/>
      <c r="AG411" s="559"/>
      <c r="AH411" s="559"/>
      <c r="AI411" s="559"/>
      <c r="AJ411" s="559"/>
    </row>
    <row r="412" spans="2:36" s="20" customFormat="1" hidden="1" x14ac:dyDescent="0.25">
      <c r="B412" s="27" t="s">
        <v>487</v>
      </c>
      <c r="C412" s="45" t="e">
        <f>C410*298/1000</f>
        <v>#DIV/0!</v>
      </c>
      <c r="D412" s="29"/>
      <c r="I412" s="559"/>
      <c r="J412" s="559"/>
      <c r="K412" s="559"/>
      <c r="L412" s="559"/>
      <c r="M412" s="559"/>
      <c r="N412" s="559"/>
      <c r="O412" s="559"/>
      <c r="P412" s="559"/>
      <c r="Q412" s="559"/>
      <c r="R412" s="559"/>
      <c r="S412" s="559"/>
      <c r="T412" s="559"/>
      <c r="U412" s="559"/>
      <c r="V412" s="559"/>
      <c r="W412" s="559"/>
      <c r="X412" s="559"/>
      <c r="Y412" s="559"/>
      <c r="Z412" s="559"/>
      <c r="AA412" s="559"/>
      <c r="AB412" s="559"/>
      <c r="AC412" s="559"/>
      <c r="AD412" s="559"/>
      <c r="AE412" s="559"/>
      <c r="AF412" s="559"/>
      <c r="AG412" s="559"/>
      <c r="AH412" s="559"/>
      <c r="AI412" s="559"/>
      <c r="AJ412" s="559"/>
    </row>
    <row r="413" spans="2:36" s="20" customFormat="1" hidden="1" x14ac:dyDescent="0.25">
      <c r="I413" s="559"/>
      <c r="J413" s="559"/>
      <c r="K413" s="559"/>
      <c r="L413" s="559"/>
      <c r="M413" s="559"/>
      <c r="N413" s="559"/>
      <c r="O413" s="559"/>
      <c r="P413" s="559"/>
      <c r="Q413" s="559"/>
      <c r="R413" s="559"/>
      <c r="S413" s="559"/>
      <c r="T413" s="559"/>
      <c r="U413" s="559"/>
      <c r="V413" s="559"/>
      <c r="W413" s="559"/>
      <c r="X413" s="559"/>
      <c r="Y413" s="559"/>
      <c r="Z413" s="559"/>
      <c r="AA413" s="559"/>
      <c r="AB413" s="559"/>
      <c r="AC413" s="559"/>
      <c r="AD413" s="559"/>
      <c r="AE413" s="559"/>
      <c r="AF413" s="559"/>
      <c r="AG413" s="559"/>
      <c r="AH413" s="559"/>
      <c r="AI413" s="559"/>
      <c r="AJ413" s="559"/>
    </row>
    <row r="414" spans="2:36" s="20" customFormat="1" hidden="1" x14ac:dyDescent="0.25">
      <c r="B414" s="299" t="s">
        <v>851</v>
      </c>
      <c r="C414" s="202" t="e">
        <f>C238-C412</f>
        <v>#DIV/0!</v>
      </c>
      <c r="I414" s="559"/>
      <c r="J414" s="559"/>
      <c r="K414" s="559"/>
      <c r="L414" s="559"/>
      <c r="M414" s="559"/>
      <c r="N414" s="559"/>
      <c r="O414" s="559"/>
      <c r="P414" s="559"/>
      <c r="Q414" s="559"/>
      <c r="R414" s="559"/>
      <c r="S414" s="559"/>
      <c r="T414" s="559"/>
      <c r="U414" s="559"/>
      <c r="V414" s="559"/>
      <c r="W414" s="559"/>
      <c r="X414" s="559"/>
      <c r="Y414" s="559"/>
      <c r="Z414" s="559"/>
      <c r="AA414" s="559"/>
      <c r="AB414" s="559"/>
      <c r="AC414" s="559"/>
      <c r="AD414" s="559"/>
      <c r="AE414" s="559"/>
      <c r="AF414" s="559"/>
      <c r="AG414" s="559"/>
      <c r="AH414" s="559"/>
      <c r="AI414" s="559"/>
      <c r="AJ414" s="559"/>
    </row>
    <row r="415" spans="2:36" s="20" customFormat="1" hidden="1" x14ac:dyDescent="0.25">
      <c r="I415" s="559"/>
      <c r="J415" s="559"/>
      <c r="K415" s="559"/>
      <c r="L415" s="559"/>
      <c r="M415" s="559"/>
      <c r="N415" s="559"/>
      <c r="O415" s="559"/>
      <c r="P415" s="559"/>
      <c r="Q415" s="559"/>
      <c r="R415" s="559"/>
      <c r="S415" s="559"/>
      <c r="T415" s="559"/>
      <c r="U415" s="559"/>
      <c r="V415" s="559"/>
      <c r="W415" s="559"/>
      <c r="X415" s="559"/>
      <c r="Y415" s="559"/>
      <c r="Z415" s="559"/>
      <c r="AA415" s="559"/>
      <c r="AB415" s="559"/>
      <c r="AC415" s="559"/>
      <c r="AD415" s="559"/>
      <c r="AE415" s="559"/>
      <c r="AF415" s="559"/>
      <c r="AG415" s="559"/>
      <c r="AH415" s="559"/>
      <c r="AI415" s="559"/>
      <c r="AJ415" s="559"/>
    </row>
    <row r="416" spans="2:36" s="20" customFormat="1" hidden="1" x14ac:dyDescent="0.25">
      <c r="B416" s="497"/>
      <c r="C416" s="497"/>
      <c r="D416" s="498"/>
      <c r="E416" s="497"/>
      <c r="F416" s="497"/>
      <c r="G416" s="497"/>
      <c r="H416" s="497"/>
      <c r="I416" s="559"/>
      <c r="J416" s="559"/>
      <c r="K416" s="559"/>
      <c r="L416" s="559"/>
      <c r="M416" s="559"/>
      <c r="N416" s="559"/>
      <c r="O416" s="559"/>
      <c r="P416" s="559"/>
      <c r="Q416" s="559"/>
      <c r="R416" s="559"/>
      <c r="S416" s="559"/>
      <c r="T416" s="559"/>
      <c r="U416" s="559"/>
      <c r="V416" s="559"/>
      <c r="W416" s="559"/>
      <c r="X416" s="559"/>
      <c r="Y416" s="559"/>
      <c r="Z416" s="559"/>
      <c r="AA416" s="559"/>
      <c r="AB416" s="559"/>
      <c r="AC416" s="559"/>
      <c r="AD416" s="559"/>
      <c r="AE416" s="559"/>
      <c r="AF416" s="559"/>
      <c r="AG416" s="559"/>
      <c r="AH416" s="559"/>
      <c r="AI416" s="559"/>
      <c r="AJ416" s="559"/>
    </row>
    <row r="417" spans="2:36" s="20" customFormat="1" hidden="1" x14ac:dyDescent="0.25">
      <c r="B417" s="339" t="s">
        <v>492</v>
      </c>
      <c r="C417" s="339"/>
      <c r="D417" s="20" t="s">
        <v>855</v>
      </c>
      <c r="E417" s="497"/>
      <c r="F417" s="497"/>
      <c r="G417" s="497"/>
      <c r="H417" s="497"/>
      <c r="I417" s="559"/>
      <c r="J417" s="559"/>
      <c r="K417" s="559"/>
      <c r="L417" s="559"/>
      <c r="M417" s="559"/>
      <c r="N417" s="559"/>
      <c r="O417" s="559"/>
      <c r="P417" s="559"/>
      <c r="Q417" s="559"/>
      <c r="R417" s="559"/>
      <c r="S417" s="559"/>
      <c r="T417" s="559"/>
      <c r="U417" s="559"/>
      <c r="V417" s="559"/>
      <c r="W417" s="559"/>
      <c r="X417" s="559"/>
      <c r="Y417" s="559"/>
      <c r="Z417" s="559"/>
      <c r="AA417" s="559"/>
      <c r="AB417" s="559"/>
      <c r="AC417" s="559"/>
      <c r="AD417" s="559"/>
      <c r="AE417" s="559"/>
      <c r="AF417" s="559"/>
      <c r="AG417" s="559"/>
      <c r="AH417" s="559"/>
      <c r="AI417" s="559"/>
      <c r="AJ417" s="559"/>
    </row>
    <row r="418" spans="2:36" s="20" customFormat="1" hidden="1" x14ac:dyDescent="0.25">
      <c r="B418" s="339" t="s">
        <v>844</v>
      </c>
      <c r="C418" s="499" t="e">
        <f>C120</f>
        <v>#DIV/0!</v>
      </c>
      <c r="D418" s="516" t="e">
        <f>C418/365</f>
        <v>#DIV/0!</v>
      </c>
      <c r="E418" s="500"/>
      <c r="F418" s="497"/>
      <c r="G418" s="497"/>
      <c r="H418" s="497"/>
      <c r="I418" s="559"/>
      <c r="J418" s="559"/>
      <c r="K418" s="559"/>
      <c r="L418" s="559"/>
      <c r="M418" s="559"/>
      <c r="N418" s="559"/>
      <c r="O418" s="559"/>
      <c r="P418" s="559"/>
      <c r="Q418" s="559"/>
      <c r="R418" s="559"/>
      <c r="S418" s="559"/>
      <c r="T418" s="559"/>
      <c r="U418" s="559"/>
      <c r="V418" s="559"/>
      <c r="W418" s="559"/>
      <c r="X418" s="559"/>
      <c r="Y418" s="559"/>
      <c r="Z418" s="559"/>
      <c r="AA418" s="559"/>
      <c r="AB418" s="559"/>
      <c r="AC418" s="559"/>
      <c r="AD418" s="559"/>
      <c r="AE418" s="559"/>
      <c r="AF418" s="559"/>
      <c r="AG418" s="559"/>
      <c r="AH418" s="559"/>
      <c r="AI418" s="559"/>
      <c r="AJ418" s="559"/>
    </row>
    <row r="419" spans="2:36" s="20" customFormat="1" hidden="1" x14ac:dyDescent="0.25">
      <c r="B419" s="339" t="s">
        <v>845</v>
      </c>
      <c r="C419" s="499" t="e">
        <f>C209</f>
        <v>#DIV/0!</v>
      </c>
      <c r="D419" s="516" t="e">
        <f>C419/365</f>
        <v>#DIV/0!</v>
      </c>
      <c r="E419" s="500"/>
      <c r="F419" s="497"/>
      <c r="G419" s="497"/>
      <c r="H419" s="497"/>
      <c r="I419" s="559"/>
      <c r="J419" s="559"/>
      <c r="K419" s="559"/>
      <c r="L419" s="559"/>
      <c r="M419" s="559"/>
      <c r="N419" s="559"/>
      <c r="O419" s="559"/>
      <c r="P419" s="559"/>
      <c r="Q419" s="559"/>
      <c r="R419" s="559"/>
      <c r="S419" s="559"/>
      <c r="T419" s="559"/>
      <c r="U419" s="559"/>
      <c r="V419" s="559"/>
      <c r="W419" s="559"/>
      <c r="X419" s="559"/>
      <c r="Y419" s="559"/>
      <c r="Z419" s="559"/>
      <c r="AA419" s="559"/>
      <c r="AB419" s="559"/>
      <c r="AC419" s="559"/>
      <c r="AD419" s="559"/>
      <c r="AE419" s="559"/>
      <c r="AF419" s="559"/>
      <c r="AG419" s="559"/>
      <c r="AH419" s="559"/>
      <c r="AI419" s="559"/>
      <c r="AJ419" s="559"/>
    </row>
    <row r="420" spans="2:36" s="20" customFormat="1" hidden="1" x14ac:dyDescent="0.25">
      <c r="B420" s="339" t="s">
        <v>846</v>
      </c>
      <c r="C420" s="499" t="e">
        <f>C238</f>
        <v>#DIV/0!</v>
      </c>
      <c r="D420" s="516" t="e">
        <f>C420/365</f>
        <v>#DIV/0!</v>
      </c>
      <c r="E420" s="500"/>
      <c r="F420" s="497"/>
      <c r="G420" s="497"/>
      <c r="H420" s="497"/>
      <c r="I420" s="559"/>
      <c r="J420" s="559"/>
      <c r="K420" s="559"/>
      <c r="L420" s="559"/>
      <c r="M420" s="559"/>
      <c r="N420" s="559"/>
      <c r="O420" s="559"/>
      <c r="P420" s="559"/>
      <c r="Q420" s="559"/>
      <c r="R420" s="559"/>
      <c r="S420" s="559"/>
      <c r="T420" s="559"/>
      <c r="U420" s="559"/>
      <c r="V420" s="559"/>
      <c r="W420" s="559"/>
      <c r="X420" s="559"/>
      <c r="Y420" s="559"/>
      <c r="Z420" s="559"/>
      <c r="AA420" s="559"/>
      <c r="AB420" s="559"/>
      <c r="AC420" s="559"/>
      <c r="AD420" s="559"/>
      <c r="AE420" s="559"/>
      <c r="AF420" s="559"/>
      <c r="AG420" s="559"/>
      <c r="AH420" s="559"/>
      <c r="AI420" s="559"/>
      <c r="AJ420" s="559"/>
    </row>
    <row r="421" spans="2:36" s="20" customFormat="1" hidden="1" x14ac:dyDescent="0.25">
      <c r="B421" s="339" t="s">
        <v>847</v>
      </c>
      <c r="C421" s="340">
        <v>0</v>
      </c>
      <c r="D421" s="516">
        <f>C421/365</f>
        <v>0</v>
      </c>
      <c r="E421" s="500"/>
      <c r="F421" s="497"/>
      <c r="G421" s="497"/>
      <c r="H421" s="497"/>
      <c r="I421" s="559"/>
      <c r="J421" s="559"/>
      <c r="K421" s="559"/>
      <c r="L421" s="559"/>
      <c r="M421" s="559"/>
      <c r="N421" s="559"/>
      <c r="O421" s="559"/>
      <c r="P421" s="559"/>
      <c r="Q421" s="559"/>
      <c r="R421" s="559"/>
      <c r="S421" s="559"/>
      <c r="T421" s="559"/>
      <c r="U421" s="559"/>
      <c r="V421" s="559"/>
      <c r="W421" s="559"/>
      <c r="X421" s="559"/>
      <c r="Y421" s="559"/>
      <c r="Z421" s="559"/>
      <c r="AA421" s="559"/>
      <c r="AB421" s="559"/>
      <c r="AC421" s="559"/>
      <c r="AD421" s="559"/>
      <c r="AE421" s="559"/>
      <c r="AF421" s="559"/>
      <c r="AG421" s="559"/>
      <c r="AH421" s="559"/>
      <c r="AI421" s="559"/>
      <c r="AJ421" s="559"/>
    </row>
    <row r="422" spans="2:36" s="20" customFormat="1" hidden="1" x14ac:dyDescent="0.25">
      <c r="B422" s="339" t="s">
        <v>848</v>
      </c>
      <c r="C422" s="499" t="e">
        <f>SUM(C418:C421)</f>
        <v>#DIV/0!</v>
      </c>
      <c r="D422" s="516" t="e">
        <f>C422/365</f>
        <v>#DIV/0!</v>
      </c>
      <c r="E422" s="499"/>
      <c r="F422" s="520"/>
      <c r="G422" s="521"/>
      <c r="H422" s="497"/>
      <c r="I422" s="559"/>
      <c r="J422" s="559"/>
      <c r="K422" s="559"/>
      <c r="L422" s="559"/>
      <c r="M422" s="559"/>
      <c r="N422" s="559"/>
      <c r="O422" s="559"/>
      <c r="P422" s="559"/>
      <c r="Q422" s="559"/>
      <c r="R422" s="559"/>
      <c r="S422" s="559"/>
      <c r="T422" s="559"/>
      <c r="U422" s="559"/>
      <c r="V422" s="559"/>
      <c r="W422" s="559"/>
      <c r="X422" s="559"/>
      <c r="Y422" s="559"/>
      <c r="Z422" s="559"/>
      <c r="AA422" s="559"/>
      <c r="AB422" s="559"/>
      <c r="AC422" s="559"/>
      <c r="AD422" s="559"/>
      <c r="AE422" s="559"/>
      <c r="AF422" s="559"/>
      <c r="AG422" s="559"/>
      <c r="AH422" s="559"/>
      <c r="AI422" s="559"/>
      <c r="AJ422" s="559"/>
    </row>
    <row r="423" spans="2:36" s="20" customFormat="1" hidden="1" x14ac:dyDescent="0.25">
      <c r="B423" s="339"/>
      <c r="C423" s="340"/>
      <c r="E423" s="500"/>
      <c r="F423" s="500"/>
      <c r="G423" s="497"/>
      <c r="H423" s="497"/>
      <c r="I423" s="559"/>
      <c r="J423" s="559"/>
      <c r="K423" s="559"/>
      <c r="L423" s="559"/>
      <c r="M423" s="559"/>
      <c r="N423" s="559"/>
      <c r="O423" s="559"/>
      <c r="P423" s="559"/>
      <c r="Q423" s="559"/>
      <c r="R423" s="559"/>
      <c r="S423" s="559"/>
      <c r="T423" s="559"/>
      <c r="U423" s="559"/>
      <c r="V423" s="559"/>
      <c r="W423" s="559"/>
      <c r="X423" s="559"/>
      <c r="Y423" s="559"/>
      <c r="Z423" s="559"/>
      <c r="AA423" s="559"/>
      <c r="AB423" s="559"/>
      <c r="AC423" s="559"/>
      <c r="AD423" s="559"/>
      <c r="AE423" s="559"/>
      <c r="AF423" s="559"/>
      <c r="AG423" s="559"/>
      <c r="AH423" s="559"/>
      <c r="AI423" s="559"/>
      <c r="AJ423" s="559"/>
    </row>
    <row r="424" spans="2:36" s="20" customFormat="1" hidden="1" x14ac:dyDescent="0.25">
      <c r="B424" s="339" t="s">
        <v>493</v>
      </c>
      <c r="C424" s="340"/>
      <c r="E424" s="500"/>
      <c r="F424" s="500"/>
      <c r="G424" s="497"/>
      <c r="H424" s="497"/>
      <c r="I424" s="559"/>
      <c r="J424" s="559"/>
      <c r="K424" s="559"/>
      <c r="L424" s="559"/>
      <c r="M424" s="559"/>
      <c r="N424" s="559"/>
      <c r="O424" s="559"/>
      <c r="P424" s="559"/>
      <c r="Q424" s="559"/>
      <c r="R424" s="559"/>
      <c r="S424" s="559"/>
      <c r="T424" s="559"/>
      <c r="U424" s="559"/>
      <c r="V424" s="559"/>
      <c r="W424" s="559"/>
      <c r="X424" s="559"/>
      <c r="Y424" s="559"/>
      <c r="Z424" s="559"/>
      <c r="AA424" s="559"/>
      <c r="AB424" s="559"/>
      <c r="AC424" s="559"/>
      <c r="AD424" s="559"/>
      <c r="AE424" s="559"/>
      <c r="AF424" s="559"/>
      <c r="AG424" s="559"/>
      <c r="AH424" s="559"/>
      <c r="AI424" s="559"/>
      <c r="AJ424" s="559"/>
    </row>
    <row r="425" spans="2:36" s="20" customFormat="1" hidden="1" x14ac:dyDescent="0.25">
      <c r="B425" s="339" t="s">
        <v>844</v>
      </c>
      <c r="C425" s="499" t="e">
        <f>C141</f>
        <v>#DIV/0!</v>
      </c>
      <c r="D425" s="516" t="e">
        <f>C425/365</f>
        <v>#DIV/0!</v>
      </c>
      <c r="E425" s="500"/>
      <c r="F425" s="497"/>
      <c r="G425" s="497"/>
      <c r="H425" s="497"/>
      <c r="I425" s="559"/>
      <c r="J425" s="559"/>
      <c r="K425" s="559"/>
      <c r="L425" s="559"/>
      <c r="M425" s="559"/>
      <c r="N425" s="559"/>
      <c r="O425" s="559"/>
      <c r="P425" s="559"/>
      <c r="Q425" s="559"/>
      <c r="R425" s="559"/>
      <c r="S425" s="559"/>
      <c r="T425" s="559"/>
      <c r="U425" s="559"/>
      <c r="V425" s="559"/>
      <c r="W425" s="559"/>
      <c r="X425" s="559"/>
      <c r="Y425" s="559"/>
      <c r="Z425" s="559"/>
      <c r="AA425" s="559"/>
      <c r="AB425" s="559"/>
      <c r="AC425" s="559"/>
      <c r="AD425" s="559"/>
      <c r="AE425" s="559"/>
      <c r="AF425" s="559"/>
      <c r="AG425" s="559"/>
      <c r="AH425" s="559"/>
      <c r="AI425" s="559"/>
      <c r="AJ425" s="559"/>
    </row>
    <row r="426" spans="2:36" s="20" customFormat="1" hidden="1" x14ac:dyDescent="0.25">
      <c r="B426" s="339" t="s">
        <v>845</v>
      </c>
      <c r="C426" s="499" t="e">
        <f>C221</f>
        <v>#DIV/0!</v>
      </c>
      <c r="D426" s="516" t="e">
        <f>C426/365</f>
        <v>#DIV/0!</v>
      </c>
      <c r="E426" s="500"/>
      <c r="F426" s="497"/>
      <c r="G426" s="497"/>
      <c r="H426" s="497"/>
      <c r="I426" s="559"/>
      <c r="J426" s="559"/>
      <c r="K426" s="559"/>
      <c r="L426" s="559"/>
      <c r="M426" s="559"/>
      <c r="N426" s="559"/>
      <c r="O426" s="559"/>
      <c r="P426" s="559"/>
      <c r="Q426" s="559"/>
      <c r="R426" s="559"/>
      <c r="S426" s="559"/>
      <c r="T426" s="559"/>
      <c r="U426" s="559"/>
      <c r="V426" s="559"/>
      <c r="W426" s="559"/>
      <c r="X426" s="559"/>
      <c r="Y426" s="559"/>
      <c r="Z426" s="559"/>
      <c r="AA426" s="559"/>
      <c r="AB426" s="559"/>
      <c r="AC426" s="559"/>
      <c r="AD426" s="559"/>
      <c r="AE426" s="559"/>
      <c r="AF426" s="559"/>
      <c r="AG426" s="559"/>
      <c r="AH426" s="559"/>
      <c r="AI426" s="559"/>
      <c r="AJ426" s="559"/>
    </row>
    <row r="427" spans="2:36" s="20" customFormat="1" hidden="1" x14ac:dyDescent="0.25">
      <c r="B427" s="339" t="s">
        <v>846</v>
      </c>
      <c r="C427" s="499" t="e">
        <f>C412</f>
        <v>#DIV/0!</v>
      </c>
      <c r="D427" s="516" t="e">
        <f>C427/365</f>
        <v>#DIV/0!</v>
      </c>
      <c r="E427" s="500"/>
      <c r="F427" s="497"/>
      <c r="G427" s="497"/>
      <c r="H427" s="497"/>
      <c r="I427" s="559"/>
      <c r="J427" s="559"/>
      <c r="K427" s="559"/>
      <c r="L427" s="559"/>
      <c r="M427" s="559"/>
      <c r="N427" s="559"/>
      <c r="O427" s="559"/>
      <c r="P427" s="559"/>
      <c r="Q427" s="559"/>
      <c r="R427" s="559"/>
      <c r="S427" s="559"/>
      <c r="T427" s="559"/>
      <c r="U427" s="559"/>
      <c r="V427" s="559"/>
      <c r="W427" s="559"/>
      <c r="X427" s="559"/>
      <c r="Y427" s="559"/>
      <c r="Z427" s="559"/>
      <c r="AA427" s="559"/>
      <c r="AB427" s="559"/>
      <c r="AC427" s="559"/>
      <c r="AD427" s="559"/>
      <c r="AE427" s="559"/>
      <c r="AF427" s="559"/>
      <c r="AG427" s="559"/>
      <c r="AH427" s="559"/>
      <c r="AI427" s="559"/>
      <c r="AJ427" s="559"/>
    </row>
    <row r="428" spans="2:36" s="20" customFormat="1" hidden="1" x14ac:dyDescent="0.25">
      <c r="B428" s="339" t="s">
        <v>847</v>
      </c>
      <c r="C428" s="340">
        <v>0</v>
      </c>
      <c r="D428" s="516">
        <f>C428/365</f>
        <v>0</v>
      </c>
      <c r="E428" s="500"/>
      <c r="F428" s="497"/>
      <c r="G428" s="497"/>
      <c r="H428" s="497"/>
      <c r="I428" s="559"/>
      <c r="J428" s="559"/>
      <c r="K428" s="559"/>
      <c r="L428" s="559"/>
      <c r="M428" s="559"/>
      <c r="N428" s="559"/>
      <c r="O428" s="559"/>
      <c r="P428" s="559"/>
      <c r="Q428" s="559"/>
      <c r="R428" s="559"/>
      <c r="S428" s="559"/>
      <c r="T428" s="559"/>
      <c r="U428" s="559"/>
      <c r="V428" s="559"/>
      <c r="W428" s="559"/>
      <c r="X428" s="559"/>
      <c r="Y428" s="559"/>
      <c r="Z428" s="559"/>
      <c r="AA428" s="559"/>
      <c r="AB428" s="559"/>
      <c r="AC428" s="559"/>
      <c r="AD428" s="559"/>
      <c r="AE428" s="559"/>
      <c r="AF428" s="559"/>
      <c r="AG428" s="559"/>
      <c r="AH428" s="559"/>
      <c r="AI428" s="559"/>
      <c r="AJ428" s="559"/>
    </row>
    <row r="429" spans="2:36" s="20" customFormat="1" hidden="1" x14ac:dyDescent="0.25">
      <c r="B429" s="339" t="s">
        <v>848</v>
      </c>
      <c r="C429" s="499" t="e">
        <f>SUM(C425:C428)</f>
        <v>#DIV/0!</v>
      </c>
      <c r="D429" s="516" t="e">
        <f>C429/365</f>
        <v>#DIV/0!</v>
      </c>
      <c r="E429" s="500"/>
      <c r="F429" s="520"/>
      <c r="G429" s="497"/>
      <c r="H429" s="497"/>
      <c r="I429" s="559"/>
      <c r="J429" s="559"/>
      <c r="K429" s="559"/>
      <c r="L429" s="559"/>
      <c r="M429" s="559"/>
      <c r="N429" s="559"/>
      <c r="O429" s="559"/>
      <c r="P429" s="559"/>
      <c r="Q429" s="559"/>
      <c r="R429" s="559"/>
      <c r="S429" s="559"/>
      <c r="T429" s="559"/>
      <c r="U429" s="559"/>
      <c r="V429" s="559"/>
      <c r="W429" s="559"/>
      <c r="X429" s="559"/>
      <c r="Y429" s="559"/>
      <c r="Z429" s="559"/>
      <c r="AA429" s="559"/>
      <c r="AB429" s="559"/>
      <c r="AC429" s="559"/>
      <c r="AD429" s="559"/>
      <c r="AE429" s="559"/>
      <c r="AF429" s="559"/>
      <c r="AG429" s="559"/>
      <c r="AH429" s="559"/>
      <c r="AI429" s="559"/>
      <c r="AJ429" s="559"/>
    </row>
    <row r="430" spans="2:36" s="20" customFormat="1" hidden="1" x14ac:dyDescent="0.25">
      <c r="B430" s="339"/>
      <c r="C430" s="340"/>
      <c r="E430" s="500"/>
      <c r="F430" s="497"/>
      <c r="G430" s="497"/>
      <c r="H430" s="497"/>
      <c r="I430" s="559"/>
      <c r="J430" s="559"/>
      <c r="K430" s="559"/>
      <c r="L430" s="559"/>
      <c r="M430" s="559"/>
      <c r="N430" s="559"/>
      <c r="O430" s="559"/>
      <c r="P430" s="559"/>
      <c r="Q430" s="559"/>
      <c r="R430" s="559"/>
      <c r="S430" s="559"/>
      <c r="T430" s="559"/>
      <c r="U430" s="559"/>
      <c r="V430" s="559"/>
      <c r="W430" s="559"/>
      <c r="X430" s="559"/>
      <c r="Y430" s="559"/>
      <c r="Z430" s="559"/>
      <c r="AA430" s="559"/>
      <c r="AB430" s="559"/>
      <c r="AC430" s="559"/>
      <c r="AD430" s="559"/>
      <c r="AE430" s="559"/>
      <c r="AF430" s="559"/>
      <c r="AG430" s="559"/>
      <c r="AH430" s="559"/>
      <c r="AI430" s="559"/>
      <c r="AJ430" s="559"/>
    </row>
    <row r="431" spans="2:36" s="20" customFormat="1" hidden="1" x14ac:dyDescent="0.25">
      <c r="B431" s="339" t="s">
        <v>849</v>
      </c>
      <c r="C431" s="340"/>
      <c r="E431" s="500"/>
      <c r="F431" s="497"/>
      <c r="G431" s="497"/>
      <c r="H431" s="497"/>
      <c r="I431" s="559"/>
      <c r="J431" s="559"/>
      <c r="K431" s="559"/>
      <c r="L431" s="559"/>
      <c r="M431" s="559"/>
      <c r="N431" s="559"/>
      <c r="O431" s="559"/>
      <c r="P431" s="559"/>
      <c r="Q431" s="559"/>
      <c r="R431" s="559"/>
      <c r="S431" s="559"/>
      <c r="T431" s="559"/>
      <c r="U431" s="559"/>
      <c r="V431" s="559"/>
      <c r="W431" s="559"/>
      <c r="X431" s="559"/>
      <c r="Y431" s="559"/>
      <c r="Z431" s="559"/>
      <c r="AA431" s="559"/>
      <c r="AB431" s="559"/>
      <c r="AC431" s="559"/>
      <c r="AD431" s="559"/>
      <c r="AE431" s="559"/>
      <c r="AF431" s="559"/>
      <c r="AG431" s="559"/>
      <c r="AH431" s="559"/>
      <c r="AI431" s="559"/>
      <c r="AJ431" s="559"/>
    </row>
    <row r="432" spans="2:36" s="20" customFormat="1" hidden="1" x14ac:dyDescent="0.25">
      <c r="B432" s="339" t="s">
        <v>844</v>
      </c>
      <c r="C432" s="499" t="e">
        <f>C418-C425</f>
        <v>#DIV/0!</v>
      </c>
      <c r="D432" s="516" t="e">
        <f>C432/365</f>
        <v>#DIV/0!</v>
      </c>
      <c r="E432" s="500"/>
      <c r="F432" s="497"/>
      <c r="G432" s="497"/>
      <c r="H432" s="497"/>
      <c r="I432" s="559"/>
      <c r="J432" s="559"/>
      <c r="K432" s="559"/>
      <c r="L432" s="559"/>
      <c r="M432" s="559"/>
      <c r="N432" s="559"/>
      <c r="O432" s="559"/>
      <c r="P432" s="559"/>
      <c r="Q432" s="559"/>
      <c r="R432" s="559"/>
      <c r="S432" s="559"/>
      <c r="T432" s="559"/>
      <c r="U432" s="559"/>
      <c r="V432" s="559"/>
      <c r="W432" s="559"/>
      <c r="X432" s="559"/>
      <c r="Y432" s="559"/>
      <c r="Z432" s="559"/>
      <c r="AA432" s="559"/>
      <c r="AB432" s="559"/>
      <c r="AC432" s="559"/>
      <c r="AD432" s="559"/>
      <c r="AE432" s="559"/>
      <c r="AF432" s="559"/>
      <c r="AG432" s="559"/>
      <c r="AH432" s="559"/>
      <c r="AI432" s="559"/>
      <c r="AJ432" s="559"/>
    </row>
    <row r="433" spans="2:36" s="20" customFormat="1" hidden="1" x14ac:dyDescent="0.25">
      <c r="B433" s="339" t="s">
        <v>845</v>
      </c>
      <c r="C433" s="499" t="e">
        <f>C419-C426</f>
        <v>#DIV/0!</v>
      </c>
      <c r="D433" s="516" t="e">
        <f>C433/365</f>
        <v>#DIV/0!</v>
      </c>
      <c r="E433" s="500"/>
      <c r="F433" s="497"/>
      <c r="G433" s="497"/>
      <c r="H433" s="497"/>
      <c r="I433" s="559"/>
      <c r="J433" s="559"/>
      <c r="K433" s="559"/>
      <c r="L433" s="559"/>
      <c r="M433" s="559"/>
      <c r="N433" s="559"/>
      <c r="O433" s="559"/>
      <c r="P433" s="559"/>
      <c r="Q433" s="559"/>
      <c r="R433" s="559"/>
      <c r="S433" s="559"/>
      <c r="T433" s="559"/>
      <c r="U433" s="559"/>
      <c r="V433" s="559"/>
      <c r="W433" s="559"/>
      <c r="X433" s="559"/>
      <c r="Y433" s="559"/>
      <c r="Z433" s="559"/>
      <c r="AA433" s="559"/>
      <c r="AB433" s="559"/>
      <c r="AC433" s="559"/>
      <c r="AD433" s="559"/>
      <c r="AE433" s="559"/>
      <c r="AF433" s="559"/>
      <c r="AG433" s="559"/>
      <c r="AH433" s="559"/>
      <c r="AI433" s="559"/>
      <c r="AJ433" s="559"/>
    </row>
    <row r="434" spans="2:36" s="20" customFormat="1" hidden="1" x14ac:dyDescent="0.25">
      <c r="B434" s="339" t="s">
        <v>846</v>
      </c>
      <c r="C434" s="499" t="e">
        <f>C420-C427</f>
        <v>#DIV/0!</v>
      </c>
      <c r="D434" s="516" t="e">
        <f>C434/365</f>
        <v>#DIV/0!</v>
      </c>
      <c r="E434" s="500"/>
      <c r="F434" s="497"/>
      <c r="G434" s="497"/>
      <c r="H434" s="497"/>
      <c r="I434" s="559"/>
      <c r="J434" s="559"/>
      <c r="K434" s="559"/>
      <c r="L434" s="559"/>
      <c r="M434" s="559"/>
      <c r="N434" s="559"/>
      <c r="O434" s="559"/>
      <c r="P434" s="559"/>
      <c r="Q434" s="559"/>
      <c r="R434" s="559"/>
      <c r="S434" s="559"/>
      <c r="T434" s="559"/>
      <c r="U434" s="559"/>
      <c r="V434" s="559"/>
      <c r="W434" s="559"/>
      <c r="X434" s="559"/>
      <c r="Y434" s="559"/>
      <c r="Z434" s="559"/>
      <c r="AA434" s="559"/>
      <c r="AB434" s="559"/>
      <c r="AC434" s="559"/>
      <c r="AD434" s="559"/>
      <c r="AE434" s="559"/>
      <c r="AF434" s="559"/>
      <c r="AG434" s="559"/>
      <c r="AH434" s="559"/>
      <c r="AI434" s="559"/>
      <c r="AJ434" s="559"/>
    </row>
    <row r="435" spans="2:36" s="20" customFormat="1" hidden="1" x14ac:dyDescent="0.25">
      <c r="B435" s="339" t="s">
        <v>847</v>
      </c>
      <c r="C435" s="499">
        <f>C421-C428</f>
        <v>0</v>
      </c>
      <c r="D435" s="516">
        <f>C435/365</f>
        <v>0</v>
      </c>
      <c r="E435" s="500"/>
      <c r="F435" s="497"/>
      <c r="G435" s="497"/>
      <c r="H435" s="497"/>
      <c r="I435" s="559"/>
      <c r="J435" s="559"/>
      <c r="K435" s="559"/>
      <c r="L435" s="559"/>
      <c r="M435" s="559"/>
      <c r="N435" s="559"/>
      <c r="O435" s="559"/>
      <c r="P435" s="559"/>
      <c r="Q435" s="559"/>
      <c r="R435" s="559"/>
      <c r="S435" s="559"/>
      <c r="T435" s="559"/>
      <c r="U435" s="559"/>
      <c r="V435" s="559"/>
      <c r="W435" s="559"/>
      <c r="X435" s="559"/>
      <c r="Y435" s="559"/>
      <c r="Z435" s="559"/>
      <c r="AA435" s="559"/>
      <c r="AB435" s="559"/>
      <c r="AC435" s="559"/>
      <c r="AD435" s="559"/>
      <c r="AE435" s="559"/>
      <c r="AF435" s="559"/>
      <c r="AG435" s="559"/>
      <c r="AH435" s="559"/>
      <c r="AI435" s="559"/>
      <c r="AJ435" s="559"/>
    </row>
    <row r="436" spans="2:36" s="20" customFormat="1" hidden="1" x14ac:dyDescent="0.25">
      <c r="B436" s="339" t="s">
        <v>848</v>
      </c>
      <c r="C436" s="1537" t="e">
        <f>C432+(IF(C433&gt;0,0,C433)+IF(C434&gt;0,0,C434)+IF(C435&gt;0,0,C435))</f>
        <v>#DIV/0!</v>
      </c>
      <c r="D436" s="516" t="e">
        <f>C436/365</f>
        <v>#DIV/0!</v>
      </c>
      <c r="E436" s="500"/>
      <c r="F436" s="497"/>
      <c r="G436" s="497"/>
      <c r="H436" s="497"/>
      <c r="I436" s="559"/>
      <c r="J436" s="559"/>
      <c r="K436" s="559"/>
      <c r="L436" s="559"/>
      <c r="M436" s="559"/>
      <c r="N436" s="559"/>
      <c r="O436" s="559"/>
      <c r="P436" s="559"/>
      <c r="Q436" s="559"/>
      <c r="R436" s="559"/>
      <c r="S436" s="559"/>
      <c r="T436" s="559"/>
      <c r="U436" s="559"/>
      <c r="V436" s="559"/>
      <c r="W436" s="559"/>
      <c r="X436" s="559"/>
      <c r="Y436" s="559"/>
      <c r="Z436" s="559"/>
      <c r="AA436" s="559"/>
      <c r="AB436" s="559"/>
      <c r="AC436" s="559"/>
      <c r="AD436" s="559"/>
      <c r="AE436" s="559"/>
      <c r="AF436" s="559"/>
      <c r="AG436" s="559"/>
      <c r="AH436" s="559"/>
      <c r="AI436" s="559"/>
      <c r="AJ436" s="559"/>
    </row>
    <row r="437" spans="2:36" s="20" customFormat="1" hidden="1" x14ac:dyDescent="0.25">
      <c r="B437" s="497"/>
      <c r="C437" s="498"/>
      <c r="D437" s="20" t="s">
        <v>856</v>
      </c>
      <c r="E437" s="500"/>
      <c r="F437" s="497"/>
      <c r="G437" s="497"/>
      <c r="H437" s="497"/>
      <c r="I437" s="559"/>
      <c r="J437" s="559"/>
      <c r="K437" s="559"/>
      <c r="L437" s="559"/>
      <c r="M437" s="559"/>
      <c r="N437" s="559"/>
      <c r="O437" s="559"/>
      <c r="P437" s="559"/>
      <c r="Q437" s="559"/>
      <c r="R437" s="559"/>
      <c r="S437" s="559"/>
      <c r="T437" s="559"/>
      <c r="U437" s="559"/>
      <c r="V437" s="559"/>
      <c r="W437" s="559"/>
      <c r="X437" s="559"/>
      <c r="Y437" s="559"/>
      <c r="Z437" s="559"/>
      <c r="AA437" s="559"/>
      <c r="AB437" s="559"/>
      <c r="AC437" s="559"/>
      <c r="AD437" s="559"/>
      <c r="AE437" s="559"/>
      <c r="AF437" s="559"/>
      <c r="AG437" s="559"/>
      <c r="AH437" s="559"/>
      <c r="AI437" s="559"/>
      <c r="AJ437" s="559"/>
    </row>
    <row r="438" spans="2:36" s="20" customFormat="1" hidden="1" x14ac:dyDescent="0.25">
      <c r="B438" s="497" t="s">
        <v>1547</v>
      </c>
      <c r="C438" s="501" t="e">
        <f>IF(C432&gt;0,C432,0)</f>
        <v>#DIV/0!</v>
      </c>
      <c r="D438" s="516" t="e">
        <f>(C438/365)*$C$43</f>
        <v>#DIV/0!</v>
      </c>
      <c r="E438" s="500"/>
      <c r="F438" s="497"/>
      <c r="G438" s="497"/>
      <c r="H438" s="497"/>
      <c r="I438" s="559"/>
      <c r="J438" s="559"/>
      <c r="K438" s="559"/>
      <c r="L438" s="559"/>
      <c r="M438" s="559"/>
      <c r="N438" s="559"/>
      <c r="O438" s="559"/>
      <c r="P438" s="559"/>
      <c r="Q438" s="559"/>
      <c r="R438" s="559"/>
      <c r="S438" s="559"/>
      <c r="T438" s="559"/>
      <c r="U438" s="559"/>
      <c r="V438" s="559"/>
      <c r="W438" s="559"/>
      <c r="X438" s="559"/>
      <c r="Y438" s="559"/>
      <c r="Z438" s="559"/>
      <c r="AA438" s="559"/>
      <c r="AB438" s="559"/>
      <c r="AC438" s="559"/>
      <c r="AD438" s="559"/>
      <c r="AE438" s="559"/>
      <c r="AF438" s="559"/>
      <c r="AG438" s="559"/>
      <c r="AH438" s="559"/>
      <c r="AI438" s="559"/>
      <c r="AJ438" s="559"/>
    </row>
    <row r="439" spans="2:36" s="20" customFormat="1" hidden="1" x14ac:dyDescent="0.25">
      <c r="B439" s="497" t="s">
        <v>1548</v>
      </c>
      <c r="C439" s="501" t="e">
        <f>IF(C433&gt;0,0,C433)</f>
        <v>#DIV/0!</v>
      </c>
      <c r="D439" s="516" t="e">
        <f>(C439/365)*$C$43</f>
        <v>#DIV/0!</v>
      </c>
      <c r="E439" s="500"/>
      <c r="F439" s="497"/>
      <c r="G439" s="497"/>
      <c r="H439" s="497"/>
      <c r="I439" s="559"/>
      <c r="J439" s="559"/>
      <c r="K439" s="559"/>
      <c r="L439" s="559"/>
      <c r="M439" s="559"/>
      <c r="N439" s="559"/>
      <c r="O439" s="559"/>
      <c r="P439" s="559"/>
      <c r="Q439" s="559"/>
      <c r="R439" s="559"/>
      <c r="S439" s="559"/>
      <c r="T439" s="559"/>
      <c r="U439" s="559"/>
      <c r="V439" s="559"/>
      <c r="W439" s="559"/>
      <c r="X439" s="559"/>
      <c r="Y439" s="559"/>
      <c r="Z439" s="559"/>
      <c r="AA439" s="559"/>
      <c r="AB439" s="559"/>
      <c r="AC439" s="559"/>
      <c r="AD439" s="559"/>
      <c r="AE439" s="559"/>
      <c r="AF439" s="559"/>
      <c r="AG439" s="559"/>
      <c r="AH439" s="559"/>
      <c r="AI439" s="559"/>
      <c r="AJ439" s="559"/>
    </row>
    <row r="440" spans="2:36" s="20" customFormat="1" hidden="1" x14ac:dyDescent="0.25">
      <c r="B440" s="497" t="s">
        <v>1549</v>
      </c>
      <c r="C440" s="501" t="e">
        <f>IF(C434&gt;0,0,C434)</f>
        <v>#DIV/0!</v>
      </c>
      <c r="D440" s="516" t="e">
        <f>(C440/365)*$C$43</f>
        <v>#DIV/0!</v>
      </c>
      <c r="E440" s="500"/>
      <c r="F440" s="497"/>
      <c r="G440" s="497"/>
      <c r="H440" s="497"/>
      <c r="I440" s="559"/>
      <c r="J440" s="559"/>
      <c r="K440" s="559"/>
      <c r="L440" s="559"/>
      <c r="M440" s="559"/>
      <c r="N440" s="559"/>
      <c r="O440" s="559"/>
      <c r="P440" s="559"/>
      <c r="Q440" s="559"/>
      <c r="R440" s="559"/>
      <c r="S440" s="559"/>
      <c r="T440" s="559"/>
      <c r="U440" s="559"/>
      <c r="V440" s="559"/>
      <c r="W440" s="559"/>
      <c r="X440" s="559"/>
      <c r="Y440" s="559"/>
      <c r="Z440" s="559"/>
      <c r="AA440" s="559"/>
      <c r="AB440" s="559"/>
      <c r="AC440" s="559"/>
      <c r="AD440" s="559"/>
      <c r="AE440" s="559"/>
      <c r="AF440" s="559"/>
      <c r="AG440" s="559"/>
      <c r="AH440" s="559"/>
      <c r="AI440" s="559"/>
      <c r="AJ440" s="559"/>
    </row>
    <row r="441" spans="2:36" s="20" customFormat="1" hidden="1" x14ac:dyDescent="0.25">
      <c r="B441" s="497" t="s">
        <v>1573</v>
      </c>
      <c r="C441" s="501">
        <f>IF(C435&gt;0,0,C435)</f>
        <v>0</v>
      </c>
      <c r="D441" s="516">
        <f>(C441/365)*$C$43</f>
        <v>0</v>
      </c>
      <c r="E441" s="500"/>
      <c r="F441" s="497"/>
      <c r="G441" s="497"/>
      <c r="H441" s="497"/>
      <c r="I441" s="559"/>
      <c r="J441" s="559"/>
      <c r="K441" s="559"/>
      <c r="L441" s="559"/>
      <c r="M441" s="559"/>
      <c r="N441" s="559"/>
      <c r="O441" s="559"/>
      <c r="P441" s="559"/>
      <c r="Q441" s="559"/>
      <c r="R441" s="559"/>
      <c r="S441" s="559"/>
      <c r="T441" s="559"/>
      <c r="U441" s="559"/>
      <c r="V441" s="559"/>
      <c r="W441" s="559"/>
      <c r="X441" s="559"/>
      <c r="Y441" s="559"/>
      <c r="Z441" s="559"/>
      <c r="AA441" s="559"/>
      <c r="AB441" s="559"/>
      <c r="AC441" s="559"/>
      <c r="AD441" s="559"/>
      <c r="AE441" s="559"/>
      <c r="AF441" s="559"/>
      <c r="AG441" s="559"/>
      <c r="AH441" s="559"/>
      <c r="AI441" s="559"/>
      <c r="AJ441" s="559"/>
    </row>
    <row r="442" spans="2:36" s="20" customFormat="1" hidden="1" x14ac:dyDescent="0.25">
      <c r="B442" s="497"/>
      <c r="C442" s="498"/>
      <c r="D442" s="516"/>
      <c r="E442" s="500"/>
      <c r="F442" s="497"/>
      <c r="G442" s="497"/>
      <c r="H442" s="497"/>
      <c r="I442" s="559"/>
      <c r="J442" s="559"/>
      <c r="K442" s="559"/>
      <c r="L442" s="559"/>
      <c r="M442" s="559"/>
      <c r="N442" s="559"/>
      <c r="O442" s="559"/>
      <c r="P442" s="559"/>
      <c r="Q442" s="559"/>
      <c r="R442" s="559"/>
      <c r="S442" s="559"/>
      <c r="T442" s="559"/>
      <c r="U442" s="559"/>
      <c r="V442" s="559"/>
      <c r="W442" s="559"/>
      <c r="X442" s="559"/>
      <c r="Y442" s="559"/>
      <c r="Z442" s="559"/>
      <c r="AA442" s="559"/>
      <c r="AB442" s="559"/>
      <c r="AC442" s="559"/>
      <c r="AD442" s="559"/>
      <c r="AE442" s="559"/>
      <c r="AF442" s="559"/>
      <c r="AG442" s="559"/>
      <c r="AH442" s="559"/>
      <c r="AI442" s="559"/>
      <c r="AJ442" s="559"/>
    </row>
    <row r="443" spans="2:36" s="20" customFormat="1" hidden="1" x14ac:dyDescent="0.25">
      <c r="B443" s="497" t="s">
        <v>1550</v>
      </c>
      <c r="C443" s="1527" t="e">
        <f>SUM(C438:C441)</f>
        <v>#DIV/0!</v>
      </c>
      <c r="D443" s="1527" t="e">
        <f>SUM(D438:D441)</f>
        <v>#DIV/0!</v>
      </c>
      <c r="E443" s="500"/>
      <c r="F443" s="497"/>
      <c r="G443" s="497"/>
      <c r="H443" s="497"/>
      <c r="I443" s="559"/>
      <c r="J443" s="559"/>
      <c r="K443" s="559"/>
      <c r="L443" s="559"/>
      <c r="M443" s="559"/>
      <c r="N443" s="559"/>
      <c r="O443" s="559"/>
      <c r="P443" s="559"/>
      <c r="Q443" s="559"/>
      <c r="R443" s="559"/>
      <c r="S443" s="559"/>
      <c r="T443" s="559"/>
      <c r="U443" s="559"/>
      <c r="V443" s="559"/>
      <c r="W443" s="559"/>
      <c r="X443" s="559"/>
      <c r="Y443" s="559"/>
      <c r="Z443" s="559"/>
      <c r="AA443" s="559"/>
      <c r="AB443" s="559"/>
      <c r="AC443" s="559"/>
      <c r="AD443" s="559"/>
      <c r="AE443" s="559"/>
      <c r="AF443" s="559"/>
      <c r="AG443" s="559"/>
      <c r="AH443" s="559"/>
      <c r="AI443" s="559"/>
      <c r="AJ443" s="559"/>
    </row>
    <row r="444" spans="2:36" s="20" customFormat="1" hidden="1" x14ac:dyDescent="0.25">
      <c r="B444" s="497"/>
      <c r="C444" s="498"/>
      <c r="D444" s="500"/>
      <c r="E444" s="500"/>
      <c r="F444" s="497"/>
      <c r="G444" s="497"/>
      <c r="H444" s="497"/>
      <c r="I444" s="559"/>
      <c r="J444" s="559"/>
      <c r="K444" s="559"/>
      <c r="L444" s="559"/>
      <c r="M444" s="559"/>
      <c r="N444" s="559"/>
      <c r="O444" s="559"/>
      <c r="P444" s="559"/>
      <c r="Q444" s="559"/>
      <c r="R444" s="559"/>
      <c r="S444" s="559"/>
      <c r="T444" s="559"/>
      <c r="U444" s="559"/>
      <c r="V444" s="559"/>
      <c r="W444" s="559"/>
      <c r="X444" s="559"/>
      <c r="Y444" s="559"/>
      <c r="Z444" s="559"/>
      <c r="AA444" s="559"/>
      <c r="AB444" s="559"/>
      <c r="AC444" s="559"/>
      <c r="AD444" s="559"/>
      <c r="AE444" s="559"/>
      <c r="AF444" s="559"/>
      <c r="AG444" s="559"/>
      <c r="AH444" s="559"/>
      <c r="AI444" s="559"/>
      <c r="AJ444" s="559"/>
    </row>
    <row r="445" spans="2:36" s="20" customFormat="1" hidden="1" x14ac:dyDescent="0.25">
      <c r="B445" s="497"/>
      <c r="C445" s="498"/>
      <c r="D445" s="502"/>
      <c r="E445" s="500"/>
      <c r="F445" s="497"/>
      <c r="G445" s="497"/>
      <c r="H445" s="497"/>
      <c r="I445" s="559"/>
      <c r="J445" s="559"/>
      <c r="K445" s="559"/>
      <c r="L445" s="559"/>
      <c r="M445" s="559"/>
      <c r="N445" s="559"/>
      <c r="O445" s="559"/>
      <c r="P445" s="559"/>
      <c r="Q445" s="559"/>
      <c r="R445" s="559"/>
      <c r="S445" s="559"/>
      <c r="T445" s="559"/>
      <c r="U445" s="559"/>
      <c r="V445" s="559"/>
      <c r="W445" s="559"/>
      <c r="X445" s="559"/>
      <c r="Y445" s="559"/>
      <c r="Z445" s="559"/>
      <c r="AA445" s="559"/>
      <c r="AB445" s="559"/>
      <c r="AC445" s="559"/>
      <c r="AD445" s="559"/>
      <c r="AE445" s="559"/>
      <c r="AF445" s="559"/>
      <c r="AG445" s="559"/>
      <c r="AH445" s="559"/>
      <c r="AI445" s="559"/>
      <c r="AJ445" s="559"/>
    </row>
    <row r="446" spans="2:36" s="20" customFormat="1" hidden="1" x14ac:dyDescent="0.25">
      <c r="B446" s="497"/>
      <c r="C446" s="503"/>
      <c r="D446" s="504"/>
      <c r="E446" s="500"/>
      <c r="F446" s="497"/>
      <c r="G446" s="497"/>
      <c r="H446" s="497"/>
      <c r="I446" s="559"/>
      <c r="J446" s="559"/>
      <c r="K446" s="559"/>
      <c r="L446" s="559"/>
      <c r="M446" s="559"/>
      <c r="N446" s="559"/>
      <c r="O446" s="559"/>
      <c r="P446" s="559"/>
      <c r="Q446" s="559"/>
      <c r="R446" s="559"/>
      <c r="S446" s="559"/>
      <c r="T446" s="559"/>
      <c r="U446" s="559"/>
      <c r="V446" s="559"/>
      <c r="W446" s="559"/>
      <c r="X446" s="559"/>
      <c r="Y446" s="559"/>
      <c r="Z446" s="559"/>
      <c r="AA446" s="559"/>
      <c r="AB446" s="559"/>
      <c r="AC446" s="559"/>
      <c r="AD446" s="559"/>
      <c r="AE446" s="559"/>
      <c r="AF446" s="559"/>
      <c r="AG446" s="559"/>
      <c r="AH446" s="559"/>
      <c r="AI446" s="559"/>
      <c r="AJ446" s="559"/>
    </row>
    <row r="447" spans="2:36" s="20" customFormat="1" hidden="1" x14ac:dyDescent="0.25">
      <c r="B447" s="497"/>
      <c r="C447" s="498"/>
      <c r="D447" s="498"/>
      <c r="E447" s="500"/>
      <c r="F447" s="497"/>
      <c r="G447" s="497"/>
      <c r="H447" s="497"/>
      <c r="I447" s="559"/>
      <c r="J447" s="559"/>
      <c r="K447" s="559"/>
      <c r="L447" s="559"/>
      <c r="M447" s="559"/>
      <c r="N447" s="559"/>
      <c r="O447" s="559"/>
      <c r="P447" s="559"/>
      <c r="Q447" s="559"/>
      <c r="R447" s="559"/>
      <c r="S447" s="559"/>
      <c r="T447" s="559"/>
      <c r="U447" s="559"/>
      <c r="V447" s="559"/>
      <c r="W447" s="559"/>
      <c r="X447" s="559"/>
      <c r="Y447" s="559"/>
      <c r="Z447" s="559"/>
      <c r="AA447" s="559"/>
      <c r="AB447" s="559"/>
      <c r="AC447" s="559"/>
      <c r="AD447" s="559"/>
      <c r="AE447" s="559"/>
      <c r="AF447" s="559"/>
      <c r="AG447" s="559"/>
      <c r="AH447" s="559"/>
      <c r="AI447" s="559"/>
      <c r="AJ447" s="559"/>
    </row>
    <row r="448" spans="2:36" s="20" customFormat="1" hidden="1" x14ac:dyDescent="0.25">
      <c r="B448" s="497"/>
      <c r="C448" s="498"/>
      <c r="D448" s="498"/>
      <c r="E448" s="500"/>
      <c r="F448" s="497"/>
      <c r="G448" s="497"/>
      <c r="H448" s="497"/>
      <c r="I448" s="559"/>
      <c r="J448" s="559"/>
      <c r="K448" s="559"/>
      <c r="L448" s="559"/>
      <c r="M448" s="559"/>
      <c r="N448" s="559"/>
      <c r="O448" s="559"/>
      <c r="P448" s="559"/>
      <c r="Q448" s="559"/>
      <c r="R448" s="559"/>
      <c r="S448" s="559"/>
      <c r="T448" s="559"/>
      <c r="U448" s="559"/>
      <c r="V448" s="559"/>
      <c r="W448" s="559"/>
      <c r="X448" s="559"/>
      <c r="Y448" s="559"/>
      <c r="Z448" s="559"/>
      <c r="AA448" s="559"/>
      <c r="AB448" s="559"/>
      <c r="AC448" s="559"/>
      <c r="AD448" s="559"/>
      <c r="AE448" s="559"/>
      <c r="AF448" s="559"/>
      <c r="AG448" s="559"/>
      <c r="AH448" s="559"/>
      <c r="AI448" s="559"/>
      <c r="AJ448" s="559"/>
    </row>
    <row r="449" spans="2:36" s="20" customFormat="1" hidden="1" x14ac:dyDescent="0.25">
      <c r="B449" s="497"/>
      <c r="C449" s="498"/>
      <c r="D449" s="498"/>
      <c r="E449" s="500"/>
      <c r="F449" s="497"/>
      <c r="G449" s="497"/>
      <c r="H449" s="497"/>
      <c r="I449" s="559"/>
      <c r="J449" s="559"/>
      <c r="K449" s="559"/>
      <c r="L449" s="559"/>
      <c r="M449" s="559"/>
      <c r="N449" s="559"/>
      <c r="O449" s="559"/>
      <c r="P449" s="559"/>
      <c r="Q449" s="559"/>
      <c r="R449" s="559"/>
      <c r="S449" s="559"/>
      <c r="T449" s="559"/>
      <c r="U449" s="559"/>
      <c r="V449" s="559"/>
      <c r="W449" s="559"/>
      <c r="X449" s="559"/>
      <c r="Y449" s="559"/>
      <c r="Z449" s="559"/>
      <c r="AA449" s="559"/>
      <c r="AB449" s="559"/>
      <c r="AC449" s="559"/>
      <c r="AD449" s="559"/>
      <c r="AE449" s="559"/>
      <c r="AF449" s="559"/>
      <c r="AG449" s="559"/>
      <c r="AH449" s="559"/>
      <c r="AI449" s="559"/>
      <c r="AJ449" s="559"/>
    </row>
    <row r="450" spans="2:36" s="20" customFormat="1" hidden="1" x14ac:dyDescent="0.25">
      <c r="B450" s="497"/>
      <c r="C450" s="498"/>
      <c r="D450" s="498"/>
      <c r="E450" s="497"/>
      <c r="F450" s="497"/>
      <c r="G450" s="497"/>
      <c r="H450" s="497"/>
      <c r="I450" s="559"/>
      <c r="J450" s="559"/>
      <c r="K450" s="559"/>
      <c r="L450" s="559"/>
      <c r="M450" s="559"/>
      <c r="N450" s="559"/>
      <c r="O450" s="559"/>
      <c r="P450" s="559"/>
      <c r="Q450" s="559"/>
      <c r="R450" s="559"/>
      <c r="S450" s="559"/>
      <c r="T450" s="559"/>
      <c r="U450" s="559"/>
      <c r="V450" s="559"/>
      <c r="W450" s="559"/>
      <c r="X450" s="559"/>
      <c r="Y450" s="559"/>
      <c r="Z450" s="559"/>
      <c r="AA450" s="559"/>
      <c r="AB450" s="559"/>
      <c r="AC450" s="559"/>
      <c r="AD450" s="559"/>
      <c r="AE450" s="559"/>
      <c r="AF450" s="559"/>
      <c r="AG450" s="559"/>
      <c r="AH450" s="559"/>
      <c r="AI450" s="559"/>
      <c r="AJ450" s="559"/>
    </row>
    <row r="451" spans="2:36" s="20" customFormat="1" hidden="1" x14ac:dyDescent="0.25">
      <c r="B451" s="497"/>
      <c r="C451" s="498"/>
      <c r="D451" s="498"/>
      <c r="E451" s="163"/>
      <c r="F451" s="497"/>
      <c r="G451" s="497"/>
      <c r="H451" s="497"/>
      <c r="I451" s="559"/>
      <c r="J451" s="559"/>
      <c r="K451" s="559"/>
      <c r="L451" s="559"/>
      <c r="M451" s="559"/>
      <c r="N451" s="559"/>
      <c r="O451" s="559"/>
      <c r="P451" s="559"/>
      <c r="Q451" s="559"/>
      <c r="R451" s="559"/>
      <c r="S451" s="559"/>
      <c r="T451" s="559"/>
      <c r="U451" s="559"/>
      <c r="V451" s="559"/>
      <c r="W451" s="559"/>
      <c r="X451" s="559"/>
      <c r="Y451" s="559"/>
      <c r="Z451" s="559"/>
      <c r="AA451" s="559"/>
      <c r="AB451" s="559"/>
      <c r="AC451" s="559"/>
      <c r="AD451" s="559"/>
      <c r="AE451" s="559"/>
      <c r="AF451" s="559"/>
      <c r="AG451" s="559"/>
      <c r="AH451" s="559"/>
      <c r="AI451" s="559"/>
      <c r="AJ451" s="559"/>
    </row>
    <row r="452" spans="2:36" s="20" customFormat="1" hidden="1" x14ac:dyDescent="0.25">
      <c r="B452" s="497"/>
      <c r="C452" s="498"/>
      <c r="D452" s="505"/>
      <c r="E452" s="497"/>
      <c r="F452" s="497"/>
      <c r="G452" s="497"/>
      <c r="H452" s="497"/>
      <c r="I452" s="559"/>
      <c r="J452" s="559"/>
      <c r="K452" s="559"/>
      <c r="L452" s="559"/>
      <c r="M452" s="559"/>
      <c r="N452" s="559"/>
      <c r="O452" s="559"/>
      <c r="P452" s="559"/>
      <c r="Q452" s="559"/>
      <c r="R452" s="559"/>
      <c r="S452" s="559"/>
      <c r="T452" s="559"/>
      <c r="U452" s="559"/>
      <c r="V452" s="559"/>
      <c r="W452" s="559"/>
      <c r="X452" s="559"/>
      <c r="Y452" s="559"/>
      <c r="Z452" s="559"/>
      <c r="AA452" s="559"/>
      <c r="AB452" s="559"/>
      <c r="AC452" s="559"/>
      <c r="AD452" s="559"/>
      <c r="AE452" s="559"/>
      <c r="AF452" s="559"/>
      <c r="AG452" s="559"/>
      <c r="AH452" s="559"/>
      <c r="AI452" s="559"/>
      <c r="AJ452" s="559"/>
    </row>
    <row r="453" spans="2:36" s="20" customFormat="1" hidden="1" x14ac:dyDescent="0.25">
      <c r="B453" s="497"/>
      <c r="C453" s="501"/>
      <c r="D453" s="505"/>
      <c r="E453" s="497"/>
      <c r="F453" s="497"/>
      <c r="G453" s="497"/>
      <c r="H453" s="497"/>
      <c r="I453" s="559"/>
      <c r="J453" s="559"/>
      <c r="K453" s="559"/>
      <c r="L453" s="559"/>
      <c r="M453" s="559"/>
      <c r="N453" s="559"/>
      <c r="O453" s="559"/>
      <c r="P453" s="559"/>
      <c r="Q453" s="559"/>
      <c r="R453" s="559"/>
      <c r="S453" s="559"/>
      <c r="T453" s="559"/>
      <c r="U453" s="559"/>
      <c r="V453" s="559"/>
      <c r="W453" s="559"/>
      <c r="X453" s="559"/>
      <c r="Y453" s="559"/>
      <c r="Z453" s="559"/>
      <c r="AA453" s="559"/>
      <c r="AB453" s="559"/>
      <c r="AC453" s="559"/>
      <c r="AD453" s="559"/>
      <c r="AE453" s="559"/>
      <c r="AF453" s="559"/>
      <c r="AG453" s="559"/>
      <c r="AH453" s="559"/>
      <c r="AI453" s="559"/>
      <c r="AJ453" s="559"/>
    </row>
    <row r="454" spans="2:36" s="20" customFormat="1" hidden="1" x14ac:dyDescent="0.25">
      <c r="C454" s="202"/>
      <c r="I454" s="559"/>
      <c r="J454" s="559"/>
      <c r="K454" s="559"/>
      <c r="L454" s="559"/>
      <c r="M454" s="559"/>
      <c r="N454" s="559"/>
      <c r="O454" s="559"/>
      <c r="P454" s="559"/>
      <c r="Q454" s="559"/>
      <c r="R454" s="559"/>
      <c r="S454" s="559"/>
      <c r="T454" s="559"/>
      <c r="U454" s="559"/>
      <c r="V454" s="559"/>
      <c r="W454" s="559"/>
      <c r="X454" s="559"/>
      <c r="Y454" s="559"/>
      <c r="Z454" s="559"/>
      <c r="AA454" s="559"/>
      <c r="AB454" s="559"/>
      <c r="AC454" s="559"/>
      <c r="AD454" s="559"/>
      <c r="AE454" s="559"/>
      <c r="AF454" s="559"/>
      <c r="AG454" s="559"/>
      <c r="AH454" s="559"/>
      <c r="AI454" s="559"/>
      <c r="AJ454" s="559"/>
    </row>
    <row r="455" spans="2:36" s="20" customFormat="1" hidden="1" x14ac:dyDescent="0.25">
      <c r="C455" s="202"/>
      <c r="I455" s="559"/>
      <c r="J455" s="559"/>
      <c r="K455" s="559"/>
      <c r="L455" s="559"/>
      <c r="M455" s="559"/>
      <c r="N455" s="559"/>
      <c r="O455" s="559"/>
      <c r="P455" s="559"/>
      <c r="Q455" s="559"/>
      <c r="R455" s="559"/>
      <c r="S455" s="559"/>
      <c r="T455" s="559"/>
      <c r="U455" s="559"/>
      <c r="V455" s="559"/>
      <c r="W455" s="559"/>
      <c r="X455" s="559"/>
      <c r="Y455" s="559"/>
      <c r="Z455" s="559"/>
      <c r="AA455" s="559"/>
      <c r="AB455" s="559"/>
      <c r="AC455" s="559"/>
      <c r="AD455" s="559"/>
      <c r="AE455" s="559"/>
      <c r="AF455" s="559"/>
      <c r="AG455" s="559"/>
      <c r="AH455" s="559"/>
      <c r="AI455" s="559"/>
      <c r="AJ455" s="559"/>
    </row>
    <row r="456" spans="2:36" s="20" customFormat="1" hidden="1" x14ac:dyDescent="0.25">
      <c r="C456" s="202"/>
      <c r="I456" s="559"/>
      <c r="J456" s="559"/>
      <c r="K456" s="559"/>
      <c r="L456" s="559"/>
      <c r="M456" s="559"/>
      <c r="N456" s="559"/>
      <c r="O456" s="559"/>
      <c r="P456" s="559"/>
      <c r="Q456" s="559"/>
      <c r="R456" s="559"/>
      <c r="S456" s="559"/>
      <c r="T456" s="559"/>
      <c r="U456" s="559"/>
      <c r="V456" s="559"/>
      <c r="W456" s="559"/>
      <c r="X456" s="559"/>
      <c r="Y456" s="559"/>
      <c r="Z456" s="559"/>
      <c r="AA456" s="559"/>
      <c r="AB456" s="559"/>
      <c r="AC456" s="559"/>
      <c r="AD456" s="559"/>
      <c r="AE456" s="559"/>
      <c r="AF456" s="559"/>
      <c r="AG456" s="559"/>
      <c r="AH456" s="559"/>
      <c r="AI456" s="559"/>
      <c r="AJ456" s="559"/>
    </row>
    <row r="457" spans="2:36" s="20" customFormat="1" hidden="1" x14ac:dyDescent="0.25">
      <c r="C457" s="202"/>
      <c r="I457" s="559"/>
      <c r="J457" s="559"/>
      <c r="K457" s="559"/>
      <c r="L457" s="559"/>
      <c r="M457" s="559"/>
      <c r="N457" s="559"/>
      <c r="O457" s="559"/>
      <c r="P457" s="559"/>
      <c r="Q457" s="559"/>
      <c r="R457" s="559"/>
      <c r="S457" s="559"/>
      <c r="T457" s="559"/>
      <c r="U457" s="559"/>
      <c r="V457" s="559"/>
      <c r="W457" s="559"/>
      <c r="X457" s="559"/>
      <c r="Y457" s="559"/>
      <c r="Z457" s="559"/>
      <c r="AA457" s="559"/>
      <c r="AB457" s="559"/>
      <c r="AC457" s="559"/>
      <c r="AD457" s="559"/>
      <c r="AE457" s="559"/>
      <c r="AF457" s="559"/>
      <c r="AG457" s="559"/>
      <c r="AH457" s="559"/>
      <c r="AI457" s="559"/>
      <c r="AJ457" s="559"/>
    </row>
    <row r="458" spans="2:36" s="20" customFormat="1" hidden="1" x14ac:dyDescent="0.25">
      <c r="I458" s="559"/>
      <c r="J458" s="559"/>
      <c r="K458" s="559"/>
      <c r="L458" s="559"/>
      <c r="M458" s="559"/>
      <c r="N458" s="559"/>
      <c r="O458" s="559"/>
      <c r="P458" s="559"/>
      <c r="Q458" s="559"/>
      <c r="R458" s="559"/>
      <c r="S458" s="559"/>
      <c r="T458" s="559"/>
      <c r="U458" s="559"/>
      <c r="V458" s="559"/>
      <c r="W458" s="559"/>
      <c r="X458" s="559"/>
      <c r="Y458" s="559"/>
      <c r="Z458" s="559"/>
      <c r="AA458" s="559"/>
      <c r="AB458" s="559"/>
      <c r="AC458" s="559"/>
      <c r="AD458" s="559"/>
      <c r="AE458" s="559"/>
      <c r="AF458" s="559"/>
      <c r="AG458" s="559"/>
      <c r="AH458" s="559"/>
      <c r="AI458" s="559"/>
      <c r="AJ458" s="559"/>
    </row>
    <row r="459" spans="2:36" s="20" customFormat="1" hidden="1" x14ac:dyDescent="0.25">
      <c r="I459" s="559"/>
      <c r="J459" s="559"/>
      <c r="K459" s="559"/>
      <c r="L459" s="559"/>
      <c r="M459" s="559"/>
      <c r="N459" s="559"/>
      <c r="O459" s="559"/>
      <c r="P459" s="559"/>
      <c r="Q459" s="559"/>
      <c r="R459" s="559"/>
      <c r="S459" s="559"/>
      <c r="T459" s="559"/>
      <c r="U459" s="559"/>
      <c r="V459" s="559"/>
      <c r="W459" s="559"/>
      <c r="X459" s="559"/>
      <c r="Y459" s="559"/>
      <c r="Z459" s="559"/>
      <c r="AA459" s="559"/>
      <c r="AB459" s="559"/>
      <c r="AC459" s="559"/>
      <c r="AD459" s="559"/>
      <c r="AE459" s="559"/>
      <c r="AF459" s="559"/>
      <c r="AG459" s="559"/>
      <c r="AH459" s="559"/>
      <c r="AI459" s="559"/>
      <c r="AJ459" s="559"/>
    </row>
    <row r="460" spans="2:36" s="20" customFormat="1" hidden="1" x14ac:dyDescent="0.25">
      <c r="C460" s="202"/>
      <c r="I460" s="559"/>
      <c r="J460" s="559"/>
      <c r="K460" s="559"/>
      <c r="L460" s="559"/>
      <c r="M460" s="559"/>
      <c r="N460" s="559"/>
      <c r="O460" s="559"/>
      <c r="P460" s="559"/>
      <c r="Q460" s="559"/>
      <c r="R460" s="559"/>
      <c r="S460" s="559"/>
      <c r="T460" s="559"/>
      <c r="U460" s="559"/>
      <c r="V460" s="559"/>
      <c r="W460" s="559"/>
      <c r="X460" s="559"/>
      <c r="Y460" s="559"/>
      <c r="Z460" s="559"/>
      <c r="AA460" s="559"/>
      <c r="AB460" s="559"/>
      <c r="AC460" s="559"/>
      <c r="AD460" s="559"/>
      <c r="AE460" s="559"/>
      <c r="AF460" s="559"/>
      <c r="AG460" s="559"/>
      <c r="AH460" s="559"/>
      <c r="AI460" s="559"/>
      <c r="AJ460" s="559"/>
    </row>
    <row r="461" spans="2:36" s="20" customFormat="1" hidden="1" x14ac:dyDescent="0.25">
      <c r="C461" s="202"/>
      <c r="I461" s="559"/>
      <c r="J461" s="559"/>
      <c r="K461" s="559"/>
      <c r="L461" s="559"/>
      <c r="M461" s="559"/>
      <c r="N461" s="559"/>
      <c r="O461" s="559"/>
      <c r="P461" s="559"/>
      <c r="Q461" s="559"/>
      <c r="R461" s="559"/>
      <c r="S461" s="559"/>
      <c r="T461" s="559"/>
      <c r="U461" s="559"/>
      <c r="V461" s="559"/>
      <c r="W461" s="559"/>
      <c r="X461" s="559"/>
      <c r="Y461" s="559"/>
      <c r="Z461" s="559"/>
      <c r="AA461" s="559"/>
      <c r="AB461" s="559"/>
      <c r="AC461" s="559"/>
      <c r="AD461" s="559"/>
      <c r="AE461" s="559"/>
      <c r="AF461" s="559"/>
      <c r="AG461" s="559"/>
      <c r="AH461" s="559"/>
      <c r="AI461" s="559"/>
      <c r="AJ461" s="559"/>
    </row>
    <row r="462" spans="2:36" s="20" customFormat="1" hidden="1" x14ac:dyDescent="0.25">
      <c r="C462" s="202"/>
      <c r="I462" s="559"/>
      <c r="J462" s="559"/>
      <c r="K462" s="559"/>
      <c r="L462" s="559"/>
      <c r="M462" s="559"/>
      <c r="N462" s="559"/>
      <c r="O462" s="559"/>
      <c r="P462" s="559"/>
      <c r="Q462" s="559"/>
      <c r="R462" s="559"/>
      <c r="S462" s="559"/>
      <c r="T462" s="559"/>
      <c r="U462" s="559"/>
      <c r="V462" s="559"/>
      <c r="W462" s="559"/>
      <c r="X462" s="559"/>
      <c r="Y462" s="559"/>
      <c r="Z462" s="559"/>
      <c r="AA462" s="559"/>
      <c r="AB462" s="559"/>
      <c r="AC462" s="559"/>
      <c r="AD462" s="559"/>
      <c r="AE462" s="559"/>
      <c r="AF462" s="559"/>
      <c r="AG462" s="559"/>
      <c r="AH462" s="559"/>
      <c r="AI462" s="559"/>
      <c r="AJ462" s="559"/>
    </row>
    <row r="463" spans="2:36" s="20" customFormat="1" hidden="1" x14ac:dyDescent="0.25">
      <c r="C463" s="202"/>
      <c r="I463" s="559"/>
      <c r="J463" s="559"/>
      <c r="K463" s="559"/>
      <c r="L463" s="559"/>
      <c r="M463" s="559"/>
      <c r="N463" s="559"/>
      <c r="O463" s="559"/>
      <c r="P463" s="559"/>
      <c r="Q463" s="559"/>
      <c r="R463" s="559"/>
      <c r="S463" s="559"/>
      <c r="T463" s="559"/>
      <c r="U463" s="559"/>
      <c r="V463" s="559"/>
      <c r="W463" s="559"/>
      <c r="X463" s="559"/>
      <c r="Y463" s="559"/>
      <c r="Z463" s="559"/>
      <c r="AA463" s="559"/>
      <c r="AB463" s="559"/>
      <c r="AC463" s="559"/>
      <c r="AD463" s="559"/>
      <c r="AE463" s="559"/>
      <c r="AF463" s="559"/>
      <c r="AG463" s="559"/>
      <c r="AH463" s="559"/>
      <c r="AI463" s="559"/>
      <c r="AJ463" s="559"/>
    </row>
    <row r="464" spans="2:36" s="20" customFormat="1" hidden="1" x14ac:dyDescent="0.25">
      <c r="C464" s="202"/>
      <c r="I464" s="559"/>
      <c r="J464" s="559"/>
      <c r="K464" s="559"/>
      <c r="L464" s="559"/>
      <c r="M464" s="559"/>
      <c r="N464" s="559"/>
      <c r="O464" s="559"/>
      <c r="P464" s="559"/>
      <c r="Q464" s="559"/>
      <c r="R464" s="559"/>
      <c r="S464" s="559"/>
      <c r="T464" s="559"/>
      <c r="U464" s="559"/>
      <c r="V464" s="559"/>
      <c r="W464" s="559"/>
      <c r="X464" s="559"/>
      <c r="Y464" s="559"/>
      <c r="Z464" s="559"/>
      <c r="AA464" s="559"/>
      <c r="AB464" s="559"/>
      <c r="AC464" s="559"/>
      <c r="AD464" s="559"/>
      <c r="AE464" s="559"/>
      <c r="AF464" s="559"/>
      <c r="AG464" s="559"/>
      <c r="AH464" s="559"/>
      <c r="AI464" s="559"/>
      <c r="AJ464" s="559"/>
    </row>
    <row r="465" spans="9:36" s="20" customFormat="1" hidden="1" x14ac:dyDescent="0.25">
      <c r="I465" s="559"/>
      <c r="J465" s="559"/>
      <c r="K465" s="559"/>
      <c r="L465" s="559"/>
      <c r="M465" s="559"/>
      <c r="N465" s="559"/>
      <c r="O465" s="559"/>
      <c r="P465" s="559"/>
      <c r="Q465" s="559"/>
      <c r="R465" s="559"/>
      <c r="S465" s="559"/>
      <c r="T465" s="559"/>
      <c r="U465" s="559"/>
      <c r="V465" s="559"/>
      <c r="W465" s="559"/>
      <c r="X465" s="559"/>
      <c r="Y465" s="559"/>
      <c r="Z465" s="559"/>
      <c r="AA465" s="559"/>
      <c r="AB465" s="559"/>
      <c r="AC465" s="559"/>
      <c r="AD465" s="559"/>
      <c r="AE465" s="559"/>
      <c r="AF465" s="559"/>
      <c r="AG465" s="559"/>
      <c r="AH465" s="559"/>
      <c r="AI465" s="559"/>
      <c r="AJ465" s="559"/>
    </row>
    <row r="466" spans="9:36" s="20" customFormat="1" hidden="1" x14ac:dyDescent="0.25">
      <c r="I466" s="559"/>
      <c r="J466" s="559"/>
      <c r="K466" s="559"/>
      <c r="L466" s="559"/>
      <c r="M466" s="559"/>
      <c r="N466" s="559"/>
      <c r="O466" s="559"/>
      <c r="P466" s="559"/>
      <c r="Q466" s="559"/>
      <c r="R466" s="559"/>
      <c r="S466" s="559"/>
      <c r="T466" s="559"/>
      <c r="U466" s="559"/>
      <c r="V466" s="559"/>
      <c r="W466" s="559"/>
      <c r="X466" s="559"/>
      <c r="Y466" s="559"/>
      <c r="Z466" s="559"/>
      <c r="AA466" s="559"/>
      <c r="AB466" s="559"/>
      <c r="AC466" s="559"/>
      <c r="AD466" s="559"/>
      <c r="AE466" s="559"/>
      <c r="AF466" s="559"/>
      <c r="AG466" s="559"/>
      <c r="AH466" s="559"/>
      <c r="AI466" s="559"/>
      <c r="AJ466" s="559"/>
    </row>
    <row r="467" spans="9:36" s="20" customFormat="1" hidden="1" x14ac:dyDescent="0.25">
      <c r="I467" s="559"/>
      <c r="J467" s="559"/>
      <c r="K467" s="559"/>
      <c r="L467" s="559"/>
      <c r="M467" s="559"/>
      <c r="N467" s="559"/>
      <c r="O467" s="559"/>
      <c r="P467" s="559"/>
      <c r="Q467" s="559"/>
      <c r="R467" s="559"/>
      <c r="S467" s="559"/>
      <c r="T467" s="559"/>
      <c r="U467" s="559"/>
      <c r="V467" s="559"/>
      <c r="W467" s="559"/>
      <c r="X467" s="559"/>
      <c r="Y467" s="559"/>
      <c r="Z467" s="559"/>
      <c r="AA467" s="559"/>
      <c r="AB467" s="559"/>
      <c r="AC467" s="559"/>
      <c r="AD467" s="559"/>
      <c r="AE467" s="559"/>
      <c r="AF467" s="559"/>
      <c r="AG467" s="559"/>
      <c r="AH467" s="559"/>
      <c r="AI467" s="559"/>
      <c r="AJ467" s="559"/>
    </row>
    <row r="468" spans="9:36" s="20" customFormat="1" hidden="1" x14ac:dyDescent="0.25">
      <c r="I468" s="559"/>
      <c r="J468" s="559"/>
      <c r="K468" s="559"/>
      <c r="L468" s="559"/>
      <c r="M468" s="559"/>
      <c r="N468" s="559"/>
      <c r="O468" s="559"/>
      <c r="P468" s="559"/>
      <c r="Q468" s="559"/>
      <c r="R468" s="559"/>
      <c r="S468" s="559"/>
      <c r="T468" s="559"/>
      <c r="U468" s="559"/>
      <c r="V468" s="559"/>
      <c r="W468" s="559"/>
      <c r="X468" s="559"/>
      <c r="Y468" s="559"/>
      <c r="Z468" s="559"/>
      <c r="AA468" s="559"/>
      <c r="AB468" s="559"/>
      <c r="AC468" s="559"/>
      <c r="AD468" s="559"/>
      <c r="AE468" s="559"/>
      <c r="AF468" s="559"/>
      <c r="AG468" s="559"/>
      <c r="AH468" s="559"/>
      <c r="AI468" s="559"/>
      <c r="AJ468" s="559"/>
    </row>
    <row r="469" spans="9:36" s="20" customFormat="1" hidden="1" x14ac:dyDescent="0.25">
      <c r="I469" s="559"/>
      <c r="J469" s="559"/>
      <c r="K469" s="559"/>
      <c r="L469" s="559"/>
      <c r="M469" s="559"/>
      <c r="N469" s="559"/>
      <c r="O469" s="559"/>
      <c r="P469" s="559"/>
      <c r="Q469" s="559"/>
      <c r="R469" s="559"/>
      <c r="S469" s="559"/>
      <c r="T469" s="559"/>
      <c r="U469" s="559"/>
      <c r="V469" s="559"/>
      <c r="W469" s="559"/>
      <c r="X469" s="559"/>
      <c r="Y469" s="559"/>
      <c r="Z469" s="559"/>
      <c r="AA469" s="559"/>
      <c r="AB469" s="559"/>
      <c r="AC469" s="559"/>
      <c r="AD469" s="559"/>
      <c r="AE469" s="559"/>
      <c r="AF469" s="559"/>
      <c r="AG469" s="559"/>
      <c r="AH469" s="559"/>
      <c r="AI469" s="559"/>
      <c r="AJ469" s="559"/>
    </row>
    <row r="470" spans="9:36" s="20" customFormat="1" hidden="1" x14ac:dyDescent="0.25">
      <c r="I470" s="559"/>
      <c r="J470" s="559"/>
      <c r="K470" s="559"/>
      <c r="L470" s="559"/>
      <c r="M470" s="559"/>
      <c r="N470" s="559"/>
      <c r="O470" s="559"/>
      <c r="P470" s="559"/>
      <c r="Q470" s="559"/>
      <c r="R470" s="559"/>
      <c r="S470" s="559"/>
      <c r="T470" s="559"/>
      <c r="U470" s="559"/>
      <c r="V470" s="559"/>
      <c r="W470" s="559"/>
      <c r="X470" s="559"/>
      <c r="Y470" s="559"/>
      <c r="Z470" s="559"/>
      <c r="AA470" s="559"/>
      <c r="AB470" s="559"/>
      <c r="AC470" s="559"/>
      <c r="AD470" s="559"/>
      <c r="AE470" s="559"/>
      <c r="AF470" s="559"/>
      <c r="AG470" s="559"/>
      <c r="AH470" s="559"/>
      <c r="AI470" s="559"/>
      <c r="AJ470" s="559"/>
    </row>
    <row r="471" spans="9:36" s="20" customFormat="1" hidden="1" x14ac:dyDescent="0.25">
      <c r="I471" s="559"/>
      <c r="J471" s="559"/>
      <c r="K471" s="559"/>
      <c r="L471" s="559"/>
      <c r="M471" s="559"/>
      <c r="N471" s="559"/>
      <c r="O471" s="559"/>
      <c r="P471" s="559"/>
      <c r="Q471" s="559"/>
      <c r="R471" s="559"/>
      <c r="S471" s="559"/>
      <c r="T471" s="559"/>
      <c r="U471" s="559"/>
      <c r="V471" s="559"/>
      <c r="W471" s="559"/>
      <c r="X471" s="559"/>
      <c r="Y471" s="559"/>
      <c r="Z471" s="559"/>
      <c r="AA471" s="559"/>
      <c r="AB471" s="559"/>
      <c r="AC471" s="559"/>
      <c r="AD471" s="559"/>
      <c r="AE471" s="559"/>
      <c r="AF471" s="559"/>
      <c r="AG471" s="559"/>
      <c r="AH471" s="559"/>
      <c r="AI471" s="559"/>
      <c r="AJ471" s="559"/>
    </row>
    <row r="472" spans="9:36" s="20" customFormat="1" hidden="1" x14ac:dyDescent="0.25">
      <c r="I472" s="559"/>
      <c r="J472" s="559"/>
      <c r="K472" s="559"/>
      <c r="L472" s="559"/>
      <c r="M472" s="559"/>
      <c r="N472" s="559"/>
      <c r="O472" s="559"/>
      <c r="P472" s="559"/>
      <c r="Q472" s="559"/>
      <c r="R472" s="559"/>
      <c r="S472" s="559"/>
      <c r="T472" s="559"/>
      <c r="U472" s="559"/>
      <c r="V472" s="559"/>
      <c r="W472" s="559"/>
      <c r="X472" s="559"/>
      <c r="Y472" s="559"/>
      <c r="Z472" s="559"/>
      <c r="AA472" s="559"/>
      <c r="AB472" s="559"/>
      <c r="AC472" s="559"/>
      <c r="AD472" s="559"/>
      <c r="AE472" s="559"/>
      <c r="AF472" s="559"/>
      <c r="AG472" s="559"/>
      <c r="AH472" s="559"/>
      <c r="AI472" s="559"/>
      <c r="AJ472" s="559"/>
    </row>
    <row r="473" spans="9:36" s="20" customFormat="1" hidden="1" x14ac:dyDescent="0.25">
      <c r="I473" s="559"/>
      <c r="J473" s="559"/>
      <c r="K473" s="559"/>
      <c r="L473" s="559"/>
      <c r="M473" s="559"/>
      <c r="N473" s="559"/>
      <c r="O473" s="559"/>
      <c r="P473" s="559"/>
      <c r="Q473" s="559"/>
      <c r="R473" s="559"/>
      <c r="S473" s="559"/>
      <c r="T473" s="559"/>
      <c r="U473" s="559"/>
      <c r="V473" s="559"/>
      <c r="W473" s="559"/>
      <c r="X473" s="559"/>
      <c r="Y473" s="559"/>
      <c r="Z473" s="559"/>
      <c r="AA473" s="559"/>
      <c r="AB473" s="559"/>
      <c r="AC473" s="559"/>
      <c r="AD473" s="559"/>
      <c r="AE473" s="559"/>
      <c r="AF473" s="559"/>
      <c r="AG473" s="559"/>
      <c r="AH473" s="559"/>
      <c r="AI473" s="559"/>
      <c r="AJ473" s="559"/>
    </row>
    <row r="474" spans="9:36" s="20" customFormat="1" hidden="1" x14ac:dyDescent="0.25">
      <c r="I474" s="559"/>
      <c r="J474" s="559"/>
      <c r="K474" s="559"/>
      <c r="L474" s="559"/>
      <c r="M474" s="559"/>
      <c r="N474" s="559"/>
      <c r="O474" s="559"/>
      <c r="P474" s="559"/>
      <c r="Q474" s="559"/>
      <c r="R474" s="559"/>
      <c r="S474" s="559"/>
      <c r="T474" s="559"/>
      <c r="U474" s="559"/>
      <c r="V474" s="559"/>
      <c r="W474" s="559"/>
      <c r="X474" s="559"/>
      <c r="Y474" s="559"/>
      <c r="Z474" s="559"/>
      <c r="AA474" s="559"/>
      <c r="AB474" s="559"/>
      <c r="AC474" s="559"/>
      <c r="AD474" s="559"/>
      <c r="AE474" s="559"/>
      <c r="AF474" s="559"/>
      <c r="AG474" s="559"/>
      <c r="AH474" s="559"/>
      <c r="AI474" s="559"/>
      <c r="AJ474" s="559"/>
    </row>
    <row r="475" spans="9:36" s="20" customFormat="1" hidden="1" x14ac:dyDescent="0.25">
      <c r="I475" s="559"/>
      <c r="J475" s="559"/>
      <c r="K475" s="559"/>
      <c r="L475" s="559"/>
      <c r="M475" s="559"/>
      <c r="N475" s="559"/>
      <c r="O475" s="559"/>
      <c r="P475" s="559"/>
      <c r="Q475" s="559"/>
      <c r="R475" s="559"/>
      <c r="S475" s="559"/>
      <c r="T475" s="559"/>
      <c r="U475" s="559"/>
      <c r="V475" s="559"/>
      <c r="W475" s="559"/>
      <c r="X475" s="559"/>
      <c r="Y475" s="559"/>
      <c r="Z475" s="559"/>
      <c r="AA475" s="559"/>
      <c r="AB475" s="559"/>
      <c r="AC475" s="559"/>
      <c r="AD475" s="559"/>
      <c r="AE475" s="559"/>
      <c r="AF475" s="559"/>
      <c r="AG475" s="559"/>
      <c r="AH475" s="559"/>
      <c r="AI475" s="559"/>
      <c r="AJ475" s="559"/>
    </row>
    <row r="476" spans="9:36" s="20" customFormat="1" hidden="1" x14ac:dyDescent="0.25">
      <c r="I476" s="559"/>
      <c r="J476" s="559"/>
      <c r="K476" s="559"/>
      <c r="L476" s="559"/>
      <c r="M476" s="559"/>
      <c r="N476" s="559"/>
      <c r="O476" s="559"/>
      <c r="P476" s="559"/>
      <c r="Q476" s="559"/>
      <c r="R476" s="559"/>
      <c r="S476" s="559"/>
      <c r="T476" s="559"/>
      <c r="U476" s="559"/>
      <c r="V476" s="559"/>
      <c r="W476" s="559"/>
      <c r="X476" s="559"/>
      <c r="Y476" s="559"/>
      <c r="Z476" s="559"/>
      <c r="AA476" s="559"/>
      <c r="AB476" s="559"/>
      <c r="AC476" s="559"/>
      <c r="AD476" s="559"/>
      <c r="AE476" s="559"/>
      <c r="AF476" s="559"/>
      <c r="AG476" s="559"/>
      <c r="AH476" s="559"/>
      <c r="AI476" s="559"/>
      <c r="AJ476" s="559"/>
    </row>
    <row r="477" spans="9:36" s="20" customFormat="1" hidden="1" x14ac:dyDescent="0.25">
      <c r="I477" s="559"/>
      <c r="J477" s="559"/>
      <c r="K477" s="559"/>
      <c r="L477" s="559"/>
      <c r="M477" s="559"/>
      <c r="N477" s="559"/>
      <c r="O477" s="559"/>
      <c r="P477" s="559"/>
      <c r="Q477" s="559"/>
      <c r="R477" s="559"/>
      <c r="S477" s="559"/>
      <c r="T477" s="559"/>
      <c r="U477" s="559"/>
      <c r="V477" s="559"/>
      <c r="W477" s="559"/>
      <c r="X477" s="559"/>
      <c r="Y477" s="559"/>
      <c r="Z477" s="559"/>
      <c r="AA477" s="559"/>
      <c r="AB477" s="559"/>
      <c r="AC477" s="559"/>
      <c r="AD477" s="559"/>
      <c r="AE477" s="559"/>
      <c r="AF477" s="559"/>
      <c r="AG477" s="559"/>
      <c r="AH477" s="559"/>
      <c r="AI477" s="559"/>
      <c r="AJ477" s="559"/>
    </row>
    <row r="478" spans="9:36" s="20" customFormat="1" hidden="1" x14ac:dyDescent="0.25">
      <c r="I478" s="559"/>
      <c r="J478" s="559"/>
      <c r="K478" s="559"/>
      <c r="L478" s="559"/>
      <c r="M478" s="559"/>
      <c r="N478" s="559"/>
      <c r="O478" s="559"/>
      <c r="P478" s="559"/>
      <c r="Q478" s="559"/>
      <c r="R478" s="559"/>
      <c r="S478" s="559"/>
      <c r="T478" s="559"/>
      <c r="U478" s="559"/>
      <c r="V478" s="559"/>
      <c r="W478" s="559"/>
      <c r="X478" s="559"/>
      <c r="Y478" s="559"/>
      <c r="Z478" s="559"/>
      <c r="AA478" s="559"/>
      <c r="AB478" s="559"/>
      <c r="AC478" s="559"/>
      <c r="AD478" s="559"/>
      <c r="AE478" s="559"/>
      <c r="AF478" s="559"/>
      <c r="AG478" s="559"/>
      <c r="AH478" s="559"/>
      <c r="AI478" s="559"/>
      <c r="AJ478" s="559"/>
    </row>
    <row r="479" spans="9:36" s="559" customFormat="1" hidden="1" x14ac:dyDescent="0.25"/>
    <row r="480" spans="9:36" s="559" customFormat="1" x14ac:dyDescent="0.25"/>
    <row r="481" s="559" customFormat="1" x14ac:dyDescent="0.25"/>
    <row r="482" s="559" customFormat="1" x14ac:dyDescent="0.25"/>
    <row r="483" s="559" customFormat="1" x14ac:dyDescent="0.25"/>
    <row r="484" s="559" customFormat="1" x14ac:dyDescent="0.25"/>
    <row r="485" s="559" customFormat="1" x14ac:dyDescent="0.25"/>
    <row r="486" s="559" customFormat="1" x14ac:dyDescent="0.25"/>
    <row r="487" s="559" customFormat="1" x14ac:dyDescent="0.25"/>
    <row r="488" s="559" customFormat="1" x14ac:dyDescent="0.25"/>
    <row r="489" s="559" customFormat="1" x14ac:dyDescent="0.25"/>
    <row r="490" s="559" customFormat="1" x14ac:dyDescent="0.25"/>
    <row r="491" s="559" customFormat="1" x14ac:dyDescent="0.25"/>
    <row r="492" s="559" customFormat="1" x14ac:dyDescent="0.25"/>
    <row r="493" s="559" customFormat="1" x14ac:dyDescent="0.25"/>
    <row r="494" s="559" customFormat="1" x14ac:dyDescent="0.25"/>
    <row r="495" s="559" customFormat="1" x14ac:dyDescent="0.25"/>
    <row r="496" s="559" customFormat="1" x14ac:dyDescent="0.25"/>
    <row r="497" s="559" customFormat="1" x14ac:dyDescent="0.25"/>
    <row r="498" s="559" customFormat="1" x14ac:dyDescent="0.25"/>
    <row r="499" s="559" customFormat="1" x14ac:dyDescent="0.25"/>
    <row r="500" s="559" customFormat="1" x14ac:dyDescent="0.25"/>
    <row r="501" s="559" customFormat="1" x14ac:dyDescent="0.25"/>
    <row r="502" s="559" customFormat="1" x14ac:dyDescent="0.25"/>
    <row r="503" s="559" customFormat="1" x14ac:dyDescent="0.25"/>
    <row r="504" s="559" customFormat="1" x14ac:dyDescent="0.25"/>
    <row r="505" s="559" customFormat="1" x14ac:dyDescent="0.25"/>
    <row r="506" s="559" customFormat="1" x14ac:dyDescent="0.25"/>
    <row r="507" s="559" customFormat="1" x14ac:dyDescent="0.25"/>
    <row r="508" s="559" customFormat="1" x14ac:dyDescent="0.25"/>
    <row r="509" s="559" customFormat="1" x14ac:dyDescent="0.25"/>
    <row r="510" s="559" customFormat="1" x14ac:dyDescent="0.25"/>
    <row r="511" s="559" customFormat="1" x14ac:dyDescent="0.25"/>
    <row r="512" s="559" customFormat="1" x14ac:dyDescent="0.25"/>
    <row r="513" s="559" customFormat="1" x14ac:dyDescent="0.25"/>
    <row r="514" s="559" customFormat="1" x14ac:dyDescent="0.25"/>
    <row r="515" s="559" customFormat="1" x14ac:dyDescent="0.25"/>
    <row r="516" s="559" customFormat="1" x14ac:dyDescent="0.25"/>
    <row r="517" s="559" customFormat="1" x14ac:dyDescent="0.25"/>
    <row r="518" s="559" customFormat="1" x14ac:dyDescent="0.25"/>
    <row r="519" s="559" customFormat="1" x14ac:dyDescent="0.25"/>
    <row r="520" s="559" customFormat="1" x14ac:dyDescent="0.25"/>
    <row r="521" s="559" customFormat="1" x14ac:dyDescent="0.25"/>
    <row r="522" s="559" customFormat="1" x14ac:dyDescent="0.25"/>
    <row r="523" s="559" customFormat="1" x14ac:dyDescent="0.25"/>
    <row r="524" s="559" customFormat="1" x14ac:dyDescent="0.25"/>
    <row r="525" s="559" customFormat="1" x14ac:dyDescent="0.25"/>
    <row r="526" s="559" customFormat="1" x14ac:dyDescent="0.25"/>
    <row r="527" s="559" customFormat="1" x14ac:dyDescent="0.25"/>
    <row r="528" s="559" customFormat="1" x14ac:dyDescent="0.25"/>
    <row r="529" s="559" customFormat="1" x14ac:dyDescent="0.25"/>
    <row r="530" s="559" customFormat="1" x14ac:dyDescent="0.25"/>
    <row r="531" s="559" customFormat="1" x14ac:dyDescent="0.25"/>
    <row r="532" s="559" customFormat="1" x14ac:dyDescent="0.25"/>
    <row r="533" s="559" customFormat="1" x14ac:dyDescent="0.25"/>
    <row r="534" s="559" customFormat="1" x14ac:dyDescent="0.25"/>
    <row r="535" s="559" customFormat="1" x14ac:dyDescent="0.25"/>
    <row r="536" s="559" customFormat="1" x14ac:dyDescent="0.25"/>
    <row r="537" s="559" customFormat="1" x14ac:dyDescent="0.25"/>
    <row r="538" s="559" customFormat="1" x14ac:dyDescent="0.25"/>
    <row r="539" s="559" customFormat="1" x14ac:dyDescent="0.25"/>
    <row r="540" s="559" customFormat="1" x14ac:dyDescent="0.25"/>
    <row r="541" s="559" customFormat="1" x14ac:dyDescent="0.25"/>
    <row r="542" s="559" customFormat="1" x14ac:dyDescent="0.25"/>
    <row r="543" s="559" customFormat="1" x14ac:dyDescent="0.25"/>
    <row r="544" s="559" customFormat="1" x14ac:dyDescent="0.25"/>
    <row r="545" s="559" customFormat="1" x14ac:dyDescent="0.25"/>
    <row r="546" s="559" customFormat="1" x14ac:dyDescent="0.25"/>
    <row r="547" s="559" customFormat="1" x14ac:dyDescent="0.25"/>
    <row r="548" s="559" customFormat="1" x14ac:dyDescent="0.25"/>
    <row r="549" s="559" customFormat="1" x14ac:dyDescent="0.25"/>
    <row r="550" s="559" customFormat="1" x14ac:dyDescent="0.25"/>
    <row r="551" s="559" customFormat="1" x14ac:dyDescent="0.25"/>
    <row r="552" s="559" customFormat="1" x14ac:dyDescent="0.25"/>
    <row r="553" s="559" customFormat="1" x14ac:dyDescent="0.25"/>
    <row r="554" s="559" customFormat="1" x14ac:dyDescent="0.25"/>
    <row r="555" s="559" customFormat="1" x14ac:dyDescent="0.25"/>
    <row r="556" s="559" customFormat="1" x14ac:dyDescent="0.25"/>
    <row r="557" s="559" customFormat="1" x14ac:dyDescent="0.25"/>
    <row r="558" s="559" customFormat="1" x14ac:dyDescent="0.25"/>
    <row r="559" s="559" customFormat="1" x14ac:dyDescent="0.25"/>
    <row r="560" s="559" customFormat="1" x14ac:dyDescent="0.25"/>
    <row r="561" s="559" customFormat="1" x14ac:dyDescent="0.25"/>
    <row r="562" s="559" customFormat="1" x14ac:dyDescent="0.25"/>
    <row r="563" s="559" customFormat="1" x14ac:dyDescent="0.25"/>
    <row r="564" s="559" customFormat="1" x14ac:dyDescent="0.25"/>
    <row r="565" s="559" customFormat="1" x14ac:dyDescent="0.25"/>
    <row r="566" s="559" customFormat="1" x14ac:dyDescent="0.25"/>
    <row r="567" s="559" customFormat="1" x14ac:dyDescent="0.25"/>
    <row r="568" s="559" customFormat="1" x14ac:dyDescent="0.25"/>
    <row r="569" s="559" customFormat="1" x14ac:dyDescent="0.25"/>
    <row r="570" s="559" customFormat="1" x14ac:dyDescent="0.25"/>
    <row r="571" s="559" customFormat="1" x14ac:dyDescent="0.25"/>
    <row r="572" s="559" customFormat="1" x14ac:dyDescent="0.25"/>
    <row r="573" s="559" customFormat="1" x14ac:dyDescent="0.25"/>
    <row r="574" s="559" customFormat="1" x14ac:dyDescent="0.25"/>
    <row r="575" s="559" customFormat="1" x14ac:dyDescent="0.25"/>
    <row r="576" s="559" customFormat="1" x14ac:dyDescent="0.25"/>
    <row r="577" s="559" customFormat="1" x14ac:dyDescent="0.25"/>
    <row r="578" s="559" customFormat="1" x14ac:dyDescent="0.25"/>
    <row r="579" s="559" customFormat="1" x14ac:dyDescent="0.25"/>
    <row r="580" s="559" customFormat="1" x14ac:dyDescent="0.25"/>
    <row r="581" s="559" customFormat="1" x14ac:dyDescent="0.25"/>
    <row r="582" s="559" customFormat="1" x14ac:dyDescent="0.25"/>
    <row r="583" s="559" customFormat="1" x14ac:dyDescent="0.25"/>
    <row r="584" s="559" customFormat="1" x14ac:dyDescent="0.25"/>
    <row r="585" s="559" customFormat="1" x14ac:dyDescent="0.25"/>
    <row r="586" s="559" customFormat="1" x14ac:dyDescent="0.25"/>
    <row r="587" s="559" customFormat="1" x14ac:dyDescent="0.25"/>
    <row r="588" s="559" customFormat="1" x14ac:dyDescent="0.25"/>
    <row r="589" s="559" customFormat="1" x14ac:dyDescent="0.25"/>
    <row r="590" s="559" customFormat="1" x14ac:dyDescent="0.25"/>
    <row r="591" s="559" customFormat="1" x14ac:dyDescent="0.25"/>
    <row r="592" s="559" customFormat="1" x14ac:dyDescent="0.25"/>
    <row r="593" s="559" customFormat="1" x14ac:dyDescent="0.25"/>
    <row r="594" s="559" customFormat="1" x14ac:dyDescent="0.25"/>
    <row r="595" s="559" customFormat="1" x14ac:dyDescent="0.25"/>
    <row r="596" s="559" customFormat="1" x14ac:dyDescent="0.25"/>
    <row r="597" s="559" customFormat="1" x14ac:dyDescent="0.25"/>
    <row r="598" s="559" customFormat="1" x14ac:dyDescent="0.25"/>
    <row r="599" s="559" customFormat="1" x14ac:dyDescent="0.25"/>
    <row r="600" s="559" customFormat="1" x14ac:dyDescent="0.25"/>
    <row r="601" s="559" customFormat="1" x14ac:dyDescent="0.25"/>
    <row r="602" s="559" customFormat="1" x14ac:dyDescent="0.25"/>
    <row r="603" s="559" customFormat="1" x14ac:dyDescent="0.25"/>
    <row r="604" s="559" customFormat="1" x14ac:dyDescent="0.25"/>
    <row r="605" s="559" customFormat="1" x14ac:dyDescent="0.25"/>
    <row r="606" s="559" customFormat="1" x14ac:dyDescent="0.25"/>
    <row r="607" s="559" customFormat="1" x14ac:dyDescent="0.25"/>
    <row r="608" s="559" customFormat="1" x14ac:dyDescent="0.25"/>
    <row r="609" s="559" customFormat="1" x14ac:dyDescent="0.25"/>
    <row r="610" s="559" customFormat="1" x14ac:dyDescent="0.25"/>
    <row r="611" s="559" customFormat="1" x14ac:dyDescent="0.25"/>
    <row r="612" s="559" customFormat="1" x14ac:dyDescent="0.25"/>
    <row r="613" s="559" customFormat="1" x14ac:dyDescent="0.25"/>
    <row r="614" s="559" customFormat="1" x14ac:dyDescent="0.25"/>
    <row r="615" s="559" customFormat="1" x14ac:dyDescent="0.25"/>
    <row r="616" s="559" customFormat="1" x14ac:dyDescent="0.25"/>
    <row r="617" s="559" customFormat="1" x14ac:dyDescent="0.25"/>
    <row r="618" s="559" customFormat="1" x14ac:dyDescent="0.25"/>
    <row r="619" s="559" customFormat="1" x14ac:dyDescent="0.25"/>
    <row r="620" s="559" customFormat="1" x14ac:dyDescent="0.25"/>
    <row r="621" s="559" customFormat="1" x14ac:dyDescent="0.25"/>
    <row r="622" s="559" customFormat="1" x14ac:dyDescent="0.25"/>
    <row r="623" s="559" customFormat="1" x14ac:dyDescent="0.25"/>
    <row r="624" s="559" customFormat="1" x14ac:dyDescent="0.25"/>
    <row r="625" s="559" customFormat="1" x14ac:dyDescent="0.25"/>
    <row r="626" s="559" customFormat="1" x14ac:dyDescent="0.25"/>
    <row r="627" s="559" customFormat="1" x14ac:dyDescent="0.25"/>
    <row r="628" s="559" customFormat="1" x14ac:dyDescent="0.25"/>
    <row r="629" s="559" customFormat="1" x14ac:dyDescent="0.25"/>
    <row r="630" s="559" customFormat="1" x14ac:dyDescent="0.25"/>
    <row r="631" s="559" customFormat="1" x14ac:dyDescent="0.25"/>
    <row r="632" s="559" customFormat="1" x14ac:dyDescent="0.25"/>
    <row r="633" s="559" customFormat="1" x14ac:dyDescent="0.25"/>
    <row r="634" s="559" customFormat="1" x14ac:dyDescent="0.25"/>
    <row r="635" s="559" customFormat="1" x14ac:dyDescent="0.25"/>
    <row r="636" s="559" customFormat="1" x14ac:dyDescent="0.25"/>
    <row r="637" s="559" customFormat="1" x14ac:dyDescent="0.25"/>
    <row r="638" s="559" customFormat="1" x14ac:dyDescent="0.25"/>
    <row r="639" s="559" customFormat="1" x14ac:dyDescent="0.25"/>
    <row r="640" s="559" customFormat="1" x14ac:dyDescent="0.25"/>
    <row r="641" s="559" customFormat="1" x14ac:dyDescent="0.25"/>
    <row r="642" s="559" customFormat="1" x14ac:dyDescent="0.25"/>
    <row r="643" s="559" customFormat="1" x14ac:dyDescent="0.25"/>
    <row r="644" s="559" customFormat="1" x14ac:dyDescent="0.25"/>
    <row r="645" s="559" customFormat="1" x14ac:dyDescent="0.25"/>
    <row r="646" s="559" customFormat="1" x14ac:dyDescent="0.25"/>
    <row r="647" s="559" customFormat="1" x14ac:dyDescent="0.25"/>
    <row r="648" s="559" customFormat="1" x14ac:dyDescent="0.25"/>
    <row r="649" s="559" customFormat="1" x14ac:dyDescent="0.25"/>
    <row r="650" s="559" customFormat="1" x14ac:dyDescent="0.25"/>
    <row r="651" s="559" customFormat="1" x14ac:dyDescent="0.25"/>
    <row r="652" s="559" customFormat="1" x14ac:dyDescent="0.25"/>
    <row r="653" s="559" customFormat="1" x14ac:dyDescent="0.25"/>
    <row r="654" s="559" customFormat="1" x14ac:dyDescent="0.25"/>
    <row r="655" s="559" customFormat="1" x14ac:dyDescent="0.25"/>
    <row r="656" s="559" customFormat="1" x14ac:dyDescent="0.25"/>
    <row r="657" s="559" customFormat="1" x14ac:dyDescent="0.25"/>
    <row r="658" s="559" customFormat="1" x14ac:dyDescent="0.25"/>
    <row r="659" s="559" customFormat="1" x14ac:dyDescent="0.25"/>
    <row r="660" s="559" customFormat="1" x14ac:dyDescent="0.25"/>
    <row r="661" s="559" customFormat="1" x14ac:dyDescent="0.25"/>
    <row r="662" s="559" customFormat="1" x14ac:dyDescent="0.25"/>
    <row r="663" s="559" customFormat="1" x14ac:dyDescent="0.25"/>
    <row r="664" s="559" customFormat="1" x14ac:dyDescent="0.25"/>
    <row r="665" s="559" customFormat="1" x14ac:dyDescent="0.25"/>
    <row r="666" s="559" customFormat="1" x14ac:dyDescent="0.25"/>
    <row r="667" s="559" customFormat="1" x14ac:dyDescent="0.25"/>
    <row r="668" s="559" customFormat="1" x14ac:dyDescent="0.25"/>
    <row r="669" s="559" customFormat="1" x14ac:dyDescent="0.25"/>
    <row r="670" s="559" customFormat="1" x14ac:dyDescent="0.25"/>
    <row r="671" s="559" customFormat="1" x14ac:dyDescent="0.25"/>
    <row r="672" s="559" customFormat="1" x14ac:dyDescent="0.25"/>
    <row r="673" s="559" customFormat="1" x14ac:dyDescent="0.25"/>
    <row r="674" s="559" customFormat="1" x14ac:dyDescent="0.25"/>
    <row r="675" s="559" customFormat="1" x14ac:dyDescent="0.25"/>
    <row r="676" s="559" customFormat="1" x14ac:dyDescent="0.25"/>
    <row r="677" s="559" customFormat="1" x14ac:dyDescent="0.25"/>
    <row r="678" s="559" customFormat="1" x14ac:dyDescent="0.25"/>
    <row r="679" s="559" customFormat="1" x14ac:dyDescent="0.25"/>
    <row r="680" s="559" customFormat="1" x14ac:dyDescent="0.25"/>
    <row r="681" s="559" customFormat="1" x14ac:dyDescent="0.25"/>
    <row r="682" s="559" customFormat="1" x14ac:dyDescent="0.25"/>
    <row r="683" s="559" customFormat="1" x14ac:dyDescent="0.25"/>
    <row r="684" s="559" customFormat="1" x14ac:dyDescent="0.25"/>
    <row r="685" s="559" customFormat="1" x14ac:dyDescent="0.25"/>
    <row r="686" s="559" customFormat="1" x14ac:dyDescent="0.25"/>
    <row r="687" s="559" customFormat="1" x14ac:dyDescent="0.25"/>
    <row r="688" s="559" customFormat="1" x14ac:dyDescent="0.25"/>
    <row r="689" s="559" customFormat="1" x14ac:dyDescent="0.25"/>
    <row r="690" s="559" customFormat="1" x14ac:dyDescent="0.25"/>
    <row r="691" s="559" customFormat="1" x14ac:dyDescent="0.25"/>
    <row r="692" s="559" customFormat="1" x14ac:dyDescent="0.25"/>
    <row r="693" s="559" customFormat="1" x14ac:dyDescent="0.25"/>
    <row r="694" s="559" customFormat="1" x14ac:dyDescent="0.25"/>
    <row r="695" s="559" customFormat="1" x14ac:dyDescent="0.25"/>
    <row r="696" s="559" customFormat="1" x14ac:dyDescent="0.25"/>
    <row r="697" s="559" customFormat="1" x14ac:dyDescent="0.25"/>
    <row r="698" s="559" customFormat="1" x14ac:dyDescent="0.25"/>
    <row r="699" s="559" customFormat="1" x14ac:dyDescent="0.25"/>
    <row r="700" s="559" customFormat="1" x14ac:dyDescent="0.25"/>
    <row r="701" s="559" customFormat="1" x14ac:dyDescent="0.25"/>
    <row r="702" s="559" customFormat="1" x14ac:dyDescent="0.25"/>
    <row r="703" s="559" customFormat="1" x14ac:dyDescent="0.25"/>
    <row r="704" s="559" customFormat="1" x14ac:dyDescent="0.25"/>
    <row r="705" s="559" customFormat="1" x14ac:dyDescent="0.25"/>
    <row r="706" s="559" customFormat="1" x14ac:dyDescent="0.25"/>
    <row r="707" s="559" customFormat="1" x14ac:dyDescent="0.25"/>
    <row r="708" s="559" customFormat="1" x14ac:dyDescent="0.25"/>
    <row r="709" s="559" customFormat="1" x14ac:dyDescent="0.25"/>
    <row r="710" s="559" customFormat="1" x14ac:dyDescent="0.25"/>
    <row r="711" s="559" customFormat="1" x14ac:dyDescent="0.25"/>
    <row r="712" s="559" customFormat="1" x14ac:dyDescent="0.25"/>
    <row r="713" s="559" customFormat="1" x14ac:dyDescent="0.25"/>
    <row r="714" s="559" customFormat="1" x14ac:dyDescent="0.25"/>
    <row r="715" s="559" customFormat="1" x14ac:dyDescent="0.25"/>
    <row r="716" s="559" customFormat="1" x14ac:dyDescent="0.25"/>
    <row r="717" s="559" customFormat="1" x14ac:dyDescent="0.25"/>
    <row r="718" s="559" customFormat="1" x14ac:dyDescent="0.25"/>
    <row r="719" s="559" customFormat="1" x14ac:dyDescent="0.25"/>
    <row r="720" s="559" customFormat="1" x14ac:dyDescent="0.25"/>
    <row r="721" s="559" customFormat="1" x14ac:dyDescent="0.25"/>
    <row r="722" s="559" customFormat="1" x14ac:dyDescent="0.25"/>
    <row r="723" s="559" customFormat="1" x14ac:dyDescent="0.25"/>
    <row r="724" s="559" customFormat="1" x14ac:dyDescent="0.25"/>
    <row r="725" s="559" customFormat="1" x14ac:dyDescent="0.25"/>
    <row r="726" s="559" customFormat="1" x14ac:dyDescent="0.25"/>
    <row r="727" s="559" customFormat="1" x14ac:dyDescent="0.25"/>
    <row r="728" s="559" customFormat="1" x14ac:dyDescent="0.25"/>
    <row r="729" s="559" customFormat="1" x14ac:dyDescent="0.25"/>
    <row r="730" s="559" customFormat="1" x14ac:dyDescent="0.25"/>
    <row r="731" s="559" customFormat="1" x14ac:dyDescent="0.25"/>
    <row r="732" s="559" customFormat="1" x14ac:dyDescent="0.25"/>
    <row r="733" s="559" customFormat="1" x14ac:dyDescent="0.25"/>
    <row r="734" s="559" customFormat="1" x14ac:dyDescent="0.25"/>
    <row r="735" s="559" customFormat="1" x14ac:dyDescent="0.25"/>
    <row r="736" s="559" customFormat="1" x14ac:dyDescent="0.25"/>
    <row r="737" s="559" customFormat="1" x14ac:dyDescent="0.25"/>
    <row r="738" s="559" customFormat="1" x14ac:dyDescent="0.25"/>
    <row r="739" s="559" customFormat="1" x14ac:dyDescent="0.25"/>
    <row r="740" s="559" customFormat="1" x14ac:dyDescent="0.25"/>
    <row r="741" s="559" customFormat="1" x14ac:dyDescent="0.25"/>
    <row r="742" s="559" customFormat="1" x14ac:dyDescent="0.25"/>
    <row r="743" s="559" customFormat="1" x14ac:dyDescent="0.25"/>
    <row r="744" s="559" customFormat="1" x14ac:dyDescent="0.25"/>
    <row r="745" s="559" customFormat="1" x14ac:dyDescent="0.25"/>
    <row r="746" s="559" customFormat="1" x14ac:dyDescent="0.25"/>
    <row r="747" s="559" customFormat="1" x14ac:dyDescent="0.25"/>
    <row r="748" s="559" customFormat="1" x14ac:dyDescent="0.25"/>
    <row r="749" s="559" customFormat="1" x14ac:dyDescent="0.25"/>
    <row r="750" s="559" customFormat="1" x14ac:dyDescent="0.25"/>
    <row r="751" s="559" customFormat="1" x14ac:dyDescent="0.25"/>
    <row r="752" s="559" customFormat="1" x14ac:dyDescent="0.25"/>
    <row r="753" s="559" customFormat="1" x14ac:dyDescent="0.25"/>
    <row r="754" s="559" customFormat="1" x14ac:dyDescent="0.25"/>
    <row r="755" s="559" customFormat="1" x14ac:dyDescent="0.25"/>
    <row r="756" s="559" customFormat="1" x14ac:dyDescent="0.25"/>
    <row r="757" s="559" customFormat="1" x14ac:dyDescent="0.25"/>
    <row r="758" s="559" customFormat="1" x14ac:dyDescent="0.25"/>
    <row r="759" s="559" customFormat="1" x14ac:dyDescent="0.25"/>
    <row r="760" s="559" customFormat="1" x14ac:dyDescent="0.25"/>
    <row r="761" s="559" customFormat="1" x14ac:dyDescent="0.25"/>
    <row r="762" s="559" customFormat="1" x14ac:dyDescent="0.25"/>
    <row r="763" s="559" customFormat="1" x14ac:dyDescent="0.25"/>
    <row r="764" s="559" customFormat="1" x14ac:dyDescent="0.25"/>
    <row r="765" s="559" customFormat="1" x14ac:dyDescent="0.25"/>
    <row r="766" s="559" customFormat="1" x14ac:dyDescent="0.25"/>
    <row r="767" s="559" customFormat="1" x14ac:dyDescent="0.25"/>
    <row r="768" s="559" customFormat="1" x14ac:dyDescent="0.25"/>
    <row r="769" s="559" customFormat="1" x14ac:dyDescent="0.25"/>
    <row r="770" s="559" customFormat="1" x14ac:dyDescent="0.25"/>
    <row r="771" s="559" customFormat="1" x14ac:dyDescent="0.25"/>
    <row r="772" s="559" customFormat="1" x14ac:dyDescent="0.25"/>
    <row r="773" s="559" customFormat="1" x14ac:dyDescent="0.25"/>
    <row r="774" s="559" customFormat="1" x14ac:dyDescent="0.25"/>
    <row r="775" s="559" customFormat="1" x14ac:dyDescent="0.25"/>
    <row r="776" s="559" customFormat="1" x14ac:dyDescent="0.25"/>
    <row r="777" s="559" customFormat="1" x14ac:dyDescent="0.25"/>
    <row r="778" s="559" customFormat="1" x14ac:dyDescent="0.25"/>
    <row r="779" s="559" customFormat="1" x14ac:dyDescent="0.25"/>
    <row r="780" s="559" customFormat="1" x14ac:dyDescent="0.25"/>
    <row r="781" s="559" customFormat="1" x14ac:dyDescent="0.25"/>
    <row r="782" s="559" customFormat="1" x14ac:dyDescent="0.25"/>
    <row r="783" s="559" customFormat="1" x14ac:dyDescent="0.25"/>
    <row r="784" s="559" customFormat="1" x14ac:dyDescent="0.25"/>
    <row r="785" s="559" customFormat="1" x14ac:dyDescent="0.25"/>
    <row r="786" s="559" customFormat="1" x14ac:dyDescent="0.25"/>
    <row r="787" s="559" customFormat="1" x14ac:dyDescent="0.25"/>
    <row r="788" s="559" customFormat="1" x14ac:dyDescent="0.25"/>
    <row r="789" s="559" customFormat="1" x14ac:dyDescent="0.25"/>
    <row r="790" s="559" customFormat="1" x14ac:dyDescent="0.25"/>
    <row r="791" s="559" customFormat="1" x14ac:dyDescent="0.25"/>
    <row r="792" s="559" customFormat="1" x14ac:dyDescent="0.25"/>
    <row r="793" s="559" customFormat="1" x14ac:dyDescent="0.25"/>
    <row r="794" s="559" customFormat="1" x14ac:dyDescent="0.25"/>
    <row r="795" s="559" customFormat="1" x14ac:dyDescent="0.25"/>
    <row r="796" s="559" customFormat="1" x14ac:dyDescent="0.25"/>
    <row r="797" s="559" customFormat="1" x14ac:dyDescent="0.25"/>
    <row r="798" s="559" customFormat="1" x14ac:dyDescent="0.25"/>
    <row r="799" s="559" customFormat="1" x14ac:dyDescent="0.25"/>
    <row r="800" s="559" customFormat="1" x14ac:dyDescent="0.25"/>
    <row r="801" s="559" customFormat="1" x14ac:dyDescent="0.25"/>
    <row r="802" s="559" customFormat="1" x14ac:dyDescent="0.25"/>
    <row r="803" s="559" customFormat="1" x14ac:dyDescent="0.25"/>
    <row r="804" s="559" customFormat="1" x14ac:dyDescent="0.25"/>
    <row r="805" s="559" customFormat="1" x14ac:dyDescent="0.25"/>
    <row r="806" s="559" customFormat="1" x14ac:dyDescent="0.25"/>
    <row r="807" s="559" customFormat="1" x14ac:dyDescent="0.25"/>
    <row r="808" s="559" customFormat="1" x14ac:dyDescent="0.25"/>
    <row r="809" s="559" customFormat="1" x14ac:dyDescent="0.25"/>
    <row r="810" s="559" customFormat="1" x14ac:dyDescent="0.25"/>
    <row r="811" s="559" customFormat="1" x14ac:dyDescent="0.25"/>
    <row r="812" s="559" customFormat="1" x14ac:dyDescent="0.25"/>
    <row r="813" s="559" customFormat="1" x14ac:dyDescent="0.25"/>
    <row r="814" s="559" customFormat="1" x14ac:dyDescent="0.25"/>
    <row r="815" s="559" customFormat="1" x14ac:dyDescent="0.25"/>
    <row r="816" s="559" customFormat="1" x14ac:dyDescent="0.25"/>
    <row r="817" s="559" customFormat="1" x14ac:dyDescent="0.25"/>
    <row r="818" s="559" customFormat="1" x14ac:dyDescent="0.25"/>
    <row r="819" s="559" customFormat="1" x14ac:dyDescent="0.25"/>
    <row r="820" s="559" customFormat="1" x14ac:dyDescent="0.25"/>
    <row r="821" s="559" customFormat="1" x14ac:dyDescent="0.25"/>
    <row r="822" s="559" customFormat="1" x14ac:dyDescent="0.25"/>
    <row r="823" s="559" customFormat="1" x14ac:dyDescent="0.25"/>
    <row r="824" s="559" customFormat="1" x14ac:dyDescent="0.25"/>
    <row r="825" s="559" customFormat="1" x14ac:dyDescent="0.25"/>
    <row r="826" s="559" customFormat="1" x14ac:dyDescent="0.25"/>
    <row r="827" s="559" customFormat="1" x14ac:dyDescent="0.25"/>
    <row r="828" s="559" customFormat="1" x14ac:dyDescent="0.25"/>
    <row r="829" s="559" customFormat="1" x14ac:dyDescent="0.25"/>
    <row r="830" s="559" customFormat="1" x14ac:dyDescent="0.25"/>
    <row r="831" s="559" customFormat="1" x14ac:dyDescent="0.25"/>
    <row r="832" s="559" customFormat="1" x14ac:dyDescent="0.25"/>
    <row r="833" s="559" customFormat="1" x14ac:dyDescent="0.25"/>
    <row r="834" s="559" customFormat="1" x14ac:dyDescent="0.25"/>
    <row r="835" s="559" customFormat="1" x14ac:dyDescent="0.25"/>
    <row r="836" s="559" customFormat="1" x14ac:dyDescent="0.25"/>
    <row r="837" s="559" customFormat="1" x14ac:dyDescent="0.25"/>
    <row r="838" s="559" customFormat="1" x14ac:dyDescent="0.25"/>
    <row r="839" s="559" customFormat="1" x14ac:dyDescent="0.25"/>
    <row r="840" s="559" customFormat="1" x14ac:dyDescent="0.25"/>
    <row r="841" s="559" customFormat="1" x14ac:dyDescent="0.25"/>
    <row r="842" s="559" customFormat="1" x14ac:dyDescent="0.25"/>
    <row r="843" s="559" customFormat="1" x14ac:dyDescent="0.25"/>
    <row r="844" s="559" customFormat="1" x14ac:dyDescent="0.25"/>
    <row r="845" s="559" customFormat="1" x14ac:dyDescent="0.25"/>
    <row r="846" s="559" customFormat="1" x14ac:dyDescent="0.25"/>
    <row r="847" s="559" customFormat="1" x14ac:dyDescent="0.25"/>
    <row r="848" s="559" customFormat="1" x14ac:dyDescent="0.25"/>
    <row r="849" s="559" customFormat="1" x14ac:dyDescent="0.25"/>
    <row r="850" s="559" customFormat="1" x14ac:dyDescent="0.25"/>
    <row r="851" s="559" customFormat="1" x14ac:dyDescent="0.25"/>
    <row r="852" s="559" customFormat="1" x14ac:dyDescent="0.25"/>
    <row r="853" s="559" customFormat="1" x14ac:dyDescent="0.25"/>
    <row r="854" s="559" customFormat="1" x14ac:dyDescent="0.25"/>
    <row r="855" s="559" customFormat="1" x14ac:dyDescent="0.25"/>
    <row r="856" s="559" customFormat="1" x14ac:dyDescent="0.25"/>
    <row r="857" s="559" customFormat="1" x14ac:dyDescent="0.25"/>
    <row r="858" s="559" customFormat="1" x14ac:dyDescent="0.25"/>
    <row r="859" s="559" customFormat="1" x14ac:dyDescent="0.25"/>
    <row r="860" s="559" customFormat="1" x14ac:dyDescent="0.25"/>
    <row r="861" s="559" customFormat="1" x14ac:dyDescent="0.25"/>
    <row r="862" s="559" customFormat="1" x14ac:dyDescent="0.25"/>
    <row r="863" s="559" customFormat="1" x14ac:dyDescent="0.25"/>
    <row r="864" s="559" customFormat="1" x14ac:dyDescent="0.25"/>
    <row r="865" s="559" customFormat="1" x14ac:dyDescent="0.25"/>
    <row r="866" s="559" customFormat="1" x14ac:dyDescent="0.25"/>
    <row r="867" s="559" customFormat="1" x14ac:dyDescent="0.25"/>
    <row r="868" s="559" customFormat="1" x14ac:dyDescent="0.25"/>
    <row r="869" s="559" customFormat="1" x14ac:dyDescent="0.25"/>
    <row r="870" s="559" customFormat="1" x14ac:dyDescent="0.25"/>
    <row r="871" s="559" customFormat="1" x14ac:dyDescent="0.25"/>
    <row r="872" s="559" customFormat="1" x14ac:dyDescent="0.25"/>
    <row r="873" s="559" customFormat="1" x14ac:dyDescent="0.25"/>
    <row r="874" s="559" customFormat="1" x14ac:dyDescent="0.25"/>
    <row r="875" s="559" customFormat="1" x14ac:dyDescent="0.25"/>
    <row r="876" s="559" customFormat="1" x14ac:dyDescent="0.25"/>
    <row r="877" s="559" customFormat="1" x14ac:dyDescent="0.25"/>
    <row r="878" s="559" customFormat="1" x14ac:dyDescent="0.25"/>
    <row r="879" s="559" customFormat="1" x14ac:dyDescent="0.25"/>
    <row r="880" s="559" customFormat="1" x14ac:dyDescent="0.25"/>
    <row r="881" s="559" customFormat="1" x14ac:dyDescent="0.25"/>
    <row r="882" s="559" customFormat="1" x14ac:dyDescent="0.25"/>
    <row r="883" s="559" customFormat="1" x14ac:dyDescent="0.25"/>
    <row r="884" s="559" customFormat="1" x14ac:dyDescent="0.25"/>
    <row r="885" s="559" customFormat="1" x14ac:dyDescent="0.25"/>
    <row r="886" s="559" customFormat="1" x14ac:dyDescent="0.25"/>
    <row r="887" s="559" customFormat="1" x14ac:dyDescent="0.25"/>
    <row r="888" s="559" customFormat="1" x14ac:dyDescent="0.25"/>
    <row r="889" s="559" customFormat="1" x14ac:dyDescent="0.25"/>
    <row r="890" s="559" customFormat="1" x14ac:dyDescent="0.25"/>
    <row r="891" s="559" customFormat="1" x14ac:dyDescent="0.25"/>
    <row r="892" s="559" customFormat="1" x14ac:dyDescent="0.25"/>
    <row r="893" s="559" customFormat="1" x14ac:dyDescent="0.25"/>
    <row r="894" s="559" customFormat="1" x14ac:dyDescent="0.25"/>
    <row r="895" s="559" customFormat="1" x14ac:dyDescent="0.25"/>
    <row r="896" s="559" customFormat="1" x14ac:dyDescent="0.25"/>
    <row r="897" s="559" customFormat="1" x14ac:dyDescent="0.25"/>
    <row r="898" s="559" customFormat="1" x14ac:dyDescent="0.25"/>
    <row r="899" s="559" customFormat="1" x14ac:dyDescent="0.25"/>
    <row r="900" s="559" customFormat="1" x14ac:dyDescent="0.25"/>
    <row r="901" s="559" customFormat="1" x14ac:dyDescent="0.25"/>
    <row r="902" s="559" customFormat="1" x14ac:dyDescent="0.25"/>
    <row r="903" s="559" customFormat="1" x14ac:dyDescent="0.25"/>
    <row r="904" s="559" customFormat="1" x14ac:dyDescent="0.25"/>
    <row r="905" s="559" customFormat="1" x14ac:dyDescent="0.25"/>
    <row r="906" s="559" customFormat="1" x14ac:dyDescent="0.25"/>
    <row r="907" s="559" customFormat="1" x14ac:dyDescent="0.25"/>
    <row r="908" s="559" customFormat="1" x14ac:dyDescent="0.25"/>
    <row r="909" s="559" customFormat="1" x14ac:dyDescent="0.25"/>
    <row r="910" s="559" customFormat="1" x14ac:dyDescent="0.25"/>
    <row r="911" s="559" customFormat="1" x14ac:dyDescent="0.25"/>
    <row r="912" s="559" customFormat="1" x14ac:dyDescent="0.25"/>
    <row r="913" s="559" customFormat="1" x14ac:dyDescent="0.25"/>
    <row r="914" s="559" customFormat="1" x14ac:dyDescent="0.25"/>
    <row r="915" s="559" customFormat="1" x14ac:dyDescent="0.25"/>
    <row r="916" s="559" customFormat="1" x14ac:dyDescent="0.25"/>
    <row r="917" s="559" customFormat="1" x14ac:dyDescent="0.25"/>
    <row r="918" s="559" customFormat="1" x14ac:dyDescent="0.25"/>
    <row r="919" s="559" customFormat="1" x14ac:dyDescent="0.25"/>
    <row r="920" s="559" customFormat="1" x14ac:dyDescent="0.25"/>
    <row r="921" s="559" customFormat="1" x14ac:dyDescent="0.25"/>
    <row r="922" s="559" customFormat="1" x14ac:dyDescent="0.25"/>
    <row r="923" s="559" customFormat="1" x14ac:dyDescent="0.25"/>
    <row r="924" s="559" customFormat="1" x14ac:dyDescent="0.25"/>
    <row r="925" s="559" customFormat="1" x14ac:dyDescent="0.25"/>
    <row r="926" s="559" customFormat="1" x14ac:dyDescent="0.25"/>
    <row r="927" s="559" customFormat="1" x14ac:dyDescent="0.25"/>
    <row r="928" s="559" customFormat="1" x14ac:dyDescent="0.25"/>
    <row r="929" s="559" customFormat="1" x14ac:dyDescent="0.25"/>
    <row r="930" s="559" customFormat="1" x14ac:dyDescent="0.25"/>
    <row r="931" s="559" customFormat="1" x14ac:dyDescent="0.25"/>
    <row r="932" s="559" customFormat="1" x14ac:dyDescent="0.25"/>
    <row r="933" s="559" customFormat="1" x14ac:dyDescent="0.25"/>
    <row r="934" s="559" customFormat="1" x14ac:dyDescent="0.25"/>
    <row r="935" s="559" customFormat="1" x14ac:dyDescent="0.25"/>
    <row r="936" s="559" customFormat="1" x14ac:dyDescent="0.25"/>
    <row r="937" s="559" customFormat="1" x14ac:dyDescent="0.25"/>
    <row r="938" s="559" customFormat="1" x14ac:dyDescent="0.25"/>
    <row r="939" s="559" customFormat="1" x14ac:dyDescent="0.25"/>
    <row r="940" s="559" customFormat="1" x14ac:dyDescent="0.25"/>
    <row r="941" s="559" customFormat="1" x14ac:dyDescent="0.25"/>
    <row r="942" s="559" customFormat="1" x14ac:dyDescent="0.25"/>
    <row r="943" s="559" customFormat="1" x14ac:dyDescent="0.25"/>
    <row r="944" s="559" customFormat="1" x14ac:dyDescent="0.25"/>
    <row r="945" s="559" customFormat="1" x14ac:dyDescent="0.25"/>
    <row r="946" s="559" customFormat="1" x14ac:dyDescent="0.25"/>
    <row r="947" s="559" customFormat="1" x14ac:dyDescent="0.25"/>
    <row r="948" s="559" customFormat="1" x14ac:dyDescent="0.25"/>
    <row r="949" s="559" customFormat="1" x14ac:dyDescent="0.25"/>
    <row r="950" s="559" customFormat="1" x14ac:dyDescent="0.25"/>
    <row r="951" s="559" customFormat="1" x14ac:dyDescent="0.25"/>
    <row r="952" s="559" customFormat="1" x14ac:dyDescent="0.25"/>
    <row r="953" s="559" customFormat="1" x14ac:dyDescent="0.25"/>
    <row r="954" s="559" customFormat="1" x14ac:dyDescent="0.25"/>
    <row r="955" s="559" customFormat="1" x14ac:dyDescent="0.25"/>
    <row r="956" s="559" customFormat="1" x14ac:dyDescent="0.25"/>
    <row r="957" s="559" customFormat="1" x14ac:dyDescent="0.25"/>
    <row r="958" s="559" customFormat="1" x14ac:dyDescent="0.25"/>
    <row r="959" s="559" customFormat="1" x14ac:dyDescent="0.25"/>
    <row r="960" s="559" customFormat="1" x14ac:dyDescent="0.25"/>
    <row r="961" s="559" customFormat="1" x14ac:dyDescent="0.25"/>
    <row r="962" s="559" customFormat="1" x14ac:dyDescent="0.25"/>
    <row r="963" s="559" customFormat="1" x14ac:dyDescent="0.25"/>
    <row r="964" s="559" customFormat="1" x14ac:dyDescent="0.25"/>
    <row r="965" s="559" customFormat="1" x14ac:dyDescent="0.25"/>
    <row r="966" s="559" customFormat="1" x14ac:dyDescent="0.25"/>
    <row r="967" s="559" customFormat="1" x14ac:dyDescent="0.25"/>
    <row r="968" s="559" customFormat="1" x14ac:dyDescent="0.25"/>
    <row r="969" s="559" customFormat="1" x14ac:dyDescent="0.25"/>
    <row r="970" s="559" customFormat="1" x14ac:dyDescent="0.25"/>
    <row r="971" s="559" customFormat="1" x14ac:dyDescent="0.25"/>
    <row r="972" s="559" customFormat="1" x14ac:dyDescent="0.25"/>
    <row r="973" s="559" customFormat="1" x14ac:dyDescent="0.25"/>
    <row r="974" s="559" customFormat="1" x14ac:dyDescent="0.25"/>
    <row r="975" s="559" customFormat="1" x14ac:dyDescent="0.25"/>
    <row r="976" s="559" customFormat="1" x14ac:dyDescent="0.25"/>
    <row r="977" s="559" customFormat="1" x14ac:dyDescent="0.25"/>
    <row r="978" s="559" customFormat="1" x14ac:dyDescent="0.25"/>
    <row r="979" s="559" customFormat="1" x14ac:dyDescent="0.25"/>
    <row r="980" s="559" customFormat="1" x14ac:dyDescent="0.25"/>
    <row r="981" s="559" customFormat="1" x14ac:dyDescent="0.25"/>
    <row r="982" s="559" customFormat="1" x14ac:dyDescent="0.25"/>
    <row r="983" s="559" customFormat="1" x14ac:dyDescent="0.25"/>
    <row r="984" s="559" customFormat="1" x14ac:dyDescent="0.25"/>
    <row r="985" s="559" customFormat="1" x14ac:dyDescent="0.25"/>
    <row r="986" s="559" customFormat="1" x14ac:dyDescent="0.25"/>
    <row r="987" s="559" customFormat="1" x14ac:dyDescent="0.25"/>
    <row r="988" s="559" customFormat="1" x14ac:dyDescent="0.25"/>
    <row r="989" s="559" customFormat="1" x14ac:dyDescent="0.25"/>
    <row r="990" s="559" customFormat="1" x14ac:dyDescent="0.25"/>
    <row r="991" s="559" customFormat="1" x14ac:dyDescent="0.25"/>
    <row r="992" s="559" customFormat="1" x14ac:dyDescent="0.25"/>
    <row r="993" s="559" customFormat="1" x14ac:dyDescent="0.25"/>
    <row r="994" s="559" customFormat="1" x14ac:dyDescent="0.25"/>
    <row r="995" s="559" customFormat="1" x14ac:dyDescent="0.25"/>
    <row r="996" s="559" customFormat="1" x14ac:dyDescent="0.25"/>
    <row r="997" s="559" customFormat="1" x14ac:dyDescent="0.25"/>
    <row r="998" s="559" customFormat="1" x14ac:dyDescent="0.25"/>
    <row r="999" s="559" customFormat="1" x14ac:dyDescent="0.25"/>
    <row r="1000" s="559" customFormat="1" x14ac:dyDescent="0.25"/>
    <row r="1001" s="559" customFormat="1" x14ac:dyDescent="0.25"/>
    <row r="1002" s="559" customFormat="1" x14ac:dyDescent="0.25"/>
    <row r="1003" s="559" customFormat="1" x14ac:dyDescent="0.25"/>
    <row r="1004" s="559" customFormat="1" x14ac:dyDescent="0.25"/>
    <row r="1005" s="559" customFormat="1" x14ac:dyDescent="0.25"/>
    <row r="1006" s="559" customFormat="1" x14ac:dyDescent="0.25"/>
    <row r="1007" s="559" customFormat="1" x14ac:dyDescent="0.25"/>
    <row r="1008" s="559" customFormat="1" x14ac:dyDescent="0.25"/>
    <row r="1009" s="559" customFormat="1" x14ac:dyDescent="0.25"/>
    <row r="1010" s="559" customFormat="1" x14ac:dyDescent="0.25"/>
    <row r="1011" s="559" customFormat="1" x14ac:dyDescent="0.25"/>
    <row r="1012" s="559" customFormat="1" x14ac:dyDescent="0.25"/>
    <row r="1013" s="559" customFormat="1" x14ac:dyDescent="0.25"/>
    <row r="1014" s="559" customFormat="1" x14ac:dyDescent="0.25"/>
    <row r="1015" s="559" customFormat="1" x14ac:dyDescent="0.25"/>
    <row r="1016" s="559" customFormat="1" x14ac:dyDescent="0.25"/>
    <row r="1017" s="559" customFormat="1" x14ac:dyDescent="0.25"/>
    <row r="1018" s="559" customFormat="1" x14ac:dyDescent="0.25"/>
    <row r="1019" s="559" customFormat="1" x14ac:dyDescent="0.25"/>
    <row r="1020" s="559" customFormat="1" x14ac:dyDescent="0.25"/>
    <row r="1021" s="559" customFormat="1" x14ac:dyDescent="0.25"/>
    <row r="1022" s="559" customFormat="1" x14ac:dyDescent="0.25"/>
    <row r="1023" s="559" customFormat="1" x14ac:dyDescent="0.25"/>
    <row r="1024" s="559" customFormat="1" x14ac:dyDescent="0.25"/>
    <row r="1025" s="559" customFormat="1" x14ac:dyDescent="0.25"/>
    <row r="1026" s="559" customFormat="1" x14ac:dyDescent="0.25"/>
    <row r="1027" s="559" customFormat="1" x14ac:dyDescent="0.25"/>
    <row r="1028" s="559" customFormat="1" x14ac:dyDescent="0.25"/>
    <row r="1029" s="559" customFormat="1" x14ac:dyDescent="0.25"/>
    <row r="1030" s="559" customFormat="1" x14ac:dyDescent="0.25"/>
    <row r="1031" s="559" customFormat="1" x14ac:dyDescent="0.25"/>
    <row r="1032" s="559" customFormat="1" x14ac:dyDescent="0.25"/>
    <row r="1033" s="559" customFormat="1" x14ac:dyDescent="0.25"/>
    <row r="1034" s="559" customFormat="1" x14ac:dyDescent="0.25"/>
    <row r="1035" s="559" customFormat="1" x14ac:dyDescent="0.25"/>
    <row r="1036" s="559" customFormat="1" x14ac:dyDescent="0.25"/>
    <row r="1037" s="559" customFormat="1" x14ac:dyDescent="0.25"/>
    <row r="1038" s="559" customFormat="1" x14ac:dyDescent="0.25"/>
    <row r="1039" s="559" customFormat="1" x14ac:dyDescent="0.25"/>
    <row r="1040" s="559" customFormat="1" x14ac:dyDescent="0.25"/>
    <row r="1041" s="559" customFormat="1" x14ac:dyDescent="0.25"/>
    <row r="1042" s="559" customFormat="1" x14ac:dyDescent="0.25"/>
    <row r="1043" s="559" customFormat="1" x14ac:dyDescent="0.25"/>
    <row r="1044" s="559" customFormat="1" x14ac:dyDescent="0.25"/>
    <row r="1045" s="559" customFormat="1" x14ac:dyDescent="0.25"/>
    <row r="1046" s="559" customFormat="1" x14ac:dyDescent="0.25"/>
    <row r="1047" s="559" customFormat="1" x14ac:dyDescent="0.25"/>
    <row r="1048" s="559" customFormat="1" x14ac:dyDescent="0.25"/>
    <row r="1049" s="559" customFormat="1" x14ac:dyDescent="0.25"/>
    <row r="1050" s="559" customFormat="1" x14ac:dyDescent="0.25"/>
    <row r="1051" s="559" customFormat="1" x14ac:dyDescent="0.25"/>
    <row r="1052" s="559" customFormat="1" x14ac:dyDescent="0.25"/>
    <row r="1053" s="559" customFormat="1" x14ac:dyDescent="0.25"/>
    <row r="1054" s="559" customFormat="1" x14ac:dyDescent="0.25"/>
    <row r="1055" s="559" customFormat="1" x14ac:dyDescent="0.25"/>
    <row r="1056" s="559" customFormat="1" x14ac:dyDescent="0.25"/>
    <row r="1057" s="559" customFormat="1" x14ac:dyDescent="0.25"/>
    <row r="1058" s="559" customFormat="1" x14ac:dyDescent="0.25"/>
    <row r="1059" s="559" customFormat="1" x14ac:dyDescent="0.25"/>
    <row r="1060" s="559" customFormat="1" x14ac:dyDescent="0.25"/>
    <row r="1061" s="559" customFormat="1" x14ac:dyDescent="0.25"/>
    <row r="1062" s="559" customFormat="1" x14ac:dyDescent="0.25"/>
    <row r="1063" s="559" customFormat="1" x14ac:dyDescent="0.25"/>
    <row r="1064" s="559" customFormat="1" x14ac:dyDescent="0.25"/>
    <row r="1065" s="559" customFormat="1" x14ac:dyDescent="0.25"/>
    <row r="1066" s="559" customFormat="1" x14ac:dyDescent="0.25"/>
    <row r="1067" s="559" customFormat="1" x14ac:dyDescent="0.25"/>
    <row r="1068" s="559" customFormat="1" x14ac:dyDescent="0.25"/>
    <row r="1069" s="559" customFormat="1" x14ac:dyDescent="0.25"/>
    <row r="1070" s="559" customFormat="1" x14ac:dyDescent="0.25"/>
    <row r="1071" s="559" customFormat="1" x14ac:dyDescent="0.25"/>
    <row r="1072" s="559" customFormat="1" x14ac:dyDescent="0.25"/>
    <row r="1073" s="559" customFormat="1" x14ac:dyDescent="0.25"/>
    <row r="1074" s="559" customFormat="1" x14ac:dyDescent="0.25"/>
    <row r="1075" s="559" customFormat="1" x14ac:dyDescent="0.25"/>
    <row r="1076" s="559" customFormat="1" x14ac:dyDescent="0.25"/>
    <row r="1077" s="559" customFormat="1" x14ac:dyDescent="0.25"/>
    <row r="1078" s="559" customFormat="1" x14ac:dyDescent="0.25"/>
    <row r="1079" s="559" customFormat="1" x14ac:dyDescent="0.25"/>
    <row r="1080" s="559" customFormat="1" x14ac:dyDescent="0.25"/>
    <row r="1081" s="559" customFormat="1" x14ac:dyDescent="0.25"/>
    <row r="1082" s="559" customFormat="1" x14ac:dyDescent="0.25"/>
    <row r="1083" s="559" customFormat="1" x14ac:dyDescent="0.25"/>
    <row r="1084" s="559" customFormat="1" x14ac:dyDescent="0.25"/>
    <row r="1085" s="559" customFormat="1" x14ac:dyDescent="0.25"/>
    <row r="1086" s="559" customFormat="1" x14ac:dyDescent="0.25"/>
    <row r="1087" s="559" customFormat="1" x14ac:dyDescent="0.25"/>
    <row r="1088" s="559" customFormat="1" x14ac:dyDescent="0.25"/>
    <row r="1089" s="559" customFormat="1" x14ac:dyDescent="0.25"/>
    <row r="1090" s="559" customFormat="1" x14ac:dyDescent="0.25"/>
    <row r="1091" s="559" customFormat="1" x14ac:dyDescent="0.25"/>
    <row r="1092" s="559" customFormat="1" x14ac:dyDescent="0.25"/>
    <row r="1093" s="559" customFormat="1" x14ac:dyDescent="0.25"/>
    <row r="1094" s="559" customFormat="1" x14ac:dyDescent="0.25"/>
    <row r="1095" s="559" customFormat="1" x14ac:dyDescent="0.25"/>
    <row r="1096" s="559" customFormat="1" x14ac:dyDescent="0.25"/>
    <row r="1097" s="559" customFormat="1" x14ac:dyDescent="0.25"/>
    <row r="1098" s="559" customFormat="1" x14ac:dyDescent="0.25"/>
    <row r="1099" s="559" customFormat="1" x14ac:dyDescent="0.25"/>
    <row r="1100" s="559" customFormat="1" x14ac:dyDescent="0.25"/>
    <row r="1101" s="559" customFormat="1" x14ac:dyDescent="0.25"/>
    <row r="1102" s="559" customFormat="1" x14ac:dyDescent="0.25"/>
    <row r="1103" s="559" customFormat="1" x14ac:dyDescent="0.25"/>
    <row r="1104" s="559" customFormat="1" x14ac:dyDescent="0.25"/>
    <row r="1105" s="559" customFormat="1" x14ac:dyDescent="0.25"/>
    <row r="1106" s="559" customFormat="1" x14ac:dyDescent="0.25"/>
    <row r="1107" s="559" customFormat="1" x14ac:dyDescent="0.25"/>
    <row r="1108" s="559" customFormat="1" x14ac:dyDescent="0.25"/>
    <row r="1109" s="559" customFormat="1" x14ac:dyDescent="0.25"/>
    <row r="1110" s="559" customFormat="1" x14ac:dyDescent="0.25"/>
    <row r="1111" s="559" customFormat="1" x14ac:dyDescent="0.25"/>
    <row r="1112" s="559" customFormat="1" x14ac:dyDescent="0.25"/>
    <row r="1113" s="559" customFormat="1" x14ac:dyDescent="0.25"/>
    <row r="1114" s="559" customFormat="1" x14ac:dyDescent="0.25"/>
    <row r="1115" s="559" customFormat="1" x14ac:dyDescent="0.25"/>
    <row r="1116" s="559" customFormat="1" x14ac:dyDescent="0.25"/>
    <row r="1117" s="559" customFormat="1" x14ac:dyDescent="0.25"/>
    <row r="1118" s="559" customFormat="1" x14ac:dyDescent="0.25"/>
    <row r="1119" s="559" customFormat="1" x14ac:dyDescent="0.25"/>
    <row r="1120" s="559" customFormat="1" x14ac:dyDescent="0.25"/>
    <row r="1121" s="559" customFormat="1" x14ac:dyDescent="0.25"/>
    <row r="1122" s="559" customFormat="1" x14ac:dyDescent="0.25"/>
    <row r="1123" s="559" customFormat="1" x14ac:dyDescent="0.25"/>
    <row r="1124" s="559" customFormat="1" x14ac:dyDescent="0.25"/>
    <row r="1125" s="559" customFormat="1" x14ac:dyDescent="0.25"/>
    <row r="1126" s="559" customFormat="1" x14ac:dyDescent="0.25"/>
    <row r="1127" s="559" customFormat="1" x14ac:dyDescent="0.25"/>
    <row r="1128" s="559" customFormat="1" x14ac:dyDescent="0.25"/>
    <row r="1129" s="559" customFormat="1" x14ac:dyDescent="0.25"/>
    <row r="1130" s="559" customFormat="1" x14ac:dyDescent="0.25"/>
    <row r="1131" s="559" customFormat="1" x14ac:dyDescent="0.25"/>
    <row r="1132" s="559" customFormat="1" x14ac:dyDescent="0.25"/>
    <row r="1133" s="559" customFormat="1" x14ac:dyDescent="0.25"/>
    <row r="1134" s="559" customFormat="1" x14ac:dyDescent="0.25"/>
    <row r="1135" s="559" customFormat="1" x14ac:dyDescent="0.25"/>
    <row r="1136" s="559" customFormat="1" x14ac:dyDescent="0.25"/>
    <row r="1137" s="559" customFormat="1" x14ac:dyDescent="0.25"/>
    <row r="1138" s="559" customFormat="1" x14ac:dyDescent="0.25"/>
    <row r="1139" s="559" customFormat="1" x14ac:dyDescent="0.25"/>
    <row r="1140" s="559" customFormat="1" x14ac:dyDescent="0.25"/>
    <row r="1141" s="559" customFormat="1" x14ac:dyDescent="0.25"/>
    <row r="1142" s="559" customFormat="1" x14ac:dyDescent="0.25"/>
    <row r="1143" s="559" customFormat="1" x14ac:dyDescent="0.25"/>
    <row r="1144" s="559" customFormat="1" x14ac:dyDescent="0.25"/>
    <row r="1145" s="559" customFormat="1" x14ac:dyDescent="0.25"/>
    <row r="1146" s="559" customFormat="1" x14ac:dyDescent="0.25"/>
    <row r="1147" s="559" customFormat="1" x14ac:dyDescent="0.25"/>
    <row r="1148" s="559" customFormat="1" x14ac:dyDescent="0.25"/>
    <row r="1149" s="559" customFormat="1" x14ac:dyDescent="0.25"/>
    <row r="1150" s="559" customFormat="1" x14ac:dyDescent="0.25"/>
    <row r="1151" s="559" customFormat="1" x14ac:dyDescent="0.25"/>
    <row r="1152" s="559" customFormat="1" x14ac:dyDescent="0.25"/>
    <row r="1153" s="559" customFormat="1" x14ac:dyDescent="0.25"/>
    <row r="1154" s="559" customFormat="1" x14ac:dyDescent="0.25"/>
    <row r="1155" s="559" customFormat="1" x14ac:dyDescent="0.25"/>
    <row r="1156" s="559" customFormat="1" x14ac:dyDescent="0.25"/>
    <row r="1157" s="559" customFormat="1" x14ac:dyDescent="0.25"/>
    <row r="1158" s="559" customFormat="1" x14ac:dyDescent="0.25"/>
    <row r="1159" s="559" customFormat="1" x14ac:dyDescent="0.25"/>
    <row r="1160" s="559" customFormat="1" x14ac:dyDescent="0.25"/>
    <row r="1161" s="559" customFormat="1" x14ac:dyDescent="0.25"/>
    <row r="1162" s="559" customFormat="1" x14ac:dyDescent="0.25"/>
    <row r="1163" s="559" customFormat="1" x14ac:dyDescent="0.25"/>
    <row r="1164" s="559" customFormat="1" x14ac:dyDescent="0.25"/>
    <row r="1165" s="559" customFormat="1" x14ac:dyDescent="0.25"/>
    <row r="1166" s="559" customFormat="1" x14ac:dyDescent="0.25"/>
    <row r="1167" s="559" customFormat="1" x14ac:dyDescent="0.25"/>
    <row r="1168" s="559" customFormat="1" x14ac:dyDescent="0.25"/>
    <row r="1169" s="559" customFormat="1" x14ac:dyDescent="0.25"/>
    <row r="1170" s="559" customFormat="1" x14ac:dyDescent="0.25"/>
    <row r="1171" s="559" customFormat="1" x14ac:dyDescent="0.25"/>
    <row r="1172" s="559" customFormat="1" x14ac:dyDescent="0.25"/>
    <row r="1173" s="559" customFormat="1" x14ac:dyDescent="0.25"/>
    <row r="1174" s="559" customFormat="1" x14ac:dyDescent="0.25"/>
    <row r="1175" s="559" customFormat="1" x14ac:dyDescent="0.25"/>
    <row r="1176" s="559" customFormat="1" x14ac:dyDescent="0.25"/>
    <row r="1177" s="559" customFormat="1" x14ac:dyDescent="0.25"/>
    <row r="1178" s="559" customFormat="1" x14ac:dyDescent="0.25"/>
    <row r="1179" s="559" customFormat="1" x14ac:dyDescent="0.25"/>
    <row r="1180" s="559" customFormat="1" x14ac:dyDescent="0.25"/>
    <row r="1181" s="559" customFormat="1" x14ac:dyDescent="0.25"/>
    <row r="1182" s="559" customFormat="1" x14ac:dyDescent="0.25"/>
    <row r="1183" s="559" customFormat="1" x14ac:dyDescent="0.25"/>
    <row r="1184" s="559" customFormat="1" x14ac:dyDescent="0.25"/>
    <row r="1185" s="559" customFormat="1" x14ac:dyDescent="0.25"/>
    <row r="1186" s="559" customFormat="1" x14ac:dyDescent="0.25"/>
    <row r="1187" s="559" customFormat="1" x14ac:dyDescent="0.25"/>
    <row r="1188" s="559" customFormat="1" x14ac:dyDescent="0.25"/>
    <row r="1189" s="559" customFormat="1" x14ac:dyDescent="0.25"/>
    <row r="1190" s="559" customFormat="1" x14ac:dyDescent="0.25"/>
    <row r="1191" s="559" customFormat="1" x14ac:dyDescent="0.25"/>
    <row r="1192" s="559" customFormat="1" x14ac:dyDescent="0.25"/>
    <row r="1193" s="559" customFormat="1" x14ac:dyDescent="0.25"/>
    <row r="1194" s="559" customFormat="1" x14ac:dyDescent="0.25"/>
    <row r="1195" s="559" customFormat="1" x14ac:dyDescent="0.25"/>
    <row r="1196" s="559" customFormat="1" x14ac:dyDescent="0.25"/>
    <row r="1197" s="559" customFormat="1" x14ac:dyDescent="0.25"/>
    <row r="1198" s="559" customFormat="1" x14ac:dyDescent="0.25"/>
    <row r="1199" s="559" customFormat="1" x14ac:dyDescent="0.25"/>
    <row r="1200" s="559" customFormat="1" x14ac:dyDescent="0.25"/>
    <row r="1201" s="559" customFormat="1" x14ac:dyDescent="0.25"/>
    <row r="1202" s="559" customFormat="1" x14ac:dyDescent="0.25"/>
    <row r="1203" s="559" customFormat="1" x14ac:dyDescent="0.25"/>
    <row r="1204" s="559" customFormat="1" x14ac:dyDescent="0.25"/>
    <row r="1205" s="559" customFormat="1" x14ac:dyDescent="0.25"/>
    <row r="1206" s="559" customFormat="1" x14ac:dyDescent="0.25"/>
    <row r="1207" s="559" customFormat="1" x14ac:dyDescent="0.25"/>
    <row r="1208" s="559" customFormat="1" x14ac:dyDescent="0.25"/>
    <row r="1209" s="559" customFormat="1" x14ac:dyDescent="0.25"/>
    <row r="1210" s="559" customFormat="1" x14ac:dyDescent="0.25"/>
    <row r="1211" s="559" customFormat="1" x14ac:dyDescent="0.25"/>
    <row r="1212" s="559" customFormat="1" x14ac:dyDescent="0.25"/>
    <row r="1213" s="559" customFormat="1" x14ac:dyDescent="0.25"/>
    <row r="1214" s="559" customFormat="1" x14ac:dyDescent="0.25"/>
    <row r="1215" s="559" customFormat="1" x14ac:dyDescent="0.25"/>
    <row r="1216" s="559" customFormat="1" x14ac:dyDescent="0.25"/>
    <row r="1217" s="559" customFormat="1" x14ac:dyDescent="0.25"/>
    <row r="1218" s="559" customFormat="1" x14ac:dyDescent="0.25"/>
    <row r="1219" s="559" customFormat="1" x14ac:dyDescent="0.25"/>
    <row r="1220" s="559" customFormat="1" x14ac:dyDescent="0.25"/>
    <row r="1221" s="559" customFormat="1" x14ac:dyDescent="0.25"/>
    <row r="1222" s="559" customFormat="1" x14ac:dyDescent="0.25"/>
    <row r="1223" s="559" customFormat="1" x14ac:dyDescent="0.25"/>
    <row r="1224" s="559" customFormat="1" x14ac:dyDescent="0.25"/>
    <row r="1225" s="559" customFormat="1" x14ac:dyDescent="0.25"/>
    <row r="1226" s="559" customFormat="1" x14ac:dyDescent="0.25"/>
    <row r="1227" s="559" customFormat="1" x14ac:dyDescent="0.25"/>
    <row r="1228" s="559" customFormat="1" x14ac:dyDescent="0.25"/>
    <row r="1229" s="559" customFormat="1" x14ac:dyDescent="0.25"/>
    <row r="1230" s="559" customFormat="1" x14ac:dyDescent="0.25"/>
    <row r="1231" s="559" customFormat="1" x14ac:dyDescent="0.25"/>
    <row r="1232" s="559" customFormat="1" x14ac:dyDescent="0.25"/>
    <row r="1233" s="559" customFormat="1" x14ac:dyDescent="0.25"/>
    <row r="1234" s="559" customFormat="1" x14ac:dyDescent="0.25"/>
    <row r="1235" s="559" customFormat="1" x14ac:dyDescent="0.25"/>
    <row r="1236" s="559" customFormat="1" x14ac:dyDescent="0.25"/>
    <row r="1237" s="559" customFormat="1" x14ac:dyDescent="0.25"/>
    <row r="1238" s="559" customFormat="1" x14ac:dyDescent="0.25"/>
    <row r="1239" s="559" customFormat="1" x14ac:dyDescent="0.25"/>
    <row r="1240" s="559" customFormat="1" x14ac:dyDescent="0.25"/>
    <row r="1241" s="559" customFormat="1" x14ac:dyDescent="0.25"/>
    <row r="1242" s="559" customFormat="1" x14ac:dyDescent="0.25"/>
    <row r="1243" s="559" customFormat="1" x14ac:dyDescent="0.25"/>
    <row r="1244" s="559" customFormat="1" x14ac:dyDescent="0.25"/>
    <row r="1245" s="559" customFormat="1" x14ac:dyDescent="0.25"/>
    <row r="1246" s="559" customFormat="1" x14ac:dyDescent="0.25"/>
    <row r="1247" s="559" customFormat="1" x14ac:dyDescent="0.25"/>
    <row r="1248" s="559" customFormat="1" x14ac:dyDescent="0.25"/>
    <row r="1249" s="559" customFormat="1" x14ac:dyDescent="0.25"/>
    <row r="1250" s="559" customFormat="1" x14ac:dyDescent="0.25"/>
    <row r="1251" s="559" customFormat="1" x14ac:dyDescent="0.25"/>
    <row r="1252" s="559" customFormat="1" x14ac:dyDescent="0.25"/>
    <row r="1253" s="559" customFormat="1" x14ac:dyDescent="0.25"/>
    <row r="1254" s="559" customFormat="1" x14ac:dyDescent="0.25"/>
    <row r="1255" s="559" customFormat="1" x14ac:dyDescent="0.25"/>
    <row r="1256" s="559" customFormat="1" x14ac:dyDescent="0.25"/>
    <row r="1257" s="559" customFormat="1" x14ac:dyDescent="0.25"/>
    <row r="1258" s="559" customFormat="1" x14ac:dyDescent="0.25"/>
    <row r="1259" s="559" customFormat="1" x14ac:dyDescent="0.25"/>
    <row r="1260" s="559" customFormat="1" x14ac:dyDescent="0.25"/>
    <row r="1261" s="559" customFormat="1" x14ac:dyDescent="0.25"/>
    <row r="1262" s="559" customFormat="1" x14ac:dyDescent="0.25"/>
    <row r="1263" s="559" customFormat="1" x14ac:dyDescent="0.25"/>
    <row r="1264" s="559" customFormat="1" x14ac:dyDescent="0.25"/>
    <row r="1265" s="559" customFormat="1" x14ac:dyDescent="0.25"/>
    <row r="1266" s="559" customFormat="1" x14ac:dyDescent="0.25"/>
    <row r="1267" s="559" customFormat="1" x14ac:dyDescent="0.25"/>
    <row r="1268" s="559" customFormat="1" x14ac:dyDescent="0.25"/>
    <row r="1269" s="559" customFormat="1" x14ac:dyDescent="0.25"/>
    <row r="1270" s="559" customFormat="1" x14ac:dyDescent="0.25"/>
    <row r="1271" s="559" customFormat="1" x14ac:dyDescent="0.25"/>
    <row r="1272" s="559" customFormat="1" x14ac:dyDescent="0.25"/>
    <row r="1273" s="559" customFormat="1" x14ac:dyDescent="0.25"/>
    <row r="1274" s="559" customFormat="1" x14ac:dyDescent="0.25"/>
    <row r="1275" s="559" customFormat="1" x14ac:dyDescent="0.25"/>
    <row r="1276" s="559" customFormat="1" x14ac:dyDescent="0.25"/>
    <row r="1277" s="559" customFormat="1" x14ac:dyDescent="0.25"/>
    <row r="1278" s="559" customFormat="1" x14ac:dyDescent="0.25"/>
    <row r="1279" s="559" customFormat="1" x14ac:dyDescent="0.25"/>
    <row r="1280" s="559" customFormat="1" x14ac:dyDescent="0.25"/>
    <row r="1281" s="559" customFormat="1" x14ac:dyDescent="0.25"/>
    <row r="1282" s="559" customFormat="1" x14ac:dyDescent="0.25"/>
    <row r="1283" s="559" customFormat="1" x14ac:dyDescent="0.25"/>
    <row r="1284" s="559" customFormat="1" x14ac:dyDescent="0.25"/>
    <row r="1285" s="559" customFormat="1" x14ac:dyDescent="0.25"/>
    <row r="1286" s="559" customFormat="1" x14ac:dyDescent="0.25"/>
    <row r="1287" s="559" customFormat="1" x14ac:dyDescent="0.25"/>
    <row r="1288" s="559" customFormat="1" x14ac:dyDescent="0.25"/>
    <row r="1289" s="559" customFormat="1" x14ac:dyDescent="0.25"/>
    <row r="1290" s="559" customFormat="1" x14ac:dyDescent="0.25"/>
    <row r="1291" s="559" customFormat="1" x14ac:dyDescent="0.25"/>
    <row r="1292" s="559" customFormat="1" x14ac:dyDescent="0.25"/>
    <row r="1293" s="559" customFormat="1" x14ac:dyDescent="0.25"/>
    <row r="1294" s="559" customFormat="1" x14ac:dyDescent="0.25"/>
    <row r="1295" s="559" customFormat="1" x14ac:dyDescent="0.25"/>
    <row r="1296" s="559" customFormat="1" x14ac:dyDescent="0.25"/>
    <row r="1297" s="559" customFormat="1" x14ac:dyDescent="0.25"/>
    <row r="1298" s="559" customFormat="1" x14ac:dyDescent="0.25"/>
    <row r="1299" s="559" customFormat="1" x14ac:dyDescent="0.25"/>
    <row r="1300" s="559" customFormat="1" x14ac:dyDescent="0.25"/>
    <row r="1301" s="559" customFormat="1" x14ac:dyDescent="0.25"/>
    <row r="1302" s="559" customFormat="1" x14ac:dyDescent="0.25"/>
    <row r="1303" s="559" customFormat="1" x14ac:dyDescent="0.25"/>
    <row r="1304" s="559" customFormat="1" x14ac:dyDescent="0.25"/>
    <row r="1305" s="559" customFormat="1" x14ac:dyDescent="0.25"/>
    <row r="1306" s="559" customFormat="1" x14ac:dyDescent="0.25"/>
    <row r="1307" s="559" customFormat="1" x14ac:dyDescent="0.25"/>
    <row r="1308" s="559" customFormat="1" x14ac:dyDescent="0.25"/>
    <row r="1309" s="559" customFormat="1" x14ac:dyDescent="0.25"/>
    <row r="1310" s="559" customFormat="1" x14ac:dyDescent="0.25"/>
    <row r="1311" s="559" customFormat="1" x14ac:dyDescent="0.25"/>
    <row r="1312" s="559" customFormat="1" x14ac:dyDescent="0.25"/>
    <row r="1313" s="559" customFormat="1" x14ac:dyDescent="0.25"/>
    <row r="1314" s="559" customFormat="1" x14ac:dyDescent="0.25"/>
    <row r="1315" s="559" customFormat="1" x14ac:dyDescent="0.25"/>
    <row r="1316" s="559" customFormat="1" x14ac:dyDescent="0.25"/>
    <row r="1317" s="559" customFormat="1" x14ac:dyDescent="0.25"/>
    <row r="1318" s="559" customFormat="1" x14ac:dyDescent="0.25"/>
    <row r="1319" s="559" customFormat="1" x14ac:dyDescent="0.25"/>
    <row r="1320" s="559" customFormat="1" x14ac:dyDescent="0.25"/>
    <row r="1321" s="559" customFormat="1" x14ac:dyDescent="0.25"/>
    <row r="1322" s="559" customFormat="1" x14ac:dyDescent="0.25"/>
    <row r="1323" s="559" customFormat="1" x14ac:dyDescent="0.25"/>
    <row r="1324" s="559" customFormat="1" x14ac:dyDescent="0.25"/>
    <row r="1325" s="559" customFormat="1" x14ac:dyDescent="0.25"/>
    <row r="1326" s="559" customFormat="1" x14ac:dyDescent="0.25"/>
    <row r="1327" s="559" customFormat="1" x14ac:dyDescent="0.25"/>
    <row r="1328" s="559" customFormat="1" x14ac:dyDescent="0.25"/>
    <row r="1329" s="559" customFormat="1" x14ac:dyDescent="0.25"/>
    <row r="1330" s="559" customFormat="1" x14ac:dyDescent="0.25"/>
    <row r="1331" s="559" customFormat="1" x14ac:dyDescent="0.25"/>
    <row r="1332" s="559" customFormat="1" x14ac:dyDescent="0.25"/>
    <row r="1333" s="559" customFormat="1" x14ac:dyDescent="0.25"/>
    <row r="1334" s="559" customFormat="1" x14ac:dyDescent="0.25"/>
    <row r="1335" s="559" customFormat="1" x14ac:dyDescent="0.25"/>
    <row r="1336" s="559" customFormat="1" x14ac:dyDescent="0.25"/>
    <row r="1337" s="559" customFormat="1" x14ac:dyDescent="0.25"/>
    <row r="1338" s="559" customFormat="1" x14ac:dyDescent="0.25"/>
    <row r="1339" s="559" customFormat="1" x14ac:dyDescent="0.25"/>
    <row r="1340" s="559" customFormat="1" x14ac:dyDescent="0.25"/>
    <row r="1341" s="559" customFormat="1" x14ac:dyDescent="0.25"/>
    <row r="1342" s="559" customFormat="1" x14ac:dyDescent="0.25"/>
    <row r="1343" s="559" customFormat="1" x14ac:dyDescent="0.25"/>
    <row r="1344" s="559" customFormat="1" x14ac:dyDescent="0.25"/>
    <row r="1345" s="559" customFormat="1" x14ac:dyDescent="0.25"/>
    <row r="1346" s="559" customFormat="1" x14ac:dyDescent="0.25"/>
    <row r="1347" s="559" customFormat="1" x14ac:dyDescent="0.25"/>
    <row r="1348" s="559" customFormat="1" x14ac:dyDescent="0.25"/>
    <row r="1349" s="559" customFormat="1" x14ac:dyDescent="0.25"/>
    <row r="1350" s="559" customFormat="1" x14ac:dyDescent="0.25"/>
    <row r="1351" s="559" customFormat="1" x14ac:dyDescent="0.25"/>
    <row r="1352" s="559" customFormat="1" x14ac:dyDescent="0.25"/>
    <row r="1353" s="559" customFormat="1" x14ac:dyDescent="0.25"/>
    <row r="1354" s="559" customFormat="1" x14ac:dyDescent="0.25"/>
    <row r="1355" s="559" customFormat="1" x14ac:dyDescent="0.25"/>
    <row r="1356" s="559" customFormat="1" x14ac:dyDescent="0.25"/>
    <row r="1357" s="559" customFormat="1" x14ac:dyDescent="0.25"/>
    <row r="1358" s="559" customFormat="1" x14ac:dyDescent="0.25"/>
    <row r="1359" s="559" customFormat="1" x14ac:dyDescent="0.25"/>
    <row r="1360" s="559" customFormat="1" x14ac:dyDescent="0.25"/>
    <row r="1361" s="559" customFormat="1" x14ac:dyDescent="0.25"/>
    <row r="1362" s="559" customFormat="1" x14ac:dyDescent="0.25"/>
    <row r="1363" s="559" customFormat="1" x14ac:dyDescent="0.25"/>
    <row r="1364" s="559" customFormat="1" x14ac:dyDescent="0.25"/>
    <row r="1365" s="559" customFormat="1" x14ac:dyDescent="0.25"/>
    <row r="1366" s="559" customFormat="1" x14ac:dyDescent="0.25"/>
    <row r="1367" s="559" customFormat="1" x14ac:dyDescent="0.25"/>
    <row r="1368" s="559" customFormat="1" x14ac:dyDescent="0.25"/>
    <row r="1369" s="559" customFormat="1" x14ac:dyDescent="0.25"/>
    <row r="1370" s="559" customFormat="1" x14ac:dyDescent="0.25"/>
    <row r="1371" s="559" customFormat="1" x14ac:dyDescent="0.25"/>
    <row r="1372" s="559" customFormat="1" x14ac:dyDescent="0.25"/>
    <row r="1373" s="559" customFormat="1" x14ac:dyDescent="0.25"/>
    <row r="1374" s="559" customFormat="1" x14ac:dyDescent="0.25"/>
    <row r="1375" s="559" customFormat="1" x14ac:dyDescent="0.25"/>
    <row r="1376" s="559" customFormat="1" x14ac:dyDescent="0.25"/>
    <row r="1377" s="559" customFormat="1" x14ac:dyDescent="0.25"/>
    <row r="1378" s="559" customFormat="1" x14ac:dyDescent="0.25"/>
    <row r="1379" s="559" customFormat="1" x14ac:dyDescent="0.25"/>
    <row r="1380" s="559" customFormat="1" x14ac:dyDescent="0.25"/>
    <row r="1381" s="559" customFormat="1" x14ac:dyDescent="0.25"/>
    <row r="1382" s="559" customFormat="1" x14ac:dyDescent="0.25"/>
    <row r="1383" s="559" customFormat="1" x14ac:dyDescent="0.25"/>
    <row r="1384" s="559" customFormat="1" x14ac:dyDescent="0.25"/>
    <row r="1385" s="559" customFormat="1" x14ac:dyDescent="0.25"/>
    <row r="1386" s="559" customFormat="1" x14ac:dyDescent="0.25"/>
    <row r="1387" s="559" customFormat="1" x14ac:dyDescent="0.25"/>
    <row r="1388" s="559" customFormat="1" x14ac:dyDescent="0.25"/>
    <row r="1389" s="559" customFormat="1" x14ac:dyDescent="0.25"/>
    <row r="1390" s="559" customFormat="1" x14ac:dyDescent="0.25"/>
    <row r="1391" s="559" customFormat="1" x14ac:dyDescent="0.25"/>
    <row r="1392" s="559" customFormat="1" x14ac:dyDescent="0.25"/>
    <row r="1393" s="559" customFormat="1" x14ac:dyDescent="0.25"/>
    <row r="1394" s="559" customFormat="1" x14ac:dyDescent="0.25"/>
    <row r="1395" s="559" customFormat="1" x14ac:dyDescent="0.25"/>
    <row r="1396" s="559" customFormat="1" x14ac:dyDescent="0.25"/>
    <row r="1397" s="559" customFormat="1" x14ac:dyDescent="0.25"/>
    <row r="1398" s="559" customFormat="1" x14ac:dyDescent="0.25"/>
    <row r="1399" s="559" customFormat="1" x14ac:dyDescent="0.25"/>
    <row r="1400" s="559" customFormat="1" x14ac:dyDescent="0.25"/>
    <row r="1401" s="559" customFormat="1" x14ac:dyDescent="0.25"/>
    <row r="1402" s="559" customFormat="1" x14ac:dyDescent="0.25"/>
    <row r="1403" s="559" customFormat="1" x14ac:dyDescent="0.25"/>
    <row r="1404" s="559" customFormat="1" x14ac:dyDescent="0.25"/>
    <row r="1405" s="559" customFormat="1" x14ac:dyDescent="0.25"/>
    <row r="1406" s="559" customFormat="1" x14ac:dyDescent="0.25"/>
    <row r="1407" s="559" customFormat="1" x14ac:dyDescent="0.25"/>
    <row r="1408" s="559" customFormat="1" x14ac:dyDescent="0.25"/>
    <row r="1409" s="559" customFormat="1" x14ac:dyDescent="0.25"/>
    <row r="1410" s="559" customFormat="1" x14ac:dyDescent="0.25"/>
    <row r="1411" s="559" customFormat="1" x14ac:dyDescent="0.25"/>
    <row r="1412" s="559" customFormat="1" x14ac:dyDescent="0.25"/>
    <row r="1413" s="559" customFormat="1" x14ac:dyDescent="0.25"/>
    <row r="1414" s="559" customFormat="1" x14ac:dyDescent="0.25"/>
    <row r="1415" s="559" customFormat="1" x14ac:dyDescent="0.25"/>
    <row r="1416" s="559" customFormat="1" x14ac:dyDescent="0.25"/>
    <row r="1417" s="559" customFormat="1" x14ac:dyDescent="0.25"/>
    <row r="1418" s="559" customFormat="1" x14ac:dyDescent="0.25"/>
    <row r="1419" s="559" customFormat="1" x14ac:dyDescent="0.25"/>
    <row r="1420" s="559" customFormat="1" x14ac:dyDescent="0.25"/>
    <row r="1421" s="559" customFormat="1" x14ac:dyDescent="0.25"/>
    <row r="1422" s="559" customFormat="1" x14ac:dyDescent="0.25"/>
    <row r="1423" s="559" customFormat="1" x14ac:dyDescent="0.25"/>
    <row r="1424" s="559" customFormat="1" x14ac:dyDescent="0.25"/>
    <row r="1425" s="559" customFormat="1" x14ac:dyDescent="0.25"/>
    <row r="1426" s="559" customFormat="1" x14ac:dyDescent="0.25"/>
    <row r="1427" s="559" customFormat="1" x14ac:dyDescent="0.25"/>
    <row r="1428" s="559" customFormat="1" x14ac:dyDescent="0.25"/>
    <row r="1429" s="559" customFormat="1" x14ac:dyDescent="0.25"/>
    <row r="1430" s="559" customFormat="1" x14ac:dyDescent="0.25"/>
    <row r="1431" s="559" customFormat="1" x14ac:dyDescent="0.25"/>
    <row r="1432" s="559" customFormat="1" x14ac:dyDescent="0.25"/>
    <row r="1433" s="559" customFormat="1" x14ac:dyDescent="0.25"/>
    <row r="1434" s="559" customFormat="1" x14ac:dyDescent="0.25"/>
    <row r="1435" s="559" customFormat="1" x14ac:dyDescent="0.25"/>
    <row r="1436" s="559" customFormat="1" x14ac:dyDescent="0.25"/>
    <row r="1437" s="559" customFormat="1" x14ac:dyDescent="0.25"/>
    <row r="1438" s="559" customFormat="1" x14ac:dyDescent="0.25"/>
    <row r="1439" s="559" customFormat="1" x14ac:dyDescent="0.25"/>
    <row r="1440" s="559" customFormat="1" x14ac:dyDescent="0.25"/>
    <row r="1441" s="559" customFormat="1" x14ac:dyDescent="0.25"/>
    <row r="1442" s="559" customFormat="1" x14ac:dyDescent="0.25"/>
    <row r="1443" s="559" customFormat="1" x14ac:dyDescent="0.25"/>
    <row r="1444" s="559" customFormat="1" x14ac:dyDescent="0.25"/>
    <row r="1445" s="559" customFormat="1" x14ac:dyDescent="0.25"/>
    <row r="1446" s="559" customFormat="1" x14ac:dyDescent="0.25"/>
    <row r="1447" s="559" customFormat="1" x14ac:dyDescent="0.25"/>
    <row r="1448" s="559" customFormat="1" x14ac:dyDescent="0.25"/>
    <row r="1449" s="559" customFormat="1" x14ac:dyDescent="0.25"/>
    <row r="1450" s="559" customFormat="1" x14ac:dyDescent="0.25"/>
    <row r="1451" s="559" customFormat="1" x14ac:dyDescent="0.25"/>
    <row r="1452" s="559" customFormat="1" x14ac:dyDescent="0.25"/>
    <row r="1453" s="559" customFormat="1" x14ac:dyDescent="0.25"/>
    <row r="1454" s="559" customFormat="1" x14ac:dyDescent="0.25"/>
    <row r="1455" s="559" customFormat="1" x14ac:dyDescent="0.25"/>
    <row r="1456" s="559" customFormat="1" x14ac:dyDescent="0.25"/>
    <row r="1457" s="559" customFormat="1" x14ac:dyDescent="0.25"/>
    <row r="1458" s="559" customFormat="1" x14ac:dyDescent="0.25"/>
    <row r="1459" s="559" customFormat="1" x14ac:dyDescent="0.25"/>
    <row r="1460" s="559" customFormat="1" x14ac:dyDescent="0.25"/>
    <row r="1461" s="559" customFormat="1" x14ac:dyDescent="0.25"/>
    <row r="1462" s="559" customFormat="1" x14ac:dyDescent="0.25"/>
    <row r="1463" s="559" customFormat="1" x14ac:dyDescent="0.25"/>
    <row r="1464" s="559" customFormat="1" x14ac:dyDescent="0.25"/>
    <row r="1465" s="559" customFormat="1" x14ac:dyDescent="0.25"/>
    <row r="1466" s="559" customFormat="1" x14ac:dyDescent="0.25"/>
    <row r="1467" s="559" customFormat="1" x14ac:dyDescent="0.25"/>
    <row r="1468" s="559" customFormat="1" x14ac:dyDescent="0.25"/>
    <row r="1469" s="559" customFormat="1" x14ac:dyDescent="0.25"/>
    <row r="1470" s="559" customFormat="1" x14ac:dyDescent="0.25"/>
    <row r="1471" s="559" customFormat="1" x14ac:dyDescent="0.25"/>
    <row r="1472" s="559" customFormat="1" x14ac:dyDescent="0.25"/>
    <row r="1473" s="559" customFormat="1" x14ac:dyDescent="0.25"/>
    <row r="1474" s="559" customFormat="1" x14ac:dyDescent="0.25"/>
    <row r="1475" s="559" customFormat="1" x14ac:dyDescent="0.25"/>
    <row r="1476" s="559" customFormat="1" x14ac:dyDescent="0.25"/>
    <row r="1477" s="559" customFormat="1" x14ac:dyDescent="0.25"/>
    <row r="1478" s="559" customFormat="1" x14ac:dyDescent="0.25"/>
    <row r="1479" s="559" customFormat="1" x14ac:dyDescent="0.25"/>
    <row r="1480" s="559" customFormat="1" x14ac:dyDescent="0.25"/>
    <row r="1481" s="559" customFormat="1" x14ac:dyDescent="0.25"/>
    <row r="1482" s="559" customFormat="1" x14ac:dyDescent="0.25"/>
    <row r="1483" s="559" customFormat="1" x14ac:dyDescent="0.25"/>
    <row r="1484" s="559" customFormat="1" x14ac:dyDescent="0.25"/>
    <row r="1485" s="559" customFormat="1" x14ac:dyDescent="0.25"/>
    <row r="1486" s="559" customFormat="1" x14ac:dyDescent="0.25"/>
    <row r="1487" s="559" customFormat="1" x14ac:dyDescent="0.25"/>
    <row r="1488" s="559" customFormat="1" x14ac:dyDescent="0.25"/>
    <row r="1489" s="559" customFormat="1" x14ac:dyDescent="0.25"/>
    <row r="1490" s="559" customFormat="1" x14ac:dyDescent="0.25"/>
    <row r="1491" s="559" customFormat="1" x14ac:dyDescent="0.25"/>
    <row r="1492" s="559" customFormat="1" x14ac:dyDescent="0.25"/>
    <row r="1493" s="559" customFormat="1" x14ac:dyDescent="0.25"/>
    <row r="1494" s="559" customFormat="1" x14ac:dyDescent="0.25"/>
    <row r="1495" s="559" customFormat="1" x14ac:dyDescent="0.25"/>
    <row r="1496" s="559" customFormat="1" x14ac:dyDescent="0.25"/>
    <row r="1497" s="559" customFormat="1" x14ac:dyDescent="0.25"/>
    <row r="1498" s="559" customFormat="1" x14ac:dyDescent="0.25"/>
    <row r="1499" s="559" customFormat="1" x14ac:dyDescent="0.25"/>
    <row r="1500" s="559" customFormat="1" x14ac:dyDescent="0.25"/>
    <row r="1501" s="559" customFormat="1" x14ac:dyDescent="0.25"/>
    <row r="1502" s="559" customFormat="1" x14ac:dyDescent="0.25"/>
    <row r="1503" s="559" customFormat="1" x14ac:dyDescent="0.25"/>
    <row r="1504" s="559" customFormat="1" x14ac:dyDescent="0.25"/>
    <row r="1505" s="559" customFormat="1" x14ac:dyDescent="0.25"/>
    <row r="1506" s="559" customFormat="1" x14ac:dyDescent="0.25"/>
    <row r="1507" s="559" customFormat="1" x14ac:dyDescent="0.25"/>
    <row r="1508" s="559" customFormat="1" x14ac:dyDescent="0.25"/>
    <row r="1509" s="559" customFormat="1" x14ac:dyDescent="0.25"/>
    <row r="1510" s="559" customFormat="1" x14ac:dyDescent="0.25"/>
    <row r="1511" s="559" customFormat="1" x14ac:dyDescent="0.25"/>
    <row r="1512" s="559" customFormat="1" x14ac:dyDescent="0.25"/>
    <row r="1513" s="559" customFormat="1" x14ac:dyDescent="0.25"/>
    <row r="1514" s="559" customFormat="1" x14ac:dyDescent="0.25"/>
    <row r="1515" s="559" customFormat="1" x14ac:dyDescent="0.25"/>
    <row r="1516" s="559" customFormat="1" x14ac:dyDescent="0.25"/>
    <row r="1517" s="559" customFormat="1" x14ac:dyDescent="0.25"/>
    <row r="1518" s="559" customFormat="1" x14ac:dyDescent="0.25"/>
    <row r="1519" s="559" customFormat="1" x14ac:dyDescent="0.25"/>
    <row r="1520" s="559" customFormat="1" x14ac:dyDescent="0.25"/>
    <row r="1521" s="559" customFormat="1" x14ac:dyDescent="0.25"/>
    <row r="1522" s="559" customFormat="1" x14ac:dyDescent="0.25"/>
    <row r="1523" s="559" customFormat="1" x14ac:dyDescent="0.25"/>
    <row r="1524" s="559" customFormat="1" x14ac:dyDescent="0.25"/>
    <row r="1525" s="559" customFormat="1" x14ac:dyDescent="0.25"/>
    <row r="1526" s="559" customFormat="1" x14ac:dyDescent="0.25"/>
    <row r="1527" s="559" customFormat="1" x14ac:dyDescent="0.25"/>
    <row r="1528" s="559" customFormat="1" x14ac:dyDescent="0.25"/>
    <row r="1529" s="559" customFormat="1" x14ac:dyDescent="0.25"/>
    <row r="1530" s="559" customFormat="1" x14ac:dyDescent="0.25"/>
    <row r="1531" s="559" customFormat="1" x14ac:dyDescent="0.25"/>
  </sheetData>
  <sheetProtection algorithmName="SHA-512" hashValue="GOTTrDZ4ewumoQeQyAHx4+G07pQa7NfUBAihNGxP8bceZfmICyeBMcbyXxjrzUezAMMzx1otivVy100ou//Mlg==" saltValue="aaX7/7qn0iZHuGYm5dhI+A=="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13" r:id="rId4" name="Spinner 21">
              <controlPr defaultSize="0" autoPict="0">
                <anchor moveWithCells="1" sizeWithCells="1">
                  <from>
                    <xdr:col>2</xdr:col>
                    <xdr:colOff>1200150</xdr:colOff>
                    <xdr:row>24</xdr:row>
                    <xdr:rowOff>47625</xdr:rowOff>
                  </from>
                  <to>
                    <xdr:col>2</xdr:col>
                    <xdr:colOff>1543050</xdr:colOff>
                    <xdr:row>24</xdr:row>
                    <xdr:rowOff>228600</xdr:rowOff>
                  </to>
                </anchor>
              </controlPr>
            </control>
          </mc:Choice>
        </mc:AlternateContent>
        <mc:AlternateContent xmlns:mc="http://schemas.openxmlformats.org/markup-compatibility/2006">
          <mc:Choice Requires="x14">
            <control shapeId="8215" r:id="rId5" name="Spinner 23">
              <controlPr defaultSize="0" autoPict="0">
                <anchor moveWithCells="1" sizeWithCells="1">
                  <from>
                    <xdr:col>2</xdr:col>
                    <xdr:colOff>1200150</xdr:colOff>
                    <xdr:row>26</xdr:row>
                    <xdr:rowOff>57150</xdr:rowOff>
                  </from>
                  <to>
                    <xdr:col>2</xdr:col>
                    <xdr:colOff>1543050</xdr:colOff>
                    <xdr:row>26</xdr:row>
                    <xdr:rowOff>238125</xdr:rowOff>
                  </to>
                </anchor>
              </controlPr>
            </control>
          </mc:Choice>
        </mc:AlternateContent>
        <mc:AlternateContent xmlns:mc="http://schemas.openxmlformats.org/markup-compatibility/2006">
          <mc:Choice Requires="x14">
            <control shapeId="8219" r:id="rId6" name="Spinner 27">
              <controlPr defaultSize="0" autoPict="0">
                <anchor moveWithCells="1" sizeWithCells="1">
                  <from>
                    <xdr:col>2</xdr:col>
                    <xdr:colOff>1200150</xdr:colOff>
                    <xdr:row>34</xdr:row>
                    <xdr:rowOff>57150</xdr:rowOff>
                  </from>
                  <to>
                    <xdr:col>2</xdr:col>
                    <xdr:colOff>1543050</xdr:colOff>
                    <xdr:row>34</xdr:row>
                    <xdr:rowOff>238125</xdr:rowOff>
                  </to>
                </anchor>
              </controlPr>
            </control>
          </mc:Choice>
        </mc:AlternateContent>
        <mc:AlternateContent xmlns:mc="http://schemas.openxmlformats.org/markup-compatibility/2006">
          <mc:Choice Requires="x14">
            <control shapeId="8220" r:id="rId7" name="Spinner 28">
              <controlPr defaultSize="0" autoPict="0">
                <anchor moveWithCells="1" sizeWithCells="1">
                  <from>
                    <xdr:col>2</xdr:col>
                    <xdr:colOff>1200150</xdr:colOff>
                    <xdr:row>40</xdr:row>
                    <xdr:rowOff>57150</xdr:rowOff>
                  </from>
                  <to>
                    <xdr:col>2</xdr:col>
                    <xdr:colOff>1543050</xdr:colOff>
                    <xdr:row>40</xdr:row>
                    <xdr:rowOff>238125</xdr:rowOff>
                  </to>
                </anchor>
              </controlPr>
            </control>
          </mc:Choice>
        </mc:AlternateContent>
        <mc:AlternateContent xmlns:mc="http://schemas.openxmlformats.org/markup-compatibility/2006">
          <mc:Choice Requires="x14">
            <control shapeId="8221" r:id="rId8" name="Spinner 29">
              <controlPr defaultSize="0" autoPict="0">
                <anchor moveWithCells="1" sizeWithCells="1">
                  <from>
                    <xdr:col>2</xdr:col>
                    <xdr:colOff>1200150</xdr:colOff>
                    <xdr:row>44</xdr:row>
                    <xdr:rowOff>57150</xdr:rowOff>
                  </from>
                  <to>
                    <xdr:col>2</xdr:col>
                    <xdr:colOff>1543050</xdr:colOff>
                    <xdr:row>44</xdr:row>
                    <xdr:rowOff>238125</xdr:rowOff>
                  </to>
                </anchor>
              </controlPr>
            </control>
          </mc:Choice>
        </mc:AlternateContent>
        <mc:AlternateContent xmlns:mc="http://schemas.openxmlformats.org/markup-compatibility/2006">
          <mc:Choice Requires="x14">
            <control shapeId="8222" r:id="rId9" name="Spinner 30">
              <controlPr defaultSize="0" autoPict="0">
                <anchor moveWithCells="1" sizeWithCells="1">
                  <from>
                    <xdr:col>2</xdr:col>
                    <xdr:colOff>1200150</xdr:colOff>
                    <xdr:row>48</xdr:row>
                    <xdr:rowOff>57150</xdr:rowOff>
                  </from>
                  <to>
                    <xdr:col>2</xdr:col>
                    <xdr:colOff>1543050</xdr:colOff>
                    <xdr:row>48</xdr:row>
                    <xdr:rowOff>238125</xdr:rowOff>
                  </to>
                </anchor>
              </controlPr>
            </control>
          </mc:Choice>
        </mc:AlternateContent>
        <mc:AlternateContent xmlns:mc="http://schemas.openxmlformats.org/markup-compatibility/2006">
          <mc:Choice Requires="x14">
            <control shapeId="8223" r:id="rId10" name="Spinner 31">
              <controlPr defaultSize="0" autoPict="0">
                <anchor moveWithCells="1" sizeWithCells="1">
                  <from>
                    <xdr:col>2</xdr:col>
                    <xdr:colOff>1200150</xdr:colOff>
                    <xdr:row>42</xdr:row>
                    <xdr:rowOff>57150</xdr:rowOff>
                  </from>
                  <to>
                    <xdr:col>2</xdr:col>
                    <xdr:colOff>1543050</xdr:colOff>
                    <xdr:row>42</xdr:row>
                    <xdr:rowOff>238125</xdr:rowOff>
                  </to>
                </anchor>
              </controlPr>
            </control>
          </mc:Choice>
        </mc:AlternateContent>
        <mc:AlternateContent xmlns:mc="http://schemas.openxmlformats.org/markup-compatibility/2006">
          <mc:Choice Requires="x14">
            <control shapeId="8224" r:id="rId11" name="Spinner 32">
              <controlPr defaultSize="0" autoPict="0">
                <anchor moveWithCells="1" sizeWithCells="1">
                  <from>
                    <xdr:col>2</xdr:col>
                    <xdr:colOff>1200150</xdr:colOff>
                    <xdr:row>38</xdr:row>
                    <xdr:rowOff>57150</xdr:rowOff>
                  </from>
                  <to>
                    <xdr:col>2</xdr:col>
                    <xdr:colOff>1543050</xdr:colOff>
                    <xdr:row>38</xdr:row>
                    <xdr:rowOff>238125</xdr:rowOff>
                  </to>
                </anchor>
              </controlPr>
            </control>
          </mc:Choice>
        </mc:AlternateContent>
        <mc:AlternateContent xmlns:mc="http://schemas.openxmlformats.org/markup-compatibility/2006">
          <mc:Choice Requires="x14">
            <control shapeId="8228" r:id="rId12" name="Spinner 36">
              <controlPr defaultSize="0" autoPict="0">
                <anchor moveWithCells="1" sizeWithCells="1">
                  <from>
                    <xdr:col>2</xdr:col>
                    <xdr:colOff>1200150</xdr:colOff>
                    <xdr:row>32</xdr:row>
                    <xdr:rowOff>57150</xdr:rowOff>
                  </from>
                  <to>
                    <xdr:col>2</xdr:col>
                    <xdr:colOff>1543050</xdr:colOff>
                    <xdr:row>32</xdr:row>
                    <xdr:rowOff>238125</xdr:rowOff>
                  </to>
                </anchor>
              </controlPr>
            </control>
          </mc:Choice>
        </mc:AlternateContent>
        <mc:AlternateContent xmlns:mc="http://schemas.openxmlformats.org/markup-compatibility/2006">
          <mc:Choice Requires="x14">
            <control shapeId="8231" r:id="rId13" name="Spinner 39">
              <controlPr defaultSize="0" autoPict="0">
                <anchor moveWithCells="1" sizeWithCells="1">
                  <from>
                    <xdr:col>2</xdr:col>
                    <xdr:colOff>1200150</xdr:colOff>
                    <xdr:row>20</xdr:row>
                    <xdr:rowOff>57150</xdr:rowOff>
                  </from>
                  <to>
                    <xdr:col>2</xdr:col>
                    <xdr:colOff>1543050</xdr:colOff>
                    <xdr:row>20</xdr:row>
                    <xdr:rowOff>238125</xdr:rowOff>
                  </to>
                </anchor>
              </controlPr>
            </control>
          </mc:Choice>
        </mc:AlternateContent>
        <mc:AlternateContent xmlns:mc="http://schemas.openxmlformats.org/markup-compatibility/2006">
          <mc:Choice Requires="x14">
            <control shapeId="8232" r:id="rId14" name="Spinner 40">
              <controlPr defaultSize="0" autoPict="0">
                <anchor moveWithCells="1" sizeWithCells="1">
                  <from>
                    <xdr:col>2</xdr:col>
                    <xdr:colOff>1200150</xdr:colOff>
                    <xdr:row>30</xdr:row>
                    <xdr:rowOff>57150</xdr:rowOff>
                  </from>
                  <to>
                    <xdr:col>2</xdr:col>
                    <xdr:colOff>1543050</xdr:colOff>
                    <xdr:row>30</xdr:row>
                    <xdr:rowOff>238125</xdr:rowOff>
                  </to>
                </anchor>
              </controlPr>
            </control>
          </mc:Choice>
        </mc:AlternateContent>
        <mc:AlternateContent xmlns:mc="http://schemas.openxmlformats.org/markup-compatibility/2006">
          <mc:Choice Requires="x14">
            <control shapeId="8238" r:id="rId15" name="Spinner 46">
              <controlPr defaultSize="0" autoPict="0">
                <anchor moveWithCells="1" sizeWithCells="1">
                  <from>
                    <xdr:col>2</xdr:col>
                    <xdr:colOff>1028700</xdr:colOff>
                    <xdr:row>28</xdr:row>
                    <xdr:rowOff>0</xdr:rowOff>
                  </from>
                  <to>
                    <xdr:col>3</xdr:col>
                    <xdr:colOff>0</xdr:colOff>
                    <xdr:row>28</xdr:row>
                    <xdr:rowOff>0</xdr:rowOff>
                  </to>
                </anchor>
              </controlPr>
            </control>
          </mc:Choice>
        </mc:AlternateContent>
        <mc:AlternateContent xmlns:mc="http://schemas.openxmlformats.org/markup-compatibility/2006">
          <mc:Choice Requires="x14">
            <control shapeId="8239" r:id="rId16" name="Spinner 47">
              <controlPr defaultSize="0" autoPict="0">
                <anchor moveWithCells="1" sizeWithCells="1">
                  <from>
                    <xdr:col>2</xdr:col>
                    <xdr:colOff>1028700</xdr:colOff>
                    <xdr:row>36</xdr:row>
                    <xdr:rowOff>0</xdr:rowOff>
                  </from>
                  <to>
                    <xdr:col>3</xdr:col>
                    <xdr:colOff>0</xdr:colOff>
                    <xdr:row>36</xdr:row>
                    <xdr:rowOff>0</xdr:rowOff>
                  </to>
                </anchor>
              </controlPr>
            </control>
          </mc:Choice>
        </mc:AlternateContent>
        <mc:AlternateContent xmlns:mc="http://schemas.openxmlformats.org/markup-compatibility/2006">
          <mc:Choice Requires="x14">
            <control shapeId="8243" r:id="rId17" name="Spinner 51">
              <controlPr defaultSize="0" autoPict="0">
                <anchor moveWithCells="1" sizeWithCells="1">
                  <from>
                    <xdr:col>2</xdr:col>
                    <xdr:colOff>1200150</xdr:colOff>
                    <xdr:row>46</xdr:row>
                    <xdr:rowOff>57150</xdr:rowOff>
                  </from>
                  <to>
                    <xdr:col>2</xdr:col>
                    <xdr:colOff>1543050</xdr:colOff>
                    <xdr:row>46</xdr:row>
                    <xdr:rowOff>238125</xdr:rowOff>
                  </to>
                </anchor>
              </controlPr>
            </control>
          </mc:Choice>
        </mc:AlternateContent>
        <mc:AlternateContent xmlns:mc="http://schemas.openxmlformats.org/markup-compatibility/2006">
          <mc:Choice Requires="x14">
            <control shapeId="8244" r:id="rId18" name="Spinner 52">
              <controlPr defaultSize="0" autoPict="0">
                <anchor moveWithCells="1" sizeWithCells="1">
                  <from>
                    <xdr:col>2</xdr:col>
                    <xdr:colOff>1200150</xdr:colOff>
                    <xdr:row>28</xdr:row>
                    <xdr:rowOff>57150</xdr:rowOff>
                  </from>
                  <to>
                    <xdr:col>2</xdr:col>
                    <xdr:colOff>1543050</xdr:colOff>
                    <xdr:row>28</xdr:row>
                    <xdr:rowOff>238125</xdr:rowOff>
                  </to>
                </anchor>
              </controlPr>
            </control>
          </mc:Choice>
        </mc:AlternateContent>
        <mc:AlternateContent xmlns:mc="http://schemas.openxmlformats.org/markup-compatibility/2006">
          <mc:Choice Requires="x14">
            <control shapeId="2" r:id="rId19" name="Spinner 53">
              <controlPr defaultSize="0" autoPict="0">
                <anchor moveWithCells="1" sizeWithCells="1">
                  <from>
                    <xdr:col>2</xdr:col>
                    <xdr:colOff>1200150</xdr:colOff>
                    <xdr:row>36</xdr:row>
                    <xdr:rowOff>57150</xdr:rowOff>
                  </from>
                  <to>
                    <xdr:col>2</xdr:col>
                    <xdr:colOff>1543050</xdr:colOff>
                    <xdr:row>36</xdr:row>
                    <xdr:rowOff>238125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W567"/>
  <sheetViews>
    <sheetView zoomScale="70" zoomScaleNormal="70" workbookViewId="0"/>
  </sheetViews>
  <sheetFormatPr defaultColWidth="16.7109375" defaultRowHeight="15" x14ac:dyDescent="0.25"/>
  <cols>
    <col min="1" max="1" width="3.28515625" style="18" customWidth="1"/>
    <col min="2" max="2" width="82.85546875" style="18" customWidth="1"/>
    <col min="3" max="3" width="36.5703125" style="18" customWidth="1"/>
    <col min="4" max="4" width="46" style="18" customWidth="1"/>
    <col min="5" max="8" width="16.7109375" style="18"/>
    <col min="9" max="22" width="16.7109375" style="559"/>
    <col min="23" max="16384" width="16.7109375" style="18"/>
  </cols>
  <sheetData>
    <row r="1" spans="1:3" x14ac:dyDescent="0.25">
      <c r="A1" s="17"/>
    </row>
    <row r="2" spans="1:3" x14ac:dyDescent="0.25">
      <c r="A2" s="17"/>
    </row>
    <row r="3" spans="1:3" x14ac:dyDescent="0.25">
      <c r="A3" s="17"/>
    </row>
    <row r="4" spans="1:3" x14ac:dyDescent="0.25">
      <c r="A4" s="17"/>
    </row>
    <row r="5" spans="1:3" x14ac:dyDescent="0.25">
      <c r="A5" s="17"/>
    </row>
    <row r="6" spans="1:3" x14ac:dyDescent="0.25">
      <c r="A6" s="17"/>
    </row>
    <row r="7" spans="1:3" x14ac:dyDescent="0.25">
      <c r="A7" s="17"/>
    </row>
    <row r="8" spans="1:3" x14ac:dyDescent="0.25">
      <c r="A8" s="17"/>
    </row>
    <row r="9" spans="1:3" x14ac:dyDescent="0.25">
      <c r="A9" s="559"/>
    </row>
    <row r="10" spans="1:3" ht="20.100000000000001" customHeight="1" x14ac:dyDescent="0.25">
      <c r="A10" s="17"/>
      <c r="B10" s="670" t="s">
        <v>1049</v>
      </c>
      <c r="C10" s="669"/>
    </row>
    <row r="11" spans="1:3" ht="20.100000000000001" customHeight="1" x14ac:dyDescent="0.25">
      <c r="A11" s="559"/>
      <c r="B11" s="203" t="s">
        <v>744</v>
      </c>
      <c r="C11" s="171">
        <f>'Baseline farm'!D17</f>
        <v>0</v>
      </c>
    </row>
    <row r="12" spans="1:3" ht="20.100000000000001" customHeight="1" x14ac:dyDescent="0.25">
      <c r="A12" s="17"/>
      <c r="B12" s="203" t="s">
        <v>465</v>
      </c>
      <c r="C12" s="171">
        <f>'Baseline farm'!D19</f>
        <v>0</v>
      </c>
    </row>
    <row r="13" spans="1:3" ht="20.100000000000001" hidden="1" customHeight="1" x14ac:dyDescent="0.25">
      <c r="A13" s="17"/>
      <c r="B13" s="203" t="s">
        <v>15</v>
      </c>
      <c r="C13" s="8">
        <v>0</v>
      </c>
    </row>
    <row r="14" spans="1:3" ht="20.100000000000001" customHeight="1" x14ac:dyDescent="0.25">
      <c r="A14" s="17"/>
      <c r="B14" s="203" t="s">
        <v>496</v>
      </c>
      <c r="C14" s="8" t="e">
        <f>'Baseline farm'!H28</f>
        <v>#DIV/0!</v>
      </c>
    </row>
    <row r="15" spans="1:3" ht="20.100000000000001" customHeight="1" x14ac:dyDescent="0.25">
      <c r="A15" s="17"/>
      <c r="B15" s="203" t="s">
        <v>515</v>
      </c>
      <c r="C15" s="7">
        <f>'Baseline farm'!D28</f>
        <v>0</v>
      </c>
    </row>
    <row r="16" spans="1:3" ht="20.100000000000001" customHeight="1" x14ac:dyDescent="0.25">
      <c r="A16" s="17"/>
      <c r="B16" s="303" t="s">
        <v>497</v>
      </c>
      <c r="C16" s="8" t="e">
        <f>'Baseline farm'!F36</f>
        <v>#DIV/0!</v>
      </c>
    </row>
    <row r="17" spans="1:3" ht="20.100000000000001" customHeight="1" x14ac:dyDescent="0.25">
      <c r="B17" s="304" t="s">
        <v>498</v>
      </c>
      <c r="C17" s="172" t="e">
        <f>'Baseline farm'!H36</f>
        <v>#DIV/0!</v>
      </c>
    </row>
    <row r="18" spans="1:3" ht="20.100000000000001" customHeight="1" x14ac:dyDescent="0.25">
      <c r="B18" s="671" t="s">
        <v>1050</v>
      </c>
      <c r="C18" s="376"/>
    </row>
    <row r="19" spans="1:3" ht="21.75" customHeight="1" x14ac:dyDescent="0.25">
      <c r="A19" s="17"/>
      <c r="B19" s="305" t="s">
        <v>67</v>
      </c>
      <c r="C19" s="847">
        <f>C71/10</f>
        <v>3</v>
      </c>
    </row>
    <row r="20" spans="1:3" ht="5.0999999999999996" customHeight="1" x14ac:dyDescent="0.25">
      <c r="A20" s="17"/>
      <c r="B20" s="305"/>
      <c r="C20" s="345"/>
    </row>
    <row r="21" spans="1:3" ht="20.100000000000001" customHeight="1" x14ac:dyDescent="0.25">
      <c r="A21" s="17"/>
      <c r="B21" s="305" t="s">
        <v>69</v>
      </c>
      <c r="C21" s="847">
        <f>C72/10</f>
        <v>3</v>
      </c>
    </row>
    <row r="22" spans="1:3" ht="5.0999999999999996" customHeight="1" x14ac:dyDescent="0.25">
      <c r="B22" s="307"/>
      <c r="C22" s="348"/>
    </row>
    <row r="23" spans="1:3" ht="20.100000000000001" customHeight="1" x14ac:dyDescent="0.25">
      <c r="A23" s="17"/>
      <c r="B23" s="305" t="s">
        <v>97</v>
      </c>
      <c r="C23" s="847">
        <f>C73/10</f>
        <v>75</v>
      </c>
    </row>
    <row r="24" spans="1:3" ht="5.0999999999999996" customHeight="1" x14ac:dyDescent="0.25">
      <c r="A24" s="17"/>
      <c r="B24" s="305"/>
      <c r="C24" s="345"/>
    </row>
    <row r="25" spans="1:3" ht="20.100000000000001" customHeight="1" x14ac:dyDescent="0.25">
      <c r="A25" s="17"/>
      <c r="B25" s="305" t="s">
        <v>501</v>
      </c>
      <c r="C25" s="847">
        <f>C74/10</f>
        <v>20</v>
      </c>
    </row>
    <row r="26" spans="1:3" ht="5.0999999999999996" customHeight="1" x14ac:dyDescent="0.25">
      <c r="A26" s="17"/>
      <c r="B26" s="305"/>
      <c r="C26" s="345"/>
    </row>
    <row r="27" spans="1:3" ht="20.100000000000001" customHeight="1" x14ac:dyDescent="0.25">
      <c r="A27" s="17"/>
      <c r="B27" s="305" t="s">
        <v>68</v>
      </c>
      <c r="C27" s="847">
        <f>C75/10</f>
        <v>21.6</v>
      </c>
    </row>
    <row r="28" spans="1:3" ht="5.0999999999999996" customHeight="1" x14ac:dyDescent="0.25">
      <c r="A28" s="17"/>
      <c r="B28" s="305"/>
      <c r="C28" s="344"/>
    </row>
    <row r="29" spans="1:3" ht="20.100000000000001" customHeight="1" x14ac:dyDescent="0.25">
      <c r="A29" s="17"/>
      <c r="B29" s="305" t="s">
        <v>102</v>
      </c>
      <c r="C29" s="849">
        <f>C76/1</f>
        <v>90</v>
      </c>
    </row>
    <row r="30" spans="1:3" ht="5.0999999999999996" customHeight="1" x14ac:dyDescent="0.25">
      <c r="A30" s="17"/>
      <c r="B30" s="305"/>
      <c r="C30" s="344"/>
    </row>
    <row r="31" spans="1:3" ht="20.100000000000001" customHeight="1" x14ac:dyDescent="0.25">
      <c r="A31" s="17"/>
      <c r="B31" s="305" t="s">
        <v>71</v>
      </c>
      <c r="C31" s="849">
        <f>C77/1</f>
        <v>250</v>
      </c>
    </row>
    <row r="32" spans="1:3" ht="5.0999999999999996" customHeight="1" x14ac:dyDescent="0.25">
      <c r="A32" s="17"/>
      <c r="B32" s="305"/>
      <c r="C32" s="344"/>
    </row>
    <row r="33" spans="1:22" ht="20.100000000000001" customHeight="1" x14ac:dyDescent="0.25">
      <c r="A33" s="17"/>
      <c r="B33" s="305" t="s">
        <v>743</v>
      </c>
      <c r="C33" s="1538">
        <f>C78/100</f>
        <v>0.4</v>
      </c>
    </row>
    <row r="34" spans="1:22" ht="5.0999999999999996" customHeight="1" x14ac:dyDescent="0.25">
      <c r="A34" s="17"/>
      <c r="B34" s="305"/>
      <c r="C34" s="344"/>
    </row>
    <row r="35" spans="1:22" ht="20.100000000000001" customHeight="1" x14ac:dyDescent="0.25">
      <c r="A35" s="17"/>
      <c r="B35" s="205" t="s">
        <v>128</v>
      </c>
      <c r="C35" s="850">
        <f>C79/1000</f>
        <v>0.4</v>
      </c>
    </row>
    <row r="36" spans="1:22" ht="4.5" customHeight="1" x14ac:dyDescent="0.25">
      <c r="A36" s="17"/>
      <c r="B36" s="205"/>
      <c r="C36" s="346"/>
    </row>
    <row r="37" spans="1:22" ht="20.100000000000001" customHeight="1" x14ac:dyDescent="0.25">
      <c r="A37" s="17"/>
      <c r="B37" s="205" t="s">
        <v>129</v>
      </c>
      <c r="C37" s="850">
        <f>C80/1000</f>
        <v>0.42499999999999999</v>
      </c>
    </row>
    <row r="38" spans="1:22" ht="4.5" customHeight="1" x14ac:dyDescent="0.25">
      <c r="A38" s="17"/>
      <c r="B38" s="205"/>
      <c r="C38" s="346"/>
    </row>
    <row r="39" spans="1:22" ht="20.100000000000001" customHeight="1" x14ac:dyDescent="0.25">
      <c r="A39" s="17"/>
      <c r="B39" s="205" t="s">
        <v>72</v>
      </c>
      <c r="C39" s="851">
        <f>C81/100</f>
        <v>6</v>
      </c>
    </row>
    <row r="40" spans="1:22" s="168" customFormat="1" ht="5.0999999999999996" customHeight="1" x14ac:dyDescent="0.25">
      <c r="A40" s="167"/>
      <c r="B40" s="205"/>
      <c r="C40" s="353"/>
      <c r="I40" s="167"/>
      <c r="J40" s="167"/>
      <c r="K40" s="167"/>
      <c r="L40" s="167"/>
      <c r="M40" s="167"/>
      <c r="N40" s="167"/>
      <c r="O40" s="167"/>
      <c r="P40" s="167"/>
      <c r="Q40" s="167"/>
      <c r="R40" s="167"/>
      <c r="S40" s="167"/>
      <c r="T40" s="167"/>
      <c r="U40" s="167"/>
      <c r="V40" s="167"/>
    </row>
    <row r="41" spans="1:22" ht="20.100000000000001" customHeight="1" x14ac:dyDescent="0.25">
      <c r="A41" s="17"/>
      <c r="B41" s="672" t="s">
        <v>1051</v>
      </c>
      <c r="C41" s="673"/>
    </row>
    <row r="42" spans="1:22" ht="20.100000000000001" customHeight="1" x14ac:dyDescent="0.25">
      <c r="A42" s="559"/>
      <c r="B42" s="312" t="s">
        <v>105</v>
      </c>
      <c r="C42" s="674" t="e">
        <f>IF(C179&gt;7, "TOO HIGH",C179)</f>
        <v>#DIV/0!</v>
      </c>
    </row>
    <row r="43" spans="1:22" ht="20.100000000000001" customHeight="1" x14ac:dyDescent="0.25">
      <c r="A43" s="17"/>
      <c r="B43" s="207" t="s">
        <v>17</v>
      </c>
      <c r="C43" s="10" t="e">
        <f>IF(C42="TOO HIGH",0,C171*C29*C11)</f>
        <v>#DIV/0!</v>
      </c>
    </row>
    <row r="44" spans="1:22" ht="20.100000000000001" customHeight="1" x14ac:dyDescent="0.25">
      <c r="A44" s="17"/>
      <c r="B44" s="208" t="s">
        <v>1052</v>
      </c>
      <c r="C44" s="11"/>
    </row>
    <row r="45" spans="1:22" ht="20.100000000000001" customHeight="1" x14ac:dyDescent="0.25">
      <c r="A45" s="17"/>
      <c r="B45" s="523" t="s">
        <v>89</v>
      </c>
      <c r="C45" s="524" t="e">
        <f>D432</f>
        <v>#DIV/0!</v>
      </c>
    </row>
    <row r="46" spans="1:22" ht="20.100000000000001" customHeight="1" x14ac:dyDescent="0.25">
      <c r="A46" s="17"/>
      <c r="B46" s="523" t="s">
        <v>494</v>
      </c>
      <c r="C46" s="524" t="e">
        <f>D433</f>
        <v>#DIV/0!</v>
      </c>
    </row>
    <row r="47" spans="1:22" ht="20.100000000000001" customHeight="1" x14ac:dyDescent="0.25">
      <c r="A47" s="17"/>
      <c r="B47" s="523" t="s">
        <v>495</v>
      </c>
      <c r="C47" s="524" t="e">
        <f>D434</f>
        <v>#DIV/0!</v>
      </c>
    </row>
    <row r="48" spans="1:22" ht="20.100000000000001" customHeight="1" x14ac:dyDescent="0.25">
      <c r="A48" s="17"/>
      <c r="B48" s="523" t="s">
        <v>217</v>
      </c>
      <c r="C48" s="524">
        <f>D435</f>
        <v>0</v>
      </c>
    </row>
    <row r="49" spans="1:3" ht="20.100000000000001" customHeight="1" x14ac:dyDescent="0.25">
      <c r="A49" s="17"/>
      <c r="B49" s="523" t="s">
        <v>218</v>
      </c>
      <c r="C49" s="524" t="e">
        <f>SUM(C45:C48)</f>
        <v>#DIV/0!</v>
      </c>
    </row>
    <row r="50" spans="1:3" ht="20.100000000000001" customHeight="1" x14ac:dyDescent="0.25">
      <c r="A50" s="17"/>
      <c r="B50" s="525" t="s">
        <v>1047</v>
      </c>
      <c r="C50" s="526" t="e">
        <f>IF(C49&gt;0.1,C49*C39,0)</f>
        <v>#DIV/0!</v>
      </c>
    </row>
    <row r="51" spans="1:3" ht="20.100000000000001" customHeight="1" x14ac:dyDescent="0.25">
      <c r="A51" s="17"/>
      <c r="B51" s="525" t="s">
        <v>1048</v>
      </c>
      <c r="C51" s="526">
        <f>(C29*C21*C11/1000*C31)</f>
        <v>0</v>
      </c>
    </row>
    <row r="52" spans="1:3" ht="20.100000000000001" customHeight="1" x14ac:dyDescent="0.25">
      <c r="A52" s="17"/>
      <c r="B52" s="525" t="s">
        <v>20</v>
      </c>
      <c r="C52" s="527" t="e">
        <f>IF(C50&gt;1,C50-C51,C51*-1)</f>
        <v>#DIV/0!</v>
      </c>
    </row>
    <row r="53" spans="1:3" ht="20.100000000000001" customHeight="1" x14ac:dyDescent="0.25">
      <c r="A53" s="17"/>
      <c r="B53" s="525" t="s">
        <v>95</v>
      </c>
      <c r="C53" s="526" t="e">
        <f>C43*C37</f>
        <v>#DIV/0!</v>
      </c>
    </row>
    <row r="54" spans="1:3" ht="20.100000000000001" customHeight="1" x14ac:dyDescent="0.25">
      <c r="A54" s="17"/>
      <c r="B54" s="525" t="s">
        <v>18</v>
      </c>
      <c r="C54" s="526" t="e">
        <f>IF(C50&gt;1,C50-C51+C53,C53-C51)</f>
        <v>#DIV/0!</v>
      </c>
    </row>
    <row r="55" spans="1:3" ht="20.100000000000001" customHeight="1" x14ac:dyDescent="0.25">
      <c r="A55" s="17"/>
      <c r="B55" s="525" t="s">
        <v>1053</v>
      </c>
      <c r="C55" s="528" t="e">
        <f>C92</f>
        <v>#DIV/0!</v>
      </c>
    </row>
    <row r="56" spans="1:3" ht="20.100000000000001" customHeight="1" x14ac:dyDescent="0.25">
      <c r="A56" s="17"/>
      <c r="B56" s="529" t="s">
        <v>1237</v>
      </c>
      <c r="C56" s="530" t="e">
        <f>C190</f>
        <v>#DIV/0!</v>
      </c>
    </row>
    <row r="57" spans="1:3" ht="20.100000000000001" customHeight="1" x14ac:dyDescent="0.25">
      <c r="A57" s="17"/>
      <c r="B57" s="525" t="s">
        <v>1054</v>
      </c>
      <c r="C57" s="531" t="e">
        <f>C200</f>
        <v>#DIV/0!</v>
      </c>
    </row>
    <row r="58" spans="1:3" ht="20.100000000000001" customHeight="1" x14ac:dyDescent="0.25">
      <c r="A58" s="17"/>
      <c r="B58" s="532" t="s">
        <v>235</v>
      </c>
      <c r="C58" s="533" t="e">
        <f>C57-C51+C53</f>
        <v>#DIV/0!</v>
      </c>
    </row>
    <row r="59" spans="1:3" s="559" customFormat="1" x14ac:dyDescent="0.25">
      <c r="B59" s="169"/>
      <c r="C59" s="170"/>
    </row>
    <row r="60" spans="1:3" s="559" customFormat="1" x14ac:dyDescent="0.25">
      <c r="B60" s="169"/>
      <c r="C60" s="170"/>
    </row>
    <row r="61" spans="1:3" s="559" customFormat="1" x14ac:dyDescent="0.25">
      <c r="B61" s="169"/>
      <c r="C61" s="170"/>
    </row>
    <row r="62" spans="1:3" s="559" customFormat="1" x14ac:dyDescent="0.25">
      <c r="B62" s="169"/>
      <c r="C62" s="170"/>
    </row>
    <row r="63" spans="1:3" s="559" customFormat="1" x14ac:dyDescent="0.25">
      <c r="C63" s="170"/>
    </row>
    <row r="64" spans="1:3" s="559" customFormat="1" x14ac:dyDescent="0.25">
      <c r="C64" s="170"/>
    </row>
    <row r="65" spans="2:4" s="559" customFormat="1" ht="23.25" x14ac:dyDescent="0.35">
      <c r="B65" s="640"/>
      <c r="C65" s="170"/>
    </row>
    <row r="66" spans="2:4" s="559" customFormat="1" ht="24.75" customHeight="1" x14ac:dyDescent="0.35">
      <c r="B66" s="640"/>
      <c r="C66" s="170"/>
    </row>
    <row r="67" spans="2:4" s="559" customFormat="1" x14ac:dyDescent="0.25">
      <c r="B67" s="169"/>
      <c r="C67" s="170"/>
      <c r="D67" s="760"/>
    </row>
    <row r="68" spans="2:4" s="559" customFormat="1" x14ac:dyDescent="0.25">
      <c r="B68" s="169"/>
      <c r="C68" s="170"/>
    </row>
    <row r="69" spans="2:4" hidden="1" x14ac:dyDescent="0.25">
      <c r="B69" s="24"/>
      <c r="C69" s="25"/>
    </row>
    <row r="70" spans="2:4" hidden="1" x14ac:dyDescent="0.25">
      <c r="B70" s="27" t="s">
        <v>166</v>
      </c>
      <c r="C70" s="28"/>
      <c r="D70" s="29"/>
    </row>
    <row r="71" spans="2:4" hidden="1" x14ac:dyDescent="0.25">
      <c r="B71" s="46" t="s">
        <v>142</v>
      </c>
      <c r="C71" s="52">
        <v>30</v>
      </c>
      <c r="D71" s="29"/>
    </row>
    <row r="72" spans="2:4" hidden="1" x14ac:dyDescent="0.25">
      <c r="B72" s="46" t="s">
        <v>69</v>
      </c>
      <c r="C72" s="52">
        <v>30</v>
      </c>
      <c r="D72" s="29"/>
    </row>
    <row r="73" spans="2:4" hidden="1" x14ac:dyDescent="0.25">
      <c r="B73" s="46" t="s">
        <v>499</v>
      </c>
      <c r="C73" s="52">
        <v>750</v>
      </c>
      <c r="D73" s="29"/>
    </row>
    <row r="74" spans="2:4" hidden="1" x14ac:dyDescent="0.25">
      <c r="B74" s="46" t="s">
        <v>500</v>
      </c>
      <c r="C74" s="52">
        <v>200</v>
      </c>
      <c r="D74" s="29"/>
    </row>
    <row r="75" spans="2:4" hidden="1" x14ac:dyDescent="0.25">
      <c r="B75" s="46" t="s">
        <v>68</v>
      </c>
      <c r="C75" s="52">
        <v>216</v>
      </c>
      <c r="D75" s="29"/>
    </row>
    <row r="76" spans="2:4" hidden="1" x14ac:dyDescent="0.25">
      <c r="B76" s="46" t="s">
        <v>752</v>
      </c>
      <c r="C76" s="52">
        <v>90</v>
      </c>
      <c r="D76" s="29"/>
    </row>
    <row r="77" spans="2:4" hidden="1" x14ac:dyDescent="0.25">
      <c r="B77" s="46" t="s">
        <v>753</v>
      </c>
      <c r="C77" s="52">
        <v>250</v>
      </c>
      <c r="D77" s="29"/>
    </row>
    <row r="78" spans="2:4" hidden="1" x14ac:dyDescent="0.25">
      <c r="B78" s="46" t="s">
        <v>98</v>
      </c>
      <c r="C78" s="52">
        <v>40</v>
      </c>
      <c r="D78" s="29"/>
    </row>
    <row r="79" spans="2:4" hidden="1" x14ac:dyDescent="0.25">
      <c r="B79" s="46" t="s">
        <v>137</v>
      </c>
      <c r="C79" s="52">
        <v>400</v>
      </c>
      <c r="D79" s="29"/>
    </row>
    <row r="80" spans="2:4" hidden="1" x14ac:dyDescent="0.25">
      <c r="B80" s="46" t="s">
        <v>138</v>
      </c>
      <c r="C80" s="52">
        <v>425</v>
      </c>
      <c r="D80" s="29"/>
    </row>
    <row r="81" spans="2:7" hidden="1" x14ac:dyDescent="0.25">
      <c r="B81" s="46" t="s">
        <v>72</v>
      </c>
      <c r="C81" s="52">
        <v>600</v>
      </c>
      <c r="D81" s="29"/>
    </row>
    <row r="82" spans="2:7" hidden="1" x14ac:dyDescent="0.25">
      <c r="B82" s="24"/>
      <c r="C82" s="28"/>
      <c r="D82" s="29"/>
    </row>
    <row r="83" spans="2:7" hidden="1" x14ac:dyDescent="0.25">
      <c r="B83" s="24"/>
      <c r="C83" s="52"/>
      <c r="D83" s="29"/>
    </row>
    <row r="84" spans="2:7" ht="15.75" hidden="1" x14ac:dyDescent="0.25">
      <c r="B84" s="27" t="s">
        <v>152</v>
      </c>
      <c r="C84" s="200" t="s">
        <v>702</v>
      </c>
      <c r="D84" s="201" t="s">
        <v>703</v>
      </c>
    </row>
    <row r="85" spans="2:7" hidden="1" x14ac:dyDescent="0.25">
      <c r="B85" s="24" t="s">
        <v>21</v>
      </c>
      <c r="C85" s="156" t="e">
        <f>C50</f>
        <v>#DIV/0!</v>
      </c>
      <c r="D85" s="54" t="e">
        <f>C57</f>
        <v>#DIV/0!</v>
      </c>
    </row>
    <row r="86" spans="2:7" hidden="1" x14ac:dyDescent="0.25">
      <c r="B86" s="24" t="s">
        <v>22</v>
      </c>
      <c r="C86" s="156">
        <f>C51</f>
        <v>0</v>
      </c>
      <c r="D86" s="54">
        <f>C86</f>
        <v>0</v>
      </c>
    </row>
    <row r="87" spans="2:7" hidden="1" x14ac:dyDescent="0.25">
      <c r="B87" s="24" t="s">
        <v>23</v>
      </c>
      <c r="C87" s="156" t="e">
        <f>C53</f>
        <v>#DIV/0!</v>
      </c>
      <c r="D87" s="54" t="e">
        <f>C87</f>
        <v>#DIV/0!</v>
      </c>
    </row>
    <row r="88" spans="2:7" hidden="1" x14ac:dyDescent="0.25">
      <c r="B88" s="24" t="s">
        <v>24</v>
      </c>
      <c r="C88" s="156" t="e">
        <f>C54</f>
        <v>#DIV/0!</v>
      </c>
      <c r="D88" s="54" t="e">
        <f>C58</f>
        <v>#DIV/0!</v>
      </c>
    </row>
    <row r="89" spans="2:7" hidden="1" x14ac:dyDescent="0.25">
      <c r="B89" s="24"/>
      <c r="C89" s="156"/>
      <c r="D89" s="54"/>
    </row>
    <row r="90" spans="2:7" hidden="1" x14ac:dyDescent="0.25">
      <c r="B90" s="24"/>
      <c r="C90" s="156"/>
      <c r="D90" s="54"/>
    </row>
    <row r="91" spans="2:7" hidden="1" x14ac:dyDescent="0.25">
      <c r="B91" s="24" t="s">
        <v>109</v>
      </c>
      <c r="C91" s="216" t="e">
        <f>C11*C14*C15*C35</f>
        <v>#DIV/0!</v>
      </c>
      <c r="D91" s="31"/>
    </row>
    <row r="92" spans="2:7" hidden="1" x14ac:dyDescent="0.25">
      <c r="B92" s="24" t="s">
        <v>110</v>
      </c>
      <c r="C92" s="35" t="e">
        <f>C88/C91</f>
        <v>#DIV/0!</v>
      </c>
      <c r="D92" s="31"/>
    </row>
    <row r="93" spans="2:7" hidden="1" x14ac:dyDescent="0.25">
      <c r="B93" s="24"/>
      <c r="C93" s="52"/>
      <c r="D93" s="52"/>
    </row>
    <row r="94" spans="2:7" hidden="1" x14ac:dyDescent="0.25">
      <c r="B94" s="41"/>
      <c r="C94" s="38"/>
      <c r="D94" s="29"/>
      <c r="E94" s="157"/>
      <c r="F94" s="157"/>
    </row>
    <row r="95" spans="2:7" hidden="1" x14ac:dyDescent="0.25">
      <c r="B95" s="27" t="s">
        <v>170</v>
      </c>
      <c r="C95" s="29"/>
      <c r="D95" s="29"/>
      <c r="E95" s="29"/>
      <c r="F95" s="157"/>
      <c r="G95" s="157"/>
    </row>
    <row r="96" spans="2:7" hidden="1" x14ac:dyDescent="0.25">
      <c r="B96" s="27" t="s">
        <v>480</v>
      </c>
      <c r="C96" s="158"/>
      <c r="D96" s="29"/>
      <c r="E96" s="37"/>
      <c r="F96" s="157"/>
    </row>
    <row r="97" spans="2:13" hidden="1" x14ac:dyDescent="0.25">
      <c r="B97" s="24" t="s">
        <v>11</v>
      </c>
      <c r="C97" s="43" t="e">
        <f>'Baseline farm'!D197</f>
        <v>#DIV/0!</v>
      </c>
      <c r="D97" s="29"/>
      <c r="E97" s="159"/>
      <c r="F97" s="157"/>
    </row>
    <row r="98" spans="2:13" hidden="1" x14ac:dyDescent="0.25">
      <c r="B98" s="46"/>
      <c r="C98" s="159"/>
      <c r="D98" s="29"/>
      <c r="E98" s="37"/>
      <c r="F98" s="157"/>
    </row>
    <row r="99" spans="2:13" hidden="1" x14ac:dyDescent="0.25">
      <c r="B99" s="24" t="s">
        <v>12</v>
      </c>
      <c r="C99" s="32">
        <f>$C$11</f>
        <v>0</v>
      </c>
      <c r="D99" s="29"/>
      <c r="E99" s="44"/>
      <c r="F99" s="157"/>
    </row>
    <row r="100" spans="2:13" hidden="1" x14ac:dyDescent="0.25">
      <c r="B100" s="24" t="s">
        <v>13</v>
      </c>
      <c r="C100" s="44" t="e">
        <f>C97*C99*365</f>
        <v>#DIV/0!</v>
      </c>
      <c r="D100" s="29"/>
      <c r="E100" s="45"/>
      <c r="F100" s="157"/>
    </row>
    <row r="101" spans="2:13" hidden="1" x14ac:dyDescent="0.25">
      <c r="B101" s="27" t="s">
        <v>14</v>
      </c>
      <c r="C101" s="45" t="e">
        <f>C100*25/1000</f>
        <v>#DIV/0!</v>
      </c>
      <c r="D101" s="29"/>
      <c r="E101" s="37"/>
      <c r="F101" s="157"/>
    </row>
    <row r="102" spans="2:13" hidden="1" x14ac:dyDescent="0.25">
      <c r="B102" s="24"/>
      <c r="C102" s="40"/>
      <c r="D102" s="29"/>
      <c r="E102" s="40"/>
      <c r="F102" s="157"/>
    </row>
    <row r="103" spans="2:13" hidden="1" x14ac:dyDescent="0.25">
      <c r="B103" s="24"/>
      <c r="C103" s="38"/>
      <c r="D103" s="29"/>
      <c r="E103" s="157"/>
      <c r="F103" s="157"/>
    </row>
    <row r="104" spans="2:13" hidden="1" x14ac:dyDescent="0.25">
      <c r="B104" s="24"/>
      <c r="C104" s="39"/>
      <c r="D104" s="29"/>
      <c r="E104" s="157"/>
      <c r="F104" s="157"/>
    </row>
    <row r="105" spans="2:13" hidden="1" x14ac:dyDescent="0.25">
      <c r="B105" s="24"/>
      <c r="C105" s="38"/>
      <c r="D105" s="29"/>
      <c r="E105" s="157"/>
      <c r="F105" s="157"/>
    </row>
    <row r="106" spans="2:13" hidden="1" x14ac:dyDescent="0.25">
      <c r="B106" s="48" t="s">
        <v>171</v>
      </c>
      <c r="C106" s="37"/>
      <c r="D106" s="29"/>
      <c r="E106" s="161"/>
      <c r="F106" s="217"/>
    </row>
    <row r="107" spans="2:13" hidden="1" x14ac:dyDescent="0.25">
      <c r="B107" s="27" t="s">
        <v>480</v>
      </c>
      <c r="C107" s="37"/>
      <c r="D107" s="29"/>
      <c r="E107" s="37"/>
      <c r="F107" s="157"/>
      <c r="K107" s="643"/>
      <c r="L107" s="643"/>
      <c r="M107" s="643"/>
    </row>
    <row r="108" spans="2:13" hidden="1" x14ac:dyDescent="0.25">
      <c r="B108" s="24"/>
      <c r="C108" s="39"/>
      <c r="D108" s="29"/>
      <c r="E108" s="37"/>
      <c r="F108" s="157"/>
      <c r="K108" s="643"/>
      <c r="L108" s="643"/>
      <c r="M108" s="643"/>
    </row>
    <row r="109" spans="2:13" hidden="1" x14ac:dyDescent="0.25">
      <c r="B109" s="24" t="s">
        <v>852</v>
      </c>
      <c r="C109" s="40" t="e">
        <f>'Baseline farm'!D189-'Baseline farm'!D193</f>
        <v>#DIV/0!</v>
      </c>
      <c r="D109" s="211" t="s">
        <v>1076</v>
      </c>
      <c r="E109" s="49"/>
      <c r="F109" s="157"/>
      <c r="K109" s="643"/>
      <c r="L109" s="643"/>
      <c r="M109" s="643"/>
    </row>
    <row r="110" spans="2:13" hidden="1" x14ac:dyDescent="0.25">
      <c r="B110" s="24"/>
      <c r="C110" s="38"/>
      <c r="D110" s="29"/>
      <c r="E110" s="37"/>
      <c r="F110" s="157"/>
      <c r="K110" s="643"/>
      <c r="L110" s="643"/>
      <c r="M110" s="643"/>
    </row>
    <row r="111" spans="2:13" hidden="1" x14ac:dyDescent="0.25">
      <c r="B111" s="24" t="s">
        <v>853</v>
      </c>
      <c r="C111" s="37" t="e">
        <f>(C151*1.03*3.054)/0.6/((0.00795*C143)-0.0014)/18.4</f>
        <v>#DIV/0!</v>
      </c>
      <c r="D111" s="29"/>
      <c r="E111" s="37"/>
      <c r="F111" s="157"/>
      <c r="K111" s="643"/>
      <c r="L111" s="643"/>
      <c r="M111" s="643"/>
    </row>
    <row r="112" spans="2:13" hidden="1" x14ac:dyDescent="0.25">
      <c r="B112" s="27"/>
      <c r="C112" s="37"/>
      <c r="D112" s="29"/>
      <c r="E112" s="37"/>
      <c r="F112" s="157"/>
      <c r="K112" s="643"/>
      <c r="L112" s="643"/>
      <c r="M112" s="643"/>
    </row>
    <row r="113" spans="2:6" hidden="1" x14ac:dyDescent="0.25">
      <c r="B113" s="24" t="s">
        <v>715</v>
      </c>
      <c r="C113" s="37" t="e">
        <f>C109+C111</f>
        <v>#DIV/0!</v>
      </c>
      <c r="D113" s="29"/>
      <c r="E113" s="38"/>
      <c r="F113" s="157"/>
    </row>
    <row r="114" spans="2:6" hidden="1" x14ac:dyDescent="0.25">
      <c r="B114" s="41"/>
      <c r="C114" s="38"/>
      <c r="D114" s="29"/>
      <c r="E114" s="38"/>
      <c r="F114" s="157"/>
    </row>
    <row r="115" spans="2:6" hidden="1" x14ac:dyDescent="0.25">
      <c r="B115" s="24" t="s">
        <v>4</v>
      </c>
      <c r="C115" s="39" t="s">
        <v>5</v>
      </c>
      <c r="D115" s="29"/>
      <c r="E115" s="37"/>
      <c r="F115" s="157"/>
    </row>
    <row r="116" spans="2:6" hidden="1" x14ac:dyDescent="0.25">
      <c r="B116" s="24"/>
      <c r="C116" s="38"/>
      <c r="D116" s="29"/>
      <c r="E116" s="37"/>
      <c r="F116" s="157"/>
    </row>
    <row r="117" spans="2:6" hidden="1" x14ac:dyDescent="0.25">
      <c r="B117" s="24"/>
      <c r="C117" s="42" t="e">
        <f>(C113*18.4)</f>
        <v>#DIV/0!</v>
      </c>
      <c r="D117" s="29"/>
      <c r="E117" s="37"/>
      <c r="F117" s="157"/>
    </row>
    <row r="118" spans="2:6" hidden="1" x14ac:dyDescent="0.25">
      <c r="B118" s="24"/>
      <c r="C118" s="38"/>
      <c r="D118" s="29"/>
      <c r="E118" s="42"/>
      <c r="F118" s="157"/>
    </row>
    <row r="119" spans="2:6" hidden="1" x14ac:dyDescent="0.25">
      <c r="B119" s="24" t="s">
        <v>6</v>
      </c>
      <c r="C119" s="39" t="s">
        <v>7</v>
      </c>
      <c r="D119" s="29"/>
      <c r="E119" s="37"/>
      <c r="F119" s="157"/>
    </row>
    <row r="120" spans="2:6" hidden="1" x14ac:dyDescent="0.25">
      <c r="B120" s="24"/>
      <c r="C120" s="40" t="e">
        <f>C113/(1.185+(0.00454*$C$12)-(0.0000026*($C$12)^2)+(0.315*0))^2</f>
        <v>#DIV/0!</v>
      </c>
      <c r="D120" s="29"/>
      <c r="E120" s="37"/>
      <c r="F120" s="157"/>
    </row>
    <row r="121" spans="2:6" hidden="1" x14ac:dyDescent="0.25">
      <c r="B121" s="24"/>
      <c r="C121" s="38"/>
      <c r="D121" s="29"/>
      <c r="E121" s="37"/>
      <c r="F121" s="157"/>
    </row>
    <row r="122" spans="2:6" hidden="1" x14ac:dyDescent="0.25">
      <c r="B122" s="24" t="s">
        <v>8</v>
      </c>
      <c r="C122" s="39" t="s">
        <v>9</v>
      </c>
      <c r="D122" s="29"/>
      <c r="E122" s="42"/>
      <c r="F122" s="157"/>
    </row>
    <row r="123" spans="2:6" hidden="1" x14ac:dyDescent="0.25">
      <c r="B123" s="24" t="s">
        <v>169</v>
      </c>
      <c r="C123" s="38"/>
      <c r="D123" s="29"/>
      <c r="E123" s="37"/>
      <c r="F123" s="157"/>
    </row>
    <row r="124" spans="2:6" hidden="1" x14ac:dyDescent="0.25">
      <c r="B124" s="24"/>
      <c r="C124" s="42" t="e">
        <f>1.3+(0.112*C143)+C120*(2.37-(0.05*C143))</f>
        <v>#DIV/0!</v>
      </c>
      <c r="D124" s="29"/>
      <c r="E124" s="37"/>
      <c r="F124" s="157"/>
    </row>
    <row r="125" spans="2:6" hidden="1" x14ac:dyDescent="0.25">
      <c r="B125" s="24"/>
      <c r="C125" s="38"/>
      <c r="D125" s="29"/>
      <c r="E125" s="40"/>
      <c r="F125" s="157"/>
    </row>
    <row r="126" spans="2:6" hidden="1" x14ac:dyDescent="0.25">
      <c r="B126" s="24" t="s">
        <v>10</v>
      </c>
      <c r="C126" s="39" t="s">
        <v>1532</v>
      </c>
      <c r="D126" s="29"/>
      <c r="E126" s="37"/>
      <c r="F126" s="157"/>
    </row>
    <row r="127" spans="2:6" hidden="1" x14ac:dyDescent="0.25">
      <c r="B127" s="24"/>
      <c r="C127" s="163"/>
      <c r="D127" s="29"/>
      <c r="E127" s="37"/>
      <c r="F127" s="157"/>
    </row>
    <row r="128" spans="2:6" hidden="1" x14ac:dyDescent="0.25">
      <c r="B128" s="27" t="s">
        <v>11</v>
      </c>
      <c r="C128" s="43" t="e">
        <f>21.5*C113/1000</f>
        <v>#DIV/0!</v>
      </c>
      <c r="D128" s="29"/>
      <c r="E128" s="37"/>
      <c r="F128" s="157"/>
    </row>
    <row r="129" spans="2:6" hidden="1" x14ac:dyDescent="0.25">
      <c r="B129" s="46"/>
      <c r="C129" s="159"/>
      <c r="D129" s="29"/>
      <c r="E129" s="42"/>
      <c r="F129" s="157"/>
    </row>
    <row r="130" spans="2:6" hidden="1" x14ac:dyDescent="0.25">
      <c r="B130" s="24" t="s">
        <v>12</v>
      </c>
      <c r="C130" s="32">
        <f>$C$11</f>
        <v>0</v>
      </c>
      <c r="D130" s="29"/>
      <c r="E130" s="37"/>
      <c r="F130" s="157"/>
    </row>
    <row r="131" spans="2:6" hidden="1" x14ac:dyDescent="0.25">
      <c r="B131" s="24" t="s">
        <v>13</v>
      </c>
      <c r="C131" s="44" t="e">
        <f>C128*C130*365</f>
        <v>#DIV/0!</v>
      </c>
      <c r="D131" s="29"/>
      <c r="E131" s="43"/>
      <c r="F131" s="157"/>
    </row>
    <row r="132" spans="2:6" hidden="1" x14ac:dyDescent="0.25">
      <c r="B132" s="27" t="s">
        <v>14</v>
      </c>
      <c r="C132" s="45" t="e">
        <f>C131*25/1000</f>
        <v>#DIV/0!</v>
      </c>
      <c r="D132" s="29"/>
      <c r="E132" s="37"/>
      <c r="F132" s="157"/>
    </row>
    <row r="133" spans="2:6" hidden="1" x14ac:dyDescent="0.25">
      <c r="B133" s="24"/>
      <c r="C133" s="39"/>
      <c r="D133" s="29"/>
      <c r="E133" s="42"/>
      <c r="F133" s="157"/>
    </row>
    <row r="134" spans="2:6" hidden="1" x14ac:dyDescent="0.25">
      <c r="B134" s="24"/>
      <c r="C134" s="40"/>
      <c r="D134" s="29"/>
      <c r="E134" s="157"/>
      <c r="F134" s="157"/>
    </row>
    <row r="135" spans="2:6" hidden="1" x14ac:dyDescent="0.25">
      <c r="B135" s="24" t="s">
        <v>179</v>
      </c>
      <c r="C135" s="42" t="e">
        <f>C132*C180*3.5/100</f>
        <v>#DIV/0!</v>
      </c>
      <c r="D135" s="29" t="s">
        <v>150</v>
      </c>
      <c r="E135" s="157"/>
      <c r="F135" s="157"/>
    </row>
    <row r="136" spans="2:6" hidden="1" x14ac:dyDescent="0.25">
      <c r="B136" s="27" t="s">
        <v>180</v>
      </c>
      <c r="C136" s="45" t="e">
        <f>C132-C135</f>
        <v>#DIV/0!</v>
      </c>
      <c r="D136" s="29" t="s">
        <v>151</v>
      </c>
      <c r="E136" s="157"/>
      <c r="F136" s="157"/>
    </row>
    <row r="137" spans="2:6" hidden="1" x14ac:dyDescent="0.25">
      <c r="B137" s="24" t="s">
        <v>181</v>
      </c>
      <c r="C137" s="42" t="e">
        <f>C101-C136</f>
        <v>#DIV/0!</v>
      </c>
      <c r="D137" s="29" t="s">
        <v>172</v>
      </c>
      <c r="E137" s="157"/>
      <c r="F137" s="157"/>
    </row>
    <row r="138" spans="2:6" hidden="1" x14ac:dyDescent="0.25">
      <c r="B138" s="24"/>
      <c r="C138" s="42"/>
      <c r="D138" s="29"/>
      <c r="E138" s="42"/>
      <c r="F138" s="157"/>
    </row>
    <row r="139" spans="2:6" hidden="1" x14ac:dyDescent="0.25">
      <c r="B139" s="29"/>
      <c r="C139" s="24"/>
      <c r="D139" s="29"/>
    </row>
    <row r="140" spans="2:6" hidden="1" x14ac:dyDescent="0.25">
      <c r="B140" s="48" t="s">
        <v>723</v>
      </c>
      <c r="C140" s="24"/>
      <c r="D140" s="29"/>
    </row>
    <row r="141" spans="2:6" hidden="1" x14ac:dyDescent="0.25">
      <c r="B141" s="24" t="s">
        <v>503</v>
      </c>
      <c r="C141" s="31" t="e">
        <f>(C16*0.1604)-1.037</f>
        <v>#DIV/0!</v>
      </c>
      <c r="D141" s="29" t="s">
        <v>155</v>
      </c>
    </row>
    <row r="142" spans="2:6" hidden="1" x14ac:dyDescent="0.25">
      <c r="B142" s="24" t="s">
        <v>502</v>
      </c>
      <c r="C142" s="31" t="e">
        <f>'Baseline farm'!D189*C141</f>
        <v>#DIV/0!</v>
      </c>
      <c r="D142" s="29" t="s">
        <v>154</v>
      </c>
    </row>
    <row r="143" spans="2:6" hidden="1" x14ac:dyDescent="0.25">
      <c r="B143" s="24" t="s">
        <v>133</v>
      </c>
      <c r="C143" s="31" t="e">
        <f>(C23*C21/(C145))+(C16*(C145-C21)/C145)</f>
        <v>#DIV/0!</v>
      </c>
      <c r="D143" s="29" t="s">
        <v>722</v>
      </c>
    </row>
    <row r="144" spans="2:6" hidden="1" x14ac:dyDescent="0.25">
      <c r="B144" s="24" t="s">
        <v>469</v>
      </c>
      <c r="C144" s="31" t="e">
        <f>(C25*C21/(C145))+(C17*(C145-C21)/C145)</f>
        <v>#DIV/0!</v>
      </c>
      <c r="D144" s="29" t="s">
        <v>504</v>
      </c>
    </row>
    <row r="145" spans="2:4" hidden="1" x14ac:dyDescent="0.25">
      <c r="B145" s="24" t="s">
        <v>139</v>
      </c>
      <c r="C145" s="31" t="e">
        <f>C21+('Baseline farm'!D189-C21*C78/100)</f>
        <v>#DIV/0!</v>
      </c>
      <c r="D145" s="29" t="s">
        <v>182</v>
      </c>
    </row>
    <row r="146" spans="2:4" hidden="1" x14ac:dyDescent="0.25">
      <c r="B146" s="24" t="s">
        <v>721</v>
      </c>
      <c r="C146" s="31" t="e">
        <f>C143*0.1604-1.037</f>
        <v>#DIV/0!</v>
      </c>
      <c r="D146" s="29" t="s">
        <v>183</v>
      </c>
    </row>
    <row r="147" spans="2:4" hidden="1" x14ac:dyDescent="0.25">
      <c r="B147" s="24" t="s">
        <v>140</v>
      </c>
      <c r="C147" s="31" t="e">
        <f>((('Baseline farm'!D189-(C21*C33))*C141)+(C21*C146))/(C145)</f>
        <v>#DIV/0!</v>
      </c>
      <c r="D147" s="29" t="s">
        <v>505</v>
      </c>
    </row>
    <row r="148" spans="2:4" hidden="1" x14ac:dyDescent="0.25">
      <c r="B148" s="24" t="s">
        <v>506</v>
      </c>
      <c r="C148" s="31" t="e">
        <f>C147*C145</f>
        <v>#DIV/0!</v>
      </c>
      <c r="D148" s="29" t="s">
        <v>157</v>
      </c>
    </row>
    <row r="149" spans="2:4" hidden="1" x14ac:dyDescent="0.25">
      <c r="B149" s="24" t="s">
        <v>134</v>
      </c>
      <c r="C149" s="31" t="e">
        <f>C148-C142</f>
        <v>#DIV/0!</v>
      </c>
      <c r="D149" s="29" t="s">
        <v>158</v>
      </c>
    </row>
    <row r="150" spans="2:4" hidden="1" x14ac:dyDescent="0.25">
      <c r="B150" s="24" t="s">
        <v>141</v>
      </c>
      <c r="C150" s="31" t="e">
        <f>C149/5.5</f>
        <v>#DIV/0!</v>
      </c>
      <c r="D150" s="29" t="s">
        <v>146</v>
      </c>
    </row>
    <row r="151" spans="2:4" hidden="1" x14ac:dyDescent="0.25">
      <c r="B151" s="24" t="s">
        <v>135</v>
      </c>
      <c r="C151" s="31" t="e">
        <f>C150+(C14*C15/365)</f>
        <v>#DIV/0!</v>
      </c>
      <c r="D151" s="29" t="s">
        <v>159</v>
      </c>
    </row>
    <row r="152" spans="2:4" hidden="1" x14ac:dyDescent="0.25">
      <c r="B152" s="24" t="s">
        <v>832</v>
      </c>
      <c r="C152" s="31" t="e">
        <f>(C150*C29*C11)*(0.2534+(0.1226*'Baseline farm'!P172)+(0.0776*'Baseline farm'!P173))</f>
        <v>#DIV/0!</v>
      </c>
      <c r="D152" s="29"/>
    </row>
    <row r="153" spans="2:4" hidden="1" x14ac:dyDescent="0.25">
      <c r="B153" s="24" t="s">
        <v>833</v>
      </c>
      <c r="C153" s="31" t="e">
        <f>C152/365</f>
        <v>#DIV/0!</v>
      </c>
      <c r="D153" s="29"/>
    </row>
    <row r="154" spans="2:4" hidden="1" x14ac:dyDescent="0.25">
      <c r="B154" s="24" t="s">
        <v>834</v>
      </c>
      <c r="C154" s="31" t="e">
        <f>C153/C11</f>
        <v>#DIV/0!</v>
      </c>
      <c r="D154" s="29"/>
    </row>
    <row r="155" spans="2:4" hidden="1" x14ac:dyDescent="0.25">
      <c r="B155" s="24"/>
      <c r="C155" s="31"/>
      <c r="D155" s="29"/>
    </row>
    <row r="156" spans="2:4" hidden="1" x14ac:dyDescent="0.25">
      <c r="B156" s="24"/>
      <c r="C156" s="31"/>
      <c r="D156" s="29"/>
    </row>
    <row r="157" spans="2:4" hidden="1" x14ac:dyDescent="0.25">
      <c r="B157" s="24"/>
      <c r="C157" s="31"/>
      <c r="D157" s="29"/>
    </row>
    <row r="158" spans="2:4" hidden="1" x14ac:dyDescent="0.25">
      <c r="B158" s="24"/>
      <c r="C158" s="31"/>
      <c r="D158" s="29"/>
    </row>
    <row r="159" spans="2:4" hidden="1" x14ac:dyDescent="0.25">
      <c r="B159" s="48" t="s">
        <v>720</v>
      </c>
      <c r="C159" s="31"/>
      <c r="D159" s="29"/>
    </row>
    <row r="160" spans="2:4" hidden="1" x14ac:dyDescent="0.25">
      <c r="B160" s="29" t="s">
        <v>724</v>
      </c>
      <c r="C160" s="31" t="e">
        <f>'Baseline farm'!D189</f>
        <v>#DIV/0!</v>
      </c>
      <c r="D160" s="29" t="s">
        <v>731</v>
      </c>
    </row>
    <row r="161" spans="2:4" hidden="1" x14ac:dyDescent="0.25">
      <c r="B161" s="24" t="s">
        <v>725</v>
      </c>
      <c r="C161" s="31" t="e">
        <f>C16*0.134 + 1.23 + (0.235 * C19)</f>
        <v>#DIV/0!</v>
      </c>
      <c r="D161" s="29" t="s">
        <v>471</v>
      </c>
    </row>
    <row r="162" spans="2:4" hidden="1" x14ac:dyDescent="0.25">
      <c r="B162" s="24" t="s">
        <v>729</v>
      </c>
      <c r="C162" s="31" t="e">
        <f>'Baseline farm'!D189*C161</f>
        <v>#DIV/0!</v>
      </c>
      <c r="D162" s="29" t="s">
        <v>154</v>
      </c>
    </row>
    <row r="163" spans="2:4" hidden="1" x14ac:dyDescent="0.25">
      <c r="B163" s="24" t="s">
        <v>732</v>
      </c>
      <c r="C163" s="31">
        <f>C21</f>
        <v>3</v>
      </c>
      <c r="D163" s="29"/>
    </row>
    <row r="164" spans="2:4" hidden="1" x14ac:dyDescent="0.25">
      <c r="B164" s="24" t="s">
        <v>733</v>
      </c>
      <c r="C164" s="31">
        <f>IF((C23*0.134)+1.23+(0.235*C27)&gt;13.5,13.5,(C23*0.134)+1.23+(0.235*C27))</f>
        <v>13.5</v>
      </c>
      <c r="D164" s="29" t="s">
        <v>884</v>
      </c>
    </row>
    <row r="165" spans="2:4" hidden="1" x14ac:dyDescent="0.25">
      <c r="B165" s="24" t="s">
        <v>726</v>
      </c>
      <c r="C165" s="31">
        <f>C164*C163</f>
        <v>40.5</v>
      </c>
      <c r="D165" s="29" t="s">
        <v>734</v>
      </c>
    </row>
    <row r="166" spans="2:4" hidden="1" x14ac:dyDescent="0.25">
      <c r="B166" s="24" t="s">
        <v>96</v>
      </c>
      <c r="C166" s="31">
        <f>C33</f>
        <v>0.4</v>
      </c>
      <c r="D166" s="29"/>
    </row>
    <row r="167" spans="2:4" hidden="1" x14ac:dyDescent="0.25">
      <c r="B167" s="24" t="s">
        <v>724</v>
      </c>
      <c r="C167" s="31" t="e">
        <f>C160-(C163*C166)</f>
        <v>#DIV/0!</v>
      </c>
      <c r="D167" s="29" t="s">
        <v>735</v>
      </c>
    </row>
    <row r="168" spans="2:4" hidden="1" x14ac:dyDescent="0.25">
      <c r="B168" s="24" t="s">
        <v>727</v>
      </c>
      <c r="C168" s="31" t="e">
        <f>C167*C161</f>
        <v>#DIV/0!</v>
      </c>
      <c r="D168" s="29" t="s">
        <v>1077</v>
      </c>
    </row>
    <row r="169" spans="2:4" hidden="1" x14ac:dyDescent="0.25">
      <c r="B169" s="24" t="s">
        <v>728</v>
      </c>
      <c r="C169" s="31" t="e">
        <f>C168+C165</f>
        <v>#DIV/0!</v>
      </c>
      <c r="D169" s="29" t="s">
        <v>1078</v>
      </c>
    </row>
    <row r="170" spans="2:4" hidden="1" x14ac:dyDescent="0.25">
      <c r="B170" s="24" t="s">
        <v>730</v>
      </c>
      <c r="C170" s="31" t="e">
        <f>C169-C162</f>
        <v>#DIV/0!</v>
      </c>
      <c r="D170" s="29" t="s">
        <v>736</v>
      </c>
    </row>
    <row r="171" spans="2:4" hidden="1" x14ac:dyDescent="0.25">
      <c r="B171" s="24" t="s">
        <v>737</v>
      </c>
      <c r="C171" s="31" t="e">
        <f>C170/5.5</f>
        <v>#DIV/0!</v>
      </c>
      <c r="D171" s="29" t="s">
        <v>712</v>
      </c>
    </row>
    <row r="172" spans="2:4" hidden="1" x14ac:dyDescent="0.25">
      <c r="B172" s="24" t="s">
        <v>738</v>
      </c>
      <c r="C172" s="31" t="e">
        <f>C171+'Baseline farm'!H28</f>
        <v>#DIV/0!</v>
      </c>
      <c r="D172" s="29"/>
    </row>
    <row r="173" spans="2:4" hidden="1" x14ac:dyDescent="0.25">
      <c r="B173" s="24" t="s">
        <v>832</v>
      </c>
      <c r="C173" s="31" t="e">
        <f>(C171*C29*C11)*(0.2534+(0.1226*'Baseline farm'!P172)+(0.0776*'Baseline farm'!P173))</f>
        <v>#DIV/0!</v>
      </c>
      <c r="D173" s="29"/>
    </row>
    <row r="174" spans="2:4" hidden="1" x14ac:dyDescent="0.25">
      <c r="B174" s="24" t="s">
        <v>833</v>
      </c>
      <c r="C174" s="31" t="e">
        <f>C173/365</f>
        <v>#DIV/0!</v>
      </c>
      <c r="D174" s="29"/>
    </row>
    <row r="175" spans="2:4" hidden="1" x14ac:dyDescent="0.25">
      <c r="B175" s="24" t="s">
        <v>834</v>
      </c>
      <c r="C175" s="31" t="e">
        <f>C174/C11</f>
        <v>#DIV/0!</v>
      </c>
      <c r="D175" s="29"/>
    </row>
    <row r="176" spans="2:4" hidden="1" x14ac:dyDescent="0.25">
      <c r="B176" s="24"/>
      <c r="C176" s="31"/>
      <c r="D176" s="29"/>
    </row>
    <row r="177" spans="2:22" hidden="1" x14ac:dyDescent="0.25">
      <c r="B177" s="27" t="s">
        <v>176</v>
      </c>
      <c r="C177" s="31"/>
      <c r="D177" s="29"/>
    </row>
    <row r="178" spans="2:22" hidden="1" x14ac:dyDescent="0.25">
      <c r="B178" s="29" t="s">
        <v>184</v>
      </c>
      <c r="C178" s="31">
        <f>C19</f>
        <v>3</v>
      </c>
      <c r="D178" s="29"/>
    </row>
    <row r="179" spans="2:22" hidden="1" x14ac:dyDescent="0.25">
      <c r="B179" s="24" t="s">
        <v>185</v>
      </c>
      <c r="C179" s="31" t="e">
        <f>(C27*C21/(C145))+(C19*(C145-C21)/C145)</f>
        <v>#DIV/0!</v>
      </c>
      <c r="D179" s="29" t="s">
        <v>187</v>
      </c>
    </row>
    <row r="180" spans="2:22" hidden="1" x14ac:dyDescent="0.25">
      <c r="B180" s="24" t="s">
        <v>42</v>
      </c>
      <c r="C180" s="49" t="e">
        <f>C179-C178</f>
        <v>#DIV/0!</v>
      </c>
      <c r="D180" s="29" t="s">
        <v>149</v>
      </c>
    </row>
    <row r="181" spans="2:22" hidden="1" x14ac:dyDescent="0.25">
      <c r="B181" s="29"/>
      <c r="C181" s="52"/>
      <c r="D181" s="29"/>
    </row>
    <row r="182" spans="2:22" hidden="1" x14ac:dyDescent="0.25">
      <c r="B182" s="29"/>
      <c r="C182" s="29"/>
      <c r="D182" s="29"/>
    </row>
    <row r="183" spans="2:22" hidden="1" x14ac:dyDescent="0.25">
      <c r="B183" s="27" t="s">
        <v>177</v>
      </c>
      <c r="C183" s="29"/>
      <c r="D183" s="29"/>
    </row>
    <row r="184" spans="2:22" hidden="1" x14ac:dyDescent="0.25">
      <c r="B184" s="24" t="s">
        <v>213</v>
      </c>
      <c r="C184" s="31" t="e">
        <f>C422</f>
        <v>#DIV/0!</v>
      </c>
      <c r="D184" s="29"/>
    </row>
    <row r="185" spans="2:22" hidden="1" x14ac:dyDescent="0.25">
      <c r="B185" s="24" t="s">
        <v>837</v>
      </c>
      <c r="C185" s="51">
        <f>'Baseline farm'!P176</f>
        <v>0</v>
      </c>
      <c r="D185" s="29"/>
    </row>
    <row r="186" spans="2:22" hidden="1" x14ac:dyDescent="0.25">
      <c r="B186" s="24" t="s">
        <v>214</v>
      </c>
      <c r="C186" s="49" t="e">
        <f>C184*1000/C185</f>
        <v>#DIV/0!</v>
      </c>
      <c r="D186" s="29"/>
    </row>
    <row r="187" spans="2:22" hidden="1" x14ac:dyDescent="0.25">
      <c r="B187" s="24" t="s">
        <v>215</v>
      </c>
      <c r="C187" s="31" t="e">
        <f>C429</f>
        <v>#DIV/0!</v>
      </c>
      <c r="D187" s="29"/>
    </row>
    <row r="188" spans="2:22" hidden="1" x14ac:dyDescent="0.25">
      <c r="B188" s="24" t="s">
        <v>838</v>
      </c>
      <c r="C188" s="51" t="e">
        <f>C185+C173</f>
        <v>#DIV/0!</v>
      </c>
      <c r="D188" s="29"/>
    </row>
    <row r="189" spans="2:22" hidden="1" x14ac:dyDescent="0.25">
      <c r="B189" s="24" t="s">
        <v>839</v>
      </c>
      <c r="C189" s="49" t="e">
        <f>C187*1000/C188</f>
        <v>#DIV/0!</v>
      </c>
      <c r="D189" s="29"/>
    </row>
    <row r="190" spans="2:22" hidden="1" x14ac:dyDescent="0.25">
      <c r="B190" s="24" t="s">
        <v>1239</v>
      </c>
      <c r="C190" s="49" t="e">
        <f>C186-C189</f>
        <v>#DIV/0!</v>
      </c>
      <c r="D190" s="29"/>
    </row>
    <row r="191" spans="2:22" hidden="1" x14ac:dyDescent="0.25">
      <c r="B191" s="27"/>
      <c r="C191" s="29"/>
      <c r="D191" s="29"/>
    </row>
    <row r="192" spans="2:22" s="29" customFormat="1" ht="15" hidden="1" customHeight="1" x14ac:dyDescent="0.2">
      <c r="B192" s="27" t="s">
        <v>219</v>
      </c>
      <c r="I192" s="173"/>
      <c r="J192" s="173"/>
      <c r="K192" s="173"/>
      <c r="L192" s="173"/>
      <c r="M192" s="173"/>
      <c r="N192" s="173"/>
      <c r="O192" s="173"/>
      <c r="P192" s="173"/>
      <c r="Q192" s="173"/>
      <c r="R192" s="173"/>
      <c r="S192" s="173"/>
      <c r="T192" s="173"/>
      <c r="U192" s="173"/>
      <c r="V192" s="173"/>
    </row>
    <row r="193" spans="2:22" s="29" customFormat="1" ht="15" hidden="1" customHeight="1" x14ac:dyDescent="0.25">
      <c r="B193" s="24" t="s">
        <v>840</v>
      </c>
      <c r="C193" s="49" t="e">
        <f>C190</f>
        <v>#DIV/0!</v>
      </c>
      <c r="G193" s="20"/>
      <c r="H193" s="20"/>
      <c r="I193" s="559"/>
      <c r="J193" s="559"/>
      <c r="K193" s="173"/>
      <c r="L193" s="173"/>
      <c r="M193" s="173"/>
      <c r="N193" s="173"/>
      <c r="O193" s="173"/>
      <c r="P193" s="173"/>
      <c r="Q193" s="173"/>
      <c r="R193" s="173"/>
      <c r="S193" s="173"/>
      <c r="T193" s="173"/>
      <c r="U193" s="173"/>
      <c r="V193" s="173"/>
    </row>
    <row r="194" spans="2:22" s="29" customFormat="1" ht="15" hidden="1" customHeight="1" x14ac:dyDescent="0.25">
      <c r="B194" s="29" t="s">
        <v>841</v>
      </c>
      <c r="C194" s="51" t="e">
        <f>C188</f>
        <v>#DIV/0!</v>
      </c>
      <c r="G194" s="20"/>
      <c r="H194" s="20"/>
      <c r="I194" s="559"/>
      <c r="J194" s="559"/>
      <c r="K194" s="173"/>
      <c r="L194" s="173"/>
      <c r="M194" s="173"/>
      <c r="N194" s="173"/>
      <c r="O194" s="173"/>
      <c r="P194" s="173"/>
      <c r="Q194" s="173"/>
      <c r="R194" s="173"/>
      <c r="S194" s="173"/>
      <c r="T194" s="173"/>
      <c r="U194" s="173"/>
      <c r="V194" s="173"/>
    </row>
    <row r="195" spans="2:22" hidden="1" x14ac:dyDescent="0.25">
      <c r="B195" s="29" t="s">
        <v>878</v>
      </c>
      <c r="C195" s="515" t="e">
        <f>C194*C193</f>
        <v>#DIV/0!</v>
      </c>
      <c r="D195" s="515"/>
      <c r="E195" s="29"/>
    </row>
    <row r="196" spans="2:22" hidden="1" x14ac:dyDescent="0.25">
      <c r="B196" s="29" t="s">
        <v>879</v>
      </c>
      <c r="C196" s="515" t="e">
        <f>C195/365</f>
        <v>#DIV/0!</v>
      </c>
      <c r="D196" s="515"/>
      <c r="E196" s="29"/>
    </row>
    <row r="197" spans="2:22" hidden="1" x14ac:dyDescent="0.25">
      <c r="B197" s="29" t="s">
        <v>880</v>
      </c>
      <c r="C197" s="515">
        <f>C29</f>
        <v>90</v>
      </c>
      <c r="D197" s="515"/>
      <c r="E197" s="29"/>
    </row>
    <row r="198" spans="2:22" hidden="1" x14ac:dyDescent="0.25">
      <c r="B198" s="29" t="s">
        <v>881</v>
      </c>
      <c r="C198" s="515" t="e">
        <f>C197*C196</f>
        <v>#DIV/0!</v>
      </c>
      <c r="D198" s="515"/>
      <c r="E198" s="29"/>
    </row>
    <row r="199" spans="2:22" hidden="1" x14ac:dyDescent="0.25">
      <c r="B199" s="29" t="s">
        <v>226</v>
      </c>
      <c r="C199" s="53">
        <f>C39</f>
        <v>6</v>
      </c>
      <c r="D199" s="53"/>
      <c r="E199" s="29"/>
    </row>
    <row r="200" spans="2:22" hidden="1" x14ac:dyDescent="0.25">
      <c r="B200" s="29" t="s">
        <v>228</v>
      </c>
      <c r="C200" s="54" t="e">
        <f>C198/1000*C199</f>
        <v>#DIV/0!</v>
      </c>
      <c r="D200" s="54"/>
      <c r="E200" s="29"/>
    </row>
    <row r="201" spans="2:22" hidden="1" x14ac:dyDescent="0.25">
      <c r="G201" s="302"/>
      <c r="H201" s="20"/>
    </row>
    <row r="202" spans="2:22" hidden="1" x14ac:dyDescent="0.25">
      <c r="G202" s="20"/>
      <c r="H202" s="20"/>
    </row>
    <row r="203" spans="2:22" hidden="1" x14ac:dyDescent="0.25">
      <c r="G203" s="20"/>
      <c r="H203" s="20"/>
    </row>
    <row r="204" spans="2:22" s="20" customFormat="1" hidden="1" x14ac:dyDescent="0.25">
      <c r="B204" s="27" t="s">
        <v>170</v>
      </c>
      <c r="C204" s="164"/>
      <c r="D204" s="164"/>
      <c r="I204" s="559"/>
      <c r="J204" s="559"/>
      <c r="K204" s="559"/>
      <c r="L204" s="559"/>
      <c r="M204" s="559"/>
      <c r="N204" s="559"/>
      <c r="O204" s="559"/>
      <c r="P204" s="559"/>
      <c r="Q204" s="559"/>
      <c r="R204" s="559"/>
      <c r="S204" s="559"/>
      <c r="T204" s="559"/>
      <c r="U204" s="559"/>
      <c r="V204" s="559"/>
    </row>
    <row r="205" spans="2:22" s="20" customFormat="1" hidden="1" x14ac:dyDescent="0.25">
      <c r="B205" s="27" t="s">
        <v>479</v>
      </c>
      <c r="C205" s="164"/>
      <c r="D205" s="164"/>
      <c r="I205" s="559"/>
      <c r="J205" s="559"/>
      <c r="K205" s="559"/>
      <c r="L205" s="559"/>
      <c r="M205" s="559"/>
      <c r="N205" s="559"/>
      <c r="O205" s="559"/>
      <c r="P205" s="559"/>
      <c r="Q205" s="559"/>
      <c r="R205" s="559"/>
      <c r="S205" s="559"/>
      <c r="T205" s="559"/>
      <c r="U205" s="559"/>
      <c r="V205" s="559"/>
    </row>
    <row r="206" spans="2:22" s="20" customFormat="1" hidden="1" x14ac:dyDescent="0.25">
      <c r="B206" s="24" t="s">
        <v>11</v>
      </c>
      <c r="C206" s="218" t="e">
        <f>'Baseline farm'!D222</f>
        <v>#DIV/0!</v>
      </c>
      <c r="D206" s="164"/>
      <c r="I206" s="559"/>
      <c r="J206" s="559"/>
      <c r="K206" s="559"/>
      <c r="L206" s="559"/>
      <c r="M206" s="559"/>
      <c r="N206" s="559"/>
      <c r="O206" s="559"/>
      <c r="P206" s="559"/>
      <c r="Q206" s="559"/>
      <c r="R206" s="559"/>
      <c r="S206" s="559"/>
      <c r="T206" s="559"/>
      <c r="U206" s="559"/>
      <c r="V206" s="559"/>
    </row>
    <row r="207" spans="2:22" s="20" customFormat="1" hidden="1" x14ac:dyDescent="0.25">
      <c r="B207" s="164"/>
      <c r="C207" s="164"/>
      <c r="D207" s="164"/>
      <c r="I207" s="559"/>
      <c r="J207" s="559"/>
      <c r="K207" s="559"/>
      <c r="L207" s="559"/>
      <c r="M207" s="559"/>
      <c r="N207" s="559"/>
      <c r="O207" s="559"/>
      <c r="P207" s="559"/>
      <c r="Q207" s="559"/>
      <c r="R207" s="559"/>
      <c r="S207" s="559"/>
      <c r="T207" s="559"/>
      <c r="U207" s="559"/>
      <c r="V207" s="559"/>
    </row>
    <row r="208" spans="2:22" s="20" customFormat="1" hidden="1" x14ac:dyDescent="0.25">
      <c r="B208" s="24" t="s">
        <v>12</v>
      </c>
      <c r="C208" s="32">
        <f>$C$11</f>
        <v>0</v>
      </c>
      <c r="D208" s="29"/>
      <c r="I208" s="559"/>
      <c r="J208" s="559"/>
      <c r="K208" s="559"/>
      <c r="L208" s="559"/>
      <c r="M208" s="559"/>
      <c r="N208" s="559"/>
      <c r="O208" s="559"/>
      <c r="P208" s="559"/>
      <c r="Q208" s="559"/>
      <c r="R208" s="559"/>
      <c r="S208" s="559"/>
      <c r="T208" s="559"/>
      <c r="U208" s="559"/>
      <c r="V208" s="559"/>
    </row>
    <row r="209" spans="2:22" s="20" customFormat="1" hidden="1" x14ac:dyDescent="0.25">
      <c r="B209" s="24" t="s">
        <v>13</v>
      </c>
      <c r="C209" s="44" t="e">
        <f>C206*C208*365</f>
        <v>#DIV/0!</v>
      </c>
      <c r="D209" s="29"/>
      <c r="I209" s="559"/>
      <c r="J209" s="559"/>
      <c r="K209" s="559"/>
      <c r="L209" s="559"/>
      <c r="M209" s="559"/>
      <c r="N209" s="559"/>
      <c r="O209" s="559"/>
      <c r="P209" s="559"/>
      <c r="Q209" s="559"/>
      <c r="R209" s="559"/>
      <c r="S209" s="559"/>
      <c r="T209" s="559"/>
      <c r="U209" s="559"/>
      <c r="V209" s="559"/>
    </row>
    <row r="210" spans="2:22" s="20" customFormat="1" hidden="1" x14ac:dyDescent="0.25">
      <c r="B210" s="27" t="s">
        <v>14</v>
      </c>
      <c r="C210" s="45" t="e">
        <f>C209*25/1000</f>
        <v>#DIV/0!</v>
      </c>
      <c r="D210" s="29"/>
      <c r="I210" s="559"/>
      <c r="J210" s="559"/>
      <c r="K210" s="559"/>
      <c r="L210" s="559"/>
      <c r="M210" s="559"/>
      <c r="N210" s="559"/>
      <c r="O210" s="559"/>
      <c r="P210" s="559"/>
      <c r="Q210" s="559"/>
      <c r="R210" s="559"/>
      <c r="S210" s="559"/>
      <c r="T210" s="559"/>
      <c r="U210" s="559"/>
      <c r="V210" s="559"/>
    </row>
    <row r="211" spans="2:22" s="20" customFormat="1" hidden="1" x14ac:dyDescent="0.25">
      <c r="B211" s="164"/>
      <c r="C211" s="164"/>
      <c r="D211" s="164"/>
      <c r="I211" s="559"/>
      <c r="J211" s="559"/>
      <c r="K211" s="559"/>
      <c r="L211" s="559"/>
      <c r="M211" s="559"/>
      <c r="N211" s="559"/>
      <c r="O211" s="559"/>
      <c r="P211" s="559"/>
      <c r="Q211" s="559"/>
      <c r="R211" s="559"/>
      <c r="S211" s="559"/>
      <c r="T211" s="559"/>
      <c r="U211" s="559"/>
      <c r="V211" s="559"/>
    </row>
    <row r="212" spans="2:22" s="20" customFormat="1" hidden="1" x14ac:dyDescent="0.25">
      <c r="B212" s="164"/>
      <c r="C212" s="164"/>
      <c r="D212" s="164"/>
      <c r="I212" s="559"/>
      <c r="J212" s="559"/>
      <c r="K212" s="559"/>
      <c r="L212" s="559"/>
      <c r="M212" s="559"/>
      <c r="N212" s="559"/>
      <c r="O212" s="559"/>
      <c r="P212" s="559"/>
      <c r="Q212" s="559"/>
      <c r="R212" s="559"/>
      <c r="S212" s="559"/>
      <c r="T212" s="559"/>
      <c r="U212" s="559"/>
      <c r="V212" s="559"/>
    </row>
    <row r="213" spans="2:22" s="20" customFormat="1" hidden="1" x14ac:dyDescent="0.25">
      <c r="B213" s="48" t="s">
        <v>171</v>
      </c>
      <c r="C213" s="164"/>
      <c r="D213" s="164"/>
      <c r="I213" s="559"/>
      <c r="J213" s="559"/>
      <c r="K213" s="559"/>
      <c r="L213" s="559"/>
      <c r="M213" s="559"/>
      <c r="N213" s="559"/>
      <c r="O213" s="559"/>
      <c r="P213" s="559"/>
      <c r="Q213" s="559"/>
      <c r="R213" s="559"/>
      <c r="S213" s="559"/>
      <c r="T213" s="559"/>
      <c r="U213" s="559"/>
      <c r="V213" s="559"/>
    </row>
    <row r="214" spans="2:22" s="20" customFormat="1" hidden="1" x14ac:dyDescent="0.25">
      <c r="B214" s="27" t="s">
        <v>479</v>
      </c>
      <c r="C214" s="164"/>
      <c r="D214" s="164"/>
      <c r="I214" s="559"/>
      <c r="J214" s="559"/>
      <c r="K214" s="559"/>
      <c r="L214" s="559"/>
      <c r="M214" s="559"/>
      <c r="N214" s="559"/>
      <c r="O214" s="559"/>
      <c r="P214" s="559"/>
      <c r="Q214" s="559"/>
      <c r="R214" s="559"/>
      <c r="S214" s="559"/>
      <c r="T214" s="559"/>
      <c r="U214" s="559"/>
      <c r="V214" s="559"/>
    </row>
    <row r="215" spans="2:22" s="20" customFormat="1" hidden="1" x14ac:dyDescent="0.25">
      <c r="B215" s="164"/>
      <c r="C215" s="164"/>
      <c r="D215" s="164"/>
      <c r="I215" s="559"/>
      <c r="J215" s="559"/>
      <c r="K215" s="559"/>
      <c r="L215" s="559"/>
      <c r="M215" s="559"/>
      <c r="N215" s="559"/>
      <c r="O215" s="559"/>
      <c r="P215" s="559"/>
      <c r="Q215" s="559"/>
      <c r="R215" s="559"/>
      <c r="S215" s="559"/>
      <c r="T215" s="559"/>
      <c r="U215" s="559"/>
      <c r="V215" s="559"/>
    </row>
    <row r="216" spans="2:22" s="20" customFormat="1" hidden="1" x14ac:dyDescent="0.25">
      <c r="B216" s="219" t="s">
        <v>290</v>
      </c>
      <c r="C216" s="218" t="e">
        <f>(C113*(1-C143%)+(0.04*C113))*(1-0.08)</f>
        <v>#DIV/0!</v>
      </c>
      <c r="D216" s="164"/>
      <c r="I216" s="559"/>
      <c r="J216" s="559"/>
      <c r="K216" s="559"/>
      <c r="L216" s="559"/>
      <c r="M216" s="559"/>
      <c r="N216" s="559"/>
      <c r="O216" s="559"/>
      <c r="P216" s="559"/>
      <c r="Q216" s="559"/>
      <c r="R216" s="559"/>
      <c r="S216" s="559"/>
      <c r="T216" s="559"/>
      <c r="U216" s="559"/>
      <c r="V216" s="559"/>
    </row>
    <row r="217" spans="2:22" s="20" customFormat="1" hidden="1" x14ac:dyDescent="0.25">
      <c r="B217" s="29"/>
      <c r="C217" s="218"/>
      <c r="D217" s="164"/>
      <c r="I217" s="559"/>
      <c r="J217" s="559"/>
      <c r="K217" s="559"/>
      <c r="L217" s="559"/>
      <c r="M217" s="559"/>
      <c r="N217" s="559"/>
      <c r="O217" s="559"/>
      <c r="P217" s="559"/>
      <c r="Q217" s="559"/>
      <c r="R217" s="559"/>
      <c r="S217" s="559"/>
      <c r="T217" s="559"/>
      <c r="U217" s="559"/>
      <c r="V217" s="559"/>
    </row>
    <row r="218" spans="2:22" s="20" customFormat="1" hidden="1" x14ac:dyDescent="0.25">
      <c r="B218" s="219" t="s">
        <v>294</v>
      </c>
      <c r="C218" s="218" t="e">
        <f>C216*'Baseline farm'!C210*'Baseline farm'!I90%*'Baseline farm'!C211</f>
        <v>#DIV/0!</v>
      </c>
      <c r="D218" s="164"/>
      <c r="I218" s="559"/>
      <c r="J218" s="559"/>
      <c r="K218" s="559"/>
      <c r="L218" s="559"/>
      <c r="M218" s="559"/>
      <c r="N218" s="559"/>
      <c r="O218" s="559"/>
      <c r="P218" s="559"/>
      <c r="Q218" s="559"/>
      <c r="R218" s="559"/>
      <c r="S218" s="559"/>
      <c r="T218" s="559"/>
      <c r="U218" s="559"/>
      <c r="V218" s="559"/>
    </row>
    <row r="219" spans="2:22" s="20" customFormat="1" hidden="1" x14ac:dyDescent="0.25">
      <c r="B219" s="164"/>
      <c r="C219" s="218"/>
      <c r="D219" s="164"/>
      <c r="I219" s="559"/>
      <c r="J219" s="559"/>
      <c r="K219" s="559"/>
      <c r="L219" s="559"/>
      <c r="M219" s="559"/>
      <c r="N219" s="559"/>
      <c r="O219" s="559"/>
      <c r="P219" s="559"/>
      <c r="Q219" s="559"/>
      <c r="R219" s="559"/>
      <c r="S219" s="559"/>
      <c r="T219" s="559"/>
      <c r="U219" s="559"/>
      <c r="V219" s="559"/>
    </row>
    <row r="220" spans="2:22" hidden="1" x14ac:dyDescent="0.25">
      <c r="B220" s="24" t="s">
        <v>12</v>
      </c>
      <c r="C220" s="32">
        <f>$C$11</f>
        <v>0</v>
      </c>
      <c r="D220" s="29"/>
      <c r="E220" s="37"/>
      <c r="F220" s="157"/>
    </row>
    <row r="221" spans="2:22" hidden="1" x14ac:dyDescent="0.25">
      <c r="B221" s="24" t="s">
        <v>13</v>
      </c>
      <c r="C221" s="44" t="e">
        <f>C218*C220*365</f>
        <v>#DIV/0!</v>
      </c>
      <c r="D221" s="29"/>
      <c r="E221" s="43"/>
      <c r="F221" s="157"/>
    </row>
    <row r="222" spans="2:22" hidden="1" x14ac:dyDescent="0.25">
      <c r="B222" s="27" t="s">
        <v>488</v>
      </c>
      <c r="C222" s="45" t="e">
        <f>C221*25/1000</f>
        <v>#DIV/0!</v>
      </c>
      <c r="D222" s="29"/>
      <c r="E222" s="37"/>
      <c r="F222" s="157"/>
    </row>
    <row r="223" spans="2:22" s="20" customFormat="1" hidden="1" x14ac:dyDescent="0.25">
      <c r="B223" s="164"/>
      <c r="C223" s="164"/>
      <c r="D223" s="164"/>
      <c r="I223" s="559"/>
      <c r="J223" s="559"/>
      <c r="K223" s="559"/>
      <c r="L223" s="559"/>
      <c r="M223" s="559"/>
      <c r="N223" s="559"/>
      <c r="O223" s="559"/>
      <c r="P223" s="559"/>
      <c r="Q223" s="559"/>
      <c r="R223" s="559"/>
      <c r="S223" s="559"/>
      <c r="T223" s="559"/>
      <c r="U223" s="559"/>
      <c r="V223" s="559"/>
    </row>
    <row r="224" spans="2:22" s="20" customFormat="1" hidden="1" x14ac:dyDescent="0.25">
      <c r="B224" s="165" t="s">
        <v>481</v>
      </c>
      <c r="C224" s="220" t="e">
        <f>C210-C222</f>
        <v>#DIV/0!</v>
      </c>
      <c r="D224" s="164"/>
      <c r="I224" s="559"/>
      <c r="J224" s="559"/>
      <c r="K224" s="559"/>
      <c r="L224" s="559"/>
      <c r="M224" s="559"/>
      <c r="N224" s="559"/>
      <c r="O224" s="559"/>
      <c r="P224" s="559"/>
      <c r="Q224" s="559"/>
      <c r="R224" s="559"/>
      <c r="S224" s="559"/>
      <c r="T224" s="559"/>
      <c r="U224" s="559"/>
      <c r="V224" s="559"/>
    </row>
    <row r="225" spans="2:22" s="20" customFormat="1" hidden="1" x14ac:dyDescent="0.25">
      <c r="B225" s="164"/>
      <c r="C225" s="164"/>
      <c r="D225" s="164"/>
      <c r="I225" s="559"/>
      <c r="J225" s="559"/>
      <c r="K225" s="559"/>
      <c r="L225" s="559"/>
      <c r="M225" s="559"/>
      <c r="N225" s="559"/>
      <c r="O225" s="559"/>
      <c r="P225" s="559"/>
      <c r="Q225" s="559"/>
      <c r="R225" s="559"/>
      <c r="S225" s="559"/>
      <c r="T225" s="559"/>
      <c r="U225" s="559"/>
      <c r="V225" s="559"/>
    </row>
    <row r="226" spans="2:22" s="20" customFormat="1" hidden="1" x14ac:dyDescent="0.25">
      <c r="B226" s="27" t="s">
        <v>170</v>
      </c>
      <c r="C226" s="164"/>
      <c r="D226" s="164"/>
      <c r="I226" s="559"/>
      <c r="J226" s="559"/>
      <c r="K226" s="559"/>
      <c r="L226" s="559"/>
      <c r="M226" s="559"/>
      <c r="N226" s="559"/>
      <c r="O226" s="559"/>
      <c r="P226" s="559"/>
      <c r="Q226" s="559"/>
      <c r="R226" s="559"/>
      <c r="S226" s="559"/>
      <c r="T226" s="559"/>
      <c r="U226" s="559"/>
      <c r="V226" s="559"/>
    </row>
    <row r="227" spans="2:22" s="20" customFormat="1" hidden="1" x14ac:dyDescent="0.25">
      <c r="B227" s="166" t="s">
        <v>464</v>
      </c>
      <c r="C227" s="164"/>
      <c r="D227" s="164"/>
      <c r="I227" s="559"/>
      <c r="J227" s="559"/>
      <c r="K227" s="559"/>
      <c r="L227" s="559"/>
      <c r="M227" s="559"/>
      <c r="N227" s="559"/>
      <c r="O227" s="559"/>
      <c r="P227" s="559"/>
      <c r="Q227" s="559"/>
      <c r="R227" s="559"/>
      <c r="S227" s="559"/>
      <c r="T227" s="559"/>
      <c r="U227" s="559"/>
      <c r="V227" s="559"/>
    </row>
    <row r="228" spans="2:22" s="20" customFormat="1" hidden="1" x14ac:dyDescent="0.25">
      <c r="B228" s="164" t="s">
        <v>490</v>
      </c>
      <c r="C228" s="218" t="e">
        <f>'Baseline farm'!D102/298*1000</f>
        <v>#DIV/0!</v>
      </c>
      <c r="D228" s="164"/>
      <c r="I228" s="559"/>
      <c r="J228" s="559"/>
      <c r="K228" s="559"/>
      <c r="L228" s="559"/>
      <c r="M228" s="559"/>
      <c r="N228" s="559"/>
      <c r="O228" s="559"/>
      <c r="P228" s="559"/>
      <c r="Q228" s="559"/>
      <c r="R228" s="559"/>
      <c r="S228" s="559"/>
      <c r="T228" s="559"/>
      <c r="U228" s="559"/>
      <c r="V228" s="559"/>
    </row>
    <row r="229" spans="2:22" s="20" customFormat="1" hidden="1" x14ac:dyDescent="0.25">
      <c r="B229" s="164"/>
      <c r="C229" s="164"/>
      <c r="D229" s="164"/>
      <c r="I229" s="559"/>
      <c r="J229" s="559"/>
      <c r="K229" s="559"/>
      <c r="L229" s="559"/>
      <c r="M229" s="559"/>
      <c r="N229" s="559"/>
      <c r="O229" s="559"/>
      <c r="P229" s="559"/>
      <c r="Q229" s="559"/>
      <c r="R229" s="559"/>
      <c r="S229" s="559"/>
      <c r="T229" s="559"/>
      <c r="U229" s="559"/>
      <c r="V229" s="559"/>
    </row>
    <row r="230" spans="2:22" s="20" customFormat="1" hidden="1" x14ac:dyDescent="0.25">
      <c r="B230" s="166" t="s">
        <v>1538</v>
      </c>
      <c r="C230" s="164"/>
      <c r="D230" s="164"/>
      <c r="I230" s="559"/>
      <c r="J230" s="559"/>
      <c r="K230" s="559"/>
      <c r="L230" s="559"/>
      <c r="M230" s="559"/>
      <c r="N230" s="559"/>
      <c r="O230" s="559"/>
      <c r="P230" s="559"/>
      <c r="Q230" s="559"/>
      <c r="R230" s="559"/>
      <c r="S230" s="559"/>
      <c r="T230" s="559"/>
      <c r="U230" s="559"/>
      <c r="V230" s="559"/>
    </row>
    <row r="231" spans="2:22" s="20" customFormat="1" hidden="1" x14ac:dyDescent="0.25">
      <c r="B231" s="164" t="s">
        <v>490</v>
      </c>
      <c r="C231" s="218" t="e">
        <f>'Baseline farm'!D103/298*1000</f>
        <v>#DIV/0!</v>
      </c>
      <c r="D231" s="164"/>
      <c r="I231" s="559"/>
      <c r="J231" s="559"/>
      <c r="K231" s="559"/>
      <c r="L231" s="559"/>
      <c r="M231" s="559"/>
      <c r="N231" s="559"/>
      <c r="O231" s="559"/>
      <c r="P231" s="559"/>
      <c r="Q231" s="559"/>
      <c r="R231" s="559"/>
      <c r="S231" s="559"/>
      <c r="T231" s="559"/>
      <c r="U231" s="559"/>
      <c r="V231" s="559"/>
    </row>
    <row r="232" spans="2:22" s="20" customFormat="1" hidden="1" x14ac:dyDescent="0.25">
      <c r="B232" s="29"/>
      <c r="C232" s="164"/>
      <c r="D232" s="164"/>
      <c r="I232" s="559"/>
      <c r="J232" s="559"/>
      <c r="K232" s="559"/>
      <c r="L232" s="559"/>
      <c r="M232" s="559"/>
      <c r="N232" s="559"/>
      <c r="O232" s="559"/>
      <c r="P232" s="559"/>
      <c r="Q232" s="559"/>
      <c r="R232" s="559"/>
      <c r="S232" s="559"/>
      <c r="T232" s="559"/>
      <c r="U232" s="559"/>
      <c r="V232" s="559"/>
    </row>
    <row r="233" spans="2:22" s="20" customFormat="1" hidden="1" x14ac:dyDescent="0.25">
      <c r="B233" s="166" t="s">
        <v>461</v>
      </c>
      <c r="C233" s="164"/>
      <c r="D233" s="164"/>
      <c r="I233" s="559"/>
      <c r="J233" s="559"/>
      <c r="K233" s="559"/>
      <c r="L233" s="559"/>
      <c r="M233" s="559"/>
      <c r="N233" s="559"/>
      <c r="O233" s="559"/>
      <c r="P233" s="559"/>
      <c r="Q233" s="559"/>
      <c r="R233" s="559"/>
      <c r="S233" s="559"/>
      <c r="T233" s="559"/>
      <c r="U233" s="559"/>
      <c r="V233" s="559"/>
    </row>
    <row r="234" spans="2:22" s="20" customFormat="1" hidden="1" x14ac:dyDescent="0.25">
      <c r="B234" s="164" t="s">
        <v>490</v>
      </c>
      <c r="C234" s="218" t="e">
        <f>'Baseline farm'!D104/298*1000</f>
        <v>#DIV/0!</v>
      </c>
      <c r="D234" s="164"/>
      <c r="I234" s="559"/>
      <c r="J234" s="559"/>
      <c r="K234" s="559"/>
      <c r="L234" s="559"/>
      <c r="M234" s="559"/>
      <c r="N234" s="559"/>
      <c r="O234" s="559"/>
      <c r="P234" s="559"/>
      <c r="Q234" s="559"/>
      <c r="R234" s="559"/>
      <c r="S234" s="559"/>
      <c r="T234" s="559"/>
      <c r="U234" s="559"/>
      <c r="V234" s="559"/>
    </row>
    <row r="235" spans="2:22" s="20" customFormat="1" hidden="1" x14ac:dyDescent="0.25">
      <c r="B235" s="164"/>
      <c r="C235" s="164"/>
      <c r="D235" s="164"/>
      <c r="I235" s="559"/>
      <c r="J235" s="559"/>
      <c r="K235" s="559"/>
      <c r="L235" s="559"/>
      <c r="M235" s="559"/>
      <c r="N235" s="559"/>
      <c r="O235" s="559"/>
      <c r="P235" s="559"/>
      <c r="Q235" s="559"/>
      <c r="R235" s="559"/>
      <c r="S235" s="559"/>
      <c r="T235" s="559"/>
      <c r="U235" s="559"/>
      <c r="V235" s="559"/>
    </row>
    <row r="236" spans="2:22" s="20" customFormat="1" hidden="1" x14ac:dyDescent="0.25">
      <c r="B236" s="165" t="s">
        <v>485</v>
      </c>
      <c r="C236" s="164"/>
      <c r="D236" s="164"/>
      <c r="I236" s="559"/>
      <c r="J236" s="559"/>
      <c r="K236" s="559"/>
      <c r="L236" s="559"/>
      <c r="M236" s="559"/>
      <c r="N236" s="559"/>
      <c r="O236" s="559"/>
      <c r="P236" s="559"/>
      <c r="Q236" s="559"/>
      <c r="R236" s="559"/>
      <c r="S236" s="559"/>
      <c r="T236" s="559"/>
      <c r="U236" s="559"/>
      <c r="V236" s="559"/>
    </row>
    <row r="237" spans="2:22" s="20" customFormat="1" hidden="1" x14ac:dyDescent="0.25">
      <c r="B237" s="164" t="s">
        <v>490</v>
      </c>
      <c r="C237" s="218" t="e">
        <f>C228+C231+C234</f>
        <v>#DIV/0!</v>
      </c>
      <c r="D237" s="164"/>
      <c r="I237" s="559"/>
      <c r="J237" s="559"/>
      <c r="K237" s="559"/>
      <c r="L237" s="559"/>
      <c r="M237" s="559"/>
      <c r="N237" s="559"/>
      <c r="O237" s="559"/>
      <c r="P237" s="559"/>
      <c r="Q237" s="559"/>
      <c r="R237" s="559"/>
      <c r="S237" s="559"/>
      <c r="T237" s="559"/>
      <c r="U237" s="559"/>
      <c r="V237" s="559"/>
    </row>
    <row r="238" spans="2:22" s="20" customFormat="1" hidden="1" x14ac:dyDescent="0.25">
      <c r="B238" s="164"/>
      <c r="C238" s="164"/>
      <c r="D238" s="164"/>
      <c r="I238" s="559"/>
      <c r="J238" s="559"/>
      <c r="K238" s="559"/>
      <c r="L238" s="559"/>
      <c r="M238" s="559"/>
      <c r="N238" s="559"/>
      <c r="O238" s="559"/>
      <c r="P238" s="559"/>
      <c r="Q238" s="559"/>
      <c r="R238" s="559"/>
      <c r="S238" s="559"/>
      <c r="T238" s="559"/>
      <c r="U238" s="559"/>
      <c r="V238" s="559"/>
    </row>
    <row r="239" spans="2:22" hidden="1" x14ac:dyDescent="0.25">
      <c r="B239" s="27" t="s">
        <v>487</v>
      </c>
      <c r="C239" s="45" t="e">
        <f>C237*298/1000</f>
        <v>#DIV/0!</v>
      </c>
      <c r="D239" s="29"/>
      <c r="E239" s="37"/>
      <c r="F239" s="157"/>
    </row>
    <row r="240" spans="2:22" s="20" customFormat="1" hidden="1" x14ac:dyDescent="0.25">
      <c r="I240" s="559"/>
      <c r="J240" s="559"/>
      <c r="K240" s="559"/>
      <c r="L240" s="559"/>
      <c r="M240" s="559"/>
      <c r="N240" s="559"/>
      <c r="O240" s="559"/>
      <c r="P240" s="559"/>
      <c r="Q240" s="559"/>
      <c r="R240" s="559"/>
      <c r="S240" s="559"/>
      <c r="T240" s="559"/>
      <c r="U240" s="559"/>
      <c r="V240" s="559"/>
    </row>
    <row r="241" spans="2:22" s="20" customFormat="1" hidden="1" x14ac:dyDescent="0.25">
      <c r="I241" s="559"/>
      <c r="J241" s="559"/>
      <c r="K241" s="559"/>
      <c r="L241" s="559"/>
      <c r="M241" s="559"/>
      <c r="N241" s="559"/>
      <c r="O241" s="559"/>
      <c r="P241" s="559"/>
      <c r="Q241" s="559"/>
      <c r="R241" s="559"/>
      <c r="S241" s="559"/>
      <c r="T241" s="559"/>
      <c r="U241" s="559"/>
      <c r="V241" s="559"/>
    </row>
    <row r="242" spans="2:22" s="20" customFormat="1" hidden="1" x14ac:dyDescent="0.25">
      <c r="B242" s="48" t="s">
        <v>171</v>
      </c>
      <c r="I242" s="559"/>
      <c r="J242" s="559"/>
      <c r="K242" s="559"/>
      <c r="L242" s="559"/>
      <c r="M242" s="559"/>
      <c r="N242" s="559"/>
      <c r="O242" s="559"/>
      <c r="P242" s="559"/>
      <c r="Q242" s="559"/>
      <c r="R242" s="559"/>
      <c r="S242" s="559"/>
      <c r="T242" s="559"/>
      <c r="U242" s="559"/>
      <c r="V242" s="559"/>
    </row>
    <row r="243" spans="2:22" hidden="1" x14ac:dyDescent="0.25"/>
    <row r="244" spans="2:22" s="17" customFormat="1" ht="15.75" hidden="1" x14ac:dyDescent="0.25">
      <c r="B244" s="221" t="s">
        <v>304</v>
      </c>
      <c r="C244" s="221" t="s">
        <v>253</v>
      </c>
      <c r="D244" s="222" t="s">
        <v>489</v>
      </c>
      <c r="E244" s="222"/>
      <c r="F244" s="222"/>
      <c r="G244" s="222"/>
      <c r="H244" s="222"/>
      <c r="I244" s="649"/>
      <c r="J244" s="650"/>
      <c r="K244" s="559"/>
      <c r="L244" s="559"/>
      <c r="M244" s="559"/>
      <c r="N244" s="559"/>
      <c r="O244" s="559"/>
      <c r="P244" s="559"/>
      <c r="Q244" s="559"/>
      <c r="R244" s="559"/>
      <c r="S244" s="559"/>
      <c r="T244" s="559"/>
      <c r="U244" s="559"/>
      <c r="V244" s="559"/>
    </row>
    <row r="245" spans="2:22" s="17" customFormat="1" ht="15.75" hidden="1" x14ac:dyDescent="0.25">
      <c r="B245" s="224"/>
      <c r="C245" s="224"/>
      <c r="D245" s="224"/>
      <c r="E245" s="224"/>
      <c r="F245" s="224"/>
      <c r="G245" s="224"/>
      <c r="H245" s="224"/>
      <c r="I245" s="56"/>
      <c r="J245" s="261"/>
      <c r="K245" s="559"/>
      <c r="L245" s="559"/>
      <c r="M245" s="559"/>
      <c r="N245" s="559"/>
      <c r="O245" s="559"/>
      <c r="P245" s="559"/>
      <c r="Q245" s="559"/>
      <c r="R245" s="559"/>
      <c r="S245" s="559"/>
      <c r="T245" s="559"/>
      <c r="U245" s="559"/>
      <c r="V245" s="559"/>
    </row>
    <row r="246" spans="2:22" s="17" customFormat="1" ht="15.75" hidden="1" x14ac:dyDescent="0.25">
      <c r="B246" s="226" t="s">
        <v>305</v>
      </c>
      <c r="C246" s="224"/>
      <c r="D246" s="226" t="s">
        <v>306</v>
      </c>
      <c r="E246" s="227"/>
      <c r="F246" s="227"/>
      <c r="G246" s="228"/>
      <c r="H246" s="224"/>
      <c r="I246" s="56"/>
      <c r="J246" s="261"/>
      <c r="K246" s="559"/>
      <c r="L246" s="559"/>
      <c r="M246" s="559"/>
      <c r="N246" s="559"/>
      <c r="O246" s="559"/>
      <c r="P246" s="559"/>
      <c r="Q246" s="559"/>
      <c r="R246" s="559"/>
      <c r="S246" s="559"/>
      <c r="T246" s="559"/>
      <c r="U246" s="559"/>
      <c r="V246" s="559"/>
    </row>
    <row r="247" spans="2:22" s="17" customFormat="1" ht="15.75" hidden="1" x14ac:dyDescent="0.25">
      <c r="B247" s="224"/>
      <c r="C247" s="229" t="s">
        <v>472</v>
      </c>
      <c r="D247" s="230" t="e">
        <f>C145*C144%</f>
        <v>#DIV/0!</v>
      </c>
      <c r="E247" s="230"/>
      <c r="F247" s="230"/>
      <c r="G247" s="230"/>
      <c r="H247" s="230"/>
      <c r="I247" s="56" t="s">
        <v>292</v>
      </c>
      <c r="J247" s="261"/>
      <c r="K247" s="559"/>
      <c r="L247" s="559"/>
      <c r="M247" s="559"/>
      <c r="N247" s="559"/>
      <c r="O247" s="559"/>
      <c r="P247" s="559"/>
      <c r="Q247" s="559"/>
      <c r="R247" s="559"/>
      <c r="S247" s="559"/>
      <c r="T247" s="559"/>
      <c r="U247" s="559"/>
      <c r="V247" s="559"/>
    </row>
    <row r="248" spans="2:22" s="17" customFormat="1" ht="15.75" hidden="1" x14ac:dyDescent="0.25">
      <c r="B248" s="231"/>
      <c r="C248" s="231"/>
      <c r="D248" s="231"/>
      <c r="E248" s="231"/>
      <c r="F248" s="231"/>
      <c r="G248" s="232"/>
      <c r="H248" s="224"/>
      <c r="I248" s="56"/>
      <c r="J248" s="261"/>
      <c r="K248" s="559"/>
      <c r="L248" s="559"/>
      <c r="M248" s="559"/>
      <c r="N248" s="559"/>
      <c r="O248" s="559"/>
      <c r="P248" s="559"/>
      <c r="Q248" s="559"/>
      <c r="R248" s="559"/>
      <c r="S248" s="559"/>
      <c r="T248" s="559"/>
      <c r="U248" s="559"/>
      <c r="V248" s="559"/>
    </row>
    <row r="249" spans="2:22" s="17" customFormat="1" ht="15.75" hidden="1" x14ac:dyDescent="0.25">
      <c r="B249" s="226" t="s">
        <v>308</v>
      </c>
      <c r="C249" s="227"/>
      <c r="D249" s="226" t="s">
        <v>309</v>
      </c>
      <c r="E249" s="227"/>
      <c r="F249" s="227"/>
      <c r="G249" s="228"/>
      <c r="H249" s="224"/>
      <c r="I249" s="56"/>
      <c r="J249" s="261"/>
      <c r="K249" s="559"/>
      <c r="L249" s="559"/>
      <c r="M249" s="559"/>
      <c r="N249" s="559"/>
      <c r="O249" s="559"/>
      <c r="P249" s="559"/>
      <c r="Q249" s="559"/>
      <c r="R249" s="559"/>
      <c r="S249" s="559"/>
      <c r="T249" s="559"/>
      <c r="U249" s="559"/>
      <c r="V249" s="559"/>
    </row>
    <row r="250" spans="2:22" s="17" customFormat="1" ht="15.75" hidden="1" x14ac:dyDescent="0.25">
      <c r="B250" s="227"/>
      <c r="C250" s="224"/>
      <c r="D250" s="224" t="s">
        <v>311</v>
      </c>
      <c r="E250" s="227"/>
      <c r="F250" s="227"/>
      <c r="G250" s="228"/>
      <c r="H250" s="224"/>
      <c r="I250" s="56"/>
      <c r="J250" s="261"/>
      <c r="K250" s="559"/>
      <c r="L250" s="559"/>
      <c r="M250" s="559"/>
      <c r="N250" s="559"/>
      <c r="O250" s="559"/>
      <c r="P250" s="559"/>
      <c r="Q250" s="559"/>
      <c r="R250" s="559"/>
      <c r="S250" s="559"/>
      <c r="T250" s="559"/>
      <c r="U250" s="559"/>
      <c r="V250" s="559"/>
    </row>
    <row r="251" spans="2:22" s="17" customFormat="1" ht="15.75" hidden="1" x14ac:dyDescent="0.25">
      <c r="B251" s="224"/>
      <c r="C251" s="224"/>
      <c r="D251" s="224" t="s">
        <v>312</v>
      </c>
      <c r="E251" s="233"/>
      <c r="F251" s="233"/>
      <c r="G251" s="228"/>
      <c r="H251" s="224"/>
      <c r="I251" s="56"/>
      <c r="J251" s="261"/>
      <c r="K251" s="559"/>
      <c r="L251" s="559"/>
      <c r="M251" s="559"/>
      <c r="N251" s="559"/>
      <c r="O251" s="559"/>
      <c r="P251" s="559"/>
      <c r="Q251" s="559"/>
      <c r="R251" s="559"/>
      <c r="S251" s="559"/>
      <c r="T251" s="559"/>
      <c r="U251" s="559"/>
      <c r="V251" s="559"/>
    </row>
    <row r="252" spans="2:22" s="17" customFormat="1" ht="15.75" hidden="1" x14ac:dyDescent="0.25">
      <c r="B252" s="224"/>
      <c r="C252" s="229" t="s">
        <v>472</v>
      </c>
      <c r="D252" s="230" t="e">
        <f>(0.3*((D247*(1-((C143+10)/100))))+(0.105*((C147)*C145*0.008))+(0.0152*C145))/6.25</f>
        <v>#DIV/0!</v>
      </c>
      <c r="E252" s="230"/>
      <c r="F252" s="230"/>
      <c r="G252" s="230"/>
      <c r="H252" s="230"/>
      <c r="I252" s="56" t="s">
        <v>292</v>
      </c>
      <c r="J252" s="261"/>
      <c r="K252" s="559"/>
      <c r="L252" s="559"/>
      <c r="M252" s="559"/>
      <c r="N252" s="559"/>
      <c r="O252" s="559"/>
      <c r="P252" s="559"/>
      <c r="Q252" s="559"/>
      <c r="R252" s="559"/>
      <c r="S252" s="559"/>
      <c r="T252" s="559"/>
      <c r="U252" s="559"/>
      <c r="V252" s="559"/>
    </row>
    <row r="253" spans="2:22" s="17" customFormat="1" ht="15.75" hidden="1" x14ac:dyDescent="0.25">
      <c r="B253" s="224"/>
      <c r="C253" s="224"/>
      <c r="D253" s="224"/>
      <c r="E253" s="224"/>
      <c r="F253" s="224"/>
      <c r="G253" s="224"/>
      <c r="H253" s="224"/>
      <c r="I253" s="56"/>
      <c r="J253" s="261"/>
      <c r="K253" s="559"/>
      <c r="L253" s="559"/>
      <c r="M253" s="559"/>
      <c r="N253" s="559"/>
      <c r="O253" s="559"/>
      <c r="P253" s="559"/>
      <c r="Q253" s="559"/>
      <c r="R253" s="559"/>
      <c r="S253" s="559"/>
      <c r="T253" s="559"/>
      <c r="U253" s="559"/>
      <c r="V253" s="559"/>
    </row>
    <row r="254" spans="2:22" s="17" customFormat="1" ht="17.25" hidden="1" x14ac:dyDescent="0.3">
      <c r="B254" s="226" t="s">
        <v>313</v>
      </c>
      <c r="C254" s="224"/>
      <c r="D254" s="234" t="s">
        <v>1551</v>
      </c>
      <c r="E254" s="235"/>
      <c r="F254" s="235"/>
      <c r="G254" s="235"/>
      <c r="H254" s="235"/>
      <c r="I254" s="56"/>
      <c r="J254" s="261"/>
      <c r="K254" s="559"/>
      <c r="L254" s="559"/>
      <c r="M254" s="559"/>
      <c r="N254" s="559"/>
      <c r="O254" s="559"/>
      <c r="P254" s="559"/>
      <c r="Q254" s="559"/>
      <c r="R254" s="559"/>
      <c r="S254" s="559"/>
      <c r="T254" s="559"/>
      <c r="U254" s="559"/>
      <c r="V254" s="559"/>
    </row>
    <row r="255" spans="2:22" s="17" customFormat="1" ht="16.5" hidden="1" thickBot="1" x14ac:dyDescent="0.3">
      <c r="B255" s="224"/>
      <c r="C255" s="224"/>
      <c r="D255" s="224"/>
      <c r="E255" s="224"/>
      <c r="F255" s="224"/>
      <c r="G255" s="224"/>
      <c r="H255" s="224"/>
      <c r="I255" s="56"/>
      <c r="J255" s="261"/>
      <c r="K255" s="559"/>
      <c r="L255" s="559"/>
      <c r="M255" s="559"/>
      <c r="N255" s="559"/>
      <c r="O255" s="559"/>
      <c r="P255" s="559"/>
      <c r="Q255" s="559"/>
      <c r="R255" s="559"/>
      <c r="S255" s="559"/>
      <c r="T255" s="559"/>
      <c r="U255" s="559"/>
      <c r="V255" s="559"/>
    </row>
    <row r="256" spans="2:22" s="17" customFormat="1" ht="16.5" hidden="1" thickBot="1" x14ac:dyDescent="0.3">
      <c r="B256" s="236"/>
      <c r="C256" s="237" t="s">
        <v>897</v>
      </c>
      <c r="D256" s="238"/>
      <c r="E256" s="238"/>
      <c r="F256" s="238"/>
      <c r="G256" s="238"/>
      <c r="H256" s="239"/>
      <c r="I256" s="56"/>
      <c r="J256" s="261"/>
      <c r="K256" s="559"/>
      <c r="L256" s="559"/>
      <c r="M256" s="559"/>
      <c r="N256" s="559"/>
      <c r="O256" s="559"/>
      <c r="P256" s="559"/>
      <c r="Q256" s="559"/>
      <c r="R256" s="559"/>
      <c r="S256" s="559"/>
      <c r="T256" s="559"/>
      <c r="U256" s="559"/>
      <c r="V256" s="559"/>
    </row>
    <row r="257" spans="2:22" s="17" customFormat="1" ht="15.75" hidden="1" x14ac:dyDescent="0.25">
      <c r="B257" s="224"/>
      <c r="C257" s="237"/>
      <c r="D257" s="240" t="s">
        <v>249</v>
      </c>
      <c r="E257" s="238"/>
      <c r="F257" s="238"/>
      <c r="G257" s="238"/>
      <c r="H257" s="239"/>
      <c r="I257" s="56"/>
      <c r="J257" s="261"/>
      <c r="K257" s="559"/>
      <c r="L257" s="559"/>
      <c r="M257" s="559"/>
      <c r="N257" s="559"/>
      <c r="O257" s="559"/>
      <c r="P257" s="559"/>
      <c r="Q257" s="559"/>
      <c r="R257" s="559"/>
      <c r="S257" s="559"/>
      <c r="T257" s="559"/>
      <c r="U257" s="559"/>
      <c r="V257" s="559"/>
    </row>
    <row r="258" spans="2:22" s="17" customFormat="1" ht="15.75" hidden="1" x14ac:dyDescent="0.25">
      <c r="B258" s="236">
        <v>1</v>
      </c>
      <c r="C258" s="621" t="s">
        <v>1008</v>
      </c>
      <c r="D258" s="82">
        <v>590</v>
      </c>
      <c r="E258" s="242"/>
      <c r="F258" s="242"/>
      <c r="G258" s="242"/>
      <c r="H258" s="243"/>
      <c r="I258" s="56"/>
      <c r="J258" s="261"/>
      <c r="K258" s="559"/>
      <c r="L258" s="559"/>
      <c r="M258" s="559"/>
      <c r="N258" s="559"/>
      <c r="O258" s="559"/>
      <c r="P258" s="559"/>
      <c r="Q258" s="559"/>
      <c r="R258" s="559"/>
      <c r="S258" s="559"/>
      <c r="T258" s="559"/>
      <c r="U258" s="559"/>
      <c r="V258" s="559"/>
    </row>
    <row r="259" spans="2:22" s="17" customFormat="1" ht="15.75" hidden="1" x14ac:dyDescent="0.25">
      <c r="B259" s="236">
        <v>2</v>
      </c>
      <c r="C259" s="621" t="s">
        <v>1015</v>
      </c>
      <c r="D259" s="82">
        <v>590</v>
      </c>
      <c r="E259" s="242"/>
      <c r="F259" s="242"/>
      <c r="G259" s="242"/>
      <c r="H259" s="243"/>
      <c r="I259" s="56"/>
      <c r="J259" s="261"/>
      <c r="K259" s="559"/>
      <c r="L259" s="559"/>
      <c r="M259" s="559"/>
      <c r="N259" s="559"/>
      <c r="O259" s="559"/>
      <c r="P259" s="559"/>
      <c r="Q259" s="559"/>
      <c r="R259" s="559"/>
      <c r="S259" s="559"/>
      <c r="T259" s="559"/>
      <c r="U259" s="559"/>
      <c r="V259" s="559"/>
    </row>
    <row r="260" spans="2:22" s="17" customFormat="1" ht="15.75" hidden="1" x14ac:dyDescent="0.25">
      <c r="B260" s="236">
        <v>3</v>
      </c>
      <c r="C260" s="621" t="s">
        <v>960</v>
      </c>
      <c r="D260" s="82">
        <v>590</v>
      </c>
      <c r="E260" s="242"/>
      <c r="F260" s="242"/>
      <c r="G260" s="242"/>
      <c r="H260" s="243"/>
      <c r="I260" s="651"/>
      <c r="J260" s="261"/>
      <c r="K260" s="559"/>
      <c r="L260" s="559"/>
      <c r="M260" s="559"/>
      <c r="N260" s="559"/>
      <c r="O260" s="559"/>
      <c r="P260" s="559"/>
      <c r="Q260" s="559"/>
      <c r="R260" s="559"/>
      <c r="S260" s="559"/>
      <c r="T260" s="559"/>
      <c r="U260" s="559"/>
      <c r="V260" s="559"/>
    </row>
    <row r="261" spans="2:22" s="17" customFormat="1" ht="15.75" hidden="1" x14ac:dyDescent="0.25">
      <c r="B261" s="236">
        <v>4</v>
      </c>
      <c r="C261" s="621" t="s">
        <v>1010</v>
      </c>
      <c r="D261" s="1383">
        <v>590</v>
      </c>
      <c r="E261" s="242"/>
      <c r="F261" s="242"/>
      <c r="G261" s="242"/>
      <c r="H261" s="243"/>
      <c r="I261" s="56"/>
      <c r="J261" s="261"/>
      <c r="K261" s="559"/>
      <c r="L261" s="559"/>
      <c r="M261" s="559"/>
      <c r="N261" s="559"/>
      <c r="O261" s="559"/>
      <c r="P261" s="559"/>
      <c r="Q261" s="559"/>
      <c r="R261" s="559"/>
      <c r="S261" s="559"/>
      <c r="T261" s="559"/>
      <c r="U261" s="559"/>
      <c r="V261" s="559"/>
    </row>
    <row r="262" spans="2:22" s="17" customFormat="1" ht="15.75" hidden="1" x14ac:dyDescent="0.25">
      <c r="B262" s="236">
        <v>5</v>
      </c>
      <c r="C262" s="621" t="s">
        <v>1016</v>
      </c>
      <c r="D262" s="1383">
        <v>590</v>
      </c>
      <c r="E262" s="242"/>
      <c r="F262" s="242"/>
      <c r="G262" s="242"/>
      <c r="H262" s="243"/>
      <c r="I262" s="56"/>
      <c r="J262" s="261"/>
      <c r="K262" s="559"/>
      <c r="L262" s="559"/>
      <c r="M262" s="559"/>
      <c r="N262" s="559"/>
      <c r="O262" s="559"/>
      <c r="P262" s="559"/>
      <c r="Q262" s="559"/>
      <c r="R262" s="559"/>
      <c r="S262" s="559"/>
      <c r="T262" s="559"/>
      <c r="U262" s="559"/>
      <c r="V262" s="559"/>
    </row>
    <row r="263" spans="2:22" s="17" customFormat="1" ht="15.75" hidden="1" x14ac:dyDescent="0.25">
      <c r="B263" s="236">
        <v>6</v>
      </c>
      <c r="C263" s="622" t="s">
        <v>1017</v>
      </c>
      <c r="D263" s="1383">
        <v>590</v>
      </c>
      <c r="E263" s="242"/>
      <c r="F263" s="242"/>
      <c r="G263" s="242"/>
      <c r="H263" s="243"/>
      <c r="I263" s="56"/>
      <c r="J263" s="261"/>
      <c r="K263" s="559"/>
      <c r="L263" s="559"/>
      <c r="M263" s="559"/>
      <c r="N263" s="559"/>
      <c r="O263" s="559"/>
      <c r="P263" s="559"/>
      <c r="Q263" s="559"/>
      <c r="R263" s="559"/>
      <c r="S263" s="559"/>
      <c r="T263" s="559"/>
      <c r="U263" s="559"/>
      <c r="V263" s="559"/>
    </row>
    <row r="264" spans="2:22" s="17" customFormat="1" ht="16.5" hidden="1" thickBot="1" x14ac:dyDescent="0.3">
      <c r="B264" s="236">
        <v>7</v>
      </c>
      <c r="C264" s="623" t="s">
        <v>1018</v>
      </c>
      <c r="D264" s="1383">
        <v>590</v>
      </c>
      <c r="E264" s="242"/>
      <c r="F264" s="242"/>
      <c r="G264" s="242"/>
      <c r="H264" s="243"/>
      <c r="I264" s="56"/>
      <c r="J264" s="261"/>
      <c r="K264" s="559"/>
      <c r="L264" s="559"/>
      <c r="M264" s="559"/>
      <c r="N264" s="559"/>
      <c r="O264" s="559"/>
      <c r="P264" s="559"/>
      <c r="Q264" s="559"/>
      <c r="R264" s="559"/>
      <c r="S264" s="559"/>
      <c r="T264" s="559"/>
      <c r="U264" s="559"/>
      <c r="V264" s="559"/>
    </row>
    <row r="265" spans="2:22" s="17" customFormat="1" ht="16.5" hidden="1" thickBot="1" x14ac:dyDescent="0.3">
      <c r="B265" s="224"/>
      <c r="C265" s="244" t="s">
        <v>265</v>
      </c>
      <c r="D265" s="245" t="e">
        <f>VLOOKUP('Baseline farm'!$C$178,$C$258:$H$264,2,FALSE)</f>
        <v>#N/A</v>
      </c>
      <c r="E265" s="246"/>
      <c r="F265" s="246"/>
      <c r="G265" s="246"/>
      <c r="H265" s="246"/>
      <c r="I265" s="56"/>
      <c r="J265" s="261"/>
      <c r="K265" s="559"/>
      <c r="L265" s="559"/>
      <c r="M265" s="559"/>
      <c r="N265" s="559"/>
      <c r="O265" s="559"/>
      <c r="P265" s="559"/>
      <c r="Q265" s="559"/>
      <c r="R265" s="559"/>
      <c r="S265" s="559"/>
      <c r="T265" s="559"/>
      <c r="U265" s="559"/>
      <c r="V265" s="559"/>
    </row>
    <row r="266" spans="2:22" s="17" customFormat="1" ht="16.5" hidden="1" thickBot="1" x14ac:dyDescent="0.3">
      <c r="B266" s="224"/>
      <c r="C266" s="244" t="s">
        <v>337</v>
      </c>
      <c r="D266" s="247" t="e">
        <f>IF(D265&gt;0,C12/D265,0)</f>
        <v>#N/A</v>
      </c>
      <c r="E266" s="248"/>
      <c r="F266" s="248"/>
      <c r="G266" s="248"/>
      <c r="H266" s="249"/>
      <c r="I266" s="651"/>
      <c r="J266" s="261"/>
      <c r="K266" s="559"/>
      <c r="L266" s="559"/>
      <c r="M266" s="559"/>
      <c r="N266" s="559"/>
      <c r="O266" s="559"/>
      <c r="P266" s="559"/>
      <c r="Q266" s="559"/>
      <c r="R266" s="559"/>
      <c r="S266" s="559"/>
      <c r="T266" s="559"/>
      <c r="U266" s="559"/>
      <c r="V266" s="559"/>
    </row>
    <row r="267" spans="2:22" s="17" customFormat="1" ht="15.75" hidden="1" x14ac:dyDescent="0.25">
      <c r="B267" s="224"/>
      <c r="C267" s="224"/>
      <c r="D267" s="224"/>
      <c r="E267" s="224"/>
      <c r="F267" s="224"/>
      <c r="G267" s="224"/>
      <c r="H267" s="224"/>
      <c r="I267" s="56"/>
      <c r="J267" s="261"/>
      <c r="K267" s="559"/>
      <c r="L267" s="559"/>
      <c r="M267" s="559"/>
      <c r="N267" s="559"/>
      <c r="O267" s="559"/>
      <c r="P267" s="559"/>
      <c r="Q267" s="559"/>
      <c r="R267" s="559"/>
      <c r="S267" s="559"/>
      <c r="T267" s="559"/>
      <c r="U267" s="559"/>
      <c r="V267" s="559"/>
    </row>
    <row r="268" spans="2:22" s="17" customFormat="1" ht="15.75" hidden="1" x14ac:dyDescent="0.25">
      <c r="B268" s="224"/>
      <c r="C268" s="229" t="s">
        <v>472</v>
      </c>
      <c r="D268" s="250" t="e">
        <f>((0.032*C151*1.03/6.38)+((0.212-0.008*('Supplementing with dietary fats'!C120-2)-((0.14-0.008*('Supplementing with dietary fats'!C120-2))/(1+EXP(-6*(D266-0.4)))))*(C13*0.92))/6.25)</f>
        <v>#DIV/0!</v>
      </c>
      <c r="E268" s="250"/>
      <c r="F268" s="250"/>
      <c r="G268" s="250"/>
      <c r="H268" s="250"/>
      <c r="I268" s="651" t="s">
        <v>320</v>
      </c>
      <c r="J268" s="261"/>
      <c r="K268" s="559"/>
      <c r="L268" s="559"/>
      <c r="M268" s="559"/>
      <c r="N268" s="559"/>
      <c r="O268" s="559"/>
      <c r="P268" s="559"/>
      <c r="Q268" s="559"/>
      <c r="R268" s="559"/>
      <c r="S268" s="559"/>
      <c r="T268" s="559"/>
      <c r="U268" s="559"/>
      <c r="V268" s="559"/>
    </row>
    <row r="269" spans="2:22" s="17" customFormat="1" ht="15.75" hidden="1" x14ac:dyDescent="0.25">
      <c r="B269" s="224"/>
      <c r="C269" s="251"/>
      <c r="D269" s="250"/>
      <c r="E269" s="250"/>
      <c r="F269" s="250"/>
      <c r="G269" s="250"/>
      <c r="H269" s="250"/>
      <c r="I269" s="651"/>
      <c r="J269" s="261"/>
      <c r="K269" s="559"/>
      <c r="L269" s="559"/>
      <c r="M269" s="559"/>
      <c r="N269" s="559"/>
      <c r="O269" s="559"/>
      <c r="P269" s="559"/>
      <c r="Q269" s="559"/>
      <c r="R269" s="559"/>
      <c r="S269" s="559"/>
      <c r="T269" s="559"/>
      <c r="U269" s="559"/>
      <c r="V269" s="559"/>
    </row>
    <row r="270" spans="2:22" s="17" customFormat="1" ht="18.75" hidden="1" x14ac:dyDescent="0.25">
      <c r="B270" s="226" t="s">
        <v>321</v>
      </c>
      <c r="C270" s="224"/>
      <c r="D270" s="252" t="s">
        <v>322</v>
      </c>
      <c r="E270" s="250"/>
      <c r="F270" s="250"/>
      <c r="G270" s="250"/>
      <c r="H270" s="224"/>
      <c r="I270" s="651"/>
      <c r="J270" s="261"/>
      <c r="K270" s="559"/>
      <c r="L270" s="559"/>
      <c r="M270" s="559"/>
      <c r="N270" s="559"/>
      <c r="O270" s="559"/>
      <c r="P270" s="559"/>
      <c r="Q270" s="559"/>
      <c r="R270" s="559"/>
      <c r="S270" s="559"/>
      <c r="T270" s="559"/>
      <c r="U270" s="559"/>
      <c r="V270" s="559"/>
    </row>
    <row r="271" spans="2:22" s="17" customFormat="1" ht="15.75" hidden="1" x14ac:dyDescent="0.25">
      <c r="B271" s="224"/>
      <c r="C271" s="229" t="s">
        <v>472</v>
      </c>
      <c r="D271" s="250" t="e">
        <f>(D247/6.25)-D268-D252-((1.1*10^-4*C12^0.75)/6.25)</f>
        <v>#DIV/0!</v>
      </c>
      <c r="E271" s="250"/>
      <c r="F271" s="250"/>
      <c r="G271" s="250"/>
      <c r="H271" s="250"/>
      <c r="I271" s="651" t="s">
        <v>320</v>
      </c>
      <c r="J271" s="261"/>
      <c r="K271" s="559"/>
      <c r="L271" s="559"/>
      <c r="M271" s="559"/>
      <c r="N271" s="559"/>
      <c r="O271" s="559"/>
      <c r="P271" s="559"/>
      <c r="Q271" s="559"/>
      <c r="R271" s="559"/>
      <c r="S271" s="559"/>
      <c r="T271" s="559"/>
      <c r="U271" s="559"/>
      <c r="V271" s="559"/>
    </row>
    <row r="272" spans="2:22" s="17" customFormat="1" ht="15.75" hidden="1" x14ac:dyDescent="0.25">
      <c r="B272" s="224"/>
      <c r="C272" s="224"/>
      <c r="D272" s="224"/>
      <c r="E272" s="224"/>
      <c r="F272" s="224"/>
      <c r="G272" s="224"/>
      <c r="H272" s="224"/>
      <c r="I272" s="651"/>
      <c r="J272" s="261"/>
      <c r="K272" s="559"/>
      <c r="L272" s="559"/>
      <c r="M272" s="559"/>
      <c r="N272" s="559"/>
      <c r="O272" s="559"/>
      <c r="P272" s="559"/>
      <c r="Q272" s="559"/>
      <c r="R272" s="559"/>
      <c r="S272" s="559"/>
      <c r="T272" s="559"/>
      <c r="U272" s="559"/>
      <c r="V272" s="559"/>
    </row>
    <row r="273" spans="2:22" s="17" customFormat="1" ht="15.75" hidden="1" x14ac:dyDescent="0.25">
      <c r="B273" s="226" t="s">
        <v>482</v>
      </c>
      <c r="C273" s="224"/>
      <c r="D273" s="226" t="s">
        <v>474</v>
      </c>
      <c r="E273" s="224"/>
      <c r="F273" s="224"/>
      <c r="G273" s="224"/>
      <c r="H273" s="224"/>
      <c r="I273" s="651"/>
      <c r="J273" s="261"/>
      <c r="K273" s="559"/>
      <c r="L273" s="559"/>
      <c r="M273" s="559"/>
      <c r="N273" s="559"/>
      <c r="O273" s="559"/>
      <c r="P273" s="559"/>
      <c r="Q273" s="559"/>
      <c r="R273" s="559"/>
      <c r="S273" s="559"/>
      <c r="T273" s="559"/>
      <c r="U273" s="559"/>
      <c r="V273" s="559"/>
    </row>
    <row r="274" spans="2:22" s="17" customFormat="1" ht="15.75" hidden="1" x14ac:dyDescent="0.25">
      <c r="B274" s="224"/>
      <c r="C274" s="224"/>
      <c r="D274" s="224"/>
      <c r="E274" s="224"/>
      <c r="F274" s="224"/>
      <c r="G274" s="224"/>
      <c r="H274" s="224"/>
      <c r="I274" s="56"/>
      <c r="J274" s="261"/>
      <c r="K274" s="559"/>
      <c r="L274" s="559"/>
      <c r="M274" s="559"/>
      <c r="N274" s="559"/>
      <c r="O274" s="559"/>
      <c r="P274" s="559"/>
      <c r="Q274" s="559"/>
      <c r="R274" s="559"/>
      <c r="S274" s="559"/>
      <c r="T274" s="559"/>
      <c r="U274" s="559"/>
      <c r="V274" s="559"/>
    </row>
    <row r="275" spans="2:22" s="17" customFormat="1" ht="15.75" hidden="1" x14ac:dyDescent="0.25">
      <c r="B275" s="224"/>
      <c r="C275" s="229" t="s">
        <v>472</v>
      </c>
      <c r="D275" s="230" t="e">
        <f>(365*C11*D252)*10^-6</f>
        <v>#DIV/0!</v>
      </c>
      <c r="E275" s="230"/>
      <c r="F275" s="230"/>
      <c r="G275" s="230"/>
      <c r="H275" s="230"/>
      <c r="I275" s="56" t="s">
        <v>476</v>
      </c>
      <c r="J275" s="261"/>
      <c r="K275" s="559"/>
      <c r="L275" s="559"/>
      <c r="M275" s="559"/>
      <c r="N275" s="559"/>
      <c r="O275" s="559"/>
      <c r="P275" s="559"/>
      <c r="Q275" s="559"/>
      <c r="R275" s="559"/>
      <c r="S275" s="559"/>
      <c r="T275" s="559"/>
      <c r="U275" s="559"/>
      <c r="V275" s="559"/>
    </row>
    <row r="276" spans="2:22" s="17" customFormat="1" ht="15.75" hidden="1" x14ac:dyDescent="0.25">
      <c r="B276" s="224"/>
      <c r="C276" s="224"/>
      <c r="D276" s="224"/>
      <c r="E276" s="224"/>
      <c r="F276" s="224"/>
      <c r="G276" s="224"/>
      <c r="H276" s="224"/>
      <c r="I276" s="56"/>
      <c r="J276" s="261"/>
      <c r="K276" s="559"/>
      <c r="L276" s="559"/>
      <c r="M276" s="559"/>
      <c r="N276" s="559"/>
      <c r="O276" s="559"/>
      <c r="P276" s="559"/>
      <c r="Q276" s="559"/>
      <c r="R276" s="559"/>
      <c r="S276" s="559"/>
      <c r="T276" s="559"/>
      <c r="U276" s="559"/>
      <c r="V276" s="559"/>
    </row>
    <row r="277" spans="2:22" s="17" customFormat="1" ht="15.75" hidden="1" x14ac:dyDescent="0.25">
      <c r="B277" s="226" t="s">
        <v>483</v>
      </c>
      <c r="C277" s="224"/>
      <c r="D277" s="226" t="s">
        <v>475</v>
      </c>
      <c r="E277" s="224"/>
      <c r="F277" s="224"/>
      <c r="G277" s="224"/>
      <c r="H277" s="224"/>
      <c r="I277" s="56"/>
      <c r="J277" s="261"/>
      <c r="K277" s="559"/>
      <c r="L277" s="559"/>
      <c r="M277" s="559"/>
      <c r="N277" s="559"/>
      <c r="O277" s="559"/>
      <c r="P277" s="559"/>
      <c r="Q277" s="559"/>
      <c r="R277" s="559"/>
      <c r="S277" s="559"/>
      <c r="T277" s="559"/>
      <c r="U277" s="559"/>
      <c r="V277" s="559"/>
    </row>
    <row r="278" spans="2:22" s="17" customFormat="1" ht="15.75" hidden="1" x14ac:dyDescent="0.25">
      <c r="B278" s="224"/>
      <c r="C278" s="224"/>
      <c r="D278" s="224"/>
      <c r="E278" s="224"/>
      <c r="F278" s="224"/>
      <c r="G278" s="224"/>
      <c r="H278" s="224"/>
      <c r="I278" s="56"/>
      <c r="J278" s="261"/>
      <c r="K278" s="559"/>
      <c r="L278" s="559"/>
      <c r="M278" s="559"/>
      <c r="N278" s="559"/>
      <c r="O278" s="559"/>
      <c r="P278" s="559"/>
      <c r="Q278" s="559"/>
      <c r="R278" s="559"/>
      <c r="S278" s="559"/>
      <c r="T278" s="559"/>
      <c r="U278" s="559"/>
      <c r="V278" s="559"/>
    </row>
    <row r="279" spans="2:22" s="17" customFormat="1" ht="15.75" hidden="1" x14ac:dyDescent="0.25">
      <c r="B279" s="224"/>
      <c r="C279" s="229" t="s">
        <v>472</v>
      </c>
      <c r="D279" s="250" t="e">
        <f>(365*C11*D271)*10^-6</f>
        <v>#DIV/0!</v>
      </c>
      <c r="E279" s="250"/>
      <c r="F279" s="250"/>
      <c r="G279" s="250"/>
      <c r="H279" s="250"/>
      <c r="I279" s="56" t="s">
        <v>476</v>
      </c>
      <c r="J279" s="261"/>
      <c r="K279" s="559"/>
      <c r="L279" s="559"/>
      <c r="M279" s="559"/>
      <c r="N279" s="559"/>
      <c r="O279" s="559"/>
      <c r="P279" s="559"/>
      <c r="Q279" s="559"/>
      <c r="R279" s="559"/>
      <c r="S279" s="559"/>
      <c r="T279" s="559"/>
      <c r="U279" s="559"/>
      <c r="V279" s="559"/>
    </row>
    <row r="280" spans="2:22" s="17" customFormat="1" ht="15.75" hidden="1" x14ac:dyDescent="0.25">
      <c r="B280" s="224"/>
      <c r="C280" s="224"/>
      <c r="D280" s="224"/>
      <c r="E280" s="224"/>
      <c r="F280" s="224"/>
      <c r="G280" s="224"/>
      <c r="H280" s="224"/>
      <c r="I280" s="56"/>
      <c r="J280" s="261"/>
      <c r="K280" s="559"/>
      <c r="L280" s="559"/>
      <c r="M280" s="559"/>
      <c r="N280" s="559"/>
      <c r="O280" s="559"/>
      <c r="P280" s="559"/>
      <c r="Q280" s="559"/>
      <c r="R280" s="559"/>
      <c r="S280" s="559"/>
      <c r="T280" s="559"/>
      <c r="U280" s="559"/>
      <c r="V280" s="559"/>
    </row>
    <row r="281" spans="2:22" s="17" customFormat="1" ht="15.75" hidden="1" x14ac:dyDescent="0.25">
      <c r="B281" s="226" t="s">
        <v>484</v>
      </c>
      <c r="C281" s="224"/>
      <c r="D281" s="226" t="s">
        <v>327</v>
      </c>
      <c r="E281" s="224"/>
      <c r="F281" s="224"/>
      <c r="G281" s="224"/>
      <c r="H281" s="224"/>
      <c r="I281" s="56"/>
      <c r="J281" s="261"/>
      <c r="K281" s="559"/>
      <c r="L281" s="559"/>
      <c r="M281" s="559"/>
      <c r="N281" s="559"/>
      <c r="O281" s="559"/>
      <c r="P281" s="559"/>
      <c r="Q281" s="559"/>
      <c r="R281" s="559"/>
      <c r="S281" s="559"/>
      <c r="T281" s="559"/>
      <c r="U281" s="559"/>
      <c r="V281" s="559"/>
    </row>
    <row r="282" spans="2:22" s="17" customFormat="1" ht="15.75" hidden="1" x14ac:dyDescent="0.25">
      <c r="B282" s="224"/>
      <c r="C282" s="224"/>
      <c r="D282" s="253"/>
      <c r="E282" s="253"/>
      <c r="F282" s="253"/>
      <c r="G282" s="253"/>
      <c r="H282" s="253"/>
      <c r="I282" s="651"/>
      <c r="J282" s="261"/>
      <c r="K282" s="559"/>
      <c r="L282" s="559"/>
      <c r="M282" s="559"/>
      <c r="N282" s="559"/>
      <c r="O282" s="559"/>
      <c r="P282" s="559"/>
      <c r="Q282" s="559"/>
      <c r="R282" s="559"/>
      <c r="S282" s="559"/>
      <c r="T282" s="559"/>
      <c r="U282" s="559"/>
      <c r="V282" s="559"/>
    </row>
    <row r="283" spans="2:22" s="17" customFormat="1" ht="15.75" hidden="1" x14ac:dyDescent="0.25">
      <c r="B283" s="224"/>
      <c r="C283" s="229" t="s">
        <v>472</v>
      </c>
      <c r="D283" s="253" t="e">
        <f>D275+D279</f>
        <v>#DIV/0!</v>
      </c>
      <c r="E283" s="253"/>
      <c r="F283" s="253"/>
      <c r="G283" s="253"/>
      <c r="H283" s="253"/>
      <c r="I283" s="56" t="s">
        <v>476</v>
      </c>
      <c r="J283" s="261"/>
      <c r="K283" s="559"/>
      <c r="L283" s="559"/>
      <c r="M283" s="559"/>
      <c r="N283" s="559"/>
      <c r="O283" s="559"/>
      <c r="P283" s="559"/>
      <c r="Q283" s="559"/>
      <c r="R283" s="559"/>
      <c r="S283" s="559"/>
      <c r="T283" s="559"/>
      <c r="U283" s="559"/>
      <c r="V283" s="559"/>
    </row>
    <row r="284" spans="2:22" s="17" customFormat="1" ht="15.75" hidden="1" x14ac:dyDescent="0.25">
      <c r="B284" s="224"/>
      <c r="C284" s="229"/>
      <c r="D284" s="224"/>
      <c r="E284" s="224"/>
      <c r="F284" s="224"/>
      <c r="G284" s="224"/>
      <c r="H284" s="224"/>
      <c r="I284" s="56"/>
      <c r="J284" s="261"/>
      <c r="K284" s="559"/>
      <c r="L284" s="559"/>
      <c r="M284" s="559"/>
      <c r="N284" s="559"/>
      <c r="O284" s="559"/>
      <c r="P284" s="559"/>
      <c r="Q284" s="559"/>
      <c r="R284" s="559"/>
      <c r="S284" s="559"/>
      <c r="T284" s="559"/>
      <c r="U284" s="559"/>
      <c r="V284" s="559"/>
    </row>
    <row r="285" spans="2:22" s="17" customFormat="1" ht="15.75" hidden="1" x14ac:dyDescent="0.25">
      <c r="B285" s="226" t="s">
        <v>328</v>
      </c>
      <c r="C285" s="251"/>
      <c r="D285" s="226" t="s">
        <v>329</v>
      </c>
      <c r="E285" s="251"/>
      <c r="F285" s="251"/>
      <c r="G285" s="251"/>
      <c r="H285" s="236"/>
      <c r="I285" s="56"/>
      <c r="J285" s="261"/>
      <c r="K285" s="559"/>
      <c r="L285" s="559"/>
      <c r="M285" s="559"/>
      <c r="N285" s="559"/>
      <c r="O285" s="559"/>
      <c r="P285" s="559"/>
      <c r="Q285" s="559"/>
      <c r="R285" s="559"/>
      <c r="S285" s="559"/>
      <c r="T285" s="559"/>
      <c r="U285" s="559"/>
      <c r="V285" s="559"/>
    </row>
    <row r="286" spans="2:22" s="17" customFormat="1" ht="15.75" hidden="1" x14ac:dyDescent="0.25">
      <c r="B286" s="224"/>
      <c r="C286" s="224"/>
      <c r="D286" s="224" t="s">
        <v>330</v>
      </c>
      <c r="E286" s="254"/>
      <c r="F286" s="254"/>
      <c r="G286" s="254"/>
      <c r="H286" s="254"/>
      <c r="I286" s="56"/>
      <c r="J286" s="261"/>
      <c r="K286" s="559"/>
      <c r="L286" s="559"/>
      <c r="M286" s="559"/>
      <c r="N286" s="559"/>
      <c r="O286" s="559"/>
      <c r="P286" s="559"/>
      <c r="Q286" s="559"/>
      <c r="R286" s="559"/>
      <c r="S286" s="559"/>
      <c r="T286" s="559"/>
      <c r="U286" s="559"/>
      <c r="V286" s="559"/>
    </row>
    <row r="287" spans="2:22" s="17" customFormat="1" ht="15.75" hidden="1" x14ac:dyDescent="0.25">
      <c r="B287" s="224"/>
      <c r="C287" s="224"/>
      <c r="D287" s="224" t="s">
        <v>331</v>
      </c>
      <c r="E287" s="224"/>
      <c r="F287" s="224"/>
      <c r="G287" s="224"/>
      <c r="H287" s="224"/>
      <c r="I287" s="56"/>
      <c r="J287" s="261"/>
      <c r="K287" s="559"/>
      <c r="L287" s="559"/>
      <c r="M287" s="559"/>
      <c r="N287" s="559"/>
      <c r="O287" s="559"/>
      <c r="P287" s="559"/>
      <c r="Q287" s="559"/>
      <c r="R287" s="559"/>
      <c r="S287" s="559"/>
      <c r="T287" s="559"/>
      <c r="U287" s="559"/>
      <c r="V287" s="559"/>
    </row>
    <row r="288" spans="2:22" s="17" customFormat="1" ht="15.75" hidden="1" x14ac:dyDescent="0.25">
      <c r="B288" s="224"/>
      <c r="C288" s="224"/>
      <c r="D288" s="224"/>
      <c r="E288" s="224"/>
      <c r="F288" s="224"/>
      <c r="G288" s="224"/>
      <c r="H288" s="224"/>
      <c r="I288" s="56"/>
      <c r="J288" s="56"/>
      <c r="K288" s="559"/>
      <c r="L288" s="559"/>
      <c r="M288" s="559"/>
      <c r="N288" s="559"/>
      <c r="O288" s="559"/>
      <c r="P288" s="559"/>
      <c r="Q288" s="559"/>
      <c r="R288" s="559"/>
      <c r="S288" s="559"/>
      <c r="T288" s="559"/>
      <c r="U288" s="559"/>
      <c r="V288" s="559"/>
    </row>
    <row r="289" spans="2:22" s="17" customFormat="1" ht="17.25" hidden="1" x14ac:dyDescent="0.3">
      <c r="B289" s="1194" t="s">
        <v>332</v>
      </c>
      <c r="C289" s="1447"/>
      <c r="D289" s="1443" t="s">
        <v>1531</v>
      </c>
      <c r="E289" s="224"/>
      <c r="F289" s="224"/>
      <c r="G289" s="1194" t="s">
        <v>333</v>
      </c>
      <c r="H289" s="224"/>
      <c r="I289" s="1472"/>
      <c r="J289" s="1472"/>
      <c r="K289" s="559"/>
      <c r="L289" s="559"/>
      <c r="M289" s="559"/>
      <c r="N289" s="559"/>
      <c r="O289" s="559"/>
      <c r="P289" s="559"/>
      <c r="Q289" s="559"/>
      <c r="R289" s="559"/>
      <c r="S289" s="559"/>
      <c r="T289" s="559"/>
      <c r="U289" s="559"/>
      <c r="V289" s="559"/>
    </row>
    <row r="290" spans="2:22" s="17" customFormat="1" ht="15.75" hidden="1" x14ac:dyDescent="0.25">
      <c r="B290" s="1420" t="s">
        <v>1462</v>
      </c>
      <c r="C290" s="1431" t="s">
        <v>472</v>
      </c>
      <c r="D290" s="1503" t="e">
        <f>$D$283*'Baseline farm'!C73%</f>
        <v>#DIV/0!</v>
      </c>
      <c r="E290" s="257"/>
      <c r="F290" s="257"/>
      <c r="G290" s="1420">
        <v>0</v>
      </c>
      <c r="H290" s="257"/>
      <c r="I290" s="1472"/>
      <c r="J290" s="1472"/>
      <c r="K290" s="559"/>
      <c r="L290" s="559"/>
      <c r="M290" s="559"/>
      <c r="N290" s="559"/>
      <c r="O290" s="559"/>
      <c r="P290" s="559"/>
      <c r="Q290" s="559"/>
      <c r="R290" s="559"/>
      <c r="S290" s="559"/>
      <c r="T290" s="559"/>
      <c r="U290" s="559"/>
      <c r="V290" s="559"/>
    </row>
    <row r="291" spans="2:22" s="17" customFormat="1" ht="15.75" hidden="1" x14ac:dyDescent="0.25">
      <c r="B291" s="1447"/>
      <c r="C291" s="1447"/>
      <c r="D291" s="1415"/>
      <c r="E291" s="224"/>
      <c r="F291" s="224"/>
      <c r="G291" s="1447"/>
      <c r="H291" s="224"/>
      <c r="I291" s="1472"/>
      <c r="J291" s="1472"/>
      <c r="K291" s="559"/>
      <c r="L291" s="559"/>
      <c r="M291" s="559"/>
      <c r="N291" s="559"/>
      <c r="O291" s="559"/>
      <c r="P291" s="559"/>
      <c r="Q291" s="559"/>
      <c r="R291" s="559"/>
      <c r="S291" s="559"/>
      <c r="T291" s="559"/>
      <c r="U291" s="559"/>
      <c r="V291" s="559"/>
    </row>
    <row r="292" spans="2:22" s="17" customFormat="1" ht="15.75" hidden="1" x14ac:dyDescent="0.25">
      <c r="B292" s="1420" t="s">
        <v>1461</v>
      </c>
      <c r="C292" s="1431" t="s">
        <v>472</v>
      </c>
      <c r="D292" s="1503" t="e">
        <f>$D$283*'Baseline farm'!D73%</f>
        <v>#DIV/0!</v>
      </c>
      <c r="E292" s="257"/>
      <c r="F292" s="257"/>
      <c r="G292" s="1420">
        <v>0</v>
      </c>
      <c r="H292" s="257"/>
      <c r="I292" s="1472"/>
      <c r="J292" s="1472"/>
      <c r="K292" s="559"/>
      <c r="L292" s="559"/>
      <c r="M292" s="559"/>
      <c r="N292" s="559"/>
      <c r="O292" s="559"/>
      <c r="P292" s="559"/>
      <c r="Q292" s="559"/>
      <c r="R292" s="559"/>
      <c r="S292" s="559"/>
      <c r="T292" s="559"/>
      <c r="U292" s="559"/>
      <c r="V292" s="559"/>
    </row>
    <row r="293" spans="2:22" s="17" customFormat="1" ht="15.75" hidden="1" x14ac:dyDescent="0.25">
      <c r="B293" s="1447"/>
      <c r="C293" s="1447"/>
      <c r="D293" s="1415"/>
      <c r="E293" s="224"/>
      <c r="F293" s="224"/>
      <c r="G293" s="1447"/>
      <c r="H293" s="224"/>
      <c r="I293" s="1472"/>
      <c r="J293" s="1472"/>
      <c r="K293" s="559"/>
      <c r="L293" s="559"/>
      <c r="M293" s="559"/>
      <c r="N293" s="559"/>
      <c r="O293" s="559"/>
      <c r="P293" s="559"/>
      <c r="Q293" s="559"/>
      <c r="R293" s="559"/>
      <c r="S293" s="559"/>
      <c r="T293" s="559"/>
      <c r="U293" s="559"/>
      <c r="V293" s="559"/>
    </row>
    <row r="294" spans="2:22" s="17" customFormat="1" ht="15.75" hidden="1" x14ac:dyDescent="0.25">
      <c r="B294" s="1420" t="s">
        <v>1463</v>
      </c>
      <c r="C294" s="1431" t="s">
        <v>472</v>
      </c>
      <c r="D294" s="1503" t="e">
        <f>$D$283*'Baseline farm'!E73%</f>
        <v>#DIV/0!</v>
      </c>
      <c r="E294" s="257"/>
      <c r="F294" s="257"/>
      <c r="G294" s="1420">
        <v>0</v>
      </c>
      <c r="H294" s="257"/>
      <c r="I294" s="1472"/>
      <c r="J294" s="1472"/>
      <c r="K294" s="559"/>
      <c r="L294" s="559"/>
      <c r="M294" s="559"/>
      <c r="N294" s="559"/>
      <c r="O294" s="559"/>
      <c r="P294" s="559"/>
      <c r="Q294" s="559"/>
      <c r="R294" s="559"/>
      <c r="S294" s="559"/>
      <c r="T294" s="559"/>
      <c r="U294" s="559"/>
      <c r="V294" s="559"/>
    </row>
    <row r="295" spans="2:22" s="17" customFormat="1" ht="15.75" hidden="1" x14ac:dyDescent="0.25">
      <c r="B295" s="1447"/>
      <c r="C295" s="1431"/>
      <c r="D295" s="1415"/>
      <c r="E295" s="257"/>
      <c r="F295" s="257"/>
      <c r="G295" s="1447"/>
      <c r="H295" s="257"/>
      <c r="I295" s="1472"/>
      <c r="J295" s="1472"/>
      <c r="K295" s="559"/>
      <c r="L295" s="559"/>
      <c r="M295" s="559"/>
      <c r="N295" s="559"/>
      <c r="O295" s="559"/>
      <c r="P295" s="559"/>
      <c r="Q295" s="559"/>
      <c r="R295" s="559"/>
      <c r="S295" s="559"/>
      <c r="T295" s="559"/>
      <c r="U295" s="559"/>
      <c r="V295" s="559"/>
    </row>
    <row r="296" spans="2:22" s="17" customFormat="1" ht="15.75" hidden="1" x14ac:dyDescent="0.25">
      <c r="B296" s="1420" t="s">
        <v>1464</v>
      </c>
      <c r="C296" s="1431" t="s">
        <v>472</v>
      </c>
      <c r="D296" s="1503" t="e">
        <f>$D$283*'Baseline farm'!F73%</f>
        <v>#DIV/0!</v>
      </c>
      <c r="E296" s="257"/>
      <c r="F296" s="257"/>
      <c r="G296" s="1431">
        <v>5.0000000000000001E-3</v>
      </c>
      <c r="H296" s="257"/>
      <c r="I296" s="1472"/>
      <c r="J296" s="1472"/>
      <c r="K296" s="559"/>
      <c r="L296" s="559"/>
      <c r="M296" s="559"/>
      <c r="N296" s="559"/>
      <c r="O296" s="559"/>
      <c r="P296" s="559"/>
      <c r="Q296" s="559"/>
      <c r="R296" s="559"/>
      <c r="S296" s="559"/>
      <c r="T296" s="559"/>
      <c r="U296" s="559"/>
      <c r="V296" s="559"/>
    </row>
    <row r="297" spans="2:22" s="17" customFormat="1" ht="15.75" hidden="1" x14ac:dyDescent="0.25">
      <c r="B297" s="1447"/>
      <c r="C297" s="1431"/>
      <c r="D297" s="1415"/>
      <c r="E297" s="257"/>
      <c r="F297" s="257"/>
      <c r="G297" s="1447"/>
      <c r="H297" s="257"/>
      <c r="I297" s="1472"/>
      <c r="J297" s="1472"/>
      <c r="K297" s="559"/>
      <c r="L297" s="559"/>
      <c r="M297" s="559"/>
      <c r="N297" s="559"/>
      <c r="O297" s="559"/>
      <c r="P297" s="559"/>
      <c r="Q297" s="559"/>
      <c r="R297" s="559"/>
      <c r="S297" s="559"/>
      <c r="T297" s="559"/>
      <c r="U297" s="559"/>
      <c r="V297" s="559"/>
    </row>
    <row r="298" spans="2:22" s="17" customFormat="1" ht="15.75" hidden="1" x14ac:dyDescent="0.25">
      <c r="B298" s="1420" t="s">
        <v>1465</v>
      </c>
      <c r="C298" s="1431" t="s">
        <v>472</v>
      </c>
      <c r="D298" s="1503" t="e">
        <f>$D$283*'Baseline farm'!G73%</f>
        <v>#DIV/0!</v>
      </c>
      <c r="E298" s="257"/>
      <c r="F298" s="257"/>
      <c r="G298" s="1420">
        <v>0</v>
      </c>
      <c r="H298" s="257"/>
      <c r="I298" s="1472"/>
      <c r="J298" s="1472"/>
      <c r="K298" s="559"/>
      <c r="L298" s="559"/>
      <c r="M298" s="559"/>
      <c r="N298" s="559"/>
      <c r="O298" s="559"/>
      <c r="P298" s="559"/>
      <c r="Q298" s="559"/>
      <c r="R298" s="559"/>
      <c r="S298" s="559"/>
      <c r="T298" s="559"/>
      <c r="U298" s="559"/>
      <c r="V298" s="559"/>
    </row>
    <row r="299" spans="2:22" s="17" customFormat="1" ht="15.75" hidden="1" x14ac:dyDescent="0.25">
      <c r="B299" s="1447"/>
      <c r="C299" s="1447"/>
      <c r="D299" s="1415"/>
      <c r="E299" s="257"/>
      <c r="F299" s="257"/>
      <c r="G299" s="1447"/>
      <c r="H299" s="257"/>
      <c r="I299" s="1472"/>
      <c r="J299" s="1472"/>
      <c r="K299" s="559"/>
      <c r="L299" s="559"/>
      <c r="M299" s="559"/>
      <c r="N299" s="559"/>
      <c r="O299" s="559"/>
      <c r="P299" s="559"/>
      <c r="Q299" s="559"/>
      <c r="R299" s="559"/>
      <c r="S299" s="559"/>
      <c r="T299" s="559"/>
      <c r="U299" s="559"/>
      <c r="V299" s="559"/>
    </row>
    <row r="300" spans="2:22" s="17" customFormat="1" ht="17.25" hidden="1" x14ac:dyDescent="0.3">
      <c r="B300" s="1443" t="s">
        <v>1450</v>
      </c>
      <c r="C300" s="1431" t="s">
        <v>472</v>
      </c>
      <c r="D300" s="1503" t="e">
        <f>SUM(D290,D292,D294,D296,D298)</f>
        <v>#DIV/0!</v>
      </c>
      <c r="E300" s="257"/>
      <c r="F300" s="257"/>
      <c r="G300" s="1447" t="s">
        <v>476</v>
      </c>
      <c r="H300" s="257"/>
      <c r="I300" s="1472"/>
      <c r="J300" s="1472"/>
      <c r="K300" s="559"/>
      <c r="L300" s="559"/>
      <c r="M300" s="559"/>
      <c r="N300" s="559"/>
      <c r="O300" s="559"/>
      <c r="P300" s="559"/>
      <c r="Q300" s="559"/>
      <c r="R300" s="559"/>
      <c r="S300" s="559"/>
      <c r="T300" s="559"/>
      <c r="U300" s="559"/>
      <c r="V300" s="559"/>
    </row>
    <row r="301" spans="2:22" s="17" customFormat="1" ht="15.75" hidden="1" x14ac:dyDescent="0.25">
      <c r="B301" s="1447"/>
      <c r="C301" s="1447"/>
      <c r="D301" s="1504"/>
      <c r="E301" s="257"/>
      <c r="F301" s="257"/>
      <c r="G301" s="1447"/>
      <c r="H301" s="257"/>
      <c r="I301" s="1472"/>
      <c r="J301" s="1472"/>
      <c r="K301" s="559"/>
      <c r="L301" s="559"/>
      <c r="M301" s="559"/>
      <c r="N301" s="559"/>
      <c r="O301" s="559"/>
      <c r="P301" s="559"/>
      <c r="Q301" s="559"/>
      <c r="R301" s="559"/>
      <c r="S301" s="559"/>
      <c r="T301" s="559"/>
      <c r="U301" s="559"/>
      <c r="V301" s="559"/>
    </row>
    <row r="302" spans="2:22" s="17" customFormat="1" ht="17.25" hidden="1" x14ac:dyDescent="0.3">
      <c r="B302" s="1443" t="s">
        <v>1480</v>
      </c>
      <c r="C302" s="1431" t="s">
        <v>472</v>
      </c>
      <c r="D302" s="1505" t="e">
        <f>((D290*$G$290)+(D292*$G$292)+(D294*$G$294)+(D296*$G$296))*44/28</f>
        <v>#DIV/0!</v>
      </c>
      <c r="E302" s="257"/>
      <c r="F302" s="257"/>
      <c r="G302" s="1447" t="s">
        <v>1452</v>
      </c>
      <c r="H302" s="257"/>
      <c r="I302" s="1472"/>
      <c r="J302" s="1472"/>
      <c r="K302" s="559"/>
      <c r="L302" s="559"/>
      <c r="M302" s="559"/>
      <c r="N302" s="559"/>
      <c r="O302" s="559"/>
      <c r="P302" s="559"/>
      <c r="Q302" s="559"/>
      <c r="R302" s="559"/>
      <c r="S302" s="559"/>
      <c r="T302" s="559"/>
      <c r="U302" s="559"/>
      <c r="V302" s="559"/>
    </row>
    <row r="303" spans="2:22" s="17" customFormat="1" ht="15.75" hidden="1" x14ac:dyDescent="0.25">
      <c r="B303" s="1447"/>
      <c r="C303" s="1431"/>
      <c r="D303" s="1447"/>
      <c r="E303" s="224"/>
      <c r="F303" s="224"/>
      <c r="G303" s="1447"/>
      <c r="H303" s="224"/>
      <c r="I303" s="1472"/>
      <c r="J303" s="1472"/>
      <c r="K303" s="559"/>
      <c r="L303" s="559"/>
      <c r="M303" s="559"/>
      <c r="N303" s="559"/>
      <c r="O303" s="559"/>
      <c r="P303" s="559"/>
      <c r="Q303" s="559"/>
      <c r="R303" s="559"/>
      <c r="S303" s="559"/>
      <c r="T303" s="559"/>
      <c r="U303" s="559"/>
      <c r="V303" s="559"/>
    </row>
    <row r="304" spans="2:22" s="17" customFormat="1" ht="15.75" hidden="1" x14ac:dyDescent="0.25">
      <c r="B304" s="1443" t="s">
        <v>1437</v>
      </c>
      <c r="C304" s="1431"/>
      <c r="D304" s="1443" t="s">
        <v>1438</v>
      </c>
      <c r="E304" s="257"/>
      <c r="F304" s="257"/>
      <c r="G304" s="1443" t="s">
        <v>1453</v>
      </c>
      <c r="H304" s="257"/>
      <c r="I304" s="1472"/>
      <c r="J304" s="1472"/>
      <c r="K304" s="559"/>
      <c r="L304" s="559"/>
      <c r="M304" s="559"/>
      <c r="N304" s="559"/>
      <c r="O304" s="559"/>
      <c r="P304" s="559"/>
      <c r="Q304" s="559"/>
      <c r="R304" s="559"/>
      <c r="S304" s="559"/>
      <c r="T304" s="559"/>
      <c r="U304" s="559"/>
      <c r="V304" s="559"/>
    </row>
    <row r="305" spans="2:22" s="17" customFormat="1" ht="15.75" hidden="1" x14ac:dyDescent="0.25">
      <c r="B305" s="1420"/>
      <c r="C305" s="1431"/>
      <c r="D305" s="1447"/>
      <c r="E305" s="224"/>
      <c r="F305" s="224"/>
      <c r="G305" s="1447"/>
      <c r="H305" s="224"/>
      <c r="I305" s="1472"/>
      <c r="J305" s="1472"/>
      <c r="K305" s="559"/>
      <c r="L305" s="559"/>
      <c r="M305" s="559"/>
      <c r="N305" s="559"/>
      <c r="O305" s="559"/>
      <c r="P305" s="559"/>
      <c r="Q305" s="559"/>
      <c r="R305" s="559"/>
      <c r="S305" s="559"/>
      <c r="T305" s="559"/>
      <c r="U305" s="559"/>
      <c r="V305" s="559"/>
    </row>
    <row r="306" spans="2:22" s="17" customFormat="1" ht="15.75" hidden="1" x14ac:dyDescent="0.25">
      <c r="B306" s="1420" t="s">
        <v>1462</v>
      </c>
      <c r="C306" s="1431"/>
      <c r="D306" s="1504" t="e">
        <f>D290*G306</f>
        <v>#DIV/0!</v>
      </c>
      <c r="E306" s="224"/>
      <c r="F306" s="224"/>
      <c r="G306" s="1447">
        <v>0.35</v>
      </c>
      <c r="H306" s="224"/>
      <c r="I306" s="1472"/>
      <c r="J306" s="1472"/>
      <c r="K306" s="559"/>
      <c r="L306" s="559"/>
      <c r="M306" s="559"/>
      <c r="N306" s="559"/>
      <c r="O306" s="559"/>
      <c r="P306" s="559"/>
      <c r="Q306" s="559"/>
      <c r="R306" s="559"/>
      <c r="S306" s="559"/>
      <c r="T306" s="559"/>
      <c r="U306" s="559"/>
      <c r="V306" s="559"/>
    </row>
    <row r="307" spans="2:22" s="17" customFormat="1" ht="15.75" hidden="1" x14ac:dyDescent="0.25">
      <c r="B307" s="1447"/>
      <c r="C307" s="1431"/>
      <c r="D307" s="1504"/>
      <c r="E307" s="224"/>
      <c r="F307" s="224"/>
      <c r="G307" s="1447"/>
      <c r="H307" s="224"/>
      <c r="I307" s="1472"/>
      <c r="J307" s="1472"/>
      <c r="K307" s="559"/>
      <c r="L307" s="559"/>
      <c r="M307" s="559"/>
      <c r="N307" s="559"/>
      <c r="O307" s="559"/>
      <c r="P307" s="559"/>
      <c r="Q307" s="559"/>
      <c r="R307" s="559"/>
      <c r="S307" s="559"/>
      <c r="T307" s="559"/>
      <c r="U307" s="559"/>
      <c r="V307" s="559"/>
    </row>
    <row r="308" spans="2:22" s="17" customFormat="1" ht="15.75" hidden="1" x14ac:dyDescent="0.25">
      <c r="B308" s="1420" t="s">
        <v>1461</v>
      </c>
      <c r="C308" s="1431"/>
      <c r="D308" s="1504" t="e">
        <f>D292*G308</f>
        <v>#DIV/0!</v>
      </c>
      <c r="E308" s="251"/>
      <c r="F308" s="251"/>
      <c r="G308" s="1447">
        <v>7.0000000000000007E-2</v>
      </c>
      <c r="H308" s="251"/>
      <c r="I308" s="1472"/>
      <c r="J308" s="1472"/>
      <c r="K308" s="559"/>
      <c r="L308" s="559"/>
      <c r="M308" s="559"/>
      <c r="N308" s="559"/>
      <c r="O308" s="559"/>
      <c r="P308" s="559"/>
      <c r="Q308" s="559"/>
      <c r="R308" s="559"/>
      <c r="S308" s="559"/>
      <c r="T308" s="559"/>
      <c r="U308" s="559"/>
      <c r="V308" s="559"/>
    </row>
    <row r="309" spans="2:22" s="17" customFormat="1" ht="15.75" hidden="1" x14ac:dyDescent="0.25">
      <c r="B309" s="1447"/>
      <c r="C309" s="1431"/>
      <c r="D309" s="1504"/>
      <c r="E309" s="1502"/>
      <c r="F309" s="1502"/>
      <c r="G309" s="1447"/>
      <c r="H309" s="1502"/>
      <c r="I309" s="1472"/>
      <c r="J309" s="1472"/>
      <c r="K309" s="559"/>
      <c r="L309" s="559"/>
      <c r="M309" s="559"/>
      <c r="N309" s="559"/>
      <c r="O309" s="559"/>
      <c r="P309" s="559"/>
      <c r="Q309" s="559"/>
      <c r="R309" s="559"/>
      <c r="S309" s="559"/>
      <c r="T309" s="559"/>
      <c r="U309" s="559"/>
      <c r="V309" s="559"/>
    </row>
    <row r="310" spans="2:22" s="17" customFormat="1" ht="15.75" hidden="1" x14ac:dyDescent="0.25">
      <c r="B310" s="1420" t="s">
        <v>1463</v>
      </c>
      <c r="C310" s="1431"/>
      <c r="D310" s="1504" t="e">
        <f>D294*G310</f>
        <v>#DIV/0!</v>
      </c>
      <c r="E310" s="224"/>
      <c r="F310" s="224"/>
      <c r="G310" s="1447">
        <v>0.2</v>
      </c>
      <c r="H310" s="224"/>
      <c r="I310" s="1472"/>
      <c r="J310" s="1472"/>
      <c r="K310" s="261"/>
      <c r="L310" s="56"/>
      <c r="M310" s="56"/>
      <c r="N310" s="559"/>
      <c r="O310" s="559"/>
      <c r="P310" s="559"/>
      <c r="Q310" s="559"/>
      <c r="R310" s="559"/>
      <c r="S310" s="559"/>
      <c r="T310" s="559"/>
      <c r="U310" s="559"/>
      <c r="V310" s="559"/>
    </row>
    <row r="311" spans="2:22" s="17" customFormat="1" ht="15.75" hidden="1" x14ac:dyDescent="0.25">
      <c r="B311" s="1447"/>
      <c r="C311" s="1431"/>
      <c r="D311" s="1504"/>
      <c r="E311" s="224"/>
      <c r="F311" s="224"/>
      <c r="G311" s="1447"/>
      <c r="H311" s="224"/>
      <c r="I311" s="568"/>
      <c r="J311" s="261"/>
      <c r="K311" s="56"/>
      <c r="L311" s="56"/>
      <c r="M311" s="56"/>
      <c r="N311" s="559"/>
      <c r="O311" s="559"/>
      <c r="P311" s="559"/>
      <c r="Q311" s="559"/>
      <c r="R311" s="559"/>
      <c r="S311" s="559"/>
      <c r="T311" s="559"/>
      <c r="U311" s="559"/>
      <c r="V311" s="559"/>
    </row>
    <row r="312" spans="2:22" s="17" customFormat="1" ht="15.75" hidden="1" x14ac:dyDescent="0.25">
      <c r="B312" s="1420" t="s">
        <v>1464</v>
      </c>
      <c r="C312" s="1431"/>
      <c r="D312" s="1504" t="e">
        <f>D296*G312</f>
        <v>#DIV/0!</v>
      </c>
      <c r="E312" s="224"/>
      <c r="F312" s="224"/>
      <c r="G312" s="1447">
        <v>0.3</v>
      </c>
      <c r="H312" s="224"/>
      <c r="I312" s="568"/>
      <c r="J312" s="261"/>
      <c r="K312" s="56"/>
      <c r="L312" s="56"/>
      <c r="M312" s="56"/>
      <c r="N312" s="559"/>
      <c r="O312" s="559"/>
      <c r="P312" s="559"/>
      <c r="Q312" s="559"/>
      <c r="R312" s="559"/>
      <c r="S312" s="559"/>
      <c r="T312" s="559"/>
      <c r="U312" s="559"/>
      <c r="V312" s="559"/>
    </row>
    <row r="313" spans="2:22" s="17" customFormat="1" ht="15.75" hidden="1" x14ac:dyDescent="0.25">
      <c r="B313" s="1447"/>
      <c r="C313" s="1431"/>
      <c r="D313" s="1506"/>
      <c r="E313" s="224"/>
      <c r="F313" s="224"/>
      <c r="G313" s="1447"/>
      <c r="H313" s="224"/>
      <c r="I313" s="568"/>
      <c r="J313" s="261"/>
      <c r="K313" s="56"/>
      <c r="L313" s="56"/>
      <c r="M313" s="56"/>
      <c r="N313" s="559"/>
      <c r="O313" s="559"/>
      <c r="P313" s="559"/>
      <c r="Q313" s="559"/>
      <c r="R313" s="559"/>
      <c r="S313" s="559"/>
      <c r="T313" s="559"/>
      <c r="U313" s="559"/>
      <c r="V313" s="559"/>
    </row>
    <row r="314" spans="2:22" s="17" customFormat="1" ht="15.75" hidden="1" x14ac:dyDescent="0.25">
      <c r="B314" s="1420" t="s">
        <v>1465</v>
      </c>
      <c r="C314" s="1431"/>
      <c r="D314" s="1504" t="e">
        <f>D298*G314</f>
        <v>#DIV/0!</v>
      </c>
      <c r="E314" s="224"/>
      <c r="F314" s="224"/>
      <c r="G314" s="1447">
        <v>0</v>
      </c>
      <c r="H314" s="224"/>
      <c r="I314" s="568"/>
      <c r="J314" s="261"/>
      <c r="K314" s="56"/>
      <c r="L314" s="56"/>
      <c r="M314" s="56"/>
      <c r="N314" s="559"/>
      <c r="O314" s="559"/>
      <c r="P314" s="559"/>
      <c r="Q314" s="559"/>
      <c r="R314" s="559"/>
      <c r="S314" s="559"/>
      <c r="T314" s="559"/>
      <c r="U314" s="559"/>
      <c r="V314" s="559"/>
    </row>
    <row r="315" spans="2:22" s="17" customFormat="1" ht="15.75" hidden="1" x14ac:dyDescent="0.25">
      <c r="B315" s="1447"/>
      <c r="C315" s="1431"/>
      <c r="D315" s="1447"/>
      <c r="E315" s="224"/>
      <c r="F315" s="224"/>
      <c r="G315" s="1447"/>
      <c r="H315" s="224"/>
      <c r="I315" s="568"/>
      <c r="J315" s="261"/>
      <c r="K315" s="56"/>
      <c r="L315" s="56"/>
      <c r="M315" s="56"/>
      <c r="N315" s="559"/>
      <c r="O315" s="559"/>
      <c r="P315" s="559"/>
      <c r="Q315" s="559"/>
      <c r="R315" s="559"/>
      <c r="S315" s="559"/>
      <c r="T315" s="559"/>
      <c r="U315" s="559"/>
      <c r="V315" s="559"/>
    </row>
    <row r="316" spans="2:22" s="17" customFormat="1" ht="15.75" hidden="1" x14ac:dyDescent="0.25">
      <c r="B316" s="1443" t="s">
        <v>1455</v>
      </c>
      <c r="C316" s="1431"/>
      <c r="D316" s="1443" t="s">
        <v>1456</v>
      </c>
      <c r="E316" s="224"/>
      <c r="F316" s="224"/>
      <c r="G316" s="1443" t="s">
        <v>1457</v>
      </c>
      <c r="H316" s="224"/>
      <c r="I316" s="56"/>
      <c r="J316" s="261"/>
      <c r="K316" s="56"/>
      <c r="L316" s="56"/>
      <c r="M316" s="56"/>
      <c r="N316" s="559"/>
      <c r="O316" s="559"/>
      <c r="P316" s="559"/>
      <c r="Q316" s="559"/>
      <c r="R316" s="559"/>
      <c r="S316" s="559"/>
      <c r="T316" s="559"/>
      <c r="U316" s="559"/>
      <c r="V316" s="559"/>
    </row>
    <row r="317" spans="2:22" s="17" customFormat="1" ht="15.75" hidden="1" x14ac:dyDescent="0.25">
      <c r="B317" s="1447"/>
      <c r="C317" s="1431"/>
      <c r="D317" s="1504" t="e">
        <f>SUM(D306:D312)*$G$317*44/28</f>
        <v>#DIV/0!</v>
      </c>
      <c r="E317" s="224"/>
      <c r="F317" s="224"/>
      <c r="G317" s="1447">
        <v>4.0000000000000001E-3</v>
      </c>
      <c r="H317" s="224"/>
      <c r="I317" s="56"/>
      <c r="J317" s="261"/>
      <c r="K317" s="56"/>
      <c r="L317" s="56"/>
      <c r="M317" s="56"/>
      <c r="N317" s="559"/>
      <c r="O317" s="559"/>
      <c r="P317" s="559"/>
      <c r="Q317" s="559"/>
      <c r="R317" s="559"/>
      <c r="S317" s="559"/>
      <c r="T317" s="559"/>
      <c r="U317" s="559"/>
      <c r="V317" s="559"/>
    </row>
    <row r="318" spans="2:22" s="17" customFormat="1" ht="15.75" hidden="1" x14ac:dyDescent="0.25">
      <c r="B318" s="1447"/>
      <c r="C318" s="1431"/>
      <c r="D318" s="1504"/>
      <c r="E318" s="224"/>
      <c r="F318" s="224"/>
      <c r="G318" s="1447"/>
      <c r="H318" s="224"/>
      <c r="I318" s="56"/>
      <c r="J318" s="261"/>
      <c r="K318" s="56"/>
      <c r="L318" s="56"/>
      <c r="M318" s="56"/>
      <c r="N318" s="559"/>
      <c r="O318" s="559"/>
      <c r="P318" s="559"/>
      <c r="Q318" s="559"/>
      <c r="R318" s="559"/>
      <c r="S318" s="559"/>
      <c r="T318" s="559"/>
      <c r="U318" s="559"/>
      <c r="V318" s="559"/>
    </row>
    <row r="319" spans="2:22" s="17" customFormat="1" ht="15.75" hidden="1" x14ac:dyDescent="0.25">
      <c r="B319" s="1447" t="s">
        <v>1460</v>
      </c>
      <c r="C319" s="1431"/>
      <c r="D319" s="1507" t="e">
        <f>SUM(D317)*298*10^3</f>
        <v>#DIV/0!</v>
      </c>
      <c r="E319" s="224"/>
      <c r="F319" s="224"/>
      <c r="G319" s="1447" t="s">
        <v>1468</v>
      </c>
      <c r="H319" s="224"/>
      <c r="I319" s="56"/>
      <c r="J319" s="261"/>
      <c r="K319" s="568"/>
      <c r="L319" s="271"/>
      <c r="M319" s="272"/>
      <c r="N319" s="559"/>
      <c r="O319" s="559"/>
      <c r="P319" s="559"/>
      <c r="Q319" s="559"/>
      <c r="R319" s="559"/>
      <c r="S319" s="559"/>
      <c r="T319" s="559"/>
      <c r="U319" s="559"/>
      <c r="V319" s="559"/>
    </row>
    <row r="320" spans="2:22" s="17" customFormat="1" ht="15.75" hidden="1" x14ac:dyDescent="0.25">
      <c r="B320" s="1447"/>
      <c r="C320" s="1431"/>
      <c r="D320" s="1447"/>
      <c r="E320" s="224"/>
      <c r="F320" s="224"/>
      <c r="G320" s="1447"/>
      <c r="H320" s="224"/>
      <c r="I320" s="656"/>
      <c r="J320" s="261"/>
      <c r="K320" s="568"/>
      <c r="L320" s="271"/>
      <c r="M320" s="273"/>
      <c r="N320" s="559"/>
      <c r="O320" s="559"/>
      <c r="P320" s="559"/>
      <c r="Q320" s="559"/>
      <c r="R320" s="559"/>
      <c r="S320" s="559"/>
      <c r="T320" s="559"/>
      <c r="U320" s="559"/>
      <c r="V320" s="559"/>
    </row>
    <row r="321" spans="2:22" s="17" customFormat="1" ht="17.25" hidden="1" x14ac:dyDescent="0.3">
      <c r="B321" s="1443" t="s">
        <v>1459</v>
      </c>
      <c r="C321" s="1431"/>
      <c r="D321" s="1443" t="s">
        <v>1510</v>
      </c>
      <c r="E321" s="224"/>
      <c r="F321" s="224"/>
      <c r="G321" s="1443" t="s">
        <v>1466</v>
      </c>
      <c r="H321" s="224"/>
      <c r="I321" s="656"/>
      <c r="J321" s="261"/>
      <c r="K321" s="56"/>
      <c r="L321" s="568"/>
      <c r="M321" s="273"/>
      <c r="N321" s="559"/>
      <c r="O321" s="559"/>
      <c r="P321" s="559"/>
      <c r="Q321" s="559"/>
      <c r="R321" s="559"/>
      <c r="S321" s="559"/>
      <c r="T321" s="559"/>
      <c r="U321" s="559"/>
      <c r="V321" s="559"/>
    </row>
    <row r="322" spans="2:22" s="17" customFormat="1" ht="15.75" hidden="1" x14ac:dyDescent="0.25">
      <c r="B322" s="1447"/>
      <c r="C322" s="1431"/>
      <c r="D322" s="1447"/>
      <c r="E322" s="224"/>
      <c r="F322" s="224"/>
      <c r="G322" s="1447">
        <v>1</v>
      </c>
      <c r="H322" s="224"/>
      <c r="I322" s="56"/>
      <c r="J322" s="56"/>
      <c r="K322" s="56"/>
      <c r="L322" s="276"/>
      <c r="M322" s="273"/>
      <c r="N322" s="56"/>
      <c r="O322" s="56"/>
      <c r="P322" s="56"/>
      <c r="Q322" s="56"/>
      <c r="R322" s="56"/>
      <c r="S322" s="56"/>
      <c r="T322" s="56"/>
      <c r="U322" s="559"/>
      <c r="V322" s="559"/>
    </row>
    <row r="323" spans="2:22" s="17" customFormat="1" ht="15.75" hidden="1" x14ac:dyDescent="0.25">
      <c r="B323" s="1447" t="s">
        <v>1522</v>
      </c>
      <c r="C323" s="1431"/>
      <c r="D323" s="1508" t="e">
        <f>D296*$G$322*$G$324</f>
        <v>#DIV/0!</v>
      </c>
      <c r="E323" s="224"/>
      <c r="F323" s="224"/>
      <c r="G323" s="1443" t="s">
        <v>1467</v>
      </c>
      <c r="H323" s="224"/>
      <c r="I323" s="56"/>
      <c r="J323" s="56"/>
      <c r="K323" s="56"/>
      <c r="L323" s="276"/>
      <c r="M323" s="273"/>
      <c r="N323" s="56"/>
      <c r="O323" s="56"/>
      <c r="P323" s="56"/>
      <c r="Q323" s="56"/>
      <c r="R323" s="56"/>
      <c r="S323" s="56"/>
      <c r="T323" s="56"/>
      <c r="U323" s="559"/>
      <c r="V323" s="559"/>
    </row>
    <row r="324" spans="2:22" s="17" customFormat="1" ht="15.75" hidden="1" x14ac:dyDescent="0.25">
      <c r="B324" s="1443"/>
      <c r="C324" s="1423"/>
      <c r="D324" s="1447"/>
      <c r="E324" s="224"/>
      <c r="F324" s="224"/>
      <c r="G324" s="1435">
        <v>0.3</v>
      </c>
      <c r="H324" s="224"/>
      <c r="I324" s="56"/>
      <c r="J324" s="56"/>
      <c r="K324" s="56"/>
      <c r="L324" s="276"/>
      <c r="M324" s="276"/>
      <c r="N324" s="56"/>
      <c r="O324" s="56"/>
      <c r="P324" s="56"/>
      <c r="Q324" s="56"/>
      <c r="R324" s="56"/>
      <c r="S324" s="56"/>
      <c r="T324" s="56"/>
      <c r="U324" s="559"/>
      <c r="V324" s="559"/>
    </row>
    <row r="325" spans="2:22" s="17" customFormat="1" ht="15.75" hidden="1" x14ac:dyDescent="0.25">
      <c r="B325" s="1443"/>
      <c r="C325" s="1423"/>
      <c r="D325" s="1443" t="s">
        <v>1513</v>
      </c>
      <c r="E325" s="224"/>
      <c r="F325" s="224"/>
      <c r="G325" s="1441" t="s">
        <v>1475</v>
      </c>
      <c r="H325" s="224"/>
      <c r="I325" s="56"/>
      <c r="J325" s="56"/>
      <c r="K325" s="56"/>
      <c r="L325" s="276"/>
      <c r="M325" s="276"/>
      <c r="N325" s="56"/>
      <c r="O325" s="56"/>
      <c r="P325" s="56"/>
      <c r="Q325" s="56"/>
      <c r="R325" s="56"/>
      <c r="S325" s="56"/>
      <c r="T325" s="56"/>
      <c r="U325" s="559"/>
      <c r="V325" s="559"/>
    </row>
    <row r="326" spans="2:22" s="17" customFormat="1" ht="15.75" hidden="1" x14ac:dyDescent="0.25">
      <c r="B326" s="1443"/>
      <c r="C326" s="1423"/>
      <c r="D326" s="1509" t="e">
        <f>D323*$G$326*44/28</f>
        <v>#DIV/0!</v>
      </c>
      <c r="E326" s="224"/>
      <c r="F326" s="224"/>
      <c r="G326" s="1440">
        <v>7.4999999999999997E-3</v>
      </c>
      <c r="H326" s="224"/>
      <c r="I326" s="56"/>
      <c r="J326" s="56"/>
      <c r="K326" s="568"/>
      <c r="L326" s="639"/>
      <c r="M326" s="56"/>
      <c r="N326" s="56"/>
      <c r="O326" s="56"/>
      <c r="P326" s="56"/>
      <c r="Q326" s="56"/>
      <c r="R326" s="56"/>
      <c r="S326" s="56"/>
      <c r="T326" s="56"/>
      <c r="U326" s="559"/>
      <c r="V326" s="559"/>
    </row>
    <row r="327" spans="2:22" s="17" customFormat="1" ht="15.75" hidden="1" x14ac:dyDescent="0.25">
      <c r="B327" s="1443"/>
      <c r="C327" s="1235"/>
      <c r="D327" s="1447"/>
      <c r="E327" s="224"/>
      <c r="F327" s="224"/>
      <c r="G327" s="1447"/>
      <c r="H327" s="224"/>
      <c r="I327" s="283"/>
      <c r="J327" s="261"/>
      <c r="K327" s="568"/>
      <c r="L327" s="273"/>
      <c r="M327" s="56"/>
      <c r="N327" s="56"/>
      <c r="O327" s="56"/>
      <c r="P327" s="56"/>
      <c r="Q327" s="56"/>
      <c r="R327" s="56"/>
      <c r="S327" s="56"/>
      <c r="T327" s="56"/>
      <c r="U327" s="559"/>
      <c r="V327" s="559"/>
    </row>
    <row r="328" spans="2:22" s="17" customFormat="1" ht="15.75" hidden="1" x14ac:dyDescent="0.25">
      <c r="B328" s="97" t="s">
        <v>1469</v>
      </c>
      <c r="C328" s="618"/>
      <c r="D328" s="1510" t="e">
        <f>SUM(D326)*298*10^3</f>
        <v>#DIV/0!</v>
      </c>
      <c r="E328" s="1511"/>
      <c r="F328" s="1511"/>
      <c r="G328" s="1237" t="s">
        <v>1468</v>
      </c>
      <c r="H328" s="1511"/>
      <c r="I328" s="56"/>
      <c r="J328" s="56"/>
      <c r="K328" s="568"/>
      <c r="L328" s="280"/>
      <c r="M328" s="56"/>
      <c r="N328" s="56"/>
      <c r="O328" s="56"/>
      <c r="P328" s="56"/>
      <c r="Q328" s="56"/>
      <c r="R328" s="56"/>
      <c r="S328" s="56"/>
      <c r="T328" s="56"/>
      <c r="U328" s="559"/>
      <c r="V328" s="559"/>
    </row>
    <row r="329" spans="2:22" s="1299" customFormat="1" ht="15.75" hidden="1" x14ac:dyDescent="0.25">
      <c r="B329" s="1524"/>
      <c r="C329" s="1525"/>
      <c r="D329" s="1526"/>
      <c r="E329" s="568"/>
      <c r="F329" s="568"/>
      <c r="G329" s="1262"/>
      <c r="H329" s="568"/>
      <c r="I329" s="1300"/>
      <c r="J329" s="1300"/>
      <c r="K329" s="568"/>
      <c r="L329" s="280"/>
      <c r="M329" s="1300"/>
      <c r="N329" s="1300"/>
      <c r="O329" s="1300"/>
      <c r="P329" s="1300"/>
      <c r="Q329" s="1300"/>
      <c r="R329" s="1300"/>
      <c r="S329" s="1300"/>
      <c r="T329" s="1300"/>
    </row>
    <row r="330" spans="2:22" s="17" customFormat="1" ht="15.75" hidden="1" x14ac:dyDescent="0.25">
      <c r="B330" s="258" t="s">
        <v>282</v>
      </c>
      <c r="C330" s="259"/>
      <c r="D330" s="260"/>
      <c r="E330" s="260"/>
      <c r="F330" s="260"/>
      <c r="G330" s="260"/>
      <c r="H330" s="260"/>
      <c r="I330" s="283"/>
      <c r="J330" s="56"/>
      <c r="K330" s="568"/>
      <c r="L330" s="639"/>
      <c r="M330" s="56"/>
      <c r="N330" s="56"/>
      <c r="O330" s="56"/>
      <c r="P330" s="56"/>
      <c r="Q330" s="56"/>
      <c r="R330" s="56"/>
      <c r="S330" s="56"/>
      <c r="T330" s="56"/>
      <c r="U330" s="559"/>
      <c r="V330" s="559"/>
    </row>
    <row r="331" spans="2:22" s="17" customFormat="1" ht="15.75" hidden="1" x14ac:dyDescent="0.25">
      <c r="B331" s="262"/>
      <c r="C331" s="262"/>
      <c r="D331" s="262"/>
      <c r="E331" s="263"/>
      <c r="F331" s="263"/>
      <c r="G331" s="263"/>
      <c r="H331" s="263"/>
      <c r="I331" s="56"/>
      <c r="J331" s="56"/>
      <c r="K331" s="282"/>
      <c r="L331" s="568"/>
      <c r="M331" s="568"/>
      <c r="N331" s="56"/>
      <c r="O331" s="56"/>
      <c r="P331" s="56"/>
      <c r="Q331" s="56"/>
      <c r="R331" s="56"/>
      <c r="S331" s="56"/>
      <c r="T331" s="56"/>
      <c r="U331" s="559"/>
      <c r="V331" s="559"/>
    </row>
    <row r="332" spans="2:22" s="17" customFormat="1" ht="17.25" hidden="1" x14ac:dyDescent="0.3">
      <c r="B332" s="1473" t="s">
        <v>365</v>
      </c>
      <c r="C332" s="1473" t="s">
        <v>1477</v>
      </c>
      <c r="D332" s="1474"/>
      <c r="E332" s="263"/>
      <c r="F332" s="263"/>
      <c r="G332" s="266"/>
      <c r="H332" s="266"/>
      <c r="I332" s="56"/>
      <c r="J332" s="261"/>
      <c r="K332" s="56"/>
      <c r="L332" s="56"/>
      <c r="M332" s="283"/>
      <c r="N332" s="56"/>
      <c r="O332" s="56"/>
      <c r="P332" s="56"/>
      <c r="Q332" s="56"/>
      <c r="R332" s="56"/>
      <c r="S332" s="56"/>
      <c r="T332" s="56"/>
      <c r="U332" s="559"/>
      <c r="V332" s="559"/>
    </row>
    <row r="333" spans="2:22" s="17" customFormat="1" ht="15.75" hidden="1" x14ac:dyDescent="0.25">
      <c r="B333" s="1455"/>
      <c r="C333" s="1455" t="s">
        <v>367</v>
      </c>
      <c r="D333" s="1455"/>
      <c r="E333" s="263"/>
      <c r="F333" s="263"/>
      <c r="G333" s="263"/>
      <c r="H333" s="263"/>
      <c r="I333" s="56"/>
      <c r="J333" s="261"/>
      <c r="K333" s="56"/>
      <c r="L333" s="56"/>
      <c r="M333" s="283"/>
      <c r="N333" s="56"/>
      <c r="O333" s="56"/>
      <c r="P333" s="56"/>
      <c r="Q333" s="56"/>
      <c r="R333" s="56"/>
      <c r="S333" s="56"/>
      <c r="T333" s="56"/>
      <c r="U333" s="559"/>
      <c r="V333" s="559"/>
    </row>
    <row r="334" spans="2:22" s="17" customFormat="1" ht="15.75" hidden="1" x14ac:dyDescent="0.25">
      <c r="B334" s="1455"/>
      <c r="C334" s="1474" t="s">
        <v>1504</v>
      </c>
      <c r="D334" s="1455"/>
      <c r="E334" s="263"/>
      <c r="F334" s="263"/>
      <c r="G334" s="263"/>
      <c r="H334" s="263"/>
      <c r="I334" s="56"/>
      <c r="J334" s="261"/>
      <c r="K334" s="56"/>
      <c r="L334" s="56"/>
      <c r="M334" s="283"/>
      <c r="N334" s="56"/>
      <c r="O334" s="56"/>
      <c r="P334" s="56"/>
      <c r="Q334" s="56"/>
      <c r="R334" s="56"/>
      <c r="S334" s="56"/>
      <c r="T334" s="56"/>
      <c r="U334" s="559"/>
      <c r="V334" s="559"/>
    </row>
    <row r="335" spans="2:22" s="17" customFormat="1" ht="15.75" hidden="1" x14ac:dyDescent="0.25">
      <c r="B335" s="1474"/>
      <c r="C335" s="1474" t="s">
        <v>1478</v>
      </c>
      <c r="D335" s="1455"/>
      <c r="E335" s="263"/>
      <c r="F335" s="263"/>
      <c r="G335" s="263"/>
      <c r="H335" s="263"/>
      <c r="I335" s="56"/>
      <c r="J335" s="56"/>
      <c r="K335" s="56"/>
      <c r="L335" s="56"/>
      <c r="M335" s="283"/>
      <c r="N335" s="56"/>
      <c r="O335" s="56"/>
      <c r="P335" s="56"/>
      <c r="Q335" s="56"/>
      <c r="R335" s="56"/>
      <c r="S335" s="56"/>
      <c r="T335" s="56"/>
      <c r="U335" s="559"/>
      <c r="V335" s="559"/>
    </row>
    <row r="336" spans="2:22" s="17" customFormat="1" ht="15.75" hidden="1" x14ac:dyDescent="0.25">
      <c r="B336" s="1474"/>
      <c r="C336" s="1474" t="s">
        <v>1479</v>
      </c>
      <c r="D336" s="1455"/>
      <c r="E336" s="267"/>
      <c r="F336" s="262"/>
      <c r="G336" s="262"/>
      <c r="H336" s="262"/>
      <c r="I336" s="56"/>
      <c r="J336" s="261"/>
      <c r="K336" s="285"/>
      <c r="L336" s="285"/>
      <c r="M336" s="286"/>
      <c r="N336" s="56"/>
      <c r="O336" s="56"/>
      <c r="P336" s="56"/>
      <c r="Q336" s="56"/>
      <c r="R336" s="56"/>
      <c r="S336" s="56"/>
      <c r="T336" s="56"/>
      <c r="U336" s="559"/>
      <c r="V336" s="559"/>
    </row>
    <row r="337" spans="2:22" s="17" customFormat="1" ht="15.75" hidden="1" x14ac:dyDescent="0.25">
      <c r="B337" s="1474"/>
      <c r="C337" s="1455"/>
      <c r="D337" s="1455"/>
      <c r="E337" s="267"/>
      <c r="F337" s="262"/>
      <c r="G337" s="262"/>
      <c r="H337" s="262"/>
      <c r="I337" s="56"/>
      <c r="J337" s="261"/>
      <c r="K337" s="285"/>
      <c r="L337" s="285"/>
      <c r="M337" s="285"/>
      <c r="N337" s="56"/>
      <c r="O337" s="56"/>
      <c r="P337" s="56"/>
      <c r="Q337" s="56"/>
      <c r="R337" s="56"/>
      <c r="S337" s="56"/>
      <c r="T337" s="56"/>
      <c r="U337" s="559"/>
      <c r="V337" s="559"/>
    </row>
    <row r="338" spans="2:22" s="17" customFormat="1" ht="15.75" hidden="1" x14ac:dyDescent="0.25">
      <c r="B338" s="1473"/>
      <c r="C338" s="1474"/>
      <c r="D338" s="117"/>
      <c r="E338" s="268"/>
      <c r="F338" s="268"/>
      <c r="G338" s="268"/>
      <c r="H338" s="268"/>
      <c r="I338" s="56"/>
      <c r="J338" s="261"/>
      <c r="K338" s="285"/>
      <c r="L338" s="285"/>
      <c r="M338" s="286"/>
      <c r="N338" s="568"/>
      <c r="O338" s="568"/>
      <c r="P338" s="568"/>
      <c r="Q338" s="568"/>
      <c r="R338" s="568"/>
      <c r="S338" s="568"/>
      <c r="T338" s="568"/>
      <c r="U338" s="559"/>
      <c r="V338" s="559"/>
    </row>
    <row r="339" spans="2:22" s="17" customFormat="1" ht="15.75" hidden="1" x14ac:dyDescent="0.25">
      <c r="B339" s="1473" t="s">
        <v>1525</v>
      </c>
      <c r="C339" s="1475" t="s">
        <v>478</v>
      </c>
      <c r="D339" s="1512" t="e">
        <f>(($D$283*'Baseline farm'!$C$73%)*(1-$G290-$G306))-0</f>
        <v>#DIV/0!</v>
      </c>
      <c r="E339" s="270"/>
      <c r="F339" s="270"/>
      <c r="G339" s="270"/>
      <c r="H339" s="270"/>
      <c r="I339" s="56"/>
      <c r="J339" s="56"/>
      <c r="K339" s="285"/>
      <c r="L339" s="285"/>
      <c r="M339" s="286"/>
      <c r="N339" s="568"/>
      <c r="O339" s="568"/>
      <c r="P339" s="568"/>
      <c r="Q339" s="568"/>
      <c r="R339" s="568"/>
      <c r="S339" s="282"/>
      <c r="T339" s="568"/>
      <c r="U339" s="559"/>
      <c r="V339" s="559"/>
    </row>
    <row r="340" spans="2:22" s="17" customFormat="1" ht="15.75" hidden="1" x14ac:dyDescent="0.25">
      <c r="B340" s="1474"/>
      <c r="C340" s="1474"/>
      <c r="D340" s="1512"/>
      <c r="E340" s="262"/>
      <c r="F340" s="262"/>
      <c r="G340" s="262"/>
      <c r="H340" s="262"/>
      <c r="I340" s="56"/>
      <c r="J340" s="56"/>
      <c r="K340" s="285"/>
      <c r="L340" s="285"/>
      <c r="M340" s="286"/>
      <c r="N340" s="568"/>
      <c r="O340" s="287"/>
      <c r="P340" s="287"/>
      <c r="Q340" s="568"/>
      <c r="R340" s="568"/>
      <c r="S340" s="282"/>
      <c r="T340" s="568"/>
      <c r="U340" s="559"/>
      <c r="V340" s="559"/>
    </row>
    <row r="341" spans="2:22" s="17" customFormat="1" ht="15.75" hidden="1" x14ac:dyDescent="0.25">
      <c r="B341" s="1473" t="s">
        <v>1526</v>
      </c>
      <c r="C341" s="1475" t="s">
        <v>478</v>
      </c>
      <c r="D341" s="1512" t="e">
        <f>(($D$283*'Baseline farm'!$D$73%)*(1-$G292-$G308))-0</f>
        <v>#DIV/0!</v>
      </c>
      <c r="E341" s="270"/>
      <c r="F341" s="270"/>
      <c r="G341" s="270"/>
      <c r="H341" s="270"/>
      <c r="I341" s="56"/>
      <c r="J341" s="56"/>
      <c r="K341" s="56"/>
      <c r="L341" s="56"/>
      <c r="M341" s="56"/>
      <c r="N341" s="56"/>
      <c r="O341" s="56"/>
      <c r="P341" s="56"/>
      <c r="Q341" s="56"/>
      <c r="R341" s="56"/>
      <c r="S341" s="56"/>
      <c r="T341" s="56"/>
      <c r="U341" s="559"/>
      <c r="V341" s="559"/>
    </row>
    <row r="342" spans="2:22" s="17" customFormat="1" ht="15.75" hidden="1" x14ac:dyDescent="0.25">
      <c r="B342" s="1474"/>
      <c r="C342" s="1474"/>
      <c r="D342" s="1512"/>
      <c r="E342" s="274"/>
      <c r="F342" s="274"/>
      <c r="G342" s="274"/>
      <c r="H342" s="274"/>
      <c r="I342" s="56"/>
      <c r="J342" s="261"/>
      <c r="K342" s="56"/>
      <c r="L342" s="56"/>
      <c r="M342" s="56"/>
      <c r="N342" s="56"/>
      <c r="O342" s="56"/>
      <c r="P342" s="56"/>
      <c r="Q342" s="56"/>
      <c r="R342" s="56"/>
      <c r="S342" s="56"/>
      <c r="T342" s="56"/>
      <c r="U342" s="559"/>
      <c r="V342" s="559"/>
    </row>
    <row r="343" spans="2:22" s="17" customFormat="1" ht="15.75" hidden="1" x14ac:dyDescent="0.25">
      <c r="B343" s="1473" t="s">
        <v>1527</v>
      </c>
      <c r="C343" s="1475" t="s">
        <v>478</v>
      </c>
      <c r="D343" s="1512" t="e">
        <f>(($D$283*'Baseline farm'!$E$73%)*(1-$G294-$G310))-0</f>
        <v>#DIV/0!</v>
      </c>
      <c r="E343" s="277"/>
      <c r="F343" s="277"/>
      <c r="G343" s="277"/>
      <c r="H343" s="277"/>
      <c r="I343" s="56"/>
      <c r="J343" s="56"/>
      <c r="K343" s="56"/>
      <c r="L343" s="56"/>
      <c r="M343" s="56"/>
      <c r="N343" s="56"/>
      <c r="O343" s="56"/>
      <c r="P343" s="56"/>
      <c r="Q343" s="56"/>
      <c r="R343" s="56"/>
      <c r="S343" s="56"/>
      <c r="T343" s="56"/>
      <c r="U343" s="559"/>
      <c r="V343" s="559"/>
    </row>
    <row r="344" spans="2:22" s="17" customFormat="1" ht="15.75" hidden="1" x14ac:dyDescent="0.25">
      <c r="B344" s="1474"/>
      <c r="C344" s="1475"/>
      <c r="D344" s="1512"/>
      <c r="E344" s="278"/>
      <c r="F344" s="278"/>
      <c r="G344" s="278"/>
      <c r="H344" s="278"/>
      <c r="I344" s="56"/>
      <c r="J344" s="56"/>
      <c r="K344" s="56"/>
      <c r="L344" s="56"/>
      <c r="M344" s="56"/>
      <c r="N344" s="56"/>
      <c r="O344" s="56"/>
      <c r="P344" s="56"/>
      <c r="Q344" s="56"/>
      <c r="R344" s="56"/>
      <c r="S344" s="56"/>
      <c r="T344" s="56"/>
      <c r="U344" s="559"/>
      <c r="V344" s="559"/>
    </row>
    <row r="345" spans="2:22" s="17" customFormat="1" ht="15.75" hidden="1" x14ac:dyDescent="0.25">
      <c r="B345" s="1473" t="s">
        <v>1528</v>
      </c>
      <c r="C345" s="1475" t="s">
        <v>478</v>
      </c>
      <c r="D345" s="1512" t="e">
        <f>(($D$283*'Baseline farm'!$F$73%)*(1-$G296-$G312))-D323</f>
        <v>#DIV/0!</v>
      </c>
      <c r="E345" s="270"/>
      <c r="F345" s="270"/>
      <c r="G345" s="270"/>
      <c r="H345" s="270"/>
      <c r="I345" s="56"/>
      <c r="J345" s="56"/>
      <c r="K345" s="56"/>
      <c r="L345" s="56"/>
      <c r="M345" s="56"/>
      <c r="N345" s="568"/>
      <c r="O345" s="568"/>
      <c r="P345" s="568"/>
      <c r="Q345" s="568"/>
      <c r="R345" s="568"/>
      <c r="S345" s="568"/>
      <c r="T345" s="568"/>
      <c r="U345" s="559"/>
      <c r="V345" s="559"/>
    </row>
    <row r="346" spans="2:22" s="17" customFormat="1" ht="15.75" hidden="1" x14ac:dyDescent="0.25">
      <c r="B346" s="1474"/>
      <c r="C346" s="1475"/>
      <c r="D346" s="1512"/>
      <c r="E346" s="262"/>
      <c r="F346" s="262"/>
      <c r="G346" s="262"/>
      <c r="H346" s="262"/>
      <c r="I346" s="283"/>
      <c r="J346" s="56"/>
      <c r="K346" s="56"/>
      <c r="L346" s="289"/>
      <c r="M346" s="56"/>
      <c r="N346" s="568"/>
      <c r="O346" s="568"/>
      <c r="P346" s="568"/>
      <c r="Q346" s="568"/>
      <c r="R346" s="568"/>
      <c r="S346" s="568"/>
      <c r="T346" s="568"/>
      <c r="U346" s="559"/>
      <c r="V346" s="559"/>
    </row>
    <row r="347" spans="2:22" s="17" customFormat="1" ht="15.75" hidden="1" x14ac:dyDescent="0.25">
      <c r="B347" s="1473" t="s">
        <v>1529</v>
      </c>
      <c r="C347" s="1475" t="s">
        <v>478</v>
      </c>
      <c r="D347" s="1512" t="e">
        <f>SUM(D339:D345)</f>
        <v>#DIV/0!</v>
      </c>
      <c r="E347" s="262"/>
      <c r="F347" s="262"/>
      <c r="G347" s="262"/>
      <c r="H347" s="262"/>
      <c r="I347" s="56"/>
      <c r="J347" s="56"/>
      <c r="K347" s="56"/>
      <c r="L347" s="56"/>
      <c r="M347" s="56"/>
      <c r="N347" s="56"/>
      <c r="O347" s="56"/>
      <c r="P347" s="56"/>
      <c r="Q347" s="56"/>
      <c r="R347" s="56"/>
      <c r="S347" s="56"/>
      <c r="T347" s="56"/>
      <c r="U347" s="559"/>
      <c r="V347" s="559"/>
    </row>
    <row r="348" spans="2:22" s="17" customFormat="1" ht="15.75" hidden="1" x14ac:dyDescent="0.25">
      <c r="B348" s="1474"/>
      <c r="C348" s="1474"/>
      <c r="D348" s="1474"/>
      <c r="E348" s="262"/>
      <c r="F348" s="262"/>
      <c r="G348" s="262"/>
      <c r="H348" s="262"/>
      <c r="I348" s="56"/>
      <c r="J348" s="56"/>
      <c r="K348" s="56"/>
      <c r="L348" s="56"/>
      <c r="M348" s="56"/>
      <c r="N348" s="56"/>
      <c r="O348" s="56"/>
      <c r="P348" s="56"/>
      <c r="Q348" s="56"/>
      <c r="R348" s="56"/>
      <c r="S348" s="56"/>
      <c r="T348" s="56"/>
      <c r="U348" s="559"/>
      <c r="V348" s="559"/>
    </row>
    <row r="349" spans="2:22" s="17" customFormat="1" ht="15.75" hidden="1" x14ac:dyDescent="0.25">
      <c r="B349" s="1473" t="s">
        <v>368</v>
      </c>
      <c r="C349" s="1473" t="s">
        <v>369</v>
      </c>
      <c r="D349" s="1478"/>
      <c r="E349" s="281"/>
      <c r="F349" s="281"/>
      <c r="G349" s="281"/>
      <c r="H349" s="281"/>
      <c r="I349" s="283"/>
      <c r="J349" s="56"/>
      <c r="K349" s="559"/>
      <c r="L349" s="559"/>
      <c r="M349" s="559"/>
      <c r="N349" s="56"/>
      <c r="O349" s="56"/>
      <c r="P349" s="56"/>
      <c r="Q349" s="56"/>
      <c r="R349" s="56"/>
      <c r="S349" s="56"/>
      <c r="T349" s="56"/>
      <c r="U349" s="559"/>
      <c r="V349" s="559"/>
    </row>
    <row r="350" spans="2:22" s="17" customFormat="1" ht="15.75" hidden="1" x14ac:dyDescent="0.25">
      <c r="B350" s="1474"/>
      <c r="C350" s="1474" t="s">
        <v>371</v>
      </c>
      <c r="D350" s="1513">
        <v>0.01</v>
      </c>
      <c r="E350" s="262"/>
      <c r="F350" s="262"/>
      <c r="G350" s="262"/>
      <c r="H350" s="262"/>
      <c r="I350" s="283"/>
      <c r="J350" s="657"/>
      <c r="K350" s="559"/>
      <c r="L350" s="559"/>
      <c r="M350" s="559"/>
      <c r="N350" s="56"/>
      <c r="O350" s="56"/>
      <c r="P350" s="56"/>
      <c r="Q350" s="56"/>
      <c r="R350" s="56"/>
      <c r="S350" s="56"/>
      <c r="T350" s="56"/>
      <c r="U350" s="559"/>
      <c r="V350" s="559"/>
    </row>
    <row r="351" spans="2:22" s="17" customFormat="1" ht="15.75" hidden="1" x14ac:dyDescent="0.25">
      <c r="B351" s="1474"/>
      <c r="C351" s="1475" t="s">
        <v>478</v>
      </c>
      <c r="D351" s="1514" t="e">
        <f>D347*$D$350*44/28</f>
        <v>#DIV/0!</v>
      </c>
      <c r="E351" s="262"/>
      <c r="F351" s="262"/>
      <c r="G351" s="262"/>
      <c r="H351" s="262"/>
      <c r="I351" s="283"/>
      <c r="J351" s="657"/>
      <c r="K351" s="291"/>
      <c r="L351" s="291"/>
      <c r="M351" s="291"/>
      <c r="N351" s="56"/>
      <c r="O351" s="56"/>
      <c r="P351" s="56"/>
      <c r="Q351" s="56"/>
      <c r="R351" s="56"/>
      <c r="S351" s="56"/>
      <c r="T351" s="56"/>
      <c r="U351" s="559"/>
      <c r="V351" s="559"/>
    </row>
    <row r="352" spans="2:22" s="17" customFormat="1" ht="15.75" hidden="1" x14ac:dyDescent="0.25">
      <c r="B352" s="265" t="s">
        <v>405</v>
      </c>
      <c r="C352" s="262"/>
      <c r="D352" s="262"/>
      <c r="E352" s="262"/>
      <c r="F352" s="262"/>
      <c r="G352" s="262"/>
      <c r="H352" s="262"/>
      <c r="I352" s="283"/>
      <c r="J352" s="657"/>
      <c r="K352" s="291"/>
      <c r="L352" s="291"/>
      <c r="M352" s="291"/>
      <c r="N352" s="56"/>
      <c r="O352" s="56"/>
      <c r="P352" s="56"/>
      <c r="Q352" s="56"/>
      <c r="R352" s="56"/>
      <c r="S352" s="56"/>
      <c r="T352" s="56"/>
      <c r="U352" s="559"/>
      <c r="V352" s="559"/>
    </row>
    <row r="353" spans="2:22" s="17" customFormat="1" ht="15.75" hidden="1" x14ac:dyDescent="0.25">
      <c r="B353" s="262"/>
      <c r="C353" s="265" t="s">
        <v>407</v>
      </c>
      <c r="D353" s="262"/>
      <c r="E353" s="262"/>
      <c r="F353" s="262"/>
      <c r="G353" s="262"/>
      <c r="H353" s="262"/>
      <c r="I353" s="283"/>
      <c r="J353" s="657"/>
      <c r="K353" s="291"/>
      <c r="L353" s="291"/>
      <c r="M353" s="291"/>
      <c r="N353" s="56"/>
      <c r="O353" s="56"/>
      <c r="P353" s="56"/>
      <c r="Q353" s="56"/>
      <c r="R353" s="56"/>
      <c r="S353" s="56"/>
      <c r="T353" s="56"/>
      <c r="U353" s="559"/>
      <c r="V353" s="559"/>
    </row>
    <row r="354" spans="2:22" s="17" customFormat="1" ht="15.75" hidden="1" x14ac:dyDescent="0.25">
      <c r="B354" s="262"/>
      <c r="C354" s="262"/>
      <c r="D354" s="262"/>
      <c r="E354" s="262"/>
      <c r="F354" s="262"/>
      <c r="G354" s="262"/>
      <c r="H354" s="262"/>
      <c r="I354" s="56"/>
      <c r="J354" s="657"/>
      <c r="K354" s="291"/>
      <c r="L354" s="291"/>
      <c r="M354" s="291"/>
      <c r="N354" s="292"/>
      <c r="O354" s="292"/>
      <c r="P354" s="292"/>
      <c r="Q354" s="292"/>
      <c r="R354" s="292"/>
      <c r="S354" s="292"/>
      <c r="T354" s="56"/>
      <c r="U354" s="559"/>
      <c r="V354" s="559"/>
    </row>
    <row r="355" spans="2:22" s="17" customFormat="1" ht="15.75" hidden="1" x14ac:dyDescent="0.25">
      <c r="B355" s="284"/>
      <c r="C355" s="269" t="s">
        <v>478</v>
      </c>
      <c r="D355" s="1515" t="e">
        <f>D275*'Baseline farm'!G73%</f>
        <v>#DIV/0!</v>
      </c>
      <c r="E355" s="274"/>
      <c r="F355" s="274"/>
      <c r="G355" s="274"/>
      <c r="H355" s="274"/>
      <c r="I355" s="56"/>
      <c r="J355" s="261"/>
      <c r="K355" s="261"/>
      <c r="L355" s="291"/>
      <c r="M355" s="291"/>
      <c r="N355" s="56"/>
      <c r="O355" s="56"/>
      <c r="P355" s="56"/>
      <c r="Q355" s="56"/>
      <c r="R355" s="56"/>
      <c r="S355" s="56"/>
      <c r="T355" s="56"/>
      <c r="U355" s="559"/>
      <c r="V355" s="559"/>
    </row>
    <row r="356" spans="2:22" s="17" customFormat="1" ht="15.75" hidden="1" x14ac:dyDescent="0.25">
      <c r="B356" s="262"/>
      <c r="C356" s="262"/>
      <c r="D356" s="1515"/>
      <c r="E356" s="274"/>
      <c r="F356" s="274"/>
      <c r="G356" s="274"/>
      <c r="H356" s="274"/>
      <c r="I356" s="56"/>
      <c r="J356" s="261"/>
      <c r="K356" s="56"/>
      <c r="L356" s="291"/>
      <c r="M356" s="291"/>
      <c r="N356" s="56"/>
      <c r="O356" s="56"/>
      <c r="P356" s="56"/>
      <c r="Q356" s="56"/>
      <c r="R356" s="56"/>
      <c r="S356" s="56"/>
      <c r="T356" s="56"/>
      <c r="U356" s="559"/>
      <c r="V356" s="559"/>
    </row>
    <row r="357" spans="2:22" s="17" customFormat="1" ht="15.75" hidden="1" x14ac:dyDescent="0.25">
      <c r="B357" s="262"/>
      <c r="C357" s="265" t="s">
        <v>409</v>
      </c>
      <c r="D357" s="1515"/>
      <c r="E357" s="274"/>
      <c r="F357" s="274"/>
      <c r="G357" s="274"/>
      <c r="H357" s="274"/>
      <c r="I357" s="658"/>
      <c r="J357" s="261"/>
      <c r="K357" s="56"/>
      <c r="L357" s="291"/>
      <c r="M357" s="291"/>
      <c r="N357" s="56"/>
      <c r="O357" s="56"/>
      <c r="P357" s="56"/>
      <c r="Q357" s="56"/>
      <c r="R357" s="56"/>
      <c r="S357" s="56"/>
      <c r="T357" s="56"/>
      <c r="U357" s="559"/>
      <c r="V357" s="559"/>
    </row>
    <row r="358" spans="2:22" s="17" customFormat="1" ht="15.75" hidden="1" x14ac:dyDescent="0.25">
      <c r="B358" s="262"/>
      <c r="C358" s="262"/>
      <c r="D358" s="1515"/>
      <c r="E358" s="274"/>
      <c r="F358" s="274"/>
      <c r="G358" s="274"/>
      <c r="H358" s="274"/>
      <c r="I358" s="658"/>
      <c r="J358" s="261"/>
      <c r="K358" s="56"/>
      <c r="L358" s="291"/>
      <c r="M358" s="291"/>
      <c r="N358" s="56"/>
      <c r="O358" s="56"/>
      <c r="P358" s="56"/>
      <c r="Q358" s="56"/>
      <c r="R358" s="56"/>
      <c r="S358" s="56"/>
      <c r="T358" s="56"/>
      <c r="U358" s="559"/>
      <c r="V358" s="559"/>
    </row>
    <row r="359" spans="2:22" s="17" customFormat="1" ht="15.75" hidden="1" x14ac:dyDescent="0.25">
      <c r="B359" s="262"/>
      <c r="C359" s="269" t="s">
        <v>478</v>
      </c>
      <c r="D359" s="1515" t="e">
        <f>D279*'Baseline farm'!G73%</f>
        <v>#DIV/0!</v>
      </c>
      <c r="E359" s="274"/>
      <c r="F359" s="274"/>
      <c r="G359" s="274"/>
      <c r="H359" s="274"/>
      <c r="I359" s="658"/>
      <c r="J359" s="261"/>
      <c r="K359" s="56"/>
      <c r="L359" s="56"/>
      <c r="M359" s="56"/>
      <c r="N359" s="56"/>
      <c r="O359" s="56"/>
      <c r="P359" s="56"/>
      <c r="Q359" s="56"/>
      <c r="R359" s="56"/>
      <c r="S359" s="56"/>
      <c r="T359" s="56"/>
      <c r="U359" s="559"/>
      <c r="V359" s="559"/>
    </row>
    <row r="360" spans="2:22" s="17" customFormat="1" ht="15.75" hidden="1" x14ac:dyDescent="0.25">
      <c r="B360" s="262"/>
      <c r="C360" s="262"/>
      <c r="D360" s="262"/>
      <c r="E360" s="262"/>
      <c r="F360" s="262"/>
      <c r="G360" s="262"/>
      <c r="H360" s="262"/>
      <c r="I360" s="658"/>
      <c r="J360" s="261"/>
      <c r="K360" s="56"/>
      <c r="L360" s="1472"/>
      <c r="M360" s="1472"/>
      <c r="N360" s="1472"/>
      <c r="O360" s="1472"/>
      <c r="P360" s="1472"/>
      <c r="Q360" s="1472"/>
      <c r="R360" s="1472"/>
      <c r="S360" s="1472"/>
      <c r="T360" s="1472"/>
      <c r="U360" s="559"/>
      <c r="V360" s="559"/>
    </row>
    <row r="361" spans="2:22" s="17" customFormat="1" ht="15.75" hidden="1" x14ac:dyDescent="0.25">
      <c r="B361" s="265" t="s">
        <v>411</v>
      </c>
      <c r="C361" s="265" t="s">
        <v>412</v>
      </c>
      <c r="D361" s="262"/>
      <c r="E361" s="262"/>
      <c r="F361" s="262"/>
      <c r="G361" s="262"/>
      <c r="H361" s="262"/>
      <c r="I361" s="56"/>
      <c r="J361" s="261"/>
      <c r="K361" s="56"/>
      <c r="L361" s="1472"/>
      <c r="M361" s="1472"/>
      <c r="N361" s="1472"/>
      <c r="O361" s="1472"/>
      <c r="P361" s="1472"/>
      <c r="Q361" s="1472"/>
      <c r="R361" s="1472"/>
      <c r="S361" s="1472"/>
      <c r="T361" s="1472"/>
      <c r="U361" s="559"/>
      <c r="V361" s="559"/>
    </row>
    <row r="362" spans="2:22" s="17" customFormat="1" ht="15.75" hidden="1" x14ac:dyDescent="0.25">
      <c r="B362" s="262"/>
      <c r="C362" s="262" t="s">
        <v>414</v>
      </c>
      <c r="D362" s="294">
        <v>4.0000000000000001E-3</v>
      </c>
      <c r="E362" s="262"/>
      <c r="F362" s="262"/>
      <c r="G362" s="262"/>
      <c r="H362" s="262"/>
      <c r="I362" s="56"/>
      <c r="J362" s="261"/>
      <c r="K362" s="56"/>
      <c r="L362" s="1472"/>
      <c r="M362" s="1472"/>
      <c r="N362" s="1472"/>
      <c r="O362" s="1472"/>
      <c r="P362" s="1472"/>
      <c r="Q362" s="1472"/>
      <c r="R362" s="1472"/>
      <c r="S362" s="1472"/>
      <c r="T362" s="1472"/>
      <c r="U362" s="559"/>
      <c r="V362" s="559"/>
    </row>
    <row r="363" spans="2:22" s="17" customFormat="1" ht="15.75" hidden="1" x14ac:dyDescent="0.25">
      <c r="B363" s="262"/>
      <c r="C363" s="262" t="s">
        <v>415</v>
      </c>
      <c r="D363" s="294">
        <v>4.0000000000000001E-3</v>
      </c>
      <c r="E363" s="262"/>
      <c r="F363" s="262"/>
      <c r="G363" s="262"/>
      <c r="H363" s="262"/>
      <c r="I363" s="56"/>
      <c r="J363" s="56"/>
      <c r="K363" s="56"/>
      <c r="L363" s="1472"/>
      <c r="M363" s="1472"/>
      <c r="N363" s="1472"/>
      <c r="O363" s="1472"/>
      <c r="P363" s="1472"/>
      <c r="Q363" s="1472"/>
      <c r="R363" s="1472"/>
      <c r="S363" s="1472"/>
      <c r="T363" s="1472"/>
      <c r="U363" s="559"/>
      <c r="V363" s="559"/>
    </row>
    <row r="364" spans="2:22" s="17" customFormat="1" ht="15.75" hidden="1" x14ac:dyDescent="0.25">
      <c r="B364" s="262"/>
      <c r="C364" s="262"/>
      <c r="D364" s="262"/>
      <c r="E364" s="262"/>
      <c r="F364" s="262"/>
      <c r="G364" s="262"/>
      <c r="H364" s="262"/>
      <c r="I364" s="658"/>
      <c r="J364" s="261"/>
      <c r="K364" s="56"/>
      <c r="L364" s="1472"/>
      <c r="M364" s="1472"/>
      <c r="N364" s="1472"/>
      <c r="O364" s="1472"/>
      <c r="P364" s="1472"/>
      <c r="Q364" s="1472"/>
      <c r="R364" s="1472"/>
      <c r="S364" s="1472"/>
      <c r="T364" s="1472"/>
      <c r="U364" s="559"/>
      <c r="V364" s="559"/>
    </row>
    <row r="365" spans="2:22" s="17" customFormat="1" ht="15.75" hidden="1" x14ac:dyDescent="0.25">
      <c r="B365" s="262"/>
      <c r="C365" s="269" t="s">
        <v>478</v>
      </c>
      <c r="D365" s="1516" t="e">
        <f>(D355+D359)*D362*44/28</f>
        <v>#DIV/0!</v>
      </c>
      <c r="E365" s="288"/>
      <c r="F365" s="288"/>
      <c r="G365" s="288"/>
      <c r="H365" s="288"/>
      <c r="I365" s="56"/>
      <c r="J365" s="56"/>
      <c r="K365" s="56"/>
      <c r="L365" s="1472"/>
      <c r="M365" s="1472"/>
      <c r="N365" s="1472"/>
      <c r="O365" s="1472"/>
      <c r="P365" s="1472"/>
      <c r="Q365" s="1472"/>
      <c r="R365" s="1472"/>
      <c r="S365" s="1472"/>
      <c r="T365" s="1472"/>
      <c r="U365" s="559"/>
      <c r="V365" s="559"/>
    </row>
    <row r="366" spans="2:22" s="17" customFormat="1" ht="15.75" hidden="1" x14ac:dyDescent="0.25">
      <c r="B366" s="262"/>
      <c r="C366" s="262"/>
      <c r="D366" s="1517"/>
      <c r="E366" s="262"/>
      <c r="F366" s="262"/>
      <c r="G366" s="262"/>
      <c r="H366" s="262"/>
      <c r="I366" s="56"/>
      <c r="J366" s="56"/>
      <c r="K366" s="56"/>
      <c r="L366" s="56"/>
      <c r="M366" s="56"/>
      <c r="N366" s="559"/>
      <c r="O366" s="559"/>
      <c r="P366" s="559"/>
      <c r="Q366" s="559"/>
      <c r="R366" s="559"/>
      <c r="S366" s="559"/>
      <c r="T366" s="559"/>
      <c r="U366" s="559"/>
      <c r="V366" s="559"/>
    </row>
    <row r="367" spans="2:22" s="17" customFormat="1" ht="15.75" hidden="1" x14ac:dyDescent="0.25">
      <c r="B367" s="265" t="s">
        <v>416</v>
      </c>
      <c r="C367" s="262"/>
      <c r="D367" s="1518"/>
      <c r="E367" s="262"/>
      <c r="F367" s="262"/>
      <c r="G367" s="262"/>
      <c r="H367" s="262"/>
      <c r="I367" s="56"/>
      <c r="J367" s="261"/>
      <c r="K367" s="56"/>
      <c r="L367" s="56"/>
      <c r="M367" s="56"/>
      <c r="N367" s="559"/>
      <c r="O367" s="559"/>
      <c r="P367" s="559"/>
      <c r="Q367" s="559"/>
      <c r="R367" s="559"/>
      <c r="S367" s="559"/>
      <c r="T367" s="559"/>
      <c r="U367" s="559"/>
      <c r="V367" s="559"/>
    </row>
    <row r="368" spans="2:22" s="17" customFormat="1" ht="15.75" hidden="1" x14ac:dyDescent="0.25">
      <c r="B368" s="262"/>
      <c r="C368" s="269" t="s">
        <v>478</v>
      </c>
      <c r="D368" s="1519" t="e">
        <f>D351+D365</f>
        <v>#DIV/0!</v>
      </c>
      <c r="E368" s="284"/>
      <c r="F368" s="284"/>
      <c r="G368" s="284"/>
      <c r="H368" s="284"/>
      <c r="I368" s="56"/>
      <c r="J368" s="261"/>
      <c r="K368" s="56"/>
      <c r="L368" s="56"/>
      <c r="M368" s="56"/>
      <c r="N368" s="559"/>
      <c r="O368" s="559"/>
      <c r="P368" s="559"/>
      <c r="Q368" s="559"/>
      <c r="R368" s="559"/>
      <c r="S368" s="559"/>
      <c r="T368" s="559"/>
      <c r="U368" s="559"/>
      <c r="V368" s="559"/>
    </row>
    <row r="369" spans="2:23" s="17" customFormat="1" ht="15.75" hidden="1" x14ac:dyDescent="0.25">
      <c r="B369" s="262"/>
      <c r="C369" s="269"/>
      <c r="D369" s="284"/>
      <c r="E369" s="284"/>
      <c r="F369" s="284"/>
      <c r="G369" s="284"/>
      <c r="H369" s="284"/>
      <c r="I369" s="56"/>
      <c r="J369" s="261"/>
      <c r="K369" s="56"/>
      <c r="L369" s="56"/>
      <c r="M369" s="56"/>
      <c r="N369" s="559"/>
      <c r="O369" s="559"/>
      <c r="P369" s="559"/>
      <c r="Q369" s="559"/>
      <c r="R369" s="559"/>
      <c r="S369" s="559"/>
      <c r="T369" s="559"/>
      <c r="U369" s="559"/>
      <c r="V369" s="559"/>
    </row>
    <row r="370" spans="2:23" s="17" customFormat="1" ht="15.75" hidden="1" x14ac:dyDescent="0.25">
      <c r="B370" s="262"/>
      <c r="C370" s="269"/>
      <c r="D370" s="281"/>
      <c r="E370" s="267"/>
      <c r="F370" s="262"/>
      <c r="G370" s="262"/>
      <c r="H370" s="262"/>
      <c r="I370" s="56"/>
      <c r="J370" s="261"/>
      <c r="K370" s="56"/>
      <c r="L370" s="56"/>
      <c r="M370" s="56"/>
      <c r="N370" s="559"/>
      <c r="O370" s="559"/>
      <c r="P370" s="559"/>
      <c r="Q370" s="559"/>
      <c r="R370" s="559"/>
      <c r="S370" s="559"/>
      <c r="T370" s="559"/>
      <c r="U370" s="559"/>
      <c r="V370" s="559"/>
    </row>
    <row r="371" spans="2:23" s="17" customFormat="1" ht="15.75" hidden="1" x14ac:dyDescent="0.25">
      <c r="B371" s="1473" t="s">
        <v>423</v>
      </c>
      <c r="C371" s="1473" t="s">
        <v>1484</v>
      </c>
      <c r="D371" s="1474"/>
      <c r="E371" s="262"/>
      <c r="F371" s="262"/>
      <c r="G371" s="262"/>
      <c r="H371" s="262"/>
      <c r="I371" s="56"/>
      <c r="J371" s="261"/>
      <c r="K371" s="56"/>
      <c r="L371" s="56"/>
      <c r="M371" s="56"/>
      <c r="N371" s="559"/>
      <c r="O371" s="559"/>
      <c r="P371" s="559"/>
      <c r="Q371" s="559"/>
      <c r="R371" s="559"/>
      <c r="S371" s="559"/>
      <c r="T371" s="559"/>
      <c r="U371" s="559"/>
      <c r="V371" s="559"/>
    </row>
    <row r="372" spans="2:23" s="17" customFormat="1" ht="15.75" hidden="1" x14ac:dyDescent="0.25">
      <c r="B372" s="1474"/>
      <c r="C372" s="1474" t="s">
        <v>1485</v>
      </c>
      <c r="D372" s="1520">
        <v>0.2</v>
      </c>
      <c r="E372" s="262"/>
      <c r="F372" s="262"/>
      <c r="G372" s="262"/>
      <c r="H372" s="262"/>
      <c r="I372" s="658"/>
      <c r="J372" s="261"/>
      <c r="K372" s="56"/>
      <c r="L372" s="56"/>
      <c r="M372" s="56"/>
      <c r="N372" s="559"/>
      <c r="O372" s="559"/>
      <c r="P372" s="559"/>
      <c r="Q372" s="559"/>
      <c r="R372" s="559"/>
      <c r="S372" s="559"/>
      <c r="T372" s="559"/>
      <c r="U372" s="559"/>
      <c r="V372" s="559"/>
    </row>
    <row r="373" spans="2:23" s="17" customFormat="1" ht="15.75" hidden="1" x14ac:dyDescent="0.25">
      <c r="B373" s="1474"/>
      <c r="C373" s="1474"/>
      <c r="D373" s="1474"/>
      <c r="E373" s="262"/>
      <c r="F373" s="262"/>
      <c r="G373" s="262"/>
      <c r="H373" s="262"/>
      <c r="I373" s="56"/>
      <c r="J373" s="261"/>
      <c r="K373" s="56"/>
      <c r="L373" s="56"/>
      <c r="M373" s="56"/>
      <c r="N373" s="559"/>
      <c r="O373" s="559"/>
      <c r="P373" s="559"/>
      <c r="Q373" s="559"/>
      <c r="R373" s="559"/>
      <c r="S373" s="559"/>
      <c r="T373" s="559"/>
      <c r="U373" s="559"/>
      <c r="V373" s="559"/>
    </row>
    <row r="374" spans="2:23" s="17" customFormat="1" ht="15.75" hidden="1" x14ac:dyDescent="0.25">
      <c r="B374" s="1474" t="s">
        <v>427</v>
      </c>
      <c r="C374" s="1475" t="s">
        <v>478</v>
      </c>
      <c r="D374" s="1521" t="e">
        <f>(D347+D355+D359)*D372</f>
        <v>#DIV/0!</v>
      </c>
      <c r="E374" s="267"/>
      <c r="F374" s="295"/>
      <c r="G374" s="295"/>
      <c r="H374" s="295"/>
      <c r="I374" s="658"/>
      <c r="J374" s="56"/>
      <c r="K374" s="56"/>
      <c r="L374" s="56"/>
      <c r="M374" s="56"/>
      <c r="N374" s="559"/>
      <c r="O374" s="559"/>
      <c r="P374" s="559"/>
      <c r="Q374" s="559"/>
      <c r="R374" s="559"/>
      <c r="S374" s="559"/>
      <c r="T374" s="559"/>
      <c r="U374" s="559"/>
      <c r="V374" s="559"/>
    </row>
    <row r="375" spans="2:23" s="17" customFormat="1" ht="15.75" hidden="1" x14ac:dyDescent="0.25">
      <c r="B375" s="262"/>
      <c r="C375" s="262"/>
      <c r="D375" s="262"/>
      <c r="E375" s="267"/>
      <c r="F375" s="262"/>
      <c r="G375" s="262"/>
      <c r="H375" s="262"/>
      <c r="I375" s="658"/>
      <c r="J375" s="261"/>
      <c r="K375" s="56"/>
      <c r="L375" s="56"/>
      <c r="M375" s="56"/>
      <c r="N375" s="559"/>
      <c r="O375" s="559"/>
      <c r="P375" s="559"/>
      <c r="Q375" s="559"/>
      <c r="R375" s="559"/>
      <c r="S375" s="559"/>
      <c r="T375" s="559"/>
      <c r="U375" s="559"/>
      <c r="V375" s="559"/>
    </row>
    <row r="376" spans="2:23" s="17" customFormat="1" ht="15.75" hidden="1" x14ac:dyDescent="0.25">
      <c r="B376" s="1474"/>
      <c r="C376" s="1473" t="s">
        <v>386</v>
      </c>
      <c r="D376" s="1474"/>
      <c r="E376" s="262"/>
      <c r="F376" s="262"/>
      <c r="G376" s="262"/>
      <c r="H376" s="262"/>
      <c r="I376" s="658"/>
      <c r="J376" s="261"/>
      <c r="K376" s="56"/>
      <c r="L376" s="56"/>
      <c r="M376" s="56"/>
      <c r="N376" s="559"/>
      <c r="O376" s="559"/>
      <c r="P376" s="559"/>
      <c r="Q376" s="559"/>
      <c r="R376" s="559"/>
      <c r="S376" s="559"/>
      <c r="T376" s="559"/>
      <c r="U376" s="559"/>
      <c r="V376" s="559"/>
    </row>
    <row r="377" spans="2:23" s="17" customFormat="1" ht="15.75" hidden="1" x14ac:dyDescent="0.25">
      <c r="B377" s="1474"/>
      <c r="C377" s="1474" t="s">
        <v>436</v>
      </c>
      <c r="D377" s="1474"/>
      <c r="E377" s="262"/>
      <c r="F377" s="262"/>
      <c r="G377" s="262"/>
      <c r="H377" s="262"/>
      <c r="I377" s="658"/>
      <c r="J377" s="261"/>
      <c r="K377" s="56"/>
      <c r="L377" s="56"/>
      <c r="M377" s="56"/>
      <c r="N377" s="559"/>
      <c r="O377" s="559"/>
      <c r="P377" s="559"/>
      <c r="Q377" s="559"/>
      <c r="R377" s="559"/>
      <c r="S377" s="559"/>
      <c r="T377" s="559"/>
      <c r="U377" s="559"/>
      <c r="V377" s="559"/>
    </row>
    <row r="378" spans="2:23" s="17" customFormat="1" ht="15.75" hidden="1" x14ac:dyDescent="0.25">
      <c r="B378" s="1474"/>
      <c r="C378" s="1474" t="s">
        <v>1474</v>
      </c>
      <c r="D378" s="1520">
        <v>4.0000000000000001E-3</v>
      </c>
      <c r="E378" s="262"/>
      <c r="F378" s="262"/>
      <c r="G378" s="262"/>
      <c r="H378" s="262"/>
      <c r="I378" s="56"/>
      <c r="J378" s="261"/>
      <c r="K378" s="56"/>
      <c r="L378" s="289"/>
      <c r="M378" s="289"/>
      <c r="N378" s="559"/>
      <c r="O378" s="559"/>
      <c r="P378" s="559"/>
      <c r="Q378" s="559"/>
      <c r="R378" s="559"/>
      <c r="S378" s="559"/>
      <c r="T378" s="559"/>
      <c r="U378" s="559"/>
      <c r="V378" s="559"/>
    </row>
    <row r="379" spans="2:23" s="17" customFormat="1" ht="15.75" hidden="1" x14ac:dyDescent="0.25">
      <c r="B379" s="262"/>
      <c r="C379" s="262"/>
      <c r="D379" s="262"/>
      <c r="E379" s="262"/>
      <c r="F379" s="262"/>
      <c r="G379" s="262"/>
      <c r="H379" s="262"/>
      <c r="I379" s="56"/>
      <c r="J379" s="261"/>
      <c r="K379" s="56"/>
      <c r="L379" s="289"/>
      <c r="M379" s="289"/>
      <c r="N379" s="559"/>
      <c r="O379" s="559"/>
      <c r="P379" s="559"/>
      <c r="Q379" s="559"/>
      <c r="R379" s="559"/>
      <c r="S379" s="559"/>
      <c r="T379" s="559"/>
      <c r="U379" s="296"/>
      <c r="V379" s="296"/>
      <c r="W379" s="296"/>
    </row>
    <row r="380" spans="2:23" s="17" customFormat="1" ht="15.75" hidden="1" x14ac:dyDescent="0.25">
      <c r="B380" s="1473" t="s">
        <v>434</v>
      </c>
      <c r="C380" s="1475" t="s">
        <v>478</v>
      </c>
      <c r="D380" s="1517" t="e">
        <f>D374*D378*44/28</f>
        <v>#DIV/0!</v>
      </c>
      <c r="E380" s="262"/>
      <c r="F380" s="262"/>
      <c r="G380" s="141" t="s">
        <v>336</v>
      </c>
      <c r="H380" s="262"/>
      <c r="I380" s="56"/>
      <c r="J380" s="261"/>
      <c r="K380" s="56"/>
      <c r="L380" s="56"/>
      <c r="M380" s="56"/>
      <c r="N380" s="559"/>
      <c r="O380" s="559"/>
      <c r="P380" s="559"/>
      <c r="Q380" s="559"/>
      <c r="R380" s="559"/>
      <c r="S380" s="559"/>
      <c r="T380" s="559"/>
      <c r="U380" s="296"/>
      <c r="V380" s="559"/>
    </row>
    <row r="381" spans="2:23" s="17" customFormat="1" ht="15.75" hidden="1" x14ac:dyDescent="0.25">
      <c r="B381" s="265" t="s">
        <v>1540</v>
      </c>
      <c r="C381" s="1475" t="s">
        <v>478</v>
      </c>
      <c r="D381" s="1517" t="e">
        <f>D380*298</f>
        <v>#DIV/0!</v>
      </c>
      <c r="E381" s="262"/>
      <c r="F381" s="262"/>
      <c r="G381" s="141" t="s">
        <v>302</v>
      </c>
      <c r="H381" s="262"/>
      <c r="I381" s="56"/>
      <c r="J381" s="261"/>
      <c r="K381" s="56"/>
      <c r="L381" s="56"/>
      <c r="M381" s="56"/>
      <c r="N381" s="559"/>
      <c r="O381" s="559"/>
      <c r="P381" s="559"/>
      <c r="Q381" s="559"/>
      <c r="R381" s="559"/>
      <c r="S381" s="559"/>
      <c r="T381" s="559"/>
      <c r="U381" s="296"/>
      <c r="V381" s="559"/>
    </row>
    <row r="382" spans="2:23" s="17" customFormat="1" ht="15.75" hidden="1" x14ac:dyDescent="0.25">
      <c r="B382" s="262"/>
      <c r="C382" s="269"/>
      <c r="D382" s="284"/>
      <c r="E382" s="284"/>
      <c r="F382" s="284"/>
      <c r="G382" s="284"/>
      <c r="H382" s="284"/>
      <c r="I382" s="56"/>
      <c r="J382" s="261"/>
      <c r="K382" s="56"/>
      <c r="L382" s="56"/>
      <c r="M382" s="56"/>
      <c r="N382" s="559"/>
      <c r="O382" s="559"/>
      <c r="P382" s="559"/>
      <c r="Q382" s="559"/>
      <c r="R382" s="559"/>
      <c r="S382" s="559"/>
      <c r="T382" s="559"/>
      <c r="U382" s="296"/>
      <c r="V382" s="559"/>
    </row>
    <row r="383" spans="2:23" s="17" customFormat="1" ht="15.75" hidden="1" x14ac:dyDescent="0.25">
      <c r="B383" s="1473" t="s">
        <v>446</v>
      </c>
      <c r="C383" s="1473" t="s">
        <v>447</v>
      </c>
      <c r="D383" s="1474"/>
      <c r="E383" s="262"/>
      <c r="F383" s="262"/>
      <c r="G383" s="1474" t="s">
        <v>443</v>
      </c>
      <c r="H383" s="1474">
        <v>1</v>
      </c>
      <c r="I383" s="56"/>
      <c r="J383" s="261"/>
      <c r="K383" s="261"/>
      <c r="L383" s="56"/>
      <c r="M383" s="56"/>
      <c r="N383" s="559"/>
      <c r="O383" s="559"/>
      <c r="P383" s="559"/>
      <c r="Q383" s="559"/>
      <c r="R383" s="559"/>
      <c r="S383" s="559"/>
      <c r="T383" s="559"/>
      <c r="U383" s="559"/>
      <c r="V383" s="559"/>
    </row>
    <row r="384" spans="2:23" s="17" customFormat="1" ht="15.75" hidden="1" x14ac:dyDescent="0.25">
      <c r="B384" s="1474"/>
      <c r="C384" s="1474" t="s">
        <v>449</v>
      </c>
      <c r="D384" s="1474"/>
      <c r="E384" s="284"/>
      <c r="F384" s="284"/>
      <c r="G384" s="1474" t="s">
        <v>445</v>
      </c>
      <c r="H384" s="1475">
        <v>0.3</v>
      </c>
      <c r="I384" s="56"/>
      <c r="J384" s="261"/>
      <c r="K384" s="56"/>
      <c r="L384" s="56"/>
      <c r="M384" s="56"/>
      <c r="N384" s="559"/>
      <c r="O384" s="559"/>
      <c r="P384" s="559"/>
      <c r="Q384" s="559"/>
      <c r="R384" s="559"/>
      <c r="S384" s="559"/>
      <c r="T384" s="559"/>
      <c r="U384" s="559"/>
      <c r="V384" s="559"/>
    </row>
    <row r="385" spans="2:22" s="17" customFormat="1" ht="15.75" hidden="1" x14ac:dyDescent="0.25">
      <c r="B385" s="1474"/>
      <c r="C385" s="1474" t="s">
        <v>450</v>
      </c>
      <c r="D385" s="1474"/>
      <c r="E385" s="262"/>
      <c r="F385" s="262"/>
      <c r="G385" s="262"/>
      <c r="H385" s="262"/>
      <c r="I385" s="56"/>
      <c r="J385" s="261"/>
      <c r="K385" s="56"/>
      <c r="L385" s="559"/>
      <c r="M385" s="559"/>
      <c r="N385" s="559"/>
      <c r="O385" s="559"/>
      <c r="P385" s="559"/>
      <c r="Q385" s="559"/>
      <c r="R385" s="559"/>
      <c r="S385" s="559"/>
      <c r="T385" s="559"/>
      <c r="U385" s="559"/>
      <c r="V385" s="559"/>
    </row>
    <row r="386" spans="2:22" s="17" customFormat="1" ht="15.75" hidden="1" x14ac:dyDescent="0.25">
      <c r="B386" s="1474"/>
      <c r="C386" s="1474" t="s">
        <v>451</v>
      </c>
      <c r="D386" s="1474"/>
      <c r="E386" s="262"/>
      <c r="F386" s="262"/>
      <c r="G386" s="269"/>
      <c r="H386" s="269"/>
      <c r="I386" s="56"/>
      <c r="J386" s="261"/>
      <c r="K386" s="56"/>
      <c r="L386" s="559"/>
      <c r="M386" s="559"/>
      <c r="N386" s="559"/>
      <c r="O386" s="559"/>
      <c r="P386" s="559"/>
      <c r="Q386" s="559"/>
      <c r="R386" s="559"/>
      <c r="S386" s="559"/>
      <c r="T386" s="559"/>
      <c r="U386" s="559"/>
      <c r="V386" s="559"/>
    </row>
    <row r="387" spans="2:22" s="17" customFormat="1" ht="15.75" hidden="1" x14ac:dyDescent="0.25">
      <c r="B387" s="265"/>
      <c r="C387" s="270"/>
      <c r="D387" s="262"/>
      <c r="E387" s="262"/>
      <c r="F387" s="262"/>
      <c r="G387" s="262"/>
      <c r="H387" s="262"/>
      <c r="I387" s="56"/>
      <c r="J387" s="261"/>
      <c r="K387" s="56"/>
      <c r="L387" s="559"/>
      <c r="M387" s="559"/>
      <c r="N387" s="559"/>
      <c r="O387" s="559"/>
      <c r="P387" s="559"/>
      <c r="Q387" s="559"/>
      <c r="R387" s="559"/>
      <c r="S387" s="559"/>
      <c r="T387" s="559"/>
      <c r="U387" s="559"/>
      <c r="V387" s="559"/>
    </row>
    <row r="388" spans="2:22" s="17" customFormat="1" ht="15.75" hidden="1" x14ac:dyDescent="0.25">
      <c r="B388" s="265"/>
      <c r="C388" s="1475" t="s">
        <v>478</v>
      </c>
      <c r="D388" s="1522" t="e">
        <f>SUM(D347,D359,D355)*H383*H384</f>
        <v>#DIV/0!</v>
      </c>
      <c r="E388" s="262"/>
      <c r="F388" s="262"/>
      <c r="G388" s="262"/>
      <c r="H388" s="262"/>
      <c r="I388" s="56"/>
      <c r="J388" s="261"/>
      <c r="K388" s="56"/>
      <c r="L388" s="559"/>
      <c r="M388" s="559"/>
      <c r="N388" s="559"/>
      <c r="O388" s="559"/>
      <c r="P388" s="559"/>
      <c r="Q388" s="559"/>
      <c r="R388" s="559"/>
      <c r="S388" s="559"/>
      <c r="T388" s="559"/>
      <c r="U388" s="559"/>
      <c r="V388" s="559"/>
    </row>
    <row r="389" spans="2:22" s="17" customFormat="1" ht="15.75" hidden="1" x14ac:dyDescent="0.25">
      <c r="B389" s="265"/>
      <c r="C389" s="262"/>
      <c r="D389" s="262"/>
      <c r="E389" s="262"/>
      <c r="F389" s="262"/>
      <c r="G389" s="262"/>
      <c r="H389" s="262"/>
      <c r="I389" s="56"/>
      <c r="J389" s="261"/>
      <c r="K389" s="56"/>
      <c r="L389" s="559"/>
      <c r="M389" s="559"/>
      <c r="N389" s="559"/>
      <c r="O389" s="559"/>
      <c r="P389" s="559"/>
      <c r="Q389" s="559"/>
      <c r="R389" s="559"/>
      <c r="S389" s="559"/>
      <c r="T389" s="559"/>
      <c r="U389" s="559"/>
      <c r="V389" s="559"/>
    </row>
    <row r="390" spans="2:22" s="17" customFormat="1" ht="15.75" hidden="1" x14ac:dyDescent="0.25">
      <c r="B390" s="1473" t="s">
        <v>452</v>
      </c>
      <c r="C390" s="1473" t="s">
        <v>386</v>
      </c>
      <c r="D390" s="1474"/>
      <c r="E390" s="262"/>
      <c r="F390" s="262"/>
      <c r="G390" s="262"/>
      <c r="H390" s="262"/>
      <c r="I390" s="56"/>
      <c r="J390" s="261"/>
      <c r="K390" s="56"/>
      <c r="L390" s="559"/>
      <c r="M390" s="559"/>
      <c r="N390" s="559"/>
      <c r="O390" s="559"/>
      <c r="P390" s="559"/>
      <c r="Q390" s="559"/>
      <c r="R390" s="559"/>
      <c r="S390" s="559"/>
      <c r="T390" s="559"/>
      <c r="U390" s="559"/>
      <c r="V390" s="559"/>
    </row>
    <row r="391" spans="2:22" s="17" customFormat="1" ht="15.75" hidden="1" x14ac:dyDescent="0.25">
      <c r="B391" s="1474"/>
      <c r="C391" s="1474" t="s">
        <v>454</v>
      </c>
      <c r="D391" s="1474"/>
      <c r="E391" s="262"/>
      <c r="F391" s="262"/>
      <c r="G391" s="262"/>
      <c r="H391" s="262"/>
      <c r="I391" s="56"/>
      <c r="J391" s="261"/>
      <c r="K391" s="56"/>
      <c r="L391" s="559"/>
      <c r="M391" s="559"/>
      <c r="N391" s="559"/>
      <c r="O391" s="559"/>
      <c r="P391" s="559"/>
      <c r="Q391" s="559"/>
      <c r="R391" s="559"/>
      <c r="S391" s="559"/>
      <c r="T391" s="559"/>
      <c r="U391" s="559"/>
      <c r="V391" s="559"/>
    </row>
    <row r="392" spans="2:22" s="17" customFormat="1" ht="15.75" hidden="1" x14ac:dyDescent="0.25">
      <c r="B392" s="1474"/>
      <c r="C392" s="1474" t="s">
        <v>1475</v>
      </c>
      <c r="D392" s="1520">
        <v>7.4999999999999997E-3</v>
      </c>
      <c r="E392" s="262"/>
      <c r="F392" s="262"/>
      <c r="G392" s="262"/>
      <c r="H392" s="262"/>
      <c r="I392" s="56"/>
      <c r="J392" s="261"/>
      <c r="K392" s="56"/>
      <c r="L392" s="559"/>
      <c r="M392" s="559"/>
      <c r="N392" s="559"/>
      <c r="O392" s="559"/>
      <c r="P392" s="559"/>
      <c r="Q392" s="559"/>
      <c r="R392" s="559"/>
      <c r="S392" s="559"/>
      <c r="T392" s="559"/>
      <c r="U392" s="559"/>
      <c r="V392" s="559"/>
    </row>
    <row r="393" spans="2:22" s="17" customFormat="1" ht="15.75" hidden="1" x14ac:dyDescent="0.25">
      <c r="B393" s="262"/>
      <c r="C393" s="262"/>
      <c r="D393" s="293"/>
      <c r="E393" s="262"/>
      <c r="F393" s="262"/>
      <c r="G393" s="262"/>
      <c r="H393" s="262"/>
      <c r="I393" s="56"/>
      <c r="J393" s="261"/>
      <c r="K393" s="56"/>
      <c r="L393" s="559"/>
      <c r="M393" s="559"/>
      <c r="N393" s="559"/>
      <c r="O393" s="559"/>
      <c r="P393" s="559"/>
      <c r="Q393" s="559"/>
      <c r="R393" s="559"/>
      <c r="S393" s="559"/>
      <c r="T393" s="559"/>
      <c r="U393" s="559"/>
      <c r="V393" s="559"/>
    </row>
    <row r="394" spans="2:22" s="17" customFormat="1" ht="15.75" hidden="1" x14ac:dyDescent="0.25">
      <c r="B394" s="1474" t="s">
        <v>427</v>
      </c>
      <c r="C394" s="1475" t="s">
        <v>478</v>
      </c>
      <c r="D394" s="1522" t="e">
        <f>D388*D392*44/28</f>
        <v>#DIV/0!</v>
      </c>
      <c r="E394" s="262"/>
      <c r="F394" s="262"/>
      <c r="G394" s="141" t="s">
        <v>336</v>
      </c>
      <c r="H394" s="262"/>
      <c r="I394" s="56"/>
      <c r="J394" s="261"/>
      <c r="K394" s="56"/>
      <c r="L394" s="559"/>
      <c r="M394" s="559"/>
      <c r="N394" s="559"/>
      <c r="O394" s="559"/>
      <c r="P394" s="559"/>
      <c r="Q394" s="559"/>
      <c r="R394" s="559"/>
      <c r="S394" s="559"/>
      <c r="T394" s="559"/>
      <c r="U394" s="559"/>
      <c r="V394" s="559"/>
    </row>
    <row r="395" spans="2:22" s="17" customFormat="1" ht="15.75" hidden="1" x14ac:dyDescent="0.25">
      <c r="B395" s="262"/>
      <c r="C395" s="262"/>
      <c r="D395" s="262"/>
      <c r="E395" s="262"/>
      <c r="F395" s="262"/>
      <c r="G395" s="262"/>
      <c r="H395" s="262"/>
      <c r="I395" s="56"/>
      <c r="J395" s="261"/>
      <c r="K395" s="56"/>
      <c r="L395" s="559"/>
      <c r="M395" s="559"/>
      <c r="N395" s="559"/>
      <c r="O395" s="559"/>
      <c r="P395" s="559"/>
      <c r="Q395" s="559"/>
      <c r="R395" s="559"/>
      <c r="S395" s="559"/>
      <c r="T395" s="559"/>
      <c r="U395" s="559"/>
      <c r="V395" s="559"/>
    </row>
    <row r="396" spans="2:22" s="17" customFormat="1" ht="15.75" hidden="1" x14ac:dyDescent="0.25">
      <c r="B396" s="1480" t="s">
        <v>455</v>
      </c>
      <c r="C396" s="1345" t="e">
        <f>D394*298</f>
        <v>#DIV/0!</v>
      </c>
      <c r="D396" s="1523"/>
      <c r="E396" s="1523"/>
      <c r="F396" s="1523"/>
      <c r="G396" s="1523" t="s">
        <v>302</v>
      </c>
      <c r="H396" s="1523"/>
      <c r="I396" s="56"/>
      <c r="J396" s="261"/>
      <c r="K396" s="56"/>
      <c r="L396" s="559"/>
      <c r="M396" s="559"/>
      <c r="N396" s="559"/>
      <c r="O396" s="559"/>
      <c r="P396" s="559"/>
      <c r="Q396" s="559"/>
      <c r="R396" s="559"/>
      <c r="S396" s="559"/>
      <c r="T396" s="559"/>
      <c r="U396" s="559"/>
      <c r="V396" s="559"/>
    </row>
    <row r="397" spans="2:22" s="17" customFormat="1" ht="15.75" hidden="1" x14ac:dyDescent="0.25">
      <c r="I397" s="559"/>
      <c r="J397" s="559"/>
      <c r="K397" s="56"/>
      <c r="L397" s="559"/>
      <c r="M397" s="559"/>
      <c r="N397" s="559"/>
      <c r="O397" s="559"/>
      <c r="P397" s="559"/>
      <c r="Q397" s="559"/>
      <c r="R397" s="559"/>
      <c r="S397" s="559"/>
      <c r="T397" s="559"/>
      <c r="U397" s="559"/>
      <c r="V397" s="559"/>
    </row>
    <row r="398" spans="2:22" s="20" customFormat="1" hidden="1" x14ac:dyDescent="0.25">
      <c r="I398" s="559"/>
      <c r="J398" s="559"/>
      <c r="K398" s="559"/>
      <c r="L398" s="559"/>
      <c r="M398" s="559"/>
      <c r="N398" s="559"/>
      <c r="O398" s="559"/>
      <c r="P398" s="559"/>
      <c r="Q398" s="559"/>
      <c r="R398" s="559"/>
      <c r="S398" s="559"/>
      <c r="T398" s="559"/>
      <c r="U398" s="559"/>
      <c r="V398" s="559"/>
    </row>
    <row r="399" spans="2:22" s="20" customFormat="1" hidden="1" x14ac:dyDescent="0.25">
      <c r="I399" s="559"/>
      <c r="J399" s="559"/>
      <c r="K399" s="559"/>
      <c r="L399" s="559"/>
      <c r="M399" s="559"/>
      <c r="N399" s="559"/>
      <c r="O399" s="559"/>
      <c r="P399" s="559"/>
      <c r="Q399" s="559"/>
      <c r="R399" s="559"/>
      <c r="S399" s="559"/>
      <c r="T399" s="559"/>
      <c r="U399" s="559"/>
      <c r="V399" s="559"/>
    </row>
    <row r="400" spans="2:22" s="20" customFormat="1" ht="15.75" hidden="1" x14ac:dyDescent="0.25">
      <c r="B400" s="297" t="s">
        <v>464</v>
      </c>
      <c r="I400" s="559"/>
      <c r="J400" s="559"/>
      <c r="K400" s="559"/>
      <c r="L400" s="559"/>
      <c r="M400" s="559"/>
      <c r="N400" s="559"/>
      <c r="O400" s="559"/>
      <c r="P400" s="559"/>
      <c r="Q400" s="559"/>
      <c r="R400" s="559"/>
      <c r="S400" s="559"/>
      <c r="T400" s="559"/>
      <c r="U400" s="559"/>
      <c r="V400" s="559"/>
    </row>
    <row r="401" spans="2:22" s="20" customFormat="1" hidden="1" x14ac:dyDescent="0.25">
      <c r="B401" s="20" t="s">
        <v>490</v>
      </c>
      <c r="C401" s="298" t="e">
        <f>D365*10^6</f>
        <v>#DIV/0!</v>
      </c>
      <c r="I401" s="559"/>
      <c r="J401" s="559"/>
      <c r="K401" s="559"/>
      <c r="L401" s="559"/>
      <c r="M401" s="559"/>
      <c r="N401" s="559"/>
      <c r="O401" s="559"/>
      <c r="P401" s="559"/>
      <c r="Q401" s="559"/>
      <c r="R401" s="559"/>
      <c r="S401" s="559"/>
      <c r="T401" s="559"/>
      <c r="U401" s="559"/>
      <c r="V401" s="559"/>
    </row>
    <row r="402" spans="2:22" s="20" customFormat="1" hidden="1" x14ac:dyDescent="0.25">
      <c r="I402" s="559"/>
      <c r="J402" s="559"/>
      <c r="K402" s="559"/>
      <c r="L402" s="559"/>
      <c r="M402" s="559"/>
      <c r="N402" s="559"/>
      <c r="O402" s="559"/>
      <c r="P402" s="559"/>
      <c r="Q402" s="559"/>
      <c r="R402" s="559"/>
      <c r="S402" s="559"/>
      <c r="T402" s="559"/>
      <c r="U402" s="559"/>
      <c r="V402" s="559"/>
    </row>
    <row r="403" spans="2:22" s="20" customFormat="1" ht="15.75" hidden="1" x14ac:dyDescent="0.25">
      <c r="B403" s="297" t="s">
        <v>1538</v>
      </c>
      <c r="I403" s="559"/>
      <c r="J403" s="559"/>
      <c r="K403" s="559"/>
      <c r="L403" s="559"/>
      <c r="M403" s="559"/>
      <c r="N403" s="559"/>
      <c r="O403" s="559"/>
      <c r="P403" s="559"/>
      <c r="Q403" s="559"/>
      <c r="R403" s="559"/>
      <c r="S403" s="559"/>
      <c r="T403" s="559"/>
      <c r="U403" s="559"/>
      <c r="V403" s="559"/>
    </row>
    <row r="404" spans="2:22" s="20" customFormat="1" hidden="1" x14ac:dyDescent="0.25">
      <c r="B404" s="20" t="s">
        <v>490</v>
      </c>
      <c r="C404" s="1527" t="e">
        <f>(D351+D302)*10^6</f>
        <v>#DIV/0!</v>
      </c>
      <c r="I404" s="559"/>
      <c r="J404" s="559"/>
      <c r="K404" s="559"/>
      <c r="L404" s="559"/>
      <c r="M404" s="559"/>
      <c r="N404" s="559"/>
      <c r="O404" s="559"/>
      <c r="P404" s="559"/>
      <c r="Q404" s="559"/>
      <c r="R404" s="559"/>
      <c r="S404" s="559"/>
      <c r="T404" s="559"/>
      <c r="U404" s="559"/>
      <c r="V404" s="559"/>
    </row>
    <row r="405" spans="2:22" s="20" customFormat="1" hidden="1" x14ac:dyDescent="0.25">
      <c r="B405" s="18"/>
      <c r="I405" s="559"/>
      <c r="J405" s="559"/>
      <c r="K405" s="559"/>
      <c r="L405" s="559"/>
      <c r="M405" s="559"/>
      <c r="N405" s="559"/>
      <c r="O405" s="559"/>
      <c r="P405" s="559"/>
      <c r="Q405" s="559"/>
      <c r="R405" s="559"/>
      <c r="S405" s="559"/>
      <c r="T405" s="559"/>
      <c r="U405" s="559"/>
      <c r="V405" s="559"/>
    </row>
    <row r="406" spans="2:22" s="20" customFormat="1" ht="15.75" hidden="1" x14ac:dyDescent="0.25">
      <c r="B406" s="297" t="s">
        <v>461</v>
      </c>
      <c r="I406" s="559"/>
      <c r="J406" s="559"/>
      <c r="K406" s="559"/>
      <c r="L406" s="559"/>
      <c r="M406" s="559"/>
      <c r="N406" s="559"/>
      <c r="O406" s="559"/>
      <c r="P406" s="559"/>
      <c r="Q406" s="559"/>
      <c r="R406" s="559"/>
      <c r="S406" s="559"/>
      <c r="T406" s="559"/>
      <c r="U406" s="559"/>
      <c r="V406" s="559"/>
    </row>
    <row r="407" spans="2:22" s="20" customFormat="1" hidden="1" x14ac:dyDescent="0.25">
      <c r="B407" s="20" t="s">
        <v>490</v>
      </c>
      <c r="C407" s="516" t="e">
        <f>(D317+D326+D380+D394)*10^6</f>
        <v>#DIV/0!</v>
      </c>
      <c r="I407" s="559"/>
      <c r="J407" s="559"/>
      <c r="K407" s="559"/>
      <c r="L407" s="559"/>
      <c r="M407" s="559"/>
      <c r="N407" s="559"/>
      <c r="O407" s="559"/>
      <c r="P407" s="559"/>
      <c r="Q407" s="559"/>
      <c r="R407" s="559"/>
      <c r="S407" s="559"/>
      <c r="T407" s="559"/>
      <c r="U407" s="559"/>
      <c r="V407" s="559"/>
    </row>
    <row r="408" spans="2:22" s="20" customFormat="1" hidden="1" x14ac:dyDescent="0.25">
      <c r="I408" s="559"/>
      <c r="J408" s="559"/>
      <c r="K408" s="559"/>
      <c r="L408" s="559"/>
      <c r="M408" s="559"/>
      <c r="N408" s="559"/>
      <c r="O408" s="559"/>
      <c r="P408" s="559"/>
      <c r="Q408" s="559"/>
      <c r="R408" s="559"/>
      <c r="S408" s="559"/>
      <c r="T408" s="559"/>
      <c r="U408" s="559"/>
      <c r="V408" s="559"/>
    </row>
    <row r="409" spans="2:22" s="20" customFormat="1" hidden="1" x14ac:dyDescent="0.25">
      <c r="B409" s="299" t="s">
        <v>485</v>
      </c>
      <c r="I409" s="559"/>
      <c r="J409" s="559"/>
      <c r="K409" s="559"/>
      <c r="L409" s="559"/>
      <c r="M409" s="559"/>
      <c r="N409" s="559"/>
      <c r="O409" s="559"/>
      <c r="P409" s="559"/>
      <c r="Q409" s="559"/>
      <c r="R409" s="559"/>
      <c r="S409" s="559"/>
      <c r="T409" s="559"/>
      <c r="U409" s="559"/>
      <c r="V409" s="559"/>
    </row>
    <row r="410" spans="2:22" s="20" customFormat="1" hidden="1" x14ac:dyDescent="0.25">
      <c r="B410" s="20" t="s">
        <v>490</v>
      </c>
      <c r="C410" s="1527" t="e">
        <f>C401+C404+C407</f>
        <v>#DIV/0!</v>
      </c>
      <c r="I410" s="559"/>
      <c r="J410" s="559"/>
      <c r="K410" s="559"/>
      <c r="L410" s="559"/>
      <c r="M410" s="559"/>
      <c r="N410" s="559"/>
      <c r="O410" s="559"/>
      <c r="P410" s="559"/>
      <c r="Q410" s="559"/>
      <c r="R410" s="559"/>
      <c r="S410" s="559"/>
      <c r="T410" s="559"/>
      <c r="U410" s="559"/>
      <c r="V410" s="559"/>
    </row>
    <row r="411" spans="2:22" s="20" customFormat="1" hidden="1" x14ac:dyDescent="0.25">
      <c r="I411" s="559"/>
      <c r="J411" s="559"/>
      <c r="K411" s="559"/>
      <c r="L411" s="559"/>
      <c r="M411" s="559"/>
      <c r="N411" s="559"/>
      <c r="O411" s="559"/>
      <c r="P411" s="559"/>
      <c r="Q411" s="559"/>
      <c r="R411" s="559"/>
      <c r="S411" s="559"/>
      <c r="T411" s="559"/>
      <c r="U411" s="559"/>
      <c r="V411" s="559"/>
    </row>
    <row r="412" spans="2:22" s="20" customFormat="1" hidden="1" x14ac:dyDescent="0.25">
      <c r="B412" s="27" t="s">
        <v>487</v>
      </c>
      <c r="C412" s="45" t="e">
        <f>C410*298/1000</f>
        <v>#DIV/0!</v>
      </c>
      <c r="D412" s="29" t="s">
        <v>850</v>
      </c>
      <c r="I412" s="559"/>
      <c r="J412" s="559"/>
      <c r="K412" s="559"/>
      <c r="L412" s="559"/>
      <c r="M412" s="559"/>
      <c r="N412" s="559"/>
      <c r="O412" s="559"/>
      <c r="P412" s="559"/>
      <c r="Q412" s="559"/>
      <c r="R412" s="559"/>
      <c r="S412" s="559"/>
      <c r="T412" s="559"/>
      <c r="U412" s="559"/>
      <c r="V412" s="559"/>
    </row>
    <row r="413" spans="2:22" s="20" customFormat="1" hidden="1" x14ac:dyDescent="0.25">
      <c r="I413" s="559"/>
      <c r="J413" s="559"/>
      <c r="K413" s="559"/>
      <c r="L413" s="559"/>
      <c r="M413" s="559"/>
      <c r="N413" s="559"/>
      <c r="O413" s="559"/>
      <c r="P413" s="559"/>
      <c r="Q413" s="559"/>
      <c r="R413" s="559"/>
      <c r="S413" s="559"/>
      <c r="T413" s="559"/>
      <c r="U413" s="559"/>
      <c r="V413" s="559"/>
    </row>
    <row r="414" spans="2:22" s="20" customFormat="1" hidden="1" x14ac:dyDescent="0.25">
      <c r="B414" s="299" t="s">
        <v>851</v>
      </c>
      <c r="C414" s="202" t="e">
        <f>C239-C412</f>
        <v>#DIV/0!</v>
      </c>
      <c r="I414" s="559"/>
      <c r="J414" s="559"/>
      <c r="K414" s="559"/>
      <c r="L414" s="559"/>
      <c r="M414" s="559"/>
      <c r="N414" s="559"/>
      <c r="O414" s="559"/>
      <c r="P414" s="559"/>
      <c r="Q414" s="559"/>
      <c r="R414" s="559"/>
      <c r="S414" s="559"/>
      <c r="T414" s="559"/>
      <c r="U414" s="559"/>
      <c r="V414" s="559"/>
    </row>
    <row r="415" spans="2:22" s="20" customFormat="1" hidden="1" x14ac:dyDescent="0.25">
      <c r="I415" s="559"/>
      <c r="J415" s="559"/>
      <c r="K415" s="559"/>
      <c r="L415" s="559"/>
      <c r="M415" s="559"/>
      <c r="N415" s="559"/>
      <c r="O415" s="559"/>
      <c r="P415" s="559"/>
      <c r="Q415" s="559"/>
      <c r="R415" s="559"/>
      <c r="S415" s="559"/>
      <c r="T415" s="559"/>
      <c r="U415" s="559"/>
      <c r="V415" s="559"/>
    </row>
    <row r="416" spans="2:22" s="20" customFormat="1" hidden="1" x14ac:dyDescent="0.25">
      <c r="I416" s="559"/>
      <c r="J416" s="559"/>
      <c r="K416" s="559"/>
      <c r="L416" s="559"/>
      <c r="M416" s="559"/>
      <c r="N416" s="559"/>
      <c r="O416" s="559"/>
      <c r="P416" s="559"/>
      <c r="Q416" s="559"/>
      <c r="R416" s="559"/>
      <c r="S416" s="559"/>
      <c r="T416" s="559"/>
      <c r="U416" s="559"/>
      <c r="V416" s="559"/>
    </row>
    <row r="417" spans="2:22" s="20" customFormat="1" hidden="1" x14ac:dyDescent="0.25">
      <c r="B417" s="339" t="s">
        <v>492</v>
      </c>
      <c r="D417" s="20" t="s">
        <v>855</v>
      </c>
      <c r="I417" s="559"/>
      <c r="J417" s="559"/>
      <c r="K417" s="559"/>
      <c r="L417" s="559"/>
      <c r="M417" s="559"/>
      <c r="N417" s="559"/>
      <c r="O417" s="559"/>
      <c r="P417" s="559"/>
      <c r="Q417" s="559"/>
      <c r="R417" s="559"/>
      <c r="S417" s="559"/>
      <c r="T417" s="559"/>
      <c r="U417" s="559"/>
      <c r="V417" s="559"/>
    </row>
    <row r="418" spans="2:22" s="20" customFormat="1" hidden="1" x14ac:dyDescent="0.25">
      <c r="B418" s="339" t="s">
        <v>844</v>
      </c>
      <c r="C418" s="202" t="e">
        <f>C101</f>
        <v>#DIV/0!</v>
      </c>
      <c r="D418" s="516" t="e">
        <f>C418/365</f>
        <v>#DIV/0!</v>
      </c>
      <c r="E418" s="507"/>
      <c r="I418" s="559"/>
      <c r="J418" s="559"/>
      <c r="K418" s="559"/>
      <c r="L418" s="559"/>
      <c r="M418" s="559"/>
      <c r="N418" s="559"/>
      <c r="O418" s="559"/>
      <c r="P418" s="559"/>
      <c r="Q418" s="559"/>
      <c r="R418" s="559"/>
      <c r="S418" s="559"/>
      <c r="T418" s="559"/>
      <c r="U418" s="559"/>
      <c r="V418" s="559"/>
    </row>
    <row r="419" spans="2:22" s="20" customFormat="1" hidden="1" x14ac:dyDescent="0.25">
      <c r="B419" s="339" t="s">
        <v>845</v>
      </c>
      <c r="C419" s="202" t="e">
        <f>C210</f>
        <v>#DIV/0!</v>
      </c>
      <c r="D419" s="516" t="e">
        <f>C419/365</f>
        <v>#DIV/0!</v>
      </c>
      <c r="I419" s="559"/>
      <c r="J419" s="559"/>
      <c r="K419" s="559"/>
      <c r="L419" s="559"/>
      <c r="M419" s="559"/>
      <c r="N419" s="559"/>
      <c r="O419" s="559"/>
      <c r="P419" s="559"/>
      <c r="Q419" s="559"/>
      <c r="R419" s="559"/>
      <c r="S419" s="559"/>
      <c r="T419" s="559"/>
      <c r="U419" s="559"/>
      <c r="V419" s="559"/>
    </row>
    <row r="420" spans="2:22" s="20" customFormat="1" hidden="1" x14ac:dyDescent="0.25">
      <c r="B420" s="339" t="s">
        <v>846</v>
      </c>
      <c r="C420" s="202" t="e">
        <f>C239</f>
        <v>#DIV/0!</v>
      </c>
      <c r="D420" s="516" t="e">
        <f>C420/365</f>
        <v>#DIV/0!</v>
      </c>
      <c r="I420" s="559"/>
      <c r="J420" s="559"/>
      <c r="K420" s="559"/>
      <c r="L420" s="559"/>
      <c r="M420" s="559"/>
      <c r="N420" s="559"/>
      <c r="O420" s="559"/>
      <c r="P420" s="559"/>
      <c r="Q420" s="559"/>
      <c r="R420" s="559"/>
      <c r="S420" s="559"/>
      <c r="T420" s="559"/>
      <c r="U420" s="559"/>
      <c r="V420" s="559"/>
    </row>
    <row r="421" spans="2:22" s="20" customFormat="1" hidden="1" x14ac:dyDescent="0.25">
      <c r="B421" s="339" t="s">
        <v>847</v>
      </c>
      <c r="C421" s="300">
        <v>0</v>
      </c>
      <c r="D421" s="516">
        <f>C421/365</f>
        <v>0</v>
      </c>
      <c r="I421" s="559"/>
      <c r="J421" s="559"/>
      <c r="K421" s="559"/>
      <c r="L421" s="559"/>
      <c r="M421" s="559"/>
      <c r="N421" s="559"/>
      <c r="O421" s="559"/>
      <c r="P421" s="559"/>
      <c r="Q421" s="559"/>
      <c r="R421" s="559"/>
      <c r="S421" s="559"/>
      <c r="T421" s="559"/>
      <c r="U421" s="559"/>
      <c r="V421" s="559"/>
    </row>
    <row r="422" spans="2:22" s="20" customFormat="1" hidden="1" x14ac:dyDescent="0.25">
      <c r="B422" s="339" t="s">
        <v>848</v>
      </c>
      <c r="C422" s="202" t="e">
        <f>SUM(C418:C421)</f>
        <v>#DIV/0!</v>
      </c>
      <c r="D422" s="516" t="e">
        <f>C422/365</f>
        <v>#DIV/0!</v>
      </c>
      <c r="I422" s="559"/>
      <c r="J422" s="559"/>
      <c r="K422" s="559"/>
      <c r="L422" s="559"/>
      <c r="M422" s="559"/>
      <c r="N422" s="559"/>
      <c r="O422" s="559"/>
      <c r="P422" s="559"/>
      <c r="Q422" s="559"/>
      <c r="R422" s="559"/>
      <c r="S422" s="559"/>
      <c r="T422" s="559"/>
      <c r="U422" s="559"/>
      <c r="V422" s="559"/>
    </row>
    <row r="423" spans="2:22" s="20" customFormat="1" hidden="1" x14ac:dyDescent="0.25">
      <c r="B423" s="339"/>
      <c r="C423" s="300"/>
      <c r="I423" s="559"/>
      <c r="J423" s="559"/>
      <c r="K423" s="559"/>
      <c r="L423" s="559"/>
      <c r="M423" s="559"/>
      <c r="N423" s="559"/>
      <c r="O423" s="559"/>
      <c r="P423" s="559"/>
      <c r="Q423" s="559"/>
      <c r="R423" s="559"/>
      <c r="S423" s="559"/>
      <c r="T423" s="559"/>
      <c r="U423" s="559"/>
      <c r="V423" s="559"/>
    </row>
    <row r="424" spans="2:22" s="20" customFormat="1" hidden="1" x14ac:dyDescent="0.25">
      <c r="B424" s="339" t="s">
        <v>493</v>
      </c>
      <c r="C424" s="300"/>
      <c r="I424" s="559"/>
      <c r="J424" s="559"/>
      <c r="K424" s="559"/>
      <c r="L424" s="559"/>
      <c r="M424" s="559"/>
      <c r="N424" s="559"/>
      <c r="O424" s="559"/>
      <c r="P424" s="559"/>
      <c r="Q424" s="559"/>
      <c r="R424" s="559"/>
      <c r="S424" s="559"/>
      <c r="T424" s="559"/>
      <c r="U424" s="559"/>
      <c r="V424" s="559"/>
    </row>
    <row r="425" spans="2:22" s="20" customFormat="1" hidden="1" x14ac:dyDescent="0.25">
      <c r="B425" s="339" t="s">
        <v>844</v>
      </c>
      <c r="C425" s="202" t="e">
        <f>C136</f>
        <v>#DIV/0!</v>
      </c>
      <c r="D425" s="516" t="e">
        <f>C425/365</f>
        <v>#DIV/0!</v>
      </c>
      <c r="I425" s="559"/>
      <c r="J425" s="559"/>
      <c r="K425" s="559"/>
      <c r="L425" s="559"/>
      <c r="M425" s="559"/>
      <c r="N425" s="559"/>
      <c r="O425" s="559"/>
      <c r="P425" s="559"/>
      <c r="Q425" s="559"/>
      <c r="R425" s="559"/>
      <c r="S425" s="559"/>
      <c r="T425" s="559"/>
      <c r="U425" s="559"/>
      <c r="V425" s="559"/>
    </row>
    <row r="426" spans="2:22" s="20" customFormat="1" hidden="1" x14ac:dyDescent="0.25">
      <c r="B426" s="339" t="s">
        <v>845</v>
      </c>
      <c r="C426" s="202" t="e">
        <f>C222</f>
        <v>#DIV/0!</v>
      </c>
      <c r="D426" s="516" t="e">
        <f>C426/365</f>
        <v>#DIV/0!</v>
      </c>
      <c r="I426" s="559"/>
      <c r="J426" s="559"/>
      <c r="K426" s="559"/>
      <c r="L426" s="559"/>
      <c r="M426" s="559"/>
      <c r="N426" s="559"/>
      <c r="O426" s="559"/>
      <c r="P426" s="559"/>
      <c r="Q426" s="559"/>
      <c r="R426" s="559"/>
      <c r="S426" s="559"/>
      <c r="T426" s="559"/>
      <c r="U426" s="559"/>
      <c r="V426" s="559"/>
    </row>
    <row r="427" spans="2:22" s="20" customFormat="1" hidden="1" x14ac:dyDescent="0.25">
      <c r="B427" s="339" t="s">
        <v>846</v>
      </c>
      <c r="C427" s="202" t="e">
        <f>C412</f>
        <v>#DIV/0!</v>
      </c>
      <c r="D427" s="516" t="e">
        <f>C427/365</f>
        <v>#DIV/0!</v>
      </c>
      <c r="I427" s="559"/>
      <c r="J427" s="559"/>
      <c r="K427" s="559"/>
      <c r="L427" s="559"/>
      <c r="M427" s="559"/>
      <c r="N427" s="559"/>
      <c r="O427" s="559"/>
      <c r="P427" s="559"/>
      <c r="Q427" s="559"/>
      <c r="R427" s="559"/>
      <c r="S427" s="559"/>
      <c r="T427" s="559"/>
      <c r="U427" s="559"/>
      <c r="V427" s="559"/>
    </row>
    <row r="428" spans="2:22" s="20" customFormat="1" hidden="1" x14ac:dyDescent="0.25">
      <c r="B428" s="339" t="s">
        <v>847</v>
      </c>
      <c r="C428" s="300">
        <v>0</v>
      </c>
      <c r="D428" s="516">
        <f>C428/365</f>
        <v>0</v>
      </c>
      <c r="I428" s="559"/>
      <c r="J428" s="559"/>
      <c r="K428" s="559"/>
      <c r="L428" s="559"/>
      <c r="M428" s="559"/>
      <c r="N428" s="559"/>
      <c r="O428" s="559"/>
      <c r="P428" s="559"/>
      <c r="Q428" s="559"/>
      <c r="R428" s="559"/>
      <c r="S428" s="559"/>
      <c r="T428" s="559"/>
      <c r="U428" s="559"/>
      <c r="V428" s="559"/>
    </row>
    <row r="429" spans="2:22" s="20" customFormat="1" hidden="1" x14ac:dyDescent="0.25">
      <c r="B429" s="339" t="s">
        <v>848</v>
      </c>
      <c r="C429" s="202" t="e">
        <f>SUM(C425:C428)</f>
        <v>#DIV/0!</v>
      </c>
      <c r="D429" s="516" t="e">
        <f>C429/365</f>
        <v>#DIV/0!</v>
      </c>
      <c r="E429" s="327"/>
      <c r="I429" s="559"/>
      <c r="J429" s="559"/>
      <c r="K429" s="559"/>
      <c r="L429" s="559"/>
      <c r="M429" s="559"/>
      <c r="N429" s="559"/>
      <c r="O429" s="559"/>
      <c r="P429" s="559"/>
      <c r="Q429" s="559"/>
      <c r="R429" s="559"/>
      <c r="S429" s="559"/>
      <c r="T429" s="559"/>
      <c r="U429" s="559"/>
      <c r="V429" s="559"/>
    </row>
    <row r="430" spans="2:22" s="20" customFormat="1" hidden="1" x14ac:dyDescent="0.25">
      <c r="B430" s="339"/>
      <c r="C430" s="300"/>
      <c r="I430" s="559"/>
      <c r="J430" s="559"/>
      <c r="K430" s="559"/>
      <c r="L430" s="559"/>
      <c r="M430" s="559"/>
      <c r="N430" s="559"/>
      <c r="O430" s="559"/>
      <c r="P430" s="559"/>
      <c r="Q430" s="559"/>
      <c r="R430" s="559"/>
      <c r="S430" s="559"/>
      <c r="T430" s="559"/>
      <c r="U430" s="559"/>
      <c r="V430" s="559"/>
    </row>
    <row r="431" spans="2:22" s="20" customFormat="1" hidden="1" x14ac:dyDescent="0.25">
      <c r="B431" s="339" t="s">
        <v>849</v>
      </c>
      <c r="C431" s="300"/>
      <c r="D431" s="20" t="s">
        <v>856</v>
      </c>
      <c r="I431" s="559"/>
      <c r="J431" s="559"/>
      <c r="K431" s="559"/>
      <c r="L431" s="559"/>
      <c r="M431" s="559"/>
      <c r="N431" s="559"/>
      <c r="O431" s="559"/>
      <c r="P431" s="559"/>
      <c r="Q431" s="559"/>
      <c r="R431" s="559"/>
      <c r="S431" s="559"/>
      <c r="T431" s="559"/>
      <c r="U431" s="559"/>
      <c r="V431" s="559"/>
    </row>
    <row r="432" spans="2:22" s="20" customFormat="1" hidden="1" x14ac:dyDescent="0.25">
      <c r="B432" s="339" t="s">
        <v>844</v>
      </c>
      <c r="C432" s="202" t="e">
        <f>C418-C425</f>
        <v>#DIV/0!</v>
      </c>
      <c r="D432" s="516" t="e">
        <f>(C432/365)*$C$29</f>
        <v>#DIV/0!</v>
      </c>
      <c r="I432" s="559"/>
      <c r="J432" s="559"/>
      <c r="K432" s="559"/>
      <c r="L432" s="559"/>
      <c r="M432" s="559"/>
      <c r="N432" s="559"/>
      <c r="O432" s="559"/>
      <c r="P432" s="559"/>
      <c r="Q432" s="559"/>
      <c r="R432" s="559"/>
      <c r="S432" s="559"/>
      <c r="T432" s="559"/>
      <c r="U432" s="559"/>
      <c r="V432" s="559"/>
    </row>
    <row r="433" spans="2:22" s="20" customFormat="1" hidden="1" x14ac:dyDescent="0.25">
      <c r="B433" s="339" t="s">
        <v>845</v>
      </c>
      <c r="C433" s="202" t="e">
        <f>C419-C426</f>
        <v>#DIV/0!</v>
      </c>
      <c r="D433" s="516" t="e">
        <f>(C433/365)*$C$29</f>
        <v>#DIV/0!</v>
      </c>
      <c r="I433" s="559"/>
      <c r="J433" s="559"/>
      <c r="K433" s="559"/>
      <c r="L433" s="559"/>
      <c r="M433" s="559"/>
      <c r="N433" s="559"/>
      <c r="O433" s="559"/>
      <c r="P433" s="559"/>
      <c r="Q433" s="559"/>
      <c r="R433" s="559"/>
      <c r="S433" s="559"/>
      <c r="T433" s="559"/>
      <c r="U433" s="559"/>
      <c r="V433" s="559"/>
    </row>
    <row r="434" spans="2:22" s="20" customFormat="1" hidden="1" x14ac:dyDescent="0.25">
      <c r="B434" s="339" t="s">
        <v>846</v>
      </c>
      <c r="C434" s="202" t="e">
        <f>C420-C427</f>
        <v>#DIV/0!</v>
      </c>
      <c r="D434" s="516" t="e">
        <f>(C434/365)*$C$29</f>
        <v>#DIV/0!</v>
      </c>
      <c r="I434" s="559"/>
      <c r="J434" s="559"/>
      <c r="K434" s="559"/>
      <c r="L434" s="559"/>
      <c r="M434" s="559"/>
      <c r="N434" s="559"/>
      <c r="O434" s="559"/>
      <c r="P434" s="559"/>
      <c r="Q434" s="559"/>
      <c r="R434" s="559"/>
      <c r="S434" s="559"/>
      <c r="T434" s="559"/>
      <c r="U434" s="559"/>
      <c r="V434" s="559"/>
    </row>
    <row r="435" spans="2:22" s="20" customFormat="1" hidden="1" x14ac:dyDescent="0.25">
      <c r="B435" s="339" t="s">
        <v>847</v>
      </c>
      <c r="C435" s="300">
        <f>C421-C428</f>
        <v>0</v>
      </c>
      <c r="D435" s="516">
        <f>(C435/365)*$C$29</f>
        <v>0</v>
      </c>
      <c r="I435" s="559"/>
      <c r="J435" s="559"/>
      <c r="K435" s="559"/>
      <c r="L435" s="559"/>
      <c r="M435" s="559"/>
      <c r="N435" s="559"/>
      <c r="O435" s="559"/>
      <c r="P435" s="559"/>
      <c r="Q435" s="559"/>
      <c r="R435" s="559"/>
      <c r="S435" s="559"/>
      <c r="T435" s="559"/>
      <c r="U435" s="559"/>
      <c r="V435" s="559"/>
    </row>
    <row r="436" spans="2:22" s="20" customFormat="1" hidden="1" x14ac:dyDescent="0.25">
      <c r="B436" s="339" t="s">
        <v>848</v>
      </c>
      <c r="C436" s="202" t="e">
        <f>SUM(C432:C435)</f>
        <v>#DIV/0!</v>
      </c>
      <c r="D436" s="516" t="e">
        <f>(C436/365)*$C$29</f>
        <v>#DIV/0!</v>
      </c>
      <c r="I436" s="559"/>
      <c r="J436" s="559"/>
      <c r="K436" s="559"/>
      <c r="L436" s="559"/>
      <c r="M436" s="559"/>
      <c r="N436" s="559"/>
      <c r="O436" s="559"/>
      <c r="P436" s="559"/>
      <c r="Q436" s="559"/>
      <c r="R436" s="559"/>
      <c r="S436" s="559"/>
      <c r="T436" s="559"/>
      <c r="U436" s="559"/>
      <c r="V436" s="559"/>
    </row>
    <row r="437" spans="2:22" s="20" customFormat="1" hidden="1" x14ac:dyDescent="0.25">
      <c r="B437" s="497"/>
      <c r="I437" s="559"/>
      <c r="J437" s="559"/>
      <c r="K437" s="559"/>
      <c r="L437" s="559"/>
      <c r="M437" s="559"/>
      <c r="N437" s="559"/>
      <c r="O437" s="559"/>
      <c r="P437" s="559"/>
      <c r="Q437" s="559"/>
      <c r="R437" s="559"/>
      <c r="S437" s="559"/>
      <c r="T437" s="559"/>
      <c r="U437" s="559"/>
      <c r="V437" s="559"/>
    </row>
    <row r="438" spans="2:22" s="20" customFormat="1" hidden="1" x14ac:dyDescent="0.25">
      <c r="B438" s="497"/>
      <c r="I438" s="559"/>
      <c r="J438" s="559"/>
      <c r="K438" s="559"/>
      <c r="L438" s="559"/>
      <c r="M438" s="559"/>
      <c r="N438" s="559"/>
      <c r="O438" s="559"/>
      <c r="P438" s="559"/>
      <c r="Q438" s="559"/>
      <c r="R438" s="559"/>
      <c r="S438" s="559"/>
      <c r="T438" s="559"/>
      <c r="U438" s="559"/>
      <c r="V438" s="559"/>
    </row>
    <row r="439" spans="2:22" hidden="1" x14ac:dyDescent="0.25">
      <c r="B439" s="497"/>
    </row>
    <row r="440" spans="2:22" hidden="1" x14ac:dyDescent="0.25">
      <c r="B440" s="497"/>
    </row>
    <row r="441" spans="2:22" s="559" customFormat="1" hidden="1" x14ac:dyDescent="0.25">
      <c r="B441" s="550"/>
    </row>
    <row r="442" spans="2:22" s="559" customFormat="1" x14ac:dyDescent="0.25"/>
    <row r="443" spans="2:22" s="559" customFormat="1" x14ac:dyDescent="0.25"/>
    <row r="444" spans="2:22" s="559" customFormat="1" x14ac:dyDescent="0.25"/>
    <row r="445" spans="2:22" s="559" customFormat="1" x14ac:dyDescent="0.25"/>
    <row r="446" spans="2:22" s="559" customFormat="1" x14ac:dyDescent="0.25"/>
    <row r="447" spans="2:22" s="559" customFormat="1" x14ac:dyDescent="0.25"/>
    <row r="448" spans="2:22" s="559" customFormat="1" x14ac:dyDescent="0.25"/>
    <row r="449" s="559" customFormat="1" x14ac:dyDescent="0.25"/>
    <row r="450" s="559" customFormat="1" x14ac:dyDescent="0.25"/>
    <row r="451" s="559" customFormat="1" x14ac:dyDescent="0.25"/>
    <row r="452" s="559" customFormat="1" x14ac:dyDescent="0.25"/>
    <row r="453" s="559" customFormat="1" x14ac:dyDescent="0.25"/>
    <row r="454" s="559" customFormat="1" x14ac:dyDescent="0.25"/>
    <row r="455" s="559" customFormat="1" x14ac:dyDescent="0.25"/>
    <row r="456" s="559" customFormat="1" x14ac:dyDescent="0.25"/>
    <row r="457" s="559" customFormat="1" x14ac:dyDescent="0.25"/>
    <row r="458" s="559" customFormat="1" x14ac:dyDescent="0.25"/>
    <row r="459" s="559" customFormat="1" x14ac:dyDescent="0.25"/>
    <row r="460" s="559" customFormat="1" x14ac:dyDescent="0.25"/>
    <row r="461" s="559" customFormat="1" x14ac:dyDescent="0.25"/>
    <row r="462" s="559" customFormat="1" x14ac:dyDescent="0.25"/>
    <row r="463" s="559" customFormat="1" x14ac:dyDescent="0.25"/>
    <row r="464" s="559" customFormat="1" x14ac:dyDescent="0.25"/>
    <row r="465" s="559" customFormat="1" x14ac:dyDescent="0.25"/>
    <row r="466" s="559" customFormat="1" x14ac:dyDescent="0.25"/>
    <row r="467" s="559" customFormat="1" x14ac:dyDescent="0.25"/>
    <row r="468" s="559" customFormat="1" x14ac:dyDescent="0.25"/>
    <row r="469" s="559" customFormat="1" x14ac:dyDescent="0.25"/>
    <row r="470" s="559" customFormat="1" x14ac:dyDescent="0.25"/>
    <row r="471" s="559" customFormat="1" x14ac:dyDescent="0.25"/>
    <row r="472" s="559" customFormat="1" x14ac:dyDescent="0.25"/>
    <row r="473" s="559" customFormat="1" x14ac:dyDescent="0.25"/>
    <row r="474" s="559" customFormat="1" x14ac:dyDescent="0.25"/>
    <row r="475" s="559" customFormat="1" x14ac:dyDescent="0.25"/>
    <row r="476" s="559" customFormat="1" x14ac:dyDescent="0.25"/>
    <row r="477" s="559" customFormat="1" x14ac:dyDescent="0.25"/>
    <row r="478" s="559" customFormat="1" x14ac:dyDescent="0.25"/>
    <row r="479" s="559" customFormat="1" x14ac:dyDescent="0.25"/>
    <row r="480" s="559" customFormat="1" x14ac:dyDescent="0.25"/>
    <row r="481" s="559" customFormat="1" x14ac:dyDescent="0.25"/>
    <row r="482" s="559" customFormat="1" x14ac:dyDescent="0.25"/>
    <row r="483" s="559" customFormat="1" x14ac:dyDescent="0.25"/>
    <row r="484" s="559" customFormat="1" x14ac:dyDescent="0.25"/>
    <row r="485" s="559" customFormat="1" x14ac:dyDescent="0.25"/>
    <row r="486" s="559" customFormat="1" x14ac:dyDescent="0.25"/>
    <row r="487" s="559" customFormat="1" x14ac:dyDescent="0.25"/>
    <row r="488" s="559" customFormat="1" x14ac:dyDescent="0.25"/>
    <row r="489" s="559" customFormat="1" x14ac:dyDescent="0.25"/>
    <row r="490" s="559" customFormat="1" x14ac:dyDescent="0.25"/>
    <row r="491" s="559" customFormat="1" x14ac:dyDescent="0.25"/>
    <row r="492" s="559" customFormat="1" x14ac:dyDescent="0.25"/>
    <row r="493" s="559" customFormat="1" x14ac:dyDescent="0.25"/>
    <row r="494" s="559" customFormat="1" x14ac:dyDescent="0.25"/>
    <row r="495" s="559" customFormat="1" x14ac:dyDescent="0.25"/>
    <row r="496" s="559" customFormat="1" x14ac:dyDescent="0.25"/>
    <row r="497" s="559" customFormat="1" x14ac:dyDescent="0.25"/>
    <row r="498" s="559" customFormat="1" x14ac:dyDescent="0.25"/>
    <row r="499" s="559" customFormat="1" x14ac:dyDescent="0.25"/>
    <row r="500" s="559" customFormat="1" x14ac:dyDescent="0.25"/>
    <row r="501" s="559" customFormat="1" x14ac:dyDescent="0.25"/>
    <row r="502" s="559" customFormat="1" x14ac:dyDescent="0.25"/>
    <row r="503" s="559" customFormat="1" x14ac:dyDescent="0.25"/>
    <row r="504" s="559" customFormat="1" x14ac:dyDescent="0.25"/>
    <row r="505" s="559" customFormat="1" x14ac:dyDescent="0.25"/>
    <row r="506" s="559" customFormat="1" x14ac:dyDescent="0.25"/>
    <row r="507" s="559" customFormat="1" x14ac:dyDescent="0.25"/>
    <row r="508" s="559" customFormat="1" x14ac:dyDescent="0.25"/>
    <row r="509" s="559" customFormat="1" x14ac:dyDescent="0.25"/>
    <row r="510" s="559" customFormat="1" x14ac:dyDescent="0.25"/>
    <row r="511" s="559" customFormat="1" x14ac:dyDescent="0.25"/>
    <row r="512" s="559" customFormat="1" x14ac:dyDescent="0.25"/>
    <row r="513" s="559" customFormat="1" x14ac:dyDescent="0.25"/>
    <row r="514" s="559" customFormat="1" x14ac:dyDescent="0.25"/>
    <row r="515" s="559" customFormat="1" x14ac:dyDescent="0.25"/>
    <row r="516" s="559" customFormat="1" x14ac:dyDescent="0.25"/>
    <row r="517" s="559" customFormat="1" x14ac:dyDescent="0.25"/>
    <row r="518" s="559" customFormat="1" x14ac:dyDescent="0.25"/>
    <row r="519" s="559" customFormat="1" x14ac:dyDescent="0.25"/>
    <row r="520" s="559" customFormat="1" x14ac:dyDescent="0.25"/>
    <row r="521" s="559" customFormat="1" x14ac:dyDescent="0.25"/>
    <row r="522" s="559" customFormat="1" x14ac:dyDescent="0.25"/>
    <row r="523" s="559" customFormat="1" x14ac:dyDescent="0.25"/>
    <row r="524" s="559" customFormat="1" x14ac:dyDescent="0.25"/>
    <row r="525" s="559" customFormat="1" x14ac:dyDescent="0.25"/>
    <row r="526" s="559" customFormat="1" x14ac:dyDescent="0.25"/>
    <row r="527" s="559" customFormat="1" x14ac:dyDescent="0.25"/>
    <row r="528" s="559" customFormat="1" x14ac:dyDescent="0.25"/>
    <row r="529" s="559" customFormat="1" x14ac:dyDescent="0.25"/>
    <row r="530" s="559" customFormat="1" x14ac:dyDescent="0.25"/>
    <row r="531" s="559" customFormat="1" x14ac:dyDescent="0.25"/>
    <row r="532" s="559" customFormat="1" x14ac:dyDescent="0.25"/>
    <row r="533" s="559" customFormat="1" x14ac:dyDescent="0.25"/>
    <row r="534" s="559" customFormat="1" x14ac:dyDescent="0.25"/>
    <row r="535" s="559" customFormat="1" x14ac:dyDescent="0.25"/>
    <row r="536" s="559" customFormat="1" x14ac:dyDescent="0.25"/>
    <row r="537" s="559" customFormat="1" x14ac:dyDescent="0.25"/>
    <row r="538" s="559" customFormat="1" x14ac:dyDescent="0.25"/>
    <row r="539" s="559" customFormat="1" x14ac:dyDescent="0.25"/>
    <row r="540" s="559" customFormat="1" x14ac:dyDescent="0.25"/>
    <row r="541" s="559" customFormat="1" x14ac:dyDescent="0.25"/>
    <row r="542" s="559" customFormat="1" x14ac:dyDescent="0.25"/>
    <row r="543" s="559" customFormat="1" x14ac:dyDescent="0.25"/>
    <row r="544" s="559" customFormat="1" x14ac:dyDescent="0.25"/>
    <row r="545" s="559" customFormat="1" x14ac:dyDescent="0.25"/>
    <row r="546" s="559" customFormat="1" x14ac:dyDescent="0.25"/>
    <row r="547" s="559" customFormat="1" x14ac:dyDescent="0.25"/>
    <row r="548" s="559" customFormat="1" x14ac:dyDescent="0.25"/>
    <row r="549" s="559" customFormat="1" x14ac:dyDescent="0.25"/>
    <row r="550" s="559" customFormat="1" x14ac:dyDescent="0.25"/>
    <row r="551" s="559" customFormat="1" x14ac:dyDescent="0.25"/>
    <row r="552" s="559" customFormat="1" x14ac:dyDescent="0.25"/>
    <row r="553" s="559" customFormat="1" x14ac:dyDescent="0.25"/>
    <row r="554" s="559" customFormat="1" x14ac:dyDescent="0.25"/>
    <row r="555" s="559" customFormat="1" x14ac:dyDescent="0.25"/>
    <row r="556" s="559" customFormat="1" x14ac:dyDescent="0.25"/>
    <row r="557" s="559" customFormat="1" x14ac:dyDescent="0.25"/>
    <row r="558" s="559" customFormat="1" x14ac:dyDescent="0.25"/>
    <row r="559" s="559" customFormat="1" x14ac:dyDescent="0.25"/>
    <row r="560" s="559" customFormat="1" x14ac:dyDescent="0.25"/>
    <row r="561" s="559" customFormat="1" x14ac:dyDescent="0.25"/>
    <row r="562" s="559" customFormat="1" x14ac:dyDescent="0.25"/>
    <row r="563" s="559" customFormat="1" x14ac:dyDescent="0.25"/>
    <row r="564" s="559" customFormat="1" x14ac:dyDescent="0.25"/>
    <row r="565" s="559" customFormat="1" x14ac:dyDescent="0.25"/>
    <row r="566" s="559" customFormat="1" x14ac:dyDescent="0.25"/>
    <row r="567" s="559" customFormat="1" x14ac:dyDescent="0.25"/>
  </sheetData>
  <sheetProtection algorithmName="SHA-512" hashValue="o/ZOgfJaz2L7Z9KO+lwmsbalQ7swdxLM/XakEWLBtD8YKk9O3ZgkTViHe67RNdTTkzq/bxUtylYHSmalTpfsKQ==" saltValue="J0UTgPFpThi6KYcxVs+HGA=="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9" r:id="rId4" name="Spinner 43">
              <controlPr defaultSize="0" autoPict="0">
                <anchor moveWithCells="1" sizeWithCells="1">
                  <from>
                    <xdr:col>2</xdr:col>
                    <xdr:colOff>1685925</xdr:colOff>
                    <xdr:row>18</xdr:row>
                    <xdr:rowOff>47625</xdr:rowOff>
                  </from>
                  <to>
                    <xdr:col>2</xdr:col>
                    <xdr:colOff>2028825</xdr:colOff>
                    <xdr:row>18</xdr:row>
                    <xdr:rowOff>228600</xdr:rowOff>
                  </to>
                </anchor>
              </controlPr>
            </control>
          </mc:Choice>
        </mc:AlternateContent>
        <mc:AlternateContent xmlns:mc="http://schemas.openxmlformats.org/markup-compatibility/2006">
          <mc:Choice Requires="x14">
            <control shapeId="4143" r:id="rId5" name="Spinner 47">
              <controlPr defaultSize="0" autoPict="0">
                <anchor moveWithCells="1" sizeWithCells="1">
                  <from>
                    <xdr:col>2</xdr:col>
                    <xdr:colOff>1685925</xdr:colOff>
                    <xdr:row>26</xdr:row>
                    <xdr:rowOff>47625</xdr:rowOff>
                  </from>
                  <to>
                    <xdr:col>2</xdr:col>
                    <xdr:colOff>2028825</xdr:colOff>
                    <xdr:row>26</xdr:row>
                    <xdr:rowOff>228600</xdr:rowOff>
                  </to>
                </anchor>
              </controlPr>
            </control>
          </mc:Choice>
        </mc:AlternateContent>
        <mc:AlternateContent xmlns:mc="http://schemas.openxmlformats.org/markup-compatibility/2006">
          <mc:Choice Requires="x14">
            <control shapeId="4144" r:id="rId6" name="Spinner 48">
              <controlPr defaultSize="0" autoPict="0">
                <anchor moveWithCells="1" sizeWithCells="1">
                  <from>
                    <xdr:col>2</xdr:col>
                    <xdr:colOff>1685925</xdr:colOff>
                    <xdr:row>22</xdr:row>
                    <xdr:rowOff>57150</xdr:rowOff>
                  </from>
                  <to>
                    <xdr:col>2</xdr:col>
                    <xdr:colOff>2028825</xdr:colOff>
                    <xdr:row>22</xdr:row>
                    <xdr:rowOff>247650</xdr:rowOff>
                  </to>
                </anchor>
              </controlPr>
            </control>
          </mc:Choice>
        </mc:AlternateContent>
        <mc:AlternateContent xmlns:mc="http://schemas.openxmlformats.org/markup-compatibility/2006">
          <mc:Choice Requires="x14">
            <control shapeId="4145" r:id="rId7" name="Spinner 49">
              <controlPr defaultSize="0" autoPict="0">
                <anchor moveWithCells="1" sizeWithCells="1">
                  <from>
                    <xdr:col>2</xdr:col>
                    <xdr:colOff>1685925</xdr:colOff>
                    <xdr:row>28</xdr:row>
                    <xdr:rowOff>47625</xdr:rowOff>
                  </from>
                  <to>
                    <xdr:col>2</xdr:col>
                    <xdr:colOff>2028825</xdr:colOff>
                    <xdr:row>28</xdr:row>
                    <xdr:rowOff>228600</xdr:rowOff>
                  </to>
                </anchor>
              </controlPr>
            </control>
          </mc:Choice>
        </mc:AlternateContent>
        <mc:AlternateContent xmlns:mc="http://schemas.openxmlformats.org/markup-compatibility/2006">
          <mc:Choice Requires="x14">
            <control shapeId="4147" r:id="rId8" name="Spinner 51">
              <controlPr defaultSize="0" autoPict="0">
                <anchor moveWithCells="1" sizeWithCells="1">
                  <from>
                    <xdr:col>2</xdr:col>
                    <xdr:colOff>1685925</xdr:colOff>
                    <xdr:row>32</xdr:row>
                    <xdr:rowOff>47625</xdr:rowOff>
                  </from>
                  <to>
                    <xdr:col>2</xdr:col>
                    <xdr:colOff>2028825</xdr:colOff>
                    <xdr:row>32</xdr:row>
                    <xdr:rowOff>228600</xdr:rowOff>
                  </to>
                </anchor>
              </controlPr>
            </control>
          </mc:Choice>
        </mc:AlternateContent>
        <mc:AlternateContent xmlns:mc="http://schemas.openxmlformats.org/markup-compatibility/2006">
          <mc:Choice Requires="x14">
            <control shapeId="4148" r:id="rId9" name="Spinner 52">
              <controlPr defaultSize="0" autoPict="0">
                <anchor moveWithCells="1" sizeWithCells="1">
                  <from>
                    <xdr:col>2</xdr:col>
                    <xdr:colOff>1685925</xdr:colOff>
                    <xdr:row>30</xdr:row>
                    <xdr:rowOff>47625</xdr:rowOff>
                  </from>
                  <to>
                    <xdr:col>2</xdr:col>
                    <xdr:colOff>2028825</xdr:colOff>
                    <xdr:row>30</xdr:row>
                    <xdr:rowOff>228600</xdr:rowOff>
                  </to>
                </anchor>
              </controlPr>
            </control>
          </mc:Choice>
        </mc:AlternateContent>
        <mc:AlternateContent xmlns:mc="http://schemas.openxmlformats.org/markup-compatibility/2006">
          <mc:Choice Requires="x14">
            <control shapeId="4149" r:id="rId10" name="Spinner 53">
              <controlPr defaultSize="0" autoPict="0">
                <anchor moveWithCells="1" sizeWithCells="1">
                  <from>
                    <xdr:col>2</xdr:col>
                    <xdr:colOff>1685925</xdr:colOff>
                    <xdr:row>34</xdr:row>
                    <xdr:rowOff>47625</xdr:rowOff>
                  </from>
                  <to>
                    <xdr:col>2</xdr:col>
                    <xdr:colOff>2028825</xdr:colOff>
                    <xdr:row>34</xdr:row>
                    <xdr:rowOff>228600</xdr:rowOff>
                  </to>
                </anchor>
              </controlPr>
            </control>
          </mc:Choice>
        </mc:AlternateContent>
        <mc:AlternateContent xmlns:mc="http://schemas.openxmlformats.org/markup-compatibility/2006">
          <mc:Choice Requires="x14">
            <control shapeId="4152" r:id="rId11" name="Spinner 56">
              <controlPr defaultSize="0" autoPict="0">
                <anchor moveWithCells="1" sizeWithCells="1">
                  <from>
                    <xdr:col>2</xdr:col>
                    <xdr:colOff>1685925</xdr:colOff>
                    <xdr:row>38</xdr:row>
                    <xdr:rowOff>47625</xdr:rowOff>
                  </from>
                  <to>
                    <xdr:col>2</xdr:col>
                    <xdr:colOff>2028825</xdr:colOff>
                    <xdr:row>38</xdr:row>
                    <xdr:rowOff>228600</xdr:rowOff>
                  </to>
                </anchor>
              </controlPr>
            </control>
          </mc:Choice>
        </mc:AlternateContent>
        <mc:AlternateContent xmlns:mc="http://schemas.openxmlformats.org/markup-compatibility/2006">
          <mc:Choice Requires="x14">
            <control shapeId="4166" r:id="rId12" name="Spinner 70">
              <controlPr defaultSize="0" autoPict="0">
                <anchor moveWithCells="1" sizeWithCells="1">
                  <from>
                    <xdr:col>2</xdr:col>
                    <xdr:colOff>1685925</xdr:colOff>
                    <xdr:row>36</xdr:row>
                    <xdr:rowOff>47625</xdr:rowOff>
                  </from>
                  <to>
                    <xdr:col>2</xdr:col>
                    <xdr:colOff>2028825</xdr:colOff>
                    <xdr:row>36</xdr:row>
                    <xdr:rowOff>228600</xdr:rowOff>
                  </to>
                </anchor>
              </controlPr>
            </control>
          </mc:Choice>
        </mc:AlternateContent>
        <mc:AlternateContent xmlns:mc="http://schemas.openxmlformats.org/markup-compatibility/2006">
          <mc:Choice Requires="x14">
            <control shapeId="4173" r:id="rId13" name="Spinner 77">
              <controlPr defaultSize="0" autoPict="0">
                <anchor moveWithCells="1" sizeWithCells="1">
                  <from>
                    <xdr:col>2</xdr:col>
                    <xdr:colOff>1685925</xdr:colOff>
                    <xdr:row>20</xdr:row>
                    <xdr:rowOff>57150</xdr:rowOff>
                  </from>
                  <to>
                    <xdr:col>2</xdr:col>
                    <xdr:colOff>2028825</xdr:colOff>
                    <xdr:row>20</xdr:row>
                    <xdr:rowOff>228600</xdr:rowOff>
                  </to>
                </anchor>
              </controlPr>
            </control>
          </mc:Choice>
        </mc:AlternateContent>
        <mc:AlternateContent xmlns:mc="http://schemas.openxmlformats.org/markup-compatibility/2006">
          <mc:Choice Requires="x14">
            <control shapeId="4174" r:id="rId14" name="Spinner 78">
              <controlPr defaultSize="0" autoPict="0">
                <anchor moveWithCells="1" sizeWithCells="1">
                  <from>
                    <xdr:col>2</xdr:col>
                    <xdr:colOff>1695450</xdr:colOff>
                    <xdr:row>24</xdr:row>
                    <xdr:rowOff>47625</xdr:rowOff>
                  </from>
                  <to>
                    <xdr:col>2</xdr:col>
                    <xdr:colOff>2038350</xdr:colOff>
                    <xdr:row>24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W426"/>
  <sheetViews>
    <sheetView zoomScale="70" zoomScaleNormal="70" workbookViewId="0"/>
  </sheetViews>
  <sheetFormatPr defaultColWidth="16.7109375" defaultRowHeight="12.75" x14ac:dyDescent="0.2"/>
  <cols>
    <col min="1" max="1" width="3.28515625" style="173" customWidth="1"/>
    <col min="2" max="2" width="83" style="173" customWidth="1"/>
    <col min="3" max="3" width="26.42578125" style="173" customWidth="1"/>
    <col min="4" max="4" width="46" style="173" customWidth="1"/>
    <col min="5" max="16384" width="16.7109375" style="173"/>
  </cols>
  <sheetData>
    <row r="1" spans="1:9" x14ac:dyDescent="0.2">
      <c r="B1" s="29"/>
      <c r="C1" s="29"/>
      <c r="D1" s="29"/>
      <c r="E1" s="29"/>
      <c r="F1" s="29"/>
      <c r="G1" s="29"/>
      <c r="H1" s="29"/>
    </row>
    <row r="2" spans="1:9" x14ac:dyDescent="0.2">
      <c r="B2" s="29"/>
      <c r="C2" s="29"/>
      <c r="D2" s="29"/>
      <c r="E2" s="29"/>
      <c r="F2" s="29"/>
      <c r="G2" s="29"/>
      <c r="H2" s="29"/>
    </row>
    <row r="3" spans="1:9" x14ac:dyDescent="0.2">
      <c r="B3" s="29"/>
      <c r="C3" s="29"/>
      <c r="D3" s="29"/>
      <c r="E3" s="29"/>
      <c r="F3" s="29"/>
      <c r="G3" s="29"/>
      <c r="H3" s="29"/>
    </row>
    <row r="4" spans="1:9" x14ac:dyDescent="0.2">
      <c r="B4" s="29"/>
      <c r="C4" s="29"/>
      <c r="D4" s="29"/>
      <c r="E4" s="29"/>
      <c r="F4" s="29"/>
      <c r="G4" s="29"/>
      <c r="H4" s="29"/>
    </row>
    <row r="5" spans="1:9" x14ac:dyDescent="0.2">
      <c r="A5" s="29"/>
      <c r="B5" s="29"/>
      <c r="C5" s="29"/>
      <c r="D5" s="29"/>
      <c r="E5" s="29"/>
      <c r="F5" s="29"/>
      <c r="G5" s="29"/>
      <c r="H5" s="29"/>
      <c r="I5" s="29"/>
    </row>
    <row r="6" spans="1:9" x14ac:dyDescent="0.2">
      <c r="B6" s="29"/>
      <c r="C6" s="29"/>
      <c r="D6" s="29"/>
      <c r="E6" s="29"/>
      <c r="F6" s="29"/>
      <c r="G6" s="29"/>
      <c r="H6" s="29"/>
    </row>
    <row r="7" spans="1:9" x14ac:dyDescent="0.2">
      <c r="B7" s="29"/>
      <c r="C7" s="29"/>
      <c r="D7" s="29"/>
      <c r="E7" s="29"/>
      <c r="F7" s="29"/>
      <c r="G7" s="29"/>
      <c r="H7" s="29"/>
    </row>
    <row r="8" spans="1:9" ht="13.15" customHeight="1" x14ac:dyDescent="0.2">
      <c r="B8" s="29"/>
      <c r="C8" s="29"/>
      <c r="D8" s="29"/>
      <c r="E8" s="29"/>
      <c r="F8" s="29"/>
      <c r="G8" s="29"/>
      <c r="H8" s="29"/>
    </row>
    <row r="9" spans="1:9" ht="13.15" customHeight="1" x14ac:dyDescent="0.2">
      <c r="B9" s="29"/>
      <c r="C9" s="29"/>
      <c r="D9" s="29"/>
      <c r="E9" s="29"/>
      <c r="F9" s="29"/>
      <c r="G9" s="29"/>
      <c r="H9" s="29"/>
    </row>
    <row r="10" spans="1:9" ht="20.100000000000001" customHeight="1" x14ac:dyDescent="0.25">
      <c r="B10" s="670" t="s">
        <v>1049</v>
      </c>
      <c r="C10" s="669"/>
      <c r="D10" s="29"/>
      <c r="E10" s="29"/>
      <c r="F10" s="29"/>
      <c r="G10" s="29"/>
      <c r="H10" s="29"/>
    </row>
    <row r="11" spans="1:9" ht="20.100000000000001" customHeight="1" x14ac:dyDescent="0.25">
      <c r="B11" s="203" t="s">
        <v>744</v>
      </c>
      <c r="C11" s="171">
        <f>'Baseline farm'!D17</f>
        <v>0</v>
      </c>
      <c r="D11" s="29"/>
      <c r="E11" s="29"/>
      <c r="F11" s="29"/>
      <c r="G11" s="29"/>
      <c r="H11" s="29"/>
    </row>
    <row r="12" spans="1:9" ht="20.100000000000001" customHeight="1" x14ac:dyDescent="0.25">
      <c r="B12" s="203" t="s">
        <v>465</v>
      </c>
      <c r="C12" s="171">
        <f>'Baseline farm'!D19</f>
        <v>0</v>
      </c>
      <c r="D12" s="29"/>
      <c r="E12" s="29"/>
      <c r="F12" s="29"/>
      <c r="G12" s="29"/>
      <c r="H12" s="29"/>
    </row>
    <row r="13" spans="1:9" ht="20.100000000000001" hidden="1" customHeight="1" x14ac:dyDescent="0.25">
      <c r="B13" s="203" t="s">
        <v>15</v>
      </c>
      <c r="C13" s="8">
        <v>0</v>
      </c>
      <c r="D13" s="29"/>
      <c r="E13" s="29"/>
      <c r="F13" s="29"/>
      <c r="G13" s="29"/>
      <c r="H13" s="29"/>
    </row>
    <row r="14" spans="1:9" ht="20.100000000000001" customHeight="1" x14ac:dyDescent="0.25">
      <c r="B14" s="203" t="s">
        <v>496</v>
      </c>
      <c r="C14" s="8" t="e">
        <f>'Baseline farm'!H28</f>
        <v>#DIV/0!</v>
      </c>
      <c r="D14" s="29"/>
      <c r="E14" s="29"/>
      <c r="F14" s="29"/>
      <c r="G14" s="29"/>
      <c r="H14" s="29"/>
    </row>
    <row r="15" spans="1:9" s="559" customFormat="1" ht="20.100000000000001" customHeight="1" x14ac:dyDescent="0.25">
      <c r="A15" s="17"/>
      <c r="B15" s="203" t="s">
        <v>515</v>
      </c>
      <c r="C15" s="7">
        <f>'Baseline farm'!D28</f>
        <v>0</v>
      </c>
      <c r="D15" s="18"/>
      <c r="E15" s="18"/>
      <c r="F15" s="18"/>
      <c r="G15" s="18"/>
      <c r="H15" s="18"/>
      <c r="I15" s="17"/>
    </row>
    <row r="16" spans="1:9" ht="20.100000000000001" customHeight="1" x14ac:dyDescent="0.25">
      <c r="B16" s="303" t="s">
        <v>507</v>
      </c>
      <c r="C16" s="176" t="e">
        <f>'Baseline farm'!F36</f>
        <v>#DIV/0!</v>
      </c>
      <c r="D16" s="29"/>
      <c r="E16" s="29"/>
      <c r="F16" s="29"/>
      <c r="G16" s="29"/>
      <c r="H16" s="29"/>
    </row>
    <row r="17" spans="2:8" ht="20.100000000000001" customHeight="1" x14ac:dyDescent="0.25">
      <c r="B17" s="304" t="s">
        <v>508</v>
      </c>
      <c r="C17" s="146" t="e">
        <f>'Baseline farm'!H36</f>
        <v>#DIV/0!</v>
      </c>
      <c r="D17" s="29"/>
      <c r="E17" s="29"/>
      <c r="F17" s="29"/>
      <c r="G17" s="29"/>
      <c r="H17" s="29"/>
    </row>
    <row r="18" spans="2:8" ht="20.100000000000001" customHeight="1" x14ac:dyDescent="0.25">
      <c r="B18" s="671" t="s">
        <v>1050</v>
      </c>
      <c r="C18" s="308"/>
      <c r="D18" s="29"/>
      <c r="E18" s="29"/>
      <c r="F18" s="29"/>
      <c r="G18" s="29"/>
      <c r="H18" s="29"/>
    </row>
    <row r="19" spans="2:8" ht="20.100000000000001" customHeight="1" x14ac:dyDescent="0.25">
      <c r="B19" s="305" t="s">
        <v>69</v>
      </c>
      <c r="C19" s="847">
        <f>C68/10</f>
        <v>1</v>
      </c>
      <c r="D19" s="29"/>
      <c r="E19" s="29"/>
      <c r="F19" s="29"/>
      <c r="G19" s="29"/>
      <c r="H19" s="29"/>
    </row>
    <row r="20" spans="2:8" ht="5.0999999999999996" customHeight="1" x14ac:dyDescent="0.25">
      <c r="B20" s="305"/>
      <c r="C20" s="345"/>
      <c r="D20" s="29"/>
      <c r="E20" s="29"/>
      <c r="F20" s="29"/>
      <c r="G20" s="29"/>
      <c r="H20" s="29"/>
    </row>
    <row r="21" spans="2:8" ht="20.100000000000001" customHeight="1" x14ac:dyDescent="0.25">
      <c r="B21" s="305" t="s">
        <v>97</v>
      </c>
      <c r="C21" s="847">
        <f>C69/10</f>
        <v>80</v>
      </c>
      <c r="D21" s="29"/>
      <c r="E21" s="29"/>
      <c r="F21" s="29"/>
      <c r="G21" s="29"/>
      <c r="H21" s="29"/>
    </row>
    <row r="22" spans="2:8" ht="5.0999999999999996" customHeight="1" x14ac:dyDescent="0.25">
      <c r="B22" s="305"/>
      <c r="C22" s="345"/>
      <c r="D22" s="29"/>
      <c r="E22" s="29"/>
      <c r="F22" s="29"/>
      <c r="G22" s="29"/>
      <c r="H22" s="29"/>
    </row>
    <row r="23" spans="2:8" ht="20.100000000000001" customHeight="1" x14ac:dyDescent="0.25">
      <c r="B23" s="305" t="s">
        <v>501</v>
      </c>
      <c r="C23" s="847">
        <f>C70/10</f>
        <v>20</v>
      </c>
      <c r="D23" s="29"/>
      <c r="E23" s="29"/>
      <c r="F23" s="29"/>
      <c r="G23" s="29"/>
      <c r="H23" s="29"/>
    </row>
    <row r="24" spans="2:8" ht="5.0999999999999996" customHeight="1" x14ac:dyDescent="0.25">
      <c r="B24" s="305"/>
      <c r="C24" s="344"/>
      <c r="D24" s="29"/>
      <c r="E24" s="29"/>
      <c r="F24" s="29"/>
      <c r="G24" s="29"/>
      <c r="H24" s="29"/>
    </row>
    <row r="25" spans="2:8" ht="20.100000000000001" customHeight="1" x14ac:dyDescent="0.25">
      <c r="B25" s="305" t="s">
        <v>108</v>
      </c>
      <c r="C25" s="852">
        <f>C71/100</f>
        <v>0.3</v>
      </c>
      <c r="D25" s="29"/>
      <c r="E25" s="29"/>
      <c r="F25" s="29"/>
      <c r="G25" s="29"/>
      <c r="H25" s="29"/>
    </row>
    <row r="26" spans="2:8" ht="5.0999999999999996" customHeight="1" x14ac:dyDescent="0.25">
      <c r="B26" s="305"/>
      <c r="C26" s="344"/>
      <c r="D26" s="29"/>
      <c r="E26" s="29"/>
      <c r="F26" s="29"/>
      <c r="G26" s="29"/>
      <c r="H26" s="29"/>
    </row>
    <row r="27" spans="2:8" ht="20.100000000000001" customHeight="1" x14ac:dyDescent="0.25">
      <c r="B27" s="305" t="s">
        <v>103</v>
      </c>
      <c r="C27" s="849">
        <f>C72/1</f>
        <v>90</v>
      </c>
      <c r="D27" s="29"/>
      <c r="E27" s="29"/>
      <c r="F27" s="29"/>
      <c r="G27" s="29"/>
      <c r="H27" s="29"/>
    </row>
    <row r="28" spans="2:8" ht="5.0999999999999996" customHeight="1" x14ac:dyDescent="0.25">
      <c r="B28" s="305"/>
      <c r="C28" s="344"/>
      <c r="D28" s="29"/>
      <c r="E28" s="29"/>
      <c r="F28" s="29"/>
      <c r="G28" s="29"/>
      <c r="H28" s="29"/>
    </row>
    <row r="29" spans="2:8" ht="20.100000000000001" customHeight="1" x14ac:dyDescent="0.25">
      <c r="B29" s="305" t="s">
        <v>71</v>
      </c>
      <c r="C29" s="849">
        <f>C73/1</f>
        <v>225</v>
      </c>
      <c r="D29" s="29"/>
      <c r="E29" s="29"/>
      <c r="F29" s="29"/>
      <c r="G29" s="29"/>
      <c r="H29" s="29"/>
    </row>
    <row r="30" spans="2:8" ht="5.0999999999999996" customHeight="1" x14ac:dyDescent="0.25">
      <c r="B30" s="305"/>
      <c r="C30" s="344"/>
      <c r="D30" s="29"/>
      <c r="E30" s="29"/>
      <c r="F30" s="29"/>
      <c r="G30" s="29"/>
      <c r="H30" s="29"/>
    </row>
    <row r="31" spans="2:8" ht="20.100000000000001" customHeight="1" x14ac:dyDescent="0.25">
      <c r="B31" s="205" t="s">
        <v>128</v>
      </c>
      <c r="C31" s="853">
        <f>C74/1000</f>
        <v>0.4</v>
      </c>
      <c r="D31" s="29"/>
      <c r="E31" s="29"/>
      <c r="F31" s="29"/>
      <c r="G31" s="29"/>
      <c r="H31" s="29"/>
    </row>
    <row r="32" spans="2:8" ht="5.0999999999999996" customHeight="1" x14ac:dyDescent="0.25">
      <c r="B32" s="205"/>
      <c r="C32" s="349"/>
      <c r="D32" s="29"/>
      <c r="E32" s="29"/>
      <c r="F32" s="29"/>
      <c r="G32" s="29"/>
      <c r="H32" s="29"/>
    </row>
    <row r="33" spans="1:9" ht="20.100000000000001" customHeight="1" x14ac:dyDescent="0.25">
      <c r="B33" s="205" t="s">
        <v>129</v>
      </c>
      <c r="C33" s="853">
        <f>C75/1000</f>
        <v>0.42499999999999999</v>
      </c>
      <c r="D33" s="29"/>
      <c r="E33" s="29"/>
      <c r="F33" s="29"/>
      <c r="G33" s="29"/>
      <c r="H33" s="29"/>
    </row>
    <row r="34" spans="1:9" ht="5.0999999999999996" customHeight="1" x14ac:dyDescent="0.25">
      <c r="B34" s="205"/>
      <c r="C34" s="349"/>
      <c r="D34" s="29"/>
      <c r="E34" s="29"/>
      <c r="F34" s="29"/>
      <c r="G34" s="29"/>
      <c r="H34" s="29"/>
    </row>
    <row r="35" spans="1:9" ht="20.100000000000001" customHeight="1" x14ac:dyDescent="0.25">
      <c r="B35" s="205" t="s">
        <v>72</v>
      </c>
      <c r="C35" s="851">
        <f>C76/100</f>
        <v>6</v>
      </c>
      <c r="D35" s="29"/>
      <c r="E35" s="29"/>
      <c r="F35" s="29"/>
      <c r="G35" s="29"/>
      <c r="H35" s="29"/>
    </row>
    <row r="36" spans="1:9" ht="5.0999999999999996" customHeight="1" x14ac:dyDescent="0.25">
      <c r="B36" s="309"/>
      <c r="C36" s="354"/>
      <c r="D36" s="29"/>
      <c r="E36" s="29"/>
      <c r="F36" s="29"/>
      <c r="G36" s="29"/>
      <c r="H36" s="29"/>
    </row>
    <row r="37" spans="1:9" ht="20.100000000000001" customHeight="1" x14ac:dyDescent="0.25">
      <c r="B37" s="672" t="s">
        <v>1051</v>
      </c>
      <c r="C37" s="673"/>
      <c r="D37" s="29"/>
      <c r="E37" s="29"/>
      <c r="F37" s="29"/>
      <c r="G37" s="29"/>
      <c r="H37" s="29"/>
    </row>
    <row r="38" spans="1:9" ht="20.100000000000001" customHeight="1" x14ac:dyDescent="0.25">
      <c r="B38" s="306" t="s">
        <v>104</v>
      </c>
      <c r="C38" s="675" t="e">
        <f>C153</f>
        <v>#DIV/0!</v>
      </c>
      <c r="D38" s="29"/>
      <c r="E38" s="29"/>
      <c r="F38" s="29"/>
      <c r="G38" s="29"/>
      <c r="H38" s="29"/>
    </row>
    <row r="39" spans="1:9" ht="20.100000000000001" customHeight="1" x14ac:dyDescent="0.25">
      <c r="B39" s="207" t="s">
        <v>17</v>
      </c>
      <c r="C39" s="10" t="e">
        <f>C154*C27*C11</f>
        <v>#DIV/0!</v>
      </c>
      <c r="D39" s="29"/>
      <c r="E39" s="29"/>
      <c r="F39" s="29"/>
      <c r="G39" s="29"/>
      <c r="H39" s="29"/>
    </row>
    <row r="40" spans="1:9" ht="20.100000000000001" customHeight="1" x14ac:dyDescent="0.25">
      <c r="B40" s="208" t="s">
        <v>1052</v>
      </c>
      <c r="C40" s="11"/>
      <c r="D40" s="29"/>
      <c r="E40" s="29"/>
      <c r="F40" s="29"/>
      <c r="G40" s="29"/>
      <c r="H40" s="29"/>
    </row>
    <row r="41" spans="1:9" ht="20.100000000000001" customHeight="1" x14ac:dyDescent="0.25">
      <c r="B41" s="523" t="s">
        <v>89</v>
      </c>
      <c r="C41" s="524" t="e">
        <f>D410</f>
        <v>#DIV/0!</v>
      </c>
      <c r="D41" s="29"/>
      <c r="E41" s="29"/>
      <c r="F41" s="29"/>
      <c r="G41" s="29"/>
      <c r="H41" s="29"/>
    </row>
    <row r="42" spans="1:9" s="559" customFormat="1" ht="20.100000000000001" customHeight="1" x14ac:dyDescent="0.25">
      <c r="A42" s="17"/>
      <c r="B42" s="523" t="s">
        <v>494</v>
      </c>
      <c r="C42" s="524" t="e">
        <f>D411</f>
        <v>#DIV/0!</v>
      </c>
      <c r="D42" s="18"/>
      <c r="E42" s="18"/>
      <c r="F42" s="18"/>
      <c r="G42" s="18"/>
      <c r="H42" s="18"/>
      <c r="I42" s="17"/>
    </row>
    <row r="43" spans="1:9" s="559" customFormat="1" ht="20.100000000000001" customHeight="1" x14ac:dyDescent="0.25">
      <c r="A43" s="17"/>
      <c r="B43" s="523" t="s">
        <v>495</v>
      </c>
      <c r="C43" s="524" t="e">
        <f>D412</f>
        <v>#DIV/0!</v>
      </c>
      <c r="D43" s="18"/>
      <c r="E43" s="18"/>
      <c r="F43" s="18"/>
      <c r="G43" s="18"/>
      <c r="H43" s="18"/>
      <c r="I43" s="17"/>
    </row>
    <row r="44" spans="1:9" s="559" customFormat="1" ht="20.100000000000001" customHeight="1" x14ac:dyDescent="0.25">
      <c r="A44" s="17"/>
      <c r="B44" s="523" t="s">
        <v>217</v>
      </c>
      <c r="C44" s="524">
        <f>D413</f>
        <v>0</v>
      </c>
      <c r="D44" s="18"/>
      <c r="E44" s="18"/>
      <c r="F44" s="18"/>
      <c r="G44" s="18"/>
      <c r="H44" s="18"/>
      <c r="I44" s="17"/>
    </row>
    <row r="45" spans="1:9" s="559" customFormat="1" ht="20.100000000000001" customHeight="1" x14ac:dyDescent="0.25">
      <c r="A45" s="17"/>
      <c r="B45" s="523" t="s">
        <v>218</v>
      </c>
      <c r="C45" s="524" t="e">
        <f>D414</f>
        <v>#DIV/0!</v>
      </c>
      <c r="D45" s="18"/>
      <c r="E45" s="18"/>
      <c r="F45" s="18"/>
      <c r="G45" s="18"/>
      <c r="H45" s="18"/>
      <c r="I45" s="17"/>
    </row>
    <row r="46" spans="1:9" ht="20.100000000000001" customHeight="1" x14ac:dyDescent="0.25">
      <c r="B46" s="525" t="s">
        <v>1047</v>
      </c>
      <c r="C46" s="526" t="e">
        <f>IF(C45&gt;0.1,C45*C35,0)</f>
        <v>#DIV/0!</v>
      </c>
      <c r="D46" s="29"/>
      <c r="E46" s="29"/>
      <c r="F46" s="29"/>
      <c r="G46" s="29"/>
      <c r="H46" s="29"/>
    </row>
    <row r="47" spans="1:9" ht="20.100000000000001" customHeight="1" x14ac:dyDescent="0.25">
      <c r="B47" s="525" t="s">
        <v>1048</v>
      </c>
      <c r="C47" s="526">
        <f>C19*C11*C27*C29/1000</f>
        <v>0</v>
      </c>
      <c r="D47" s="29"/>
      <c r="E47" s="29"/>
      <c r="F47" s="29"/>
      <c r="G47" s="29"/>
      <c r="H47" s="29"/>
    </row>
    <row r="48" spans="1:9" ht="20.100000000000001" customHeight="1" x14ac:dyDescent="0.25">
      <c r="B48" s="525" t="s">
        <v>20</v>
      </c>
      <c r="C48" s="527" t="e">
        <f>IF(C46&gt;1,C46-C47,C47*-1)</f>
        <v>#DIV/0!</v>
      </c>
      <c r="D48" s="29"/>
      <c r="E48" s="29"/>
      <c r="F48" s="29"/>
      <c r="G48" s="29"/>
      <c r="H48" s="29"/>
    </row>
    <row r="49" spans="2:8" ht="20.100000000000001" customHeight="1" x14ac:dyDescent="0.25">
      <c r="B49" s="525" t="s">
        <v>95</v>
      </c>
      <c r="C49" s="526" t="e">
        <f>C39*C33</f>
        <v>#DIV/0!</v>
      </c>
      <c r="D49" s="29"/>
      <c r="E49" s="29"/>
      <c r="F49" s="29"/>
      <c r="G49" s="29"/>
      <c r="H49" s="29"/>
    </row>
    <row r="50" spans="2:8" ht="20.100000000000001" customHeight="1" x14ac:dyDescent="0.25">
      <c r="B50" s="525" t="s">
        <v>18</v>
      </c>
      <c r="C50" s="526" t="e">
        <f>IF(C46&gt;1,C46-C47+C49,C49-C47)</f>
        <v>#DIV/0!</v>
      </c>
      <c r="D50" s="29"/>
      <c r="E50" s="29"/>
      <c r="F50" s="29"/>
      <c r="G50" s="29"/>
      <c r="H50" s="29"/>
    </row>
    <row r="51" spans="2:8" ht="20.100000000000001" customHeight="1" x14ac:dyDescent="0.25">
      <c r="B51" s="525" t="s">
        <v>1053</v>
      </c>
      <c r="C51" s="528" t="e">
        <f>C87</f>
        <v>#DIV/0!</v>
      </c>
      <c r="D51" s="29"/>
      <c r="E51" s="29"/>
      <c r="F51" s="29"/>
      <c r="G51" s="29"/>
      <c r="H51" s="29"/>
    </row>
    <row r="52" spans="2:8" ht="20.100000000000001" customHeight="1" x14ac:dyDescent="0.25">
      <c r="B52" s="529" t="s">
        <v>1237</v>
      </c>
      <c r="C52" s="530" t="e">
        <f>C169</f>
        <v>#DIV/0!</v>
      </c>
      <c r="D52" s="29"/>
      <c r="E52" s="29"/>
      <c r="F52" s="29"/>
      <c r="G52" s="29"/>
      <c r="H52" s="29"/>
    </row>
    <row r="53" spans="2:8" ht="20.100000000000001" customHeight="1" x14ac:dyDescent="0.25">
      <c r="B53" s="525" t="s">
        <v>1054</v>
      </c>
      <c r="C53" s="531" t="e">
        <f>C179</f>
        <v>#DIV/0!</v>
      </c>
      <c r="D53" s="29"/>
      <c r="E53" s="29"/>
      <c r="F53" s="29"/>
      <c r="G53" s="29"/>
      <c r="H53" s="29"/>
    </row>
    <row r="54" spans="2:8" ht="20.100000000000001" customHeight="1" x14ac:dyDescent="0.25">
      <c r="B54" s="532" t="s">
        <v>235</v>
      </c>
      <c r="C54" s="533" t="e">
        <f>C53-C47+C49</f>
        <v>#DIV/0!</v>
      </c>
      <c r="D54" s="29"/>
      <c r="E54" s="29"/>
      <c r="F54" s="29"/>
      <c r="G54" s="29"/>
      <c r="H54" s="29"/>
    </row>
    <row r="56" spans="2:8" x14ac:dyDescent="0.2">
      <c r="B56" s="169"/>
      <c r="C56" s="677"/>
    </row>
    <row r="57" spans="2:8" x14ac:dyDescent="0.2">
      <c r="B57" s="169"/>
      <c r="C57" s="677"/>
    </row>
    <row r="58" spans="2:8" x14ac:dyDescent="0.2">
      <c r="B58" s="169"/>
      <c r="C58" s="677"/>
    </row>
    <row r="59" spans="2:8" x14ac:dyDescent="0.2">
      <c r="B59" s="169"/>
      <c r="C59" s="677"/>
    </row>
    <row r="60" spans="2:8" x14ac:dyDescent="0.2">
      <c r="B60" s="169"/>
      <c r="C60" s="677"/>
    </row>
    <row r="61" spans="2:8" x14ac:dyDescent="0.2">
      <c r="B61" s="169"/>
      <c r="C61" s="677"/>
    </row>
    <row r="62" spans="2:8" x14ac:dyDescent="0.2">
      <c r="B62" s="169"/>
      <c r="C62" s="677"/>
    </row>
    <row r="63" spans="2:8" x14ac:dyDescent="0.2">
      <c r="B63" s="169"/>
      <c r="C63" s="677"/>
    </row>
    <row r="64" spans="2:8" x14ac:dyDescent="0.2">
      <c r="B64" s="169"/>
      <c r="C64" s="677"/>
      <c r="D64" s="789"/>
    </row>
    <row r="65" spans="1:20" x14ac:dyDescent="0.2">
      <c r="B65" s="169"/>
      <c r="C65" s="677"/>
    </row>
    <row r="66" spans="1:20" hidden="1" x14ac:dyDescent="0.2">
      <c r="A66" s="29"/>
      <c r="B66" s="24"/>
      <c r="C66" s="28"/>
      <c r="D66" s="29"/>
      <c r="E66" s="29"/>
      <c r="F66" s="29"/>
      <c r="G66" s="29"/>
      <c r="H66" s="29"/>
      <c r="I66" s="29"/>
      <c r="J66" s="29"/>
      <c r="K66" s="29"/>
      <c r="L66" s="29"/>
      <c r="M66" s="29"/>
      <c r="N66" s="29"/>
      <c r="O66" s="29"/>
      <c r="P66" s="29"/>
      <c r="Q66" s="29"/>
      <c r="R66" s="29"/>
      <c r="S66" s="29"/>
      <c r="T66" s="29"/>
    </row>
    <row r="67" spans="1:20" hidden="1" x14ac:dyDescent="0.2">
      <c r="A67" s="29"/>
      <c r="B67" s="27" t="s">
        <v>166</v>
      </c>
      <c r="C67" s="28"/>
      <c r="D67" s="29"/>
      <c r="E67" s="29"/>
      <c r="F67" s="29"/>
      <c r="G67" s="29"/>
      <c r="H67" s="29"/>
      <c r="I67" s="29"/>
      <c r="J67" s="29"/>
      <c r="K67" s="29"/>
      <c r="L67" s="29"/>
      <c r="M67" s="29"/>
      <c r="N67" s="29"/>
      <c r="O67" s="29"/>
      <c r="P67" s="29"/>
      <c r="Q67" s="29"/>
      <c r="R67" s="29"/>
      <c r="S67" s="29"/>
      <c r="T67" s="29"/>
    </row>
    <row r="68" spans="1:20" hidden="1" x14ac:dyDescent="0.2">
      <c r="A68" s="29"/>
      <c r="B68" s="46" t="s">
        <v>69</v>
      </c>
      <c r="C68" s="174">
        <v>10</v>
      </c>
      <c r="D68" s="29"/>
      <c r="E68" s="29"/>
      <c r="F68" s="29"/>
      <c r="G68" s="29"/>
      <c r="H68" s="29"/>
      <c r="I68" s="29"/>
      <c r="J68" s="29"/>
      <c r="K68" s="29"/>
      <c r="L68" s="29"/>
      <c r="M68" s="29"/>
      <c r="N68" s="29"/>
      <c r="O68" s="29"/>
      <c r="P68" s="29"/>
      <c r="Q68" s="29"/>
      <c r="R68" s="29"/>
      <c r="S68" s="29"/>
      <c r="T68" s="29"/>
    </row>
    <row r="69" spans="1:20" hidden="1" x14ac:dyDescent="0.2">
      <c r="A69" s="29"/>
      <c r="B69" s="46" t="s">
        <v>509</v>
      </c>
      <c r="C69" s="174">
        <v>800</v>
      </c>
      <c r="D69" s="29"/>
      <c r="E69" s="29"/>
      <c r="F69" s="29"/>
      <c r="G69" s="29"/>
      <c r="H69" s="29"/>
      <c r="I69" s="29"/>
      <c r="J69" s="29"/>
      <c r="K69" s="29"/>
      <c r="L69" s="29"/>
      <c r="M69" s="29"/>
      <c r="N69" s="29"/>
      <c r="O69" s="29"/>
      <c r="P69" s="29"/>
      <c r="Q69" s="29"/>
      <c r="R69" s="29"/>
      <c r="S69" s="29"/>
      <c r="T69" s="29"/>
    </row>
    <row r="70" spans="1:20" hidden="1" x14ac:dyDescent="0.2">
      <c r="A70" s="29"/>
      <c r="B70" s="46" t="s">
        <v>510</v>
      </c>
      <c r="C70" s="174">
        <v>200</v>
      </c>
      <c r="D70" s="29"/>
      <c r="E70" s="29"/>
      <c r="F70" s="29"/>
      <c r="G70" s="29"/>
      <c r="H70" s="29"/>
      <c r="I70" s="29"/>
      <c r="J70" s="29"/>
      <c r="K70" s="29"/>
      <c r="L70" s="29"/>
      <c r="M70" s="29"/>
      <c r="N70" s="29"/>
      <c r="O70" s="29"/>
      <c r="P70" s="29"/>
      <c r="Q70" s="29"/>
      <c r="R70" s="29"/>
      <c r="S70" s="29"/>
      <c r="T70" s="29"/>
    </row>
    <row r="71" spans="1:20" hidden="1" x14ac:dyDescent="0.2">
      <c r="A71" s="29"/>
      <c r="B71" s="46" t="s">
        <v>98</v>
      </c>
      <c r="C71" s="174">
        <v>30</v>
      </c>
      <c r="D71" s="29"/>
      <c r="E71" s="29"/>
      <c r="F71" s="29"/>
      <c r="G71" s="29"/>
      <c r="H71" s="29"/>
      <c r="I71" s="29"/>
      <c r="J71" s="29"/>
      <c r="K71" s="29"/>
      <c r="L71" s="29"/>
      <c r="M71" s="29"/>
      <c r="N71" s="29"/>
      <c r="O71" s="29"/>
      <c r="P71" s="29"/>
      <c r="Q71" s="29"/>
      <c r="R71" s="29"/>
      <c r="S71" s="29"/>
      <c r="T71" s="29"/>
    </row>
    <row r="72" spans="1:20" hidden="1" x14ac:dyDescent="0.2">
      <c r="A72" s="46"/>
      <c r="B72" s="46" t="s">
        <v>752</v>
      </c>
      <c r="C72" s="174">
        <v>90</v>
      </c>
      <c r="D72" s="29"/>
      <c r="E72" s="29"/>
      <c r="F72" s="29"/>
      <c r="G72" s="29"/>
      <c r="H72" s="29"/>
      <c r="I72" s="29"/>
      <c r="J72" s="29"/>
      <c r="K72" s="29"/>
      <c r="L72" s="29"/>
      <c r="M72" s="29"/>
      <c r="N72" s="29"/>
      <c r="O72" s="29"/>
      <c r="P72" s="29"/>
      <c r="Q72" s="29"/>
      <c r="R72" s="29"/>
      <c r="S72" s="29"/>
      <c r="T72" s="29"/>
    </row>
    <row r="73" spans="1:20" hidden="1" x14ac:dyDescent="0.2">
      <c r="A73" s="46"/>
      <c r="B73" s="46" t="s">
        <v>753</v>
      </c>
      <c r="C73" s="174">
        <v>225</v>
      </c>
      <c r="D73" s="29"/>
      <c r="E73" s="29"/>
      <c r="F73" s="29"/>
      <c r="G73" s="29"/>
      <c r="H73" s="29"/>
      <c r="I73" s="29"/>
      <c r="J73" s="29"/>
      <c r="K73" s="29"/>
      <c r="L73" s="29"/>
      <c r="M73" s="29"/>
      <c r="N73" s="29"/>
      <c r="O73" s="29"/>
      <c r="P73" s="29"/>
      <c r="Q73" s="29"/>
      <c r="R73" s="29"/>
      <c r="S73" s="29"/>
      <c r="T73" s="29"/>
    </row>
    <row r="74" spans="1:20" hidden="1" x14ac:dyDescent="0.2">
      <c r="A74" s="29"/>
      <c r="B74" s="24" t="s">
        <v>88</v>
      </c>
      <c r="C74" s="174">
        <v>400</v>
      </c>
      <c r="D74" s="29"/>
      <c r="E74" s="29"/>
      <c r="F74" s="29"/>
      <c r="G74" s="29"/>
      <c r="H74" s="29"/>
      <c r="I74" s="29"/>
      <c r="J74" s="29"/>
      <c r="K74" s="29"/>
      <c r="L74" s="29"/>
      <c r="M74" s="29"/>
      <c r="N74" s="29"/>
      <c r="O74" s="29"/>
      <c r="P74" s="29"/>
      <c r="Q74" s="29"/>
      <c r="R74" s="29"/>
      <c r="S74" s="29"/>
      <c r="T74" s="29"/>
    </row>
    <row r="75" spans="1:20" hidden="1" x14ac:dyDescent="0.2">
      <c r="A75" s="29"/>
      <c r="B75" s="46" t="s">
        <v>138</v>
      </c>
      <c r="C75" s="174">
        <v>425</v>
      </c>
      <c r="D75" s="29"/>
      <c r="E75" s="29"/>
      <c r="F75" s="29"/>
      <c r="G75" s="29"/>
      <c r="H75" s="29"/>
      <c r="I75" s="29"/>
      <c r="J75" s="29"/>
      <c r="K75" s="29"/>
      <c r="L75" s="29"/>
      <c r="M75" s="29"/>
      <c r="N75" s="29"/>
      <c r="O75" s="29"/>
      <c r="P75" s="29"/>
      <c r="Q75" s="29"/>
      <c r="R75" s="29"/>
      <c r="S75" s="29"/>
      <c r="T75" s="29"/>
    </row>
    <row r="76" spans="1:20" hidden="1" x14ac:dyDescent="0.2">
      <c r="A76" s="29"/>
      <c r="B76" s="24" t="s">
        <v>72</v>
      </c>
      <c r="C76" s="174">
        <v>600</v>
      </c>
      <c r="D76" s="29"/>
      <c r="E76" s="29"/>
      <c r="F76" s="29"/>
      <c r="G76" s="29"/>
      <c r="H76" s="29"/>
      <c r="I76" s="29"/>
      <c r="J76" s="29"/>
      <c r="K76" s="29"/>
      <c r="L76" s="29"/>
      <c r="M76" s="29"/>
      <c r="N76" s="29"/>
      <c r="O76" s="29"/>
      <c r="P76" s="29"/>
      <c r="Q76" s="29"/>
      <c r="R76" s="29"/>
      <c r="S76" s="29"/>
      <c r="T76" s="29"/>
    </row>
    <row r="77" spans="1:20" hidden="1" x14ac:dyDescent="0.2">
      <c r="A77" s="29"/>
      <c r="B77" s="24"/>
      <c r="C77" s="174"/>
      <c r="D77" s="29"/>
      <c r="E77" s="29"/>
      <c r="F77" s="29"/>
      <c r="G77" s="29"/>
      <c r="H77" s="29"/>
      <c r="I77" s="29"/>
      <c r="J77" s="29"/>
      <c r="K77" s="29"/>
      <c r="L77" s="29"/>
      <c r="M77" s="29"/>
      <c r="N77" s="29"/>
      <c r="O77" s="29"/>
      <c r="P77" s="29"/>
      <c r="Q77" s="29"/>
      <c r="R77" s="29"/>
      <c r="S77" s="29"/>
      <c r="T77" s="29"/>
    </row>
    <row r="78" spans="1:20" hidden="1" x14ac:dyDescent="0.2">
      <c r="A78" s="29"/>
      <c r="B78" s="24"/>
      <c r="C78" s="175"/>
      <c r="D78" s="29"/>
      <c r="E78" s="29"/>
      <c r="F78" s="29"/>
      <c r="G78" s="29"/>
      <c r="H78" s="29"/>
      <c r="I78" s="29"/>
      <c r="J78" s="29"/>
      <c r="K78" s="29"/>
      <c r="L78" s="29"/>
      <c r="M78" s="29"/>
      <c r="N78" s="29"/>
      <c r="O78" s="29"/>
      <c r="P78" s="29"/>
      <c r="Q78" s="29"/>
      <c r="R78" s="29"/>
      <c r="S78" s="29"/>
      <c r="T78" s="29"/>
    </row>
    <row r="79" spans="1:20" ht="15.75" hidden="1" x14ac:dyDescent="0.25">
      <c r="A79" s="29"/>
      <c r="B79" s="27" t="s">
        <v>152</v>
      </c>
      <c r="C79" s="200" t="s">
        <v>702</v>
      </c>
      <c r="D79" s="201" t="s">
        <v>703</v>
      </c>
      <c r="E79" s="29"/>
      <c r="F79" s="29"/>
      <c r="G79" s="29"/>
      <c r="H79" s="29"/>
      <c r="I79" s="29"/>
      <c r="J79" s="29"/>
      <c r="K79" s="29"/>
      <c r="L79" s="29"/>
      <c r="M79" s="29"/>
      <c r="N79" s="29"/>
      <c r="O79" s="29"/>
      <c r="P79" s="29"/>
      <c r="Q79" s="29"/>
      <c r="R79" s="29"/>
      <c r="S79" s="29"/>
      <c r="T79" s="29"/>
    </row>
    <row r="80" spans="1:20" hidden="1" x14ac:dyDescent="0.2">
      <c r="A80" s="29"/>
      <c r="B80" s="24" t="s">
        <v>21</v>
      </c>
      <c r="C80" s="162" t="e">
        <f>C46</f>
        <v>#DIV/0!</v>
      </c>
      <c r="D80" s="54" t="e">
        <f>C53</f>
        <v>#DIV/0!</v>
      </c>
      <c r="E80" s="29"/>
      <c r="F80" s="29"/>
      <c r="G80" s="29"/>
      <c r="H80" s="29"/>
      <c r="I80" s="29"/>
      <c r="J80" s="29"/>
      <c r="K80" s="29"/>
      <c r="L80" s="29"/>
      <c r="M80" s="29"/>
      <c r="N80" s="29"/>
      <c r="O80" s="29"/>
      <c r="P80" s="29"/>
      <c r="Q80" s="29"/>
      <c r="R80" s="29"/>
      <c r="S80" s="29"/>
      <c r="T80" s="29"/>
    </row>
    <row r="81" spans="1:20" hidden="1" x14ac:dyDescent="0.2">
      <c r="A81" s="29"/>
      <c r="B81" s="24" t="s">
        <v>22</v>
      </c>
      <c r="C81" s="162">
        <f>C47</f>
        <v>0</v>
      </c>
      <c r="D81" s="54">
        <f>C81</f>
        <v>0</v>
      </c>
      <c r="E81" s="29"/>
      <c r="F81" s="29"/>
      <c r="G81" s="29"/>
      <c r="H81" s="29"/>
      <c r="I81" s="29"/>
      <c r="J81" s="29"/>
      <c r="K81" s="29"/>
      <c r="L81" s="29"/>
      <c r="M81" s="29"/>
      <c r="N81" s="29"/>
      <c r="O81" s="29"/>
      <c r="P81" s="29"/>
      <c r="Q81" s="29"/>
      <c r="R81" s="29"/>
      <c r="S81" s="29"/>
      <c r="T81" s="29"/>
    </row>
    <row r="82" spans="1:20" hidden="1" x14ac:dyDescent="0.2">
      <c r="A82" s="29"/>
      <c r="B82" s="24" t="s">
        <v>23</v>
      </c>
      <c r="C82" s="162" t="e">
        <f>C49</f>
        <v>#DIV/0!</v>
      </c>
      <c r="D82" s="54" t="e">
        <f>C82</f>
        <v>#DIV/0!</v>
      </c>
      <c r="E82" s="29"/>
      <c r="F82" s="29"/>
      <c r="G82" s="29"/>
      <c r="H82" s="29"/>
      <c r="I82" s="29"/>
      <c r="J82" s="29"/>
      <c r="K82" s="29"/>
      <c r="L82" s="29"/>
      <c r="M82" s="29"/>
      <c r="N82" s="29"/>
      <c r="O82" s="29"/>
      <c r="P82" s="29"/>
      <c r="Q82" s="29"/>
      <c r="R82" s="29"/>
      <c r="S82" s="29"/>
      <c r="T82" s="29"/>
    </row>
    <row r="83" spans="1:20" hidden="1" x14ac:dyDescent="0.2">
      <c r="A83" s="29"/>
      <c r="B83" s="24" t="s">
        <v>24</v>
      </c>
      <c r="C83" s="162" t="e">
        <f>C50</f>
        <v>#DIV/0!</v>
      </c>
      <c r="D83" s="54" t="e">
        <f>C54</f>
        <v>#DIV/0!</v>
      </c>
      <c r="E83" s="29"/>
      <c r="F83" s="29"/>
      <c r="G83" s="29"/>
      <c r="H83" s="29"/>
      <c r="I83" s="29"/>
      <c r="J83" s="29"/>
      <c r="K83" s="29"/>
      <c r="L83" s="29"/>
      <c r="M83" s="29"/>
      <c r="N83" s="29"/>
      <c r="O83" s="29"/>
      <c r="P83" s="29"/>
      <c r="Q83" s="29"/>
      <c r="R83" s="29"/>
      <c r="S83" s="29"/>
      <c r="T83" s="29"/>
    </row>
    <row r="84" spans="1:20" hidden="1" x14ac:dyDescent="0.2">
      <c r="A84" s="29"/>
      <c r="B84" s="24"/>
      <c r="C84" s="162"/>
      <c r="D84" s="54"/>
      <c r="E84" s="29"/>
      <c r="F84" s="29"/>
      <c r="G84" s="29"/>
      <c r="H84" s="29"/>
      <c r="I84" s="29"/>
      <c r="J84" s="29"/>
      <c r="K84" s="29"/>
      <c r="L84" s="29"/>
      <c r="M84" s="29"/>
      <c r="N84" s="29"/>
      <c r="O84" s="29"/>
      <c r="P84" s="29"/>
      <c r="Q84" s="29"/>
      <c r="R84" s="29"/>
      <c r="S84" s="29"/>
      <c r="T84" s="29"/>
    </row>
    <row r="85" spans="1:20" hidden="1" x14ac:dyDescent="0.2">
      <c r="A85" s="29"/>
      <c r="B85" s="24"/>
      <c r="C85" s="162"/>
      <c r="D85" s="54"/>
      <c r="E85" s="29"/>
      <c r="F85" s="29"/>
      <c r="G85" s="29"/>
      <c r="H85" s="29"/>
      <c r="I85" s="29"/>
      <c r="J85" s="29"/>
      <c r="K85" s="29"/>
      <c r="L85" s="29"/>
      <c r="M85" s="29"/>
      <c r="N85" s="29"/>
      <c r="O85" s="29"/>
      <c r="P85" s="29"/>
      <c r="Q85" s="29"/>
      <c r="R85" s="29"/>
      <c r="S85" s="29"/>
      <c r="T85" s="29"/>
    </row>
    <row r="86" spans="1:20" hidden="1" x14ac:dyDescent="0.2">
      <c r="A86" s="29"/>
      <c r="B86" s="24" t="s">
        <v>109</v>
      </c>
      <c r="C86" s="50" t="e">
        <f>C11*C14*C15*C31</f>
        <v>#DIV/0!</v>
      </c>
      <c r="D86" s="37"/>
      <c r="E86" s="29"/>
      <c r="F86" s="29"/>
      <c r="G86" s="29"/>
      <c r="H86" s="29"/>
      <c r="I86" s="29"/>
      <c r="J86" s="29"/>
      <c r="K86" s="29"/>
      <c r="L86" s="29"/>
      <c r="M86" s="29"/>
      <c r="N86" s="29"/>
      <c r="O86" s="29"/>
      <c r="P86" s="29"/>
      <c r="Q86" s="29"/>
      <c r="R86" s="29"/>
      <c r="S86" s="29"/>
      <c r="T86" s="29"/>
    </row>
    <row r="87" spans="1:20" hidden="1" x14ac:dyDescent="0.2">
      <c r="A87" s="29"/>
      <c r="B87" s="24" t="s">
        <v>110</v>
      </c>
      <c r="C87" s="35" t="e">
        <f>C83/C86</f>
        <v>#DIV/0!</v>
      </c>
      <c r="D87" s="37"/>
      <c r="E87" s="29"/>
      <c r="F87" s="29"/>
      <c r="G87" s="29"/>
      <c r="H87" s="29"/>
      <c r="I87" s="29"/>
      <c r="J87" s="29"/>
      <c r="K87" s="29"/>
      <c r="L87" s="29"/>
      <c r="M87" s="29"/>
      <c r="N87" s="29"/>
      <c r="O87" s="29"/>
      <c r="P87" s="29"/>
      <c r="Q87" s="29"/>
      <c r="R87" s="29"/>
      <c r="S87" s="29"/>
      <c r="T87" s="29"/>
    </row>
    <row r="88" spans="1:20" hidden="1" x14ac:dyDescent="0.2">
      <c r="A88" s="29"/>
      <c r="B88" s="24"/>
      <c r="C88" s="31"/>
      <c r="D88" s="31"/>
      <c r="E88" s="29"/>
      <c r="F88" s="29"/>
      <c r="G88" s="29"/>
      <c r="H88" s="29"/>
      <c r="I88" s="29"/>
      <c r="J88" s="29"/>
      <c r="K88" s="29"/>
      <c r="L88" s="29"/>
      <c r="M88" s="29"/>
      <c r="N88" s="29"/>
      <c r="O88" s="29"/>
      <c r="P88" s="29"/>
      <c r="Q88" s="29"/>
      <c r="R88" s="29"/>
      <c r="S88" s="29"/>
      <c r="T88" s="29"/>
    </row>
    <row r="89" spans="1:20" hidden="1" x14ac:dyDescent="0.2">
      <c r="A89" s="29"/>
      <c r="B89" s="24"/>
      <c r="C89" s="52"/>
      <c r="D89" s="29"/>
      <c r="E89" s="29"/>
      <c r="F89" s="37"/>
      <c r="G89" s="37"/>
      <c r="H89" s="29"/>
      <c r="I89" s="29"/>
      <c r="J89" s="29"/>
      <c r="K89" s="29"/>
      <c r="L89" s="29"/>
      <c r="M89" s="29"/>
      <c r="N89" s="29"/>
      <c r="O89" s="29"/>
      <c r="P89" s="29"/>
      <c r="Q89" s="29"/>
      <c r="R89" s="29"/>
      <c r="S89" s="29"/>
      <c r="T89" s="29"/>
    </row>
    <row r="90" spans="1:20" hidden="1" x14ac:dyDescent="0.2">
      <c r="A90" s="29"/>
      <c r="B90" s="48"/>
      <c r="C90" s="37"/>
      <c r="D90" s="29"/>
      <c r="E90" s="37"/>
      <c r="F90" s="37"/>
      <c r="G90" s="29"/>
      <c r="H90" s="29"/>
      <c r="I90" s="29"/>
      <c r="J90" s="29"/>
      <c r="K90" s="29"/>
      <c r="L90" s="29"/>
      <c r="M90" s="29"/>
      <c r="N90" s="29"/>
      <c r="O90" s="29"/>
      <c r="P90" s="29"/>
      <c r="Q90" s="29"/>
      <c r="R90" s="29"/>
      <c r="S90" s="29"/>
      <c r="T90" s="29"/>
    </row>
    <row r="91" spans="1:20" hidden="1" x14ac:dyDescent="0.2">
      <c r="A91" s="29"/>
      <c r="B91" s="24"/>
      <c r="C91" s="37"/>
      <c r="D91" s="29"/>
      <c r="E91" s="37"/>
      <c r="F91" s="37"/>
      <c r="G91" s="29"/>
      <c r="H91" s="29"/>
      <c r="I91" s="29"/>
      <c r="J91" s="29"/>
      <c r="K91" s="29"/>
      <c r="L91" s="29"/>
      <c r="M91" s="29"/>
      <c r="N91" s="29"/>
      <c r="O91" s="29"/>
      <c r="P91" s="29"/>
      <c r="Q91" s="29"/>
      <c r="R91" s="29"/>
      <c r="S91" s="29"/>
      <c r="T91" s="29"/>
    </row>
    <row r="92" spans="1:20" hidden="1" x14ac:dyDescent="0.2">
      <c r="A92" s="29"/>
      <c r="B92" s="24"/>
      <c r="C92" s="39"/>
      <c r="D92" s="29"/>
      <c r="E92" s="37"/>
      <c r="F92" s="37"/>
      <c r="G92" s="29"/>
      <c r="H92" s="29"/>
      <c r="I92" s="29"/>
      <c r="J92" s="29"/>
      <c r="K92" s="29"/>
      <c r="L92" s="29"/>
      <c r="M92" s="29"/>
      <c r="N92" s="29"/>
      <c r="O92" s="29"/>
      <c r="P92" s="29"/>
      <c r="Q92" s="29"/>
      <c r="R92" s="29"/>
      <c r="S92" s="29"/>
      <c r="T92" s="29"/>
    </row>
    <row r="93" spans="1:20" hidden="1" x14ac:dyDescent="0.2">
      <c r="A93" s="29"/>
      <c r="B93" s="24"/>
      <c r="C93" s="40"/>
      <c r="D93" s="29"/>
      <c r="E93" s="40"/>
      <c r="F93" s="37"/>
      <c r="G93" s="29"/>
      <c r="H93" s="29"/>
      <c r="I93" s="29"/>
      <c r="J93" s="29"/>
      <c r="K93" s="29"/>
      <c r="L93" s="29"/>
      <c r="M93" s="29"/>
      <c r="N93" s="29"/>
      <c r="O93" s="29"/>
      <c r="P93" s="29"/>
      <c r="Q93" s="29"/>
      <c r="R93" s="29"/>
      <c r="S93" s="29"/>
      <c r="T93" s="29"/>
    </row>
    <row r="94" spans="1:20" hidden="1" x14ac:dyDescent="0.2">
      <c r="A94" s="29"/>
      <c r="B94" s="24"/>
      <c r="C94" s="38"/>
      <c r="D94" s="29"/>
      <c r="E94" s="37"/>
      <c r="F94" s="37"/>
      <c r="G94" s="29"/>
      <c r="H94" s="29"/>
      <c r="I94" s="29"/>
      <c r="J94" s="29"/>
      <c r="K94" s="29"/>
      <c r="L94" s="29"/>
      <c r="M94" s="29"/>
      <c r="N94" s="29"/>
      <c r="O94" s="29"/>
      <c r="P94" s="29"/>
      <c r="Q94" s="29"/>
      <c r="R94" s="29"/>
      <c r="S94" s="29"/>
      <c r="T94" s="29"/>
    </row>
    <row r="95" spans="1:20" hidden="1" x14ac:dyDescent="0.2">
      <c r="A95" s="29"/>
      <c r="B95" s="24"/>
      <c r="C95" s="39"/>
      <c r="D95" s="29"/>
      <c r="E95" s="37"/>
      <c r="F95" s="37"/>
      <c r="G95" s="29"/>
      <c r="H95" s="29"/>
      <c r="I95" s="29"/>
      <c r="J95" s="29"/>
      <c r="K95" s="29"/>
      <c r="L95" s="29"/>
      <c r="M95" s="29"/>
      <c r="N95" s="29"/>
      <c r="O95" s="29"/>
      <c r="P95" s="29"/>
      <c r="Q95" s="29"/>
      <c r="R95" s="29"/>
      <c r="S95" s="29"/>
      <c r="T95" s="29"/>
    </row>
    <row r="96" spans="1:20" hidden="1" x14ac:dyDescent="0.2">
      <c r="A96" s="29"/>
      <c r="B96" s="41"/>
      <c r="C96" s="38"/>
      <c r="D96" s="29"/>
      <c r="E96" s="37"/>
      <c r="F96" s="37"/>
      <c r="G96" s="29"/>
      <c r="H96" s="29"/>
      <c r="I96" s="29"/>
      <c r="J96" s="29"/>
      <c r="K96" s="29"/>
      <c r="L96" s="29"/>
      <c r="M96" s="29"/>
      <c r="N96" s="29"/>
      <c r="O96" s="29"/>
      <c r="P96" s="29"/>
      <c r="Q96" s="29"/>
      <c r="R96" s="29"/>
      <c r="S96" s="29"/>
      <c r="T96" s="29"/>
    </row>
    <row r="97" spans="1:20" hidden="1" x14ac:dyDescent="0.2">
      <c r="A97" s="29"/>
      <c r="B97" s="24"/>
      <c r="C97" s="42"/>
      <c r="D97" s="29"/>
      <c r="E97" s="42"/>
      <c r="F97" s="37"/>
      <c r="G97" s="29"/>
      <c r="H97" s="29"/>
      <c r="I97" s="29"/>
      <c r="J97" s="29"/>
      <c r="K97" s="29"/>
      <c r="L97" s="29"/>
      <c r="M97" s="29"/>
      <c r="N97" s="29"/>
      <c r="O97" s="29"/>
      <c r="P97" s="29"/>
      <c r="Q97" s="29"/>
      <c r="R97" s="29"/>
      <c r="S97" s="29"/>
      <c r="T97" s="29"/>
    </row>
    <row r="98" spans="1:20" hidden="1" x14ac:dyDescent="0.2">
      <c r="A98" s="29"/>
      <c r="B98" s="24"/>
      <c r="C98" s="38"/>
      <c r="D98" s="29"/>
      <c r="E98" s="37"/>
      <c r="F98" s="37"/>
      <c r="G98" s="29"/>
      <c r="H98" s="29"/>
      <c r="I98" s="29"/>
      <c r="J98" s="29"/>
      <c r="K98" s="29"/>
      <c r="L98" s="29"/>
      <c r="M98" s="29"/>
      <c r="N98" s="29"/>
      <c r="O98" s="29"/>
      <c r="P98" s="29"/>
      <c r="Q98" s="29"/>
      <c r="R98" s="29"/>
      <c r="S98" s="29"/>
      <c r="T98" s="29"/>
    </row>
    <row r="99" spans="1:20" hidden="1" x14ac:dyDescent="0.2">
      <c r="A99" s="29"/>
      <c r="B99" s="24"/>
      <c r="C99" s="39"/>
      <c r="D99" s="29"/>
      <c r="E99" s="37"/>
      <c r="F99" s="37"/>
      <c r="G99" s="29"/>
      <c r="H99" s="29"/>
      <c r="I99" s="29"/>
      <c r="J99" s="29"/>
      <c r="K99" s="29"/>
      <c r="L99" s="29"/>
      <c r="M99" s="29"/>
      <c r="N99" s="29"/>
      <c r="O99" s="29"/>
      <c r="P99" s="29"/>
      <c r="Q99" s="29"/>
      <c r="R99" s="29"/>
      <c r="S99" s="29"/>
      <c r="T99" s="29"/>
    </row>
    <row r="100" spans="1:20" hidden="1" x14ac:dyDescent="0.2">
      <c r="A100" s="29"/>
      <c r="B100" s="24"/>
      <c r="C100" s="38"/>
      <c r="D100" s="29"/>
      <c r="E100" s="37"/>
      <c r="F100" s="37"/>
      <c r="G100" s="29"/>
      <c r="H100" s="29"/>
      <c r="I100" s="29"/>
      <c r="J100" s="29"/>
      <c r="K100" s="29"/>
      <c r="L100" s="29"/>
      <c r="M100" s="29"/>
      <c r="N100" s="29"/>
      <c r="O100" s="29"/>
      <c r="P100" s="29"/>
      <c r="Q100" s="29"/>
      <c r="R100" s="29"/>
      <c r="S100" s="29"/>
      <c r="T100" s="29"/>
    </row>
    <row r="101" spans="1:20" hidden="1" x14ac:dyDescent="0.2">
      <c r="A101" s="29"/>
      <c r="B101" s="24"/>
      <c r="C101" s="42"/>
      <c r="D101" s="29"/>
      <c r="E101" s="42"/>
      <c r="F101" s="37"/>
      <c r="G101" s="29"/>
      <c r="H101" s="29"/>
      <c r="I101" s="29"/>
      <c r="J101" s="29"/>
      <c r="K101" s="29"/>
      <c r="L101" s="29"/>
      <c r="M101" s="29"/>
      <c r="N101" s="29"/>
      <c r="O101" s="29"/>
      <c r="P101" s="29"/>
      <c r="Q101" s="29"/>
      <c r="R101" s="29"/>
      <c r="S101" s="29"/>
      <c r="T101" s="29"/>
    </row>
    <row r="102" spans="1:20" s="559" customFormat="1" ht="15" hidden="1" x14ac:dyDescent="0.25">
      <c r="A102" s="18"/>
      <c r="B102" s="27" t="s">
        <v>170</v>
      </c>
      <c r="C102" s="29"/>
      <c r="D102" s="29"/>
      <c r="E102" s="29"/>
      <c r="F102" s="157"/>
      <c r="G102" s="157"/>
      <c r="H102" s="18"/>
      <c r="I102" s="18"/>
      <c r="J102" s="18"/>
      <c r="K102" s="18"/>
      <c r="L102" s="18"/>
      <c r="M102" s="18"/>
      <c r="N102" s="18"/>
      <c r="O102" s="18"/>
      <c r="P102" s="18"/>
      <c r="Q102" s="18"/>
      <c r="R102" s="18"/>
      <c r="S102" s="18"/>
      <c r="T102" s="18"/>
    </row>
    <row r="103" spans="1:20" s="559" customFormat="1" ht="15" hidden="1" x14ac:dyDescent="0.25">
      <c r="A103" s="18"/>
      <c r="B103" s="27" t="s">
        <v>480</v>
      </c>
      <c r="C103" s="158"/>
      <c r="D103" s="29"/>
      <c r="E103" s="37"/>
      <c r="F103" s="157"/>
      <c r="G103" s="18"/>
      <c r="H103" s="18"/>
      <c r="I103" s="18"/>
      <c r="J103" s="18"/>
      <c r="K103" s="18"/>
      <c r="L103" s="18"/>
      <c r="M103" s="18"/>
      <c r="N103" s="18"/>
      <c r="O103" s="18"/>
      <c r="P103" s="18"/>
      <c r="Q103" s="18"/>
      <c r="R103" s="18"/>
      <c r="S103" s="18"/>
      <c r="T103" s="18"/>
    </row>
    <row r="104" spans="1:20" s="559" customFormat="1" ht="15" hidden="1" x14ac:dyDescent="0.25">
      <c r="A104" s="18"/>
      <c r="B104" s="24" t="s">
        <v>11</v>
      </c>
      <c r="C104" s="43" t="e">
        <f>'Baseline farm'!D197</f>
        <v>#DIV/0!</v>
      </c>
      <c r="D104" s="29"/>
      <c r="E104" s="159"/>
      <c r="F104" s="157"/>
      <c r="G104" s="18"/>
      <c r="H104" s="18"/>
      <c r="I104" s="18"/>
      <c r="J104" s="18"/>
      <c r="K104" s="18"/>
      <c r="L104" s="18"/>
      <c r="M104" s="18"/>
      <c r="N104" s="18"/>
      <c r="O104" s="18"/>
      <c r="P104" s="18"/>
      <c r="Q104" s="18"/>
      <c r="R104" s="18"/>
      <c r="S104" s="18"/>
      <c r="T104" s="18"/>
    </row>
    <row r="105" spans="1:20" s="559" customFormat="1" ht="15" hidden="1" x14ac:dyDescent="0.25">
      <c r="A105" s="18"/>
      <c r="B105" s="46"/>
      <c r="C105" s="159"/>
      <c r="D105" s="29"/>
      <c r="E105" s="37"/>
      <c r="F105" s="157"/>
      <c r="G105" s="18"/>
      <c r="H105" s="18"/>
      <c r="I105" s="18"/>
      <c r="J105" s="18"/>
      <c r="K105" s="18"/>
      <c r="L105" s="18"/>
      <c r="M105" s="18"/>
      <c r="N105" s="18"/>
      <c r="O105" s="18"/>
      <c r="P105" s="18"/>
      <c r="Q105" s="18"/>
      <c r="R105" s="18"/>
      <c r="S105" s="18"/>
      <c r="T105" s="18"/>
    </row>
    <row r="106" spans="1:20" s="559" customFormat="1" ht="15" hidden="1" x14ac:dyDescent="0.25">
      <c r="A106" s="18"/>
      <c r="B106" s="24" t="s">
        <v>12</v>
      </c>
      <c r="C106" s="32">
        <f>C11</f>
        <v>0</v>
      </c>
      <c r="D106" s="29"/>
      <c r="E106" s="44"/>
      <c r="F106" s="157"/>
      <c r="G106" s="18"/>
      <c r="H106" s="18"/>
      <c r="I106" s="18"/>
      <c r="J106" s="18"/>
      <c r="K106" s="18"/>
      <c r="L106" s="18"/>
      <c r="M106" s="18"/>
      <c r="N106" s="18"/>
      <c r="O106" s="18"/>
      <c r="P106" s="18"/>
      <c r="Q106" s="18"/>
      <c r="R106" s="18"/>
      <c r="S106" s="18"/>
      <c r="T106" s="18"/>
    </row>
    <row r="107" spans="1:20" s="559" customFormat="1" ht="15" hidden="1" x14ac:dyDescent="0.25">
      <c r="A107" s="18"/>
      <c r="B107" s="24" t="s">
        <v>13</v>
      </c>
      <c r="C107" s="44" t="e">
        <f>C104*C106*365</f>
        <v>#DIV/0!</v>
      </c>
      <c r="D107" s="29"/>
      <c r="E107" s="45"/>
      <c r="F107" s="157"/>
      <c r="G107" s="18"/>
      <c r="H107" s="18"/>
      <c r="I107" s="18"/>
      <c r="J107" s="18"/>
      <c r="K107" s="18"/>
      <c r="L107" s="18"/>
      <c r="M107" s="18"/>
      <c r="N107" s="18"/>
      <c r="O107" s="18"/>
      <c r="P107" s="18"/>
      <c r="Q107" s="18"/>
      <c r="R107" s="18"/>
      <c r="S107" s="18"/>
      <c r="T107" s="18"/>
    </row>
    <row r="108" spans="1:20" s="559" customFormat="1" ht="15" hidden="1" x14ac:dyDescent="0.25">
      <c r="A108" s="18"/>
      <c r="B108" s="27" t="s">
        <v>14</v>
      </c>
      <c r="C108" s="45" t="e">
        <f>C107*25/1000</f>
        <v>#DIV/0!</v>
      </c>
      <c r="D108" s="29"/>
      <c r="E108" s="37"/>
      <c r="F108" s="157"/>
      <c r="G108" s="18"/>
      <c r="H108" s="18"/>
      <c r="I108" s="18"/>
      <c r="J108" s="18"/>
      <c r="K108" s="18"/>
      <c r="L108" s="18"/>
      <c r="M108" s="18"/>
      <c r="N108" s="18"/>
      <c r="O108" s="18"/>
      <c r="P108" s="18"/>
      <c r="Q108" s="18"/>
      <c r="R108" s="18"/>
      <c r="S108" s="18"/>
      <c r="T108" s="18"/>
    </row>
    <row r="109" spans="1:20" s="559" customFormat="1" ht="15" hidden="1" x14ac:dyDescent="0.25">
      <c r="A109" s="18"/>
      <c r="B109" s="24"/>
      <c r="C109" s="40"/>
      <c r="D109" s="29"/>
      <c r="E109" s="40"/>
      <c r="F109" s="157"/>
      <c r="G109" s="18"/>
      <c r="H109" s="18"/>
      <c r="I109" s="18"/>
      <c r="J109" s="18"/>
      <c r="K109" s="18"/>
      <c r="L109" s="18"/>
      <c r="M109" s="18"/>
      <c r="N109" s="18"/>
      <c r="O109" s="18"/>
      <c r="P109" s="18"/>
      <c r="Q109" s="18"/>
      <c r="R109" s="18"/>
      <c r="S109" s="18"/>
      <c r="T109" s="18"/>
    </row>
    <row r="110" spans="1:20" s="559" customFormat="1" ht="15" hidden="1" x14ac:dyDescent="0.25">
      <c r="A110" s="18"/>
      <c r="B110" s="24"/>
      <c r="C110" s="38"/>
      <c r="D110" s="29"/>
      <c r="E110" s="157"/>
      <c r="F110" s="157"/>
      <c r="G110" s="18"/>
      <c r="H110" s="18"/>
      <c r="I110" s="18"/>
      <c r="J110" s="18"/>
      <c r="K110" s="18"/>
      <c r="L110" s="18"/>
      <c r="M110" s="18"/>
      <c r="N110" s="18"/>
      <c r="O110" s="18"/>
      <c r="P110" s="18"/>
      <c r="Q110" s="18"/>
      <c r="R110" s="18"/>
      <c r="S110" s="18"/>
      <c r="T110" s="18"/>
    </row>
    <row r="111" spans="1:20" s="559" customFormat="1" ht="15" hidden="1" x14ac:dyDescent="0.25">
      <c r="A111" s="18"/>
      <c r="B111" s="24"/>
      <c r="C111" s="39"/>
      <c r="D111" s="29"/>
      <c r="E111" s="157"/>
      <c r="F111" s="157"/>
      <c r="G111" s="18"/>
      <c r="H111" s="18"/>
      <c r="I111" s="18"/>
      <c r="J111" s="18"/>
      <c r="K111" s="18"/>
      <c r="L111" s="18"/>
      <c r="M111" s="18"/>
      <c r="N111" s="18"/>
      <c r="O111" s="18"/>
      <c r="P111" s="18"/>
      <c r="Q111" s="18"/>
      <c r="R111" s="18"/>
      <c r="S111" s="18"/>
      <c r="T111" s="18"/>
    </row>
    <row r="112" spans="1:20" s="559" customFormat="1" ht="15" hidden="1" x14ac:dyDescent="0.25">
      <c r="A112" s="18"/>
      <c r="B112" s="24"/>
      <c r="C112" s="38"/>
      <c r="D112" s="29"/>
      <c r="E112" s="157"/>
      <c r="F112" s="157"/>
      <c r="G112" s="18"/>
      <c r="H112" s="18"/>
      <c r="I112" s="18"/>
      <c r="J112" s="18"/>
      <c r="K112" s="18"/>
      <c r="L112" s="18"/>
      <c r="M112" s="18"/>
      <c r="N112" s="18"/>
      <c r="O112" s="18"/>
      <c r="P112" s="18"/>
      <c r="Q112" s="18"/>
      <c r="R112" s="18"/>
      <c r="S112" s="18"/>
      <c r="T112" s="18"/>
    </row>
    <row r="113" spans="1:20" s="559" customFormat="1" ht="15" hidden="1" x14ac:dyDescent="0.25">
      <c r="A113" s="18"/>
      <c r="B113" s="48" t="s">
        <v>171</v>
      </c>
      <c r="C113" s="37"/>
      <c r="D113" s="29"/>
      <c r="E113" s="161"/>
      <c r="F113" s="217"/>
      <c r="G113" s="18"/>
      <c r="H113" s="18"/>
      <c r="I113" s="18"/>
      <c r="J113" s="18"/>
      <c r="K113" s="18"/>
      <c r="L113" s="18"/>
      <c r="M113" s="18"/>
      <c r="N113" s="18"/>
      <c r="O113" s="18"/>
      <c r="P113" s="18"/>
      <c r="Q113" s="18"/>
      <c r="R113" s="18"/>
      <c r="S113" s="18"/>
      <c r="T113" s="18"/>
    </row>
    <row r="114" spans="1:20" s="559" customFormat="1" ht="15" hidden="1" x14ac:dyDescent="0.25">
      <c r="A114" s="18"/>
      <c r="B114" s="27" t="s">
        <v>480</v>
      </c>
      <c r="C114" s="37"/>
      <c r="D114" s="29"/>
      <c r="E114" s="37"/>
      <c r="F114" s="157"/>
      <c r="G114" s="18"/>
      <c r="H114" s="18"/>
      <c r="I114" s="18"/>
      <c r="J114" s="18"/>
      <c r="K114" s="47"/>
      <c r="L114" s="47"/>
      <c r="M114" s="47"/>
      <c r="N114" s="18"/>
      <c r="O114" s="18"/>
      <c r="P114" s="18"/>
      <c r="Q114" s="18"/>
      <c r="R114" s="18"/>
      <c r="S114" s="18"/>
      <c r="T114" s="18"/>
    </row>
    <row r="115" spans="1:20" s="559" customFormat="1" ht="15" hidden="1" x14ac:dyDescent="0.25">
      <c r="A115" s="18"/>
      <c r="B115" s="24" t="s">
        <v>1</v>
      </c>
      <c r="C115" s="39" t="s">
        <v>167</v>
      </c>
      <c r="D115" s="29"/>
      <c r="E115" s="37"/>
      <c r="F115" s="157"/>
      <c r="G115" s="18"/>
      <c r="H115" s="18"/>
      <c r="I115" s="18"/>
      <c r="J115" s="18"/>
      <c r="K115" s="47"/>
      <c r="L115" s="47"/>
      <c r="M115" s="47"/>
      <c r="N115" s="18"/>
      <c r="O115" s="18"/>
      <c r="P115" s="18"/>
      <c r="Q115" s="18"/>
      <c r="R115" s="18"/>
      <c r="S115" s="18"/>
      <c r="T115" s="18"/>
    </row>
    <row r="116" spans="1:20" s="559" customFormat="1" ht="15" hidden="1" x14ac:dyDescent="0.25">
      <c r="A116" s="18"/>
      <c r="B116" s="24" t="s">
        <v>1</v>
      </c>
      <c r="C116" s="40" t="e">
        <f>(1.185+(0.00454*$C$12)-(0.0000026*($C$12)^2)+((0.315*$C$13)))^2*1.1+C120</f>
        <v>#DIV/0!</v>
      </c>
      <c r="D116" s="29"/>
      <c r="E116" s="49"/>
      <c r="F116" s="157"/>
      <c r="G116" s="18"/>
      <c r="H116" s="18"/>
      <c r="I116" s="18"/>
      <c r="J116" s="18"/>
      <c r="K116" s="47"/>
      <c r="L116" s="47"/>
      <c r="M116" s="47"/>
      <c r="N116" s="18"/>
      <c r="O116" s="18"/>
      <c r="P116" s="18"/>
      <c r="Q116" s="18"/>
      <c r="R116" s="18"/>
      <c r="S116" s="18"/>
      <c r="T116" s="18"/>
    </row>
    <row r="117" spans="1:20" s="559" customFormat="1" ht="15" hidden="1" x14ac:dyDescent="0.25">
      <c r="A117" s="18"/>
      <c r="B117" s="24"/>
      <c r="C117" s="38"/>
      <c r="D117" s="29"/>
      <c r="E117" s="494"/>
      <c r="F117" s="157"/>
      <c r="G117" s="18"/>
      <c r="H117" s="18"/>
      <c r="I117" s="18"/>
      <c r="J117" s="18"/>
      <c r="K117" s="47"/>
      <c r="L117" s="47"/>
      <c r="M117" s="47"/>
      <c r="N117" s="18"/>
      <c r="O117" s="18"/>
      <c r="P117" s="18"/>
      <c r="Q117" s="18"/>
      <c r="R117" s="18"/>
      <c r="S117" s="18"/>
      <c r="T117" s="18"/>
    </row>
    <row r="118" spans="1:20" s="559" customFormat="1" ht="15" hidden="1" x14ac:dyDescent="0.25">
      <c r="A118" s="18"/>
      <c r="B118" s="24" t="s">
        <v>2</v>
      </c>
      <c r="C118" s="39" t="s">
        <v>1552</v>
      </c>
      <c r="D118" s="29"/>
      <c r="E118" s="38"/>
      <c r="F118" s="157"/>
      <c r="G118" s="18"/>
      <c r="H118" s="18"/>
      <c r="I118" s="18"/>
      <c r="J118" s="18"/>
      <c r="K118" s="18"/>
      <c r="L118" s="18"/>
      <c r="M118" s="18"/>
      <c r="N118" s="18"/>
      <c r="O118" s="18"/>
      <c r="P118" s="18"/>
      <c r="Q118" s="18"/>
      <c r="R118" s="18"/>
      <c r="S118" s="18"/>
      <c r="T118" s="18"/>
    </row>
    <row r="119" spans="1:20" s="559" customFormat="1" ht="15" hidden="1" x14ac:dyDescent="0.25">
      <c r="A119" s="18"/>
      <c r="B119" s="41" t="s">
        <v>3</v>
      </c>
      <c r="C119" s="38"/>
      <c r="D119" s="29"/>
      <c r="E119" s="38"/>
      <c r="F119" s="157"/>
      <c r="G119" s="18"/>
      <c r="H119" s="18"/>
      <c r="I119" s="18"/>
      <c r="J119" s="18"/>
      <c r="K119" s="18"/>
      <c r="L119" s="18"/>
      <c r="M119" s="18"/>
      <c r="N119" s="18"/>
      <c r="O119" s="18"/>
      <c r="P119" s="18"/>
      <c r="Q119" s="18"/>
      <c r="R119" s="18"/>
      <c r="S119" s="18"/>
      <c r="T119" s="18"/>
    </row>
    <row r="120" spans="1:20" s="559" customFormat="1" ht="15" hidden="1" x14ac:dyDescent="0.25">
      <c r="A120" s="18"/>
      <c r="B120" s="24"/>
      <c r="C120" s="42" t="e">
        <f>(C155*1.03*3.054)/0.6/((0.00795*C148)-0.0014)/18.4</f>
        <v>#DIV/0!</v>
      </c>
      <c r="D120" s="29"/>
      <c r="E120" s="162"/>
      <c r="F120" s="157"/>
      <c r="G120" s="18"/>
      <c r="H120" s="18"/>
      <c r="I120" s="18"/>
      <c r="J120" s="18"/>
      <c r="K120" s="18"/>
      <c r="L120" s="18"/>
      <c r="M120" s="18"/>
      <c r="N120" s="18"/>
      <c r="O120" s="18"/>
      <c r="P120" s="18"/>
      <c r="Q120" s="18"/>
      <c r="R120" s="18"/>
      <c r="S120" s="18"/>
      <c r="T120" s="18"/>
    </row>
    <row r="121" spans="1:20" s="559" customFormat="1" ht="15" hidden="1" x14ac:dyDescent="0.25">
      <c r="A121" s="18"/>
      <c r="B121" s="24"/>
      <c r="C121" s="38"/>
      <c r="D121" s="29"/>
      <c r="E121" s="162"/>
      <c r="F121" s="157"/>
      <c r="G121" s="18"/>
      <c r="H121" s="18"/>
      <c r="I121" s="18"/>
      <c r="J121" s="18"/>
      <c r="K121" s="18"/>
      <c r="L121" s="18"/>
      <c r="M121" s="18"/>
      <c r="N121" s="18"/>
      <c r="O121" s="18"/>
      <c r="P121" s="18"/>
      <c r="Q121" s="18"/>
      <c r="R121" s="18"/>
      <c r="S121" s="18"/>
      <c r="T121" s="18"/>
    </row>
    <row r="122" spans="1:20" s="559" customFormat="1" ht="15" hidden="1" x14ac:dyDescent="0.25">
      <c r="A122" s="18"/>
      <c r="B122" s="24" t="s">
        <v>4</v>
      </c>
      <c r="C122" s="39" t="s">
        <v>5</v>
      </c>
      <c r="D122" s="29"/>
      <c r="E122" s="37"/>
      <c r="F122" s="157"/>
      <c r="G122" s="18"/>
      <c r="H122" s="18"/>
      <c r="I122" s="18"/>
      <c r="J122" s="18"/>
      <c r="K122" s="18"/>
      <c r="L122" s="18"/>
      <c r="M122" s="18"/>
      <c r="N122" s="18"/>
      <c r="O122" s="18"/>
      <c r="P122" s="18"/>
      <c r="Q122" s="18"/>
      <c r="R122" s="18"/>
      <c r="S122" s="18"/>
      <c r="T122" s="18"/>
    </row>
    <row r="123" spans="1:20" s="559" customFormat="1" ht="15" hidden="1" x14ac:dyDescent="0.25">
      <c r="A123" s="18"/>
      <c r="B123" s="24"/>
      <c r="C123" s="38"/>
      <c r="D123" s="29"/>
      <c r="E123" s="37"/>
      <c r="F123" s="157"/>
      <c r="G123" s="18"/>
      <c r="H123" s="18"/>
      <c r="I123" s="18"/>
      <c r="J123" s="18"/>
      <c r="K123" s="18"/>
      <c r="L123" s="18"/>
      <c r="M123" s="18"/>
      <c r="N123" s="18"/>
      <c r="O123" s="18"/>
      <c r="P123" s="18"/>
      <c r="Q123" s="18"/>
      <c r="R123" s="18"/>
      <c r="S123" s="18"/>
      <c r="T123" s="18"/>
    </row>
    <row r="124" spans="1:20" s="559" customFormat="1" ht="15" hidden="1" x14ac:dyDescent="0.25">
      <c r="A124" s="18"/>
      <c r="B124" s="24"/>
      <c r="C124" s="42" t="e">
        <f>(C116*18.4)</f>
        <v>#DIV/0!</v>
      </c>
      <c r="D124" s="29"/>
      <c r="E124" s="37"/>
      <c r="F124" s="157"/>
      <c r="G124" s="18"/>
      <c r="H124" s="18"/>
      <c r="I124" s="18"/>
      <c r="J124" s="18"/>
      <c r="K124" s="18"/>
      <c r="L124" s="18"/>
      <c r="M124" s="18"/>
      <c r="N124" s="18"/>
      <c r="O124" s="18"/>
      <c r="P124" s="18"/>
      <c r="Q124" s="18"/>
      <c r="R124" s="18"/>
      <c r="S124" s="18"/>
      <c r="T124" s="18"/>
    </row>
    <row r="125" spans="1:20" s="559" customFormat="1" ht="15" hidden="1" x14ac:dyDescent="0.25">
      <c r="A125" s="18"/>
      <c r="B125" s="24"/>
      <c r="C125" s="38"/>
      <c r="D125" s="29"/>
      <c r="E125" s="42"/>
      <c r="F125" s="157"/>
      <c r="G125" s="18"/>
      <c r="H125" s="18"/>
      <c r="I125" s="18"/>
      <c r="J125" s="18"/>
      <c r="K125" s="18"/>
      <c r="L125" s="18"/>
      <c r="M125" s="18"/>
      <c r="N125" s="18"/>
      <c r="O125" s="18"/>
      <c r="P125" s="18"/>
      <c r="Q125" s="18"/>
      <c r="R125" s="18"/>
      <c r="S125" s="18"/>
      <c r="T125" s="18"/>
    </row>
    <row r="126" spans="1:20" s="559" customFormat="1" ht="15" hidden="1" x14ac:dyDescent="0.25">
      <c r="A126" s="18"/>
      <c r="B126" s="24" t="s">
        <v>6</v>
      </c>
      <c r="C126" s="39" t="s">
        <v>7</v>
      </c>
      <c r="D126" s="29"/>
      <c r="E126" s="37"/>
      <c r="F126" s="157"/>
      <c r="G126" s="18"/>
      <c r="H126" s="18"/>
      <c r="I126" s="18"/>
      <c r="J126" s="18"/>
      <c r="K126" s="18"/>
      <c r="L126" s="18"/>
      <c r="M126" s="18"/>
      <c r="N126" s="18"/>
      <c r="O126" s="18"/>
      <c r="P126" s="18"/>
      <c r="Q126" s="18"/>
      <c r="R126" s="18"/>
      <c r="S126" s="18"/>
      <c r="T126" s="18"/>
    </row>
    <row r="127" spans="1:20" s="559" customFormat="1" ht="15" hidden="1" x14ac:dyDescent="0.25">
      <c r="A127" s="18"/>
      <c r="B127" s="24"/>
      <c r="C127" s="40" t="e">
        <f>C116/(1.185+(0.00454*$C$12)-(0.0000026*($C$12)^2)+(0.315*$C$13))^2</f>
        <v>#DIV/0!</v>
      </c>
      <c r="D127" s="29"/>
      <c r="E127" s="37"/>
      <c r="F127" s="157"/>
      <c r="G127" s="18"/>
      <c r="H127" s="18"/>
      <c r="I127" s="18"/>
      <c r="J127" s="18"/>
      <c r="K127" s="18"/>
      <c r="L127" s="18"/>
      <c r="M127" s="18"/>
      <c r="N127" s="18"/>
      <c r="O127" s="18"/>
      <c r="P127" s="18"/>
      <c r="Q127" s="18"/>
      <c r="R127" s="18"/>
      <c r="S127" s="18"/>
      <c r="T127" s="18"/>
    </row>
    <row r="128" spans="1:20" s="559" customFormat="1" ht="15" hidden="1" x14ac:dyDescent="0.25">
      <c r="A128" s="18"/>
      <c r="B128" s="24"/>
      <c r="C128" s="38"/>
      <c r="D128" s="29"/>
      <c r="E128" s="37"/>
      <c r="F128" s="157"/>
      <c r="G128" s="18"/>
      <c r="H128" s="18"/>
      <c r="I128" s="18"/>
      <c r="J128" s="18"/>
      <c r="K128" s="18"/>
      <c r="L128" s="18"/>
      <c r="M128" s="18"/>
      <c r="N128" s="18"/>
      <c r="O128" s="18"/>
      <c r="P128" s="18"/>
      <c r="Q128" s="18"/>
      <c r="R128" s="18"/>
      <c r="S128" s="18"/>
      <c r="T128" s="18"/>
    </row>
    <row r="129" spans="1:20" s="559" customFormat="1" ht="15" hidden="1" x14ac:dyDescent="0.25">
      <c r="A129" s="18"/>
      <c r="B129" s="24" t="s">
        <v>8</v>
      </c>
      <c r="C129" s="39" t="s">
        <v>9</v>
      </c>
      <c r="D129" s="29"/>
      <c r="E129" s="42"/>
      <c r="F129" s="157"/>
      <c r="G129" s="18"/>
      <c r="H129" s="18"/>
      <c r="I129" s="18"/>
      <c r="J129" s="18"/>
      <c r="K129" s="18"/>
      <c r="L129" s="18"/>
      <c r="M129" s="18"/>
      <c r="N129" s="18"/>
      <c r="O129" s="18"/>
      <c r="P129" s="18"/>
      <c r="Q129" s="18"/>
      <c r="R129" s="18"/>
      <c r="S129" s="18"/>
      <c r="T129" s="18"/>
    </row>
    <row r="130" spans="1:20" s="559" customFormat="1" ht="15" hidden="1" x14ac:dyDescent="0.25">
      <c r="A130" s="18"/>
      <c r="B130" s="24" t="s">
        <v>169</v>
      </c>
      <c r="C130" s="38"/>
      <c r="D130" s="29"/>
      <c r="E130" s="37"/>
      <c r="F130" s="157"/>
      <c r="G130" s="18"/>
      <c r="H130" s="18"/>
      <c r="I130" s="18"/>
      <c r="J130" s="18"/>
      <c r="K130" s="18"/>
      <c r="L130" s="18"/>
      <c r="M130" s="18"/>
      <c r="N130" s="18"/>
      <c r="O130" s="18"/>
      <c r="P130" s="18"/>
      <c r="Q130" s="18"/>
      <c r="R130" s="18"/>
      <c r="S130" s="18"/>
      <c r="T130" s="18"/>
    </row>
    <row r="131" spans="1:20" s="559" customFormat="1" ht="15" hidden="1" x14ac:dyDescent="0.25">
      <c r="A131" s="18"/>
      <c r="B131" s="24"/>
      <c r="C131" s="42" t="e">
        <f>1.3+(0.112*C148)+C127*(2.37-(0.05*C148))</f>
        <v>#DIV/0!</v>
      </c>
      <c r="D131" s="29"/>
      <c r="E131" s="37"/>
      <c r="F131" s="157"/>
      <c r="G131" s="18"/>
      <c r="H131" s="18"/>
      <c r="I131" s="18"/>
      <c r="J131" s="18"/>
      <c r="K131" s="18"/>
      <c r="L131" s="18"/>
      <c r="M131" s="18"/>
      <c r="N131" s="18"/>
      <c r="O131" s="18"/>
      <c r="P131" s="18"/>
      <c r="Q131" s="18"/>
      <c r="R131" s="18"/>
      <c r="S131" s="18"/>
      <c r="T131" s="18"/>
    </row>
    <row r="132" spans="1:20" s="559" customFormat="1" ht="15" hidden="1" x14ac:dyDescent="0.25">
      <c r="A132" s="18"/>
      <c r="B132" s="24"/>
      <c r="C132" s="38"/>
      <c r="D132" s="29"/>
      <c r="E132" s="40"/>
      <c r="F132" s="157"/>
      <c r="G132" s="18"/>
      <c r="H132" s="18"/>
      <c r="I132" s="18"/>
      <c r="J132" s="18"/>
      <c r="K132" s="18"/>
      <c r="L132" s="18"/>
      <c r="M132" s="18"/>
      <c r="N132" s="18"/>
      <c r="O132" s="18"/>
      <c r="P132" s="18"/>
      <c r="Q132" s="18"/>
      <c r="R132" s="18"/>
      <c r="S132" s="18"/>
      <c r="T132" s="18"/>
    </row>
    <row r="133" spans="1:20" s="559" customFormat="1" ht="15" hidden="1" x14ac:dyDescent="0.25">
      <c r="A133" s="18"/>
      <c r="B133" s="24" t="s">
        <v>10</v>
      </c>
      <c r="C133" s="39" t="s">
        <v>1532</v>
      </c>
      <c r="D133" s="29"/>
      <c r="E133" s="37"/>
      <c r="F133" s="157"/>
      <c r="G133" s="18"/>
      <c r="H133" s="18"/>
      <c r="I133" s="18"/>
      <c r="J133" s="18"/>
      <c r="K133" s="18"/>
      <c r="L133" s="18"/>
      <c r="M133" s="18"/>
      <c r="N133" s="18"/>
      <c r="O133" s="18"/>
      <c r="P133" s="18"/>
      <c r="Q133" s="18"/>
      <c r="R133" s="18"/>
      <c r="S133" s="18"/>
      <c r="T133" s="18"/>
    </row>
    <row r="134" spans="1:20" s="559" customFormat="1" ht="15" hidden="1" x14ac:dyDescent="0.25">
      <c r="A134" s="18"/>
      <c r="B134" s="24"/>
      <c r="C134" s="163"/>
      <c r="D134" s="29"/>
      <c r="E134" s="37"/>
      <c r="F134" s="157"/>
      <c r="G134" s="18"/>
      <c r="H134" s="18"/>
      <c r="I134" s="18"/>
      <c r="J134" s="18"/>
      <c r="K134" s="18"/>
      <c r="L134" s="18"/>
      <c r="M134" s="18"/>
      <c r="N134" s="18"/>
      <c r="O134" s="18"/>
      <c r="P134" s="18"/>
      <c r="Q134" s="18"/>
      <c r="R134" s="18"/>
      <c r="S134" s="18"/>
      <c r="T134" s="18"/>
    </row>
    <row r="135" spans="1:20" s="559" customFormat="1" ht="15" hidden="1" x14ac:dyDescent="0.25">
      <c r="A135" s="18"/>
      <c r="B135" s="27" t="s">
        <v>11</v>
      </c>
      <c r="C135" s="43" t="e">
        <f>21.5*C116/1000</f>
        <v>#DIV/0!</v>
      </c>
      <c r="D135" s="29"/>
      <c r="E135" s="37"/>
      <c r="F135" s="157"/>
      <c r="G135" s="18"/>
      <c r="H135" s="18"/>
      <c r="I135" s="18"/>
      <c r="J135" s="18"/>
      <c r="K135" s="18"/>
      <c r="L135" s="18"/>
      <c r="M135" s="18"/>
      <c r="N135" s="18"/>
      <c r="O135" s="18"/>
      <c r="P135" s="18"/>
      <c r="Q135" s="18"/>
      <c r="R135" s="18"/>
      <c r="S135" s="18"/>
      <c r="T135" s="18"/>
    </row>
    <row r="136" spans="1:20" s="559" customFormat="1" ht="15" hidden="1" x14ac:dyDescent="0.25">
      <c r="A136" s="18"/>
      <c r="B136" s="46"/>
      <c r="C136" s="159"/>
      <c r="D136" s="29"/>
      <c r="E136" s="42"/>
      <c r="F136" s="157"/>
      <c r="G136" s="18"/>
      <c r="H136" s="18"/>
      <c r="I136" s="18"/>
      <c r="J136" s="18"/>
      <c r="K136" s="18"/>
      <c r="L136" s="18"/>
      <c r="M136" s="18"/>
      <c r="N136" s="18"/>
      <c r="O136" s="18"/>
      <c r="P136" s="18"/>
      <c r="Q136" s="18"/>
      <c r="R136" s="18"/>
      <c r="S136" s="18"/>
      <c r="T136" s="18"/>
    </row>
    <row r="137" spans="1:20" s="559" customFormat="1" ht="15" hidden="1" x14ac:dyDescent="0.25">
      <c r="A137" s="18"/>
      <c r="B137" s="24" t="s">
        <v>12</v>
      </c>
      <c r="C137" s="32">
        <f>C11</f>
        <v>0</v>
      </c>
      <c r="D137" s="29"/>
      <c r="E137" s="37"/>
      <c r="F137" s="157"/>
      <c r="G137" s="18"/>
      <c r="H137" s="18"/>
      <c r="I137" s="18"/>
      <c r="J137" s="18"/>
      <c r="K137" s="18"/>
      <c r="L137" s="18"/>
      <c r="M137" s="18"/>
      <c r="N137" s="18"/>
      <c r="O137" s="18"/>
      <c r="P137" s="18"/>
      <c r="Q137" s="18"/>
      <c r="R137" s="18"/>
      <c r="S137" s="18"/>
      <c r="T137" s="18"/>
    </row>
    <row r="138" spans="1:20" s="559" customFormat="1" ht="15" hidden="1" x14ac:dyDescent="0.25">
      <c r="A138" s="18"/>
      <c r="B138" s="24" t="s">
        <v>13</v>
      </c>
      <c r="C138" s="44" t="e">
        <f>C135*C137*365</f>
        <v>#DIV/0!</v>
      </c>
      <c r="D138" s="29"/>
      <c r="E138" s="43"/>
      <c r="F138" s="157"/>
      <c r="G138" s="18"/>
      <c r="H138" s="18"/>
      <c r="I138" s="18"/>
      <c r="J138" s="18"/>
      <c r="K138" s="18"/>
      <c r="L138" s="18"/>
      <c r="M138" s="18"/>
      <c r="N138" s="18"/>
      <c r="O138" s="18"/>
      <c r="P138" s="18"/>
      <c r="Q138" s="18"/>
      <c r="R138" s="18"/>
      <c r="S138" s="18"/>
      <c r="T138" s="18"/>
    </row>
    <row r="139" spans="1:20" s="559" customFormat="1" ht="15" hidden="1" x14ac:dyDescent="0.25">
      <c r="A139" s="18"/>
      <c r="B139" s="27" t="s">
        <v>14</v>
      </c>
      <c r="C139" s="45" t="e">
        <f>C138*25/1000</f>
        <v>#DIV/0!</v>
      </c>
      <c r="D139" s="29"/>
      <c r="E139" s="37"/>
      <c r="F139" s="157"/>
      <c r="G139" s="18"/>
      <c r="H139" s="18"/>
      <c r="I139" s="18"/>
      <c r="J139" s="18"/>
      <c r="K139" s="18"/>
      <c r="L139" s="18"/>
      <c r="M139" s="18"/>
      <c r="N139" s="18"/>
      <c r="O139" s="18"/>
      <c r="P139" s="18"/>
      <c r="Q139" s="18"/>
      <c r="R139" s="18"/>
      <c r="S139" s="18"/>
      <c r="T139" s="18"/>
    </row>
    <row r="140" spans="1:20" hidden="1" x14ac:dyDescent="0.2">
      <c r="A140" s="29"/>
      <c r="B140" s="24"/>
      <c r="C140" s="42"/>
      <c r="D140" s="29"/>
      <c r="E140" s="37"/>
      <c r="F140" s="37"/>
      <c r="G140" s="29"/>
      <c r="H140" s="29"/>
      <c r="I140" s="29"/>
      <c r="J140" s="29"/>
      <c r="K140" s="29"/>
      <c r="L140" s="29"/>
      <c r="M140" s="29"/>
      <c r="N140" s="29"/>
      <c r="O140" s="29"/>
      <c r="P140" s="29"/>
      <c r="Q140" s="29"/>
      <c r="R140" s="29"/>
      <c r="S140" s="29"/>
      <c r="T140" s="29"/>
    </row>
    <row r="141" spans="1:20" hidden="1" x14ac:dyDescent="0.2">
      <c r="A141" s="29"/>
      <c r="B141" s="24"/>
      <c r="C141" s="38"/>
      <c r="D141" s="29"/>
      <c r="E141" s="37"/>
      <c r="F141" s="37"/>
      <c r="G141" s="29"/>
      <c r="H141" s="29"/>
      <c r="I141" s="29"/>
      <c r="J141" s="29"/>
      <c r="K141" s="29"/>
      <c r="L141" s="29"/>
      <c r="M141" s="29"/>
      <c r="N141" s="29"/>
      <c r="O141" s="29"/>
      <c r="P141" s="29"/>
      <c r="Q141" s="29"/>
      <c r="R141" s="29"/>
      <c r="S141" s="29"/>
      <c r="T141" s="29"/>
    </row>
    <row r="142" spans="1:20" hidden="1" x14ac:dyDescent="0.2">
      <c r="A142" s="29"/>
      <c r="B142" s="27"/>
      <c r="C142" s="38"/>
      <c r="D142" s="29"/>
      <c r="E142" s="42"/>
      <c r="F142" s="37"/>
      <c r="G142" s="29"/>
      <c r="H142" s="29"/>
      <c r="I142" s="29"/>
      <c r="J142" s="29"/>
      <c r="K142" s="29"/>
      <c r="L142" s="29"/>
      <c r="M142" s="29"/>
      <c r="N142" s="29"/>
      <c r="O142" s="29"/>
      <c r="P142" s="29"/>
      <c r="Q142" s="29"/>
      <c r="R142" s="29"/>
      <c r="S142" s="29"/>
      <c r="T142" s="29"/>
    </row>
    <row r="143" spans="1:20" hidden="1" x14ac:dyDescent="0.2">
      <c r="A143" s="29"/>
      <c r="B143" s="24"/>
      <c r="C143" s="38"/>
      <c r="D143" s="29"/>
      <c r="E143" s="37"/>
      <c r="F143" s="37"/>
      <c r="G143" s="29"/>
      <c r="H143" s="29"/>
      <c r="I143" s="29"/>
      <c r="J143" s="29"/>
      <c r="K143" s="29"/>
      <c r="L143" s="29"/>
      <c r="M143" s="29"/>
      <c r="N143" s="29"/>
      <c r="O143" s="29"/>
      <c r="P143" s="29"/>
      <c r="Q143" s="29"/>
      <c r="R143" s="29"/>
      <c r="S143" s="29"/>
      <c r="T143" s="29"/>
    </row>
    <row r="144" spans="1:20" hidden="1" x14ac:dyDescent="0.2">
      <c r="A144" s="29"/>
      <c r="B144" s="48" t="s">
        <v>178</v>
      </c>
      <c r="C144" s="24"/>
      <c r="D144" s="29"/>
      <c r="E144" s="29"/>
      <c r="F144" s="29"/>
      <c r="G144" s="29"/>
      <c r="H144" s="29"/>
      <c r="I144" s="29"/>
      <c r="J144" s="29"/>
      <c r="K144" s="29"/>
      <c r="L144" s="29"/>
      <c r="M144" s="29"/>
      <c r="N144" s="29"/>
      <c r="O144" s="29"/>
      <c r="P144" s="29"/>
      <c r="Q144" s="29"/>
      <c r="R144" s="29"/>
      <c r="S144" s="29"/>
      <c r="T144" s="29"/>
    </row>
    <row r="145" spans="1:20" hidden="1" x14ac:dyDescent="0.2">
      <c r="A145" s="29"/>
      <c r="B145" s="24" t="s">
        <v>96</v>
      </c>
      <c r="C145" s="31">
        <f>C25</f>
        <v>0.3</v>
      </c>
      <c r="D145" s="29"/>
      <c r="E145" s="29"/>
      <c r="F145" s="29"/>
      <c r="G145" s="29"/>
      <c r="H145" s="29"/>
      <c r="I145" s="29"/>
      <c r="J145" s="29"/>
      <c r="K145" s="29"/>
      <c r="L145" s="29"/>
      <c r="M145" s="29"/>
      <c r="N145" s="29"/>
      <c r="O145" s="29"/>
      <c r="P145" s="29"/>
      <c r="Q145" s="29"/>
      <c r="R145" s="29"/>
      <c r="S145" s="29"/>
      <c r="T145" s="29"/>
    </row>
    <row r="146" spans="1:20" hidden="1" x14ac:dyDescent="0.2">
      <c r="A146" s="29"/>
      <c r="B146" s="24" t="s">
        <v>35</v>
      </c>
      <c r="C146" s="31" t="e">
        <f>(C16*0.1604)-1.037</f>
        <v>#DIV/0!</v>
      </c>
      <c r="D146" s="29" t="s">
        <v>155</v>
      </c>
      <c r="E146" s="29"/>
      <c r="F146" s="29"/>
      <c r="G146" s="29"/>
      <c r="H146" s="29"/>
      <c r="I146" s="29"/>
      <c r="J146" s="29"/>
      <c r="K146" s="29"/>
      <c r="L146" s="29"/>
      <c r="M146" s="29"/>
      <c r="N146" s="29"/>
      <c r="O146" s="29"/>
      <c r="P146" s="29"/>
      <c r="Q146" s="29"/>
      <c r="R146" s="29"/>
      <c r="S146" s="29"/>
      <c r="T146" s="29"/>
    </row>
    <row r="147" spans="1:20" hidden="1" x14ac:dyDescent="0.2">
      <c r="A147" s="29"/>
      <c r="B147" s="24" t="s">
        <v>36</v>
      </c>
      <c r="C147" s="31" t="e">
        <f>'Baseline farm'!D189*C146</f>
        <v>#DIV/0!</v>
      </c>
      <c r="D147" s="29" t="s">
        <v>154</v>
      </c>
      <c r="E147" s="29"/>
      <c r="F147" s="29"/>
      <c r="G147" s="29"/>
      <c r="H147" s="29"/>
      <c r="I147" s="29"/>
      <c r="J147" s="29"/>
      <c r="K147" s="29"/>
      <c r="L147" s="29"/>
      <c r="M147" s="29"/>
      <c r="N147" s="29"/>
      <c r="O147" s="29"/>
      <c r="P147" s="29"/>
      <c r="Q147" s="29"/>
      <c r="R147" s="29"/>
      <c r="S147" s="29"/>
      <c r="T147" s="29"/>
    </row>
    <row r="148" spans="1:20" hidden="1" x14ac:dyDescent="0.2">
      <c r="A148" s="29"/>
      <c r="B148" s="24" t="s">
        <v>37</v>
      </c>
      <c r="C148" s="31" t="e">
        <f>(C21*C19/(C150))+(C16*(C150-C19)/C150)</f>
        <v>#DIV/0!</v>
      </c>
      <c r="D148" s="29" t="s">
        <v>186</v>
      </c>
      <c r="E148" s="29"/>
      <c r="F148" s="29"/>
      <c r="G148" s="29"/>
      <c r="H148" s="29"/>
      <c r="I148" s="29"/>
      <c r="J148" s="29"/>
      <c r="K148" s="29"/>
      <c r="L148" s="29"/>
      <c r="M148" s="29"/>
      <c r="N148" s="29"/>
      <c r="O148" s="29"/>
      <c r="P148" s="29"/>
      <c r="Q148" s="29"/>
      <c r="R148" s="29"/>
      <c r="S148" s="29"/>
      <c r="T148" s="29"/>
    </row>
    <row r="149" spans="1:20" hidden="1" x14ac:dyDescent="0.2">
      <c r="A149" s="29"/>
      <c r="B149" s="24" t="s">
        <v>511</v>
      </c>
      <c r="C149" s="31" t="e">
        <f>(C23*C19/(C150))+(C17*(C150-C19)/C150)</f>
        <v>#DIV/0!</v>
      </c>
      <c r="D149" s="29" t="s">
        <v>504</v>
      </c>
      <c r="E149" s="29"/>
      <c r="F149" s="29"/>
      <c r="G149" s="29"/>
      <c r="H149" s="29"/>
      <c r="I149" s="29"/>
      <c r="J149" s="29"/>
      <c r="K149" s="29"/>
      <c r="L149" s="29"/>
      <c r="M149" s="29"/>
      <c r="N149" s="29"/>
      <c r="O149" s="29"/>
      <c r="P149" s="29"/>
      <c r="Q149" s="29"/>
      <c r="R149" s="29"/>
      <c r="S149" s="29"/>
      <c r="T149" s="29"/>
    </row>
    <row r="150" spans="1:20" hidden="1" x14ac:dyDescent="0.2">
      <c r="A150" s="29"/>
      <c r="B150" s="24" t="s">
        <v>43</v>
      </c>
      <c r="C150" s="31" t="e">
        <f>C19+('Baseline farm'!D189-(C19*C145))</f>
        <v>#DIV/0!</v>
      </c>
      <c r="D150" s="29" t="s">
        <v>182</v>
      </c>
      <c r="E150" s="29"/>
      <c r="F150" s="29"/>
      <c r="G150" s="29"/>
      <c r="H150" s="29"/>
      <c r="I150" s="29"/>
      <c r="J150" s="29"/>
      <c r="K150" s="29"/>
      <c r="L150" s="29"/>
      <c r="M150" s="29"/>
      <c r="N150" s="29"/>
      <c r="O150" s="29"/>
      <c r="P150" s="29"/>
      <c r="Q150" s="29"/>
      <c r="R150" s="29"/>
      <c r="S150" s="29"/>
      <c r="T150" s="29"/>
    </row>
    <row r="151" spans="1:20" hidden="1" x14ac:dyDescent="0.2">
      <c r="A151" s="29"/>
      <c r="B151" s="24" t="s">
        <v>38</v>
      </c>
      <c r="C151" s="31" t="e">
        <f>C148*0.1604-1.037</f>
        <v>#DIV/0!</v>
      </c>
      <c r="D151" s="29" t="s">
        <v>157</v>
      </c>
      <c r="E151" s="29"/>
      <c r="F151" s="29"/>
      <c r="G151" s="29"/>
      <c r="H151" s="29"/>
      <c r="I151" s="29"/>
      <c r="J151" s="29"/>
      <c r="K151" s="29"/>
      <c r="L151" s="29"/>
      <c r="M151" s="29"/>
      <c r="N151" s="29"/>
      <c r="O151" s="29"/>
      <c r="P151" s="29"/>
      <c r="Q151" s="29"/>
      <c r="R151" s="29"/>
      <c r="S151" s="29"/>
      <c r="T151" s="29"/>
    </row>
    <row r="152" spans="1:20" hidden="1" x14ac:dyDescent="0.2">
      <c r="A152" s="29"/>
      <c r="B152" s="24" t="s">
        <v>39</v>
      </c>
      <c r="C152" s="31" t="e">
        <f>C150*C151</f>
        <v>#DIV/0!</v>
      </c>
      <c r="D152" s="29" t="s">
        <v>157</v>
      </c>
      <c r="E152" s="29"/>
      <c r="F152" s="29"/>
      <c r="G152" s="29"/>
      <c r="H152" s="29"/>
      <c r="I152" s="29"/>
      <c r="J152" s="29"/>
      <c r="K152" s="29"/>
      <c r="L152" s="29"/>
      <c r="M152" s="29"/>
      <c r="N152" s="29"/>
      <c r="O152" s="29"/>
      <c r="P152" s="29"/>
      <c r="Q152" s="29"/>
      <c r="R152" s="29"/>
      <c r="S152" s="29"/>
      <c r="T152" s="29"/>
    </row>
    <row r="153" spans="1:20" hidden="1" x14ac:dyDescent="0.2">
      <c r="A153" s="29"/>
      <c r="B153" s="24" t="s">
        <v>40</v>
      </c>
      <c r="C153" s="31" t="e">
        <f>C152-C147</f>
        <v>#DIV/0!</v>
      </c>
      <c r="D153" s="29" t="s">
        <v>158</v>
      </c>
      <c r="E153" s="29"/>
      <c r="F153" s="29"/>
      <c r="G153" s="29"/>
      <c r="H153" s="29"/>
      <c r="I153" s="29"/>
      <c r="J153" s="29"/>
      <c r="K153" s="29"/>
      <c r="L153" s="29"/>
      <c r="M153" s="29"/>
      <c r="N153" s="29"/>
      <c r="O153" s="29"/>
      <c r="P153" s="29"/>
      <c r="Q153" s="29"/>
      <c r="R153" s="29"/>
      <c r="S153" s="29"/>
      <c r="T153" s="29"/>
    </row>
    <row r="154" spans="1:20" hidden="1" x14ac:dyDescent="0.2">
      <c r="A154" s="29"/>
      <c r="B154" s="24" t="s">
        <v>70</v>
      </c>
      <c r="C154" s="31" t="e">
        <f>C153/5.5</f>
        <v>#DIV/0!</v>
      </c>
      <c r="D154" s="29" t="s">
        <v>146</v>
      </c>
      <c r="E154" s="29"/>
      <c r="F154" s="29"/>
      <c r="G154" s="29"/>
      <c r="H154" s="29"/>
      <c r="I154" s="29"/>
      <c r="J154" s="29"/>
      <c r="K154" s="29"/>
      <c r="L154" s="29"/>
      <c r="M154" s="29"/>
      <c r="N154" s="29"/>
      <c r="O154" s="29"/>
      <c r="P154" s="29"/>
      <c r="Q154" s="29"/>
      <c r="R154" s="29"/>
      <c r="S154" s="29"/>
      <c r="T154" s="29"/>
    </row>
    <row r="155" spans="1:20" hidden="1" x14ac:dyDescent="0.2">
      <c r="A155" s="29"/>
      <c r="B155" s="24" t="s">
        <v>44</v>
      </c>
      <c r="C155" s="31" t="e">
        <f>C154+(C14*C15/365)</f>
        <v>#DIV/0!</v>
      </c>
      <c r="D155" s="29" t="s">
        <v>159</v>
      </c>
      <c r="E155" s="29"/>
      <c r="F155" s="29"/>
      <c r="G155" s="29"/>
      <c r="H155" s="29"/>
      <c r="I155" s="29"/>
      <c r="J155" s="29"/>
      <c r="K155" s="29"/>
      <c r="L155" s="29"/>
      <c r="M155" s="29"/>
      <c r="N155" s="29"/>
      <c r="O155" s="29"/>
      <c r="P155" s="29"/>
      <c r="Q155" s="29"/>
      <c r="R155" s="29"/>
      <c r="S155" s="29"/>
      <c r="T155" s="29"/>
    </row>
    <row r="156" spans="1:20" s="559" customFormat="1" ht="15" hidden="1" x14ac:dyDescent="0.25">
      <c r="A156" s="18"/>
      <c r="B156" s="24" t="s">
        <v>832</v>
      </c>
      <c r="C156" s="31" t="e">
        <f>(C154*C11*C27)*(0.2534+(0.1226*'Baseline farm'!P172)+(0.0776*'Baseline farm'!P173))</f>
        <v>#DIV/0!</v>
      </c>
      <c r="D156" s="29"/>
      <c r="E156" s="18"/>
      <c r="F156" s="18"/>
      <c r="G156" s="18"/>
      <c r="H156" s="18"/>
      <c r="I156" s="18"/>
      <c r="J156" s="18"/>
      <c r="K156" s="18"/>
      <c r="L156" s="18"/>
      <c r="M156" s="18"/>
      <c r="N156" s="18"/>
      <c r="O156" s="18"/>
      <c r="P156" s="18"/>
      <c r="Q156" s="18"/>
      <c r="R156" s="18"/>
      <c r="S156" s="18"/>
      <c r="T156" s="18"/>
    </row>
    <row r="157" spans="1:20" s="559" customFormat="1" ht="15" hidden="1" x14ac:dyDescent="0.25">
      <c r="A157" s="18"/>
      <c r="B157" s="24" t="s">
        <v>833</v>
      </c>
      <c r="C157" s="31" t="e">
        <f>C156/365</f>
        <v>#DIV/0!</v>
      </c>
      <c r="D157" s="29"/>
      <c r="E157" s="18"/>
      <c r="F157" s="18"/>
      <c r="G157" s="18"/>
      <c r="H157" s="18"/>
      <c r="I157" s="18"/>
      <c r="J157" s="18"/>
      <c r="K157" s="18"/>
      <c r="L157" s="18"/>
      <c r="M157" s="18"/>
      <c r="N157" s="18"/>
      <c r="O157" s="18"/>
      <c r="P157" s="18"/>
      <c r="Q157" s="18"/>
      <c r="R157" s="18"/>
      <c r="S157" s="18"/>
      <c r="T157" s="18"/>
    </row>
    <row r="158" spans="1:20" s="559" customFormat="1" ht="15" hidden="1" x14ac:dyDescent="0.25">
      <c r="A158" s="18"/>
      <c r="B158" s="24" t="s">
        <v>834</v>
      </c>
      <c r="C158" s="31" t="e">
        <f>C157/C11</f>
        <v>#DIV/0!</v>
      </c>
      <c r="D158" s="29"/>
      <c r="E158" s="18"/>
      <c r="F158" s="18"/>
      <c r="G158" s="18"/>
      <c r="H158" s="18"/>
      <c r="I158" s="18"/>
      <c r="J158" s="18"/>
      <c r="K158" s="18"/>
      <c r="L158" s="18"/>
      <c r="M158" s="18"/>
      <c r="N158" s="18"/>
      <c r="O158" s="18"/>
      <c r="P158" s="18"/>
      <c r="Q158" s="18"/>
      <c r="R158" s="18"/>
      <c r="S158" s="18"/>
      <c r="T158" s="18"/>
    </row>
    <row r="159" spans="1:20" hidden="1" x14ac:dyDescent="0.2">
      <c r="A159" s="29"/>
      <c r="B159" s="24"/>
      <c r="C159" s="38"/>
      <c r="D159" s="29"/>
      <c r="E159" s="37"/>
      <c r="F159" s="37"/>
      <c r="G159" s="29"/>
      <c r="H159" s="29"/>
      <c r="I159" s="29"/>
      <c r="J159" s="29"/>
      <c r="K159" s="29"/>
      <c r="L159" s="29"/>
      <c r="M159" s="29"/>
      <c r="N159" s="29"/>
      <c r="O159" s="29"/>
      <c r="P159" s="29"/>
      <c r="Q159" s="29"/>
      <c r="R159" s="29"/>
      <c r="S159" s="29"/>
      <c r="T159" s="29"/>
    </row>
    <row r="160" spans="1:20" hidden="1" x14ac:dyDescent="0.2">
      <c r="A160" s="29"/>
      <c r="B160" s="24"/>
      <c r="C160" s="38"/>
      <c r="D160" s="29"/>
      <c r="E160" s="37"/>
      <c r="F160" s="37"/>
      <c r="G160" s="29"/>
      <c r="H160" s="29"/>
      <c r="I160" s="29"/>
      <c r="J160" s="29"/>
      <c r="K160" s="29"/>
      <c r="L160" s="29"/>
      <c r="M160" s="29"/>
      <c r="N160" s="29"/>
      <c r="O160" s="29"/>
      <c r="P160" s="29"/>
      <c r="Q160" s="29"/>
      <c r="R160" s="29"/>
      <c r="S160" s="29"/>
      <c r="T160" s="29"/>
    </row>
    <row r="161" spans="1:20" hidden="1" x14ac:dyDescent="0.2">
      <c r="A161" s="29"/>
      <c r="B161" s="27"/>
      <c r="C161" s="38"/>
      <c r="D161" s="29"/>
      <c r="E161" s="37"/>
      <c r="F161" s="37"/>
      <c r="G161" s="29"/>
      <c r="H161" s="29"/>
      <c r="I161" s="29"/>
      <c r="J161" s="29"/>
      <c r="K161" s="29"/>
      <c r="L161" s="29"/>
      <c r="M161" s="29"/>
      <c r="N161" s="29"/>
      <c r="O161" s="29"/>
      <c r="P161" s="29"/>
      <c r="Q161" s="29"/>
      <c r="R161" s="29"/>
      <c r="S161" s="29"/>
      <c r="T161" s="29"/>
    </row>
    <row r="162" spans="1:20" s="559" customFormat="1" ht="15" hidden="1" x14ac:dyDescent="0.25">
      <c r="A162" s="18"/>
      <c r="B162" s="27" t="s">
        <v>177</v>
      </c>
      <c r="C162" s="29"/>
      <c r="D162" s="29"/>
      <c r="E162" s="18"/>
      <c r="F162" s="18"/>
      <c r="G162" s="18"/>
      <c r="H162" s="18"/>
      <c r="I162" s="18"/>
      <c r="J162" s="18"/>
      <c r="K162" s="18"/>
      <c r="L162" s="18"/>
      <c r="M162" s="18"/>
      <c r="N162" s="18"/>
      <c r="O162" s="18"/>
      <c r="P162" s="18"/>
      <c r="Q162" s="18"/>
      <c r="R162" s="18"/>
      <c r="S162" s="18"/>
      <c r="T162" s="18"/>
    </row>
    <row r="163" spans="1:20" s="559" customFormat="1" ht="15" hidden="1" x14ac:dyDescent="0.25">
      <c r="A163" s="18"/>
      <c r="B163" s="24" t="s">
        <v>213</v>
      </c>
      <c r="C163" s="31" t="e">
        <f>C400</f>
        <v>#DIV/0!</v>
      </c>
      <c r="D163" s="29"/>
      <c r="E163" s="42"/>
      <c r="F163" s="157"/>
      <c r="G163" s="18"/>
      <c r="H163" s="18"/>
      <c r="I163" s="18"/>
      <c r="J163" s="18"/>
      <c r="K163" s="18"/>
      <c r="L163" s="18"/>
      <c r="M163" s="18"/>
      <c r="N163" s="18"/>
      <c r="O163" s="18"/>
      <c r="P163" s="18"/>
      <c r="Q163" s="18"/>
      <c r="R163" s="18"/>
      <c r="S163" s="18"/>
      <c r="T163" s="18"/>
    </row>
    <row r="164" spans="1:20" s="559" customFormat="1" ht="15" hidden="1" x14ac:dyDescent="0.25">
      <c r="A164" s="18"/>
      <c r="B164" s="24" t="s">
        <v>837</v>
      </c>
      <c r="C164" s="31">
        <f>'Baseline farm'!P176</f>
        <v>0</v>
      </c>
      <c r="D164" s="29"/>
      <c r="E164" s="45"/>
      <c r="F164" s="157"/>
      <c r="G164" s="18"/>
      <c r="H164" s="18"/>
      <c r="I164" s="18"/>
      <c r="J164" s="18"/>
      <c r="K164" s="18"/>
      <c r="L164" s="18"/>
      <c r="M164" s="18"/>
      <c r="N164" s="18"/>
      <c r="O164" s="18"/>
      <c r="P164" s="18"/>
      <c r="Q164" s="18"/>
      <c r="R164" s="18"/>
      <c r="S164" s="18"/>
      <c r="T164" s="18"/>
    </row>
    <row r="165" spans="1:20" s="559" customFormat="1" ht="15" hidden="1" x14ac:dyDescent="0.25">
      <c r="A165" s="18"/>
      <c r="B165" s="24" t="s">
        <v>214</v>
      </c>
      <c r="C165" s="31" t="e">
        <f>C163*1000/C164</f>
        <v>#DIV/0!</v>
      </c>
      <c r="D165" s="29"/>
      <c r="E165" s="18"/>
      <c r="F165" s="18"/>
      <c r="G165" s="18"/>
      <c r="H165" s="18"/>
      <c r="I165" s="18"/>
      <c r="J165" s="18"/>
      <c r="K165" s="18"/>
      <c r="L165" s="18"/>
      <c r="M165" s="18"/>
      <c r="N165" s="18"/>
      <c r="O165" s="18"/>
      <c r="P165" s="18"/>
      <c r="Q165" s="18"/>
      <c r="R165" s="18"/>
      <c r="S165" s="18"/>
      <c r="T165" s="18"/>
    </row>
    <row r="166" spans="1:20" s="559" customFormat="1" ht="15" hidden="1" x14ac:dyDescent="0.25">
      <c r="A166" s="18"/>
      <c r="B166" s="24" t="s">
        <v>215</v>
      </c>
      <c r="C166" s="31" t="e">
        <f>C407</f>
        <v>#DIV/0!</v>
      </c>
      <c r="D166" s="29"/>
      <c r="E166" s="18"/>
      <c r="F166" s="18"/>
      <c r="G166" s="18"/>
      <c r="H166" s="18"/>
      <c r="I166" s="18"/>
      <c r="J166" s="18"/>
      <c r="K166" s="18"/>
      <c r="L166" s="18"/>
      <c r="M166" s="18"/>
      <c r="N166" s="18"/>
      <c r="O166" s="18"/>
      <c r="P166" s="18"/>
      <c r="Q166" s="18"/>
      <c r="R166" s="18"/>
      <c r="S166" s="18"/>
      <c r="T166" s="18"/>
    </row>
    <row r="167" spans="1:20" s="559" customFormat="1" ht="15" hidden="1" x14ac:dyDescent="0.25">
      <c r="A167" s="18"/>
      <c r="B167" s="24" t="s">
        <v>838</v>
      </c>
      <c r="C167" s="517" t="e">
        <f>C164+C156</f>
        <v>#DIV/0!</v>
      </c>
      <c r="D167" s="29"/>
      <c r="E167" s="301"/>
      <c r="F167" s="18"/>
      <c r="G167" s="18"/>
      <c r="H167" s="18"/>
      <c r="I167" s="18"/>
      <c r="J167" s="18"/>
      <c r="K167" s="18"/>
      <c r="L167" s="18"/>
      <c r="M167" s="18"/>
      <c r="N167" s="18"/>
      <c r="O167" s="18"/>
      <c r="P167" s="18"/>
      <c r="Q167" s="18"/>
      <c r="R167" s="18"/>
      <c r="S167" s="18"/>
      <c r="T167" s="18"/>
    </row>
    <row r="168" spans="1:20" s="559" customFormat="1" ht="15" hidden="1" x14ac:dyDescent="0.25">
      <c r="A168" s="18"/>
      <c r="B168" s="24" t="s">
        <v>839</v>
      </c>
      <c r="C168" s="31" t="e">
        <f>C166*1000/C167</f>
        <v>#DIV/0!</v>
      </c>
      <c r="D168" s="29"/>
      <c r="E168" s="301"/>
      <c r="F168" s="18"/>
      <c r="G168" s="18"/>
      <c r="H168" s="18"/>
      <c r="I168" s="18"/>
      <c r="J168" s="18"/>
      <c r="K168" s="18"/>
      <c r="L168" s="18"/>
      <c r="M168" s="18"/>
      <c r="N168" s="18"/>
      <c r="O168" s="18"/>
      <c r="P168" s="18"/>
      <c r="Q168" s="18"/>
      <c r="R168" s="18"/>
      <c r="S168" s="18"/>
      <c r="T168" s="18"/>
    </row>
    <row r="169" spans="1:20" s="559" customFormat="1" ht="15" hidden="1" x14ac:dyDescent="0.25">
      <c r="A169" s="18"/>
      <c r="B169" s="24" t="s">
        <v>840</v>
      </c>
      <c r="C169" s="522" t="e">
        <f>C165-C168</f>
        <v>#DIV/0!</v>
      </c>
      <c r="D169" s="18"/>
      <c r="E169" s="18"/>
      <c r="F169" s="18"/>
      <c r="G169" s="18"/>
      <c r="H169" s="18"/>
      <c r="I169" s="18"/>
      <c r="J169" s="18"/>
      <c r="K169" s="18"/>
      <c r="L169" s="18"/>
      <c r="M169" s="18"/>
      <c r="N169" s="18"/>
      <c r="O169" s="18"/>
      <c r="P169" s="18"/>
      <c r="Q169" s="18"/>
      <c r="R169" s="18"/>
      <c r="S169" s="18"/>
      <c r="T169" s="18"/>
    </row>
    <row r="170" spans="1:20" s="559" customFormat="1" ht="15" hidden="1" x14ac:dyDescent="0.25">
      <c r="A170" s="18"/>
      <c r="B170" s="24"/>
      <c r="C170" s="18"/>
      <c r="D170" s="18"/>
      <c r="E170" s="18"/>
      <c r="F170" s="18"/>
      <c r="G170" s="18"/>
      <c r="H170" s="18"/>
      <c r="I170" s="18"/>
      <c r="J170" s="18"/>
      <c r="K170" s="18"/>
      <c r="L170" s="18"/>
      <c r="M170" s="18"/>
      <c r="N170" s="18"/>
      <c r="O170" s="18"/>
      <c r="P170" s="18"/>
      <c r="Q170" s="18"/>
      <c r="R170" s="18"/>
      <c r="S170" s="18"/>
      <c r="T170" s="18"/>
    </row>
    <row r="171" spans="1:20" ht="15" hidden="1" customHeight="1" x14ac:dyDescent="0.2">
      <c r="A171" s="29"/>
      <c r="B171" s="27" t="s">
        <v>219</v>
      </c>
      <c r="C171" s="29"/>
      <c r="D171" s="29"/>
      <c r="E171" s="29"/>
      <c r="F171" s="29"/>
      <c r="G171" s="29"/>
      <c r="H171" s="29"/>
      <c r="I171" s="29"/>
      <c r="J171" s="29"/>
      <c r="K171" s="29"/>
      <c r="L171" s="29"/>
      <c r="M171" s="29"/>
      <c r="N171" s="29"/>
      <c r="O171" s="29"/>
      <c r="P171" s="29"/>
      <c r="Q171" s="29"/>
      <c r="R171" s="29"/>
      <c r="S171" s="29"/>
      <c r="T171" s="29"/>
    </row>
    <row r="172" spans="1:20" ht="15" hidden="1" customHeight="1" x14ac:dyDescent="0.2">
      <c r="A172" s="29"/>
      <c r="B172" s="24" t="s">
        <v>840</v>
      </c>
      <c r="C172" s="49" t="e">
        <f>C169</f>
        <v>#DIV/0!</v>
      </c>
      <c r="D172" s="29"/>
      <c r="E172" s="29"/>
      <c r="F172" s="29"/>
      <c r="G172" s="29"/>
      <c r="H172" s="29"/>
      <c r="I172" s="29"/>
      <c r="J172" s="29"/>
      <c r="K172" s="29"/>
      <c r="L172" s="29"/>
      <c r="M172" s="29"/>
      <c r="N172" s="29"/>
      <c r="O172" s="29"/>
      <c r="P172" s="29"/>
      <c r="Q172" s="29"/>
      <c r="R172" s="29"/>
      <c r="S172" s="29"/>
      <c r="T172" s="29"/>
    </row>
    <row r="173" spans="1:20" ht="15" hidden="1" customHeight="1" x14ac:dyDescent="0.2">
      <c r="A173" s="29"/>
      <c r="B173" s="29" t="s">
        <v>841</v>
      </c>
      <c r="C173" s="51" t="e">
        <f>C167</f>
        <v>#DIV/0!</v>
      </c>
      <c r="D173" s="29"/>
      <c r="E173" s="29"/>
      <c r="F173" s="29"/>
      <c r="G173" s="29"/>
      <c r="H173" s="29"/>
      <c r="I173" s="29"/>
      <c r="J173" s="29"/>
      <c r="K173" s="29"/>
      <c r="L173" s="29"/>
      <c r="M173" s="29"/>
      <c r="N173" s="29"/>
      <c r="O173" s="29"/>
      <c r="P173" s="29"/>
      <c r="Q173" s="29"/>
      <c r="R173" s="29"/>
      <c r="S173" s="29"/>
      <c r="T173" s="29"/>
    </row>
    <row r="174" spans="1:20" s="559" customFormat="1" ht="15" hidden="1" x14ac:dyDescent="0.25">
      <c r="A174" s="18"/>
      <c r="B174" s="29" t="s">
        <v>878</v>
      </c>
      <c r="C174" s="515" t="e">
        <f>C173*C172</f>
        <v>#DIV/0!</v>
      </c>
      <c r="D174" s="515"/>
      <c r="E174" s="29"/>
      <c r="F174" s="18"/>
      <c r="G174" s="18"/>
      <c r="H174" s="18"/>
      <c r="I174" s="18"/>
      <c r="J174" s="18"/>
      <c r="K174" s="18"/>
      <c r="L174" s="18"/>
      <c r="M174" s="18"/>
      <c r="N174" s="18"/>
      <c r="O174" s="18"/>
      <c r="P174" s="18"/>
      <c r="Q174" s="18"/>
      <c r="R174" s="18"/>
      <c r="S174" s="18"/>
      <c r="T174" s="18"/>
    </row>
    <row r="175" spans="1:20" s="559" customFormat="1" ht="15" hidden="1" x14ac:dyDescent="0.25">
      <c r="A175" s="18"/>
      <c r="B175" s="29" t="s">
        <v>879</v>
      </c>
      <c r="C175" s="515" t="e">
        <f>C174/365</f>
        <v>#DIV/0!</v>
      </c>
      <c r="D175" s="515"/>
      <c r="E175" s="29"/>
      <c r="F175" s="18"/>
      <c r="G175" s="18"/>
      <c r="H175" s="18"/>
      <c r="I175" s="18"/>
      <c r="J175" s="18"/>
      <c r="K175" s="18"/>
      <c r="L175" s="18"/>
      <c r="M175" s="18"/>
      <c r="N175" s="18"/>
      <c r="O175" s="18"/>
      <c r="P175" s="18"/>
      <c r="Q175" s="18"/>
      <c r="R175" s="18"/>
      <c r="S175" s="18"/>
      <c r="T175" s="18"/>
    </row>
    <row r="176" spans="1:20" s="559" customFormat="1" ht="15" hidden="1" x14ac:dyDescent="0.25">
      <c r="A176" s="18"/>
      <c r="B176" s="29" t="s">
        <v>880</v>
      </c>
      <c r="C176" s="515">
        <f>C27</f>
        <v>90</v>
      </c>
      <c r="D176" s="515"/>
      <c r="E176" s="29"/>
      <c r="F176" s="18"/>
      <c r="G176" s="18"/>
      <c r="H176" s="18"/>
      <c r="I176" s="18"/>
      <c r="J176" s="18"/>
      <c r="K176" s="18"/>
      <c r="L176" s="18"/>
      <c r="M176" s="18"/>
      <c r="N176" s="18"/>
      <c r="O176" s="18"/>
      <c r="P176" s="18"/>
      <c r="Q176" s="18"/>
      <c r="R176" s="18"/>
      <c r="S176" s="18"/>
      <c r="T176" s="18"/>
    </row>
    <row r="177" spans="1:20" s="559" customFormat="1" ht="15" hidden="1" x14ac:dyDescent="0.25">
      <c r="A177" s="18"/>
      <c r="B177" s="29" t="s">
        <v>881</v>
      </c>
      <c r="C177" s="515" t="e">
        <f>C176*C175</f>
        <v>#DIV/0!</v>
      </c>
      <c r="D177" s="515"/>
      <c r="E177" s="29"/>
      <c r="F177" s="18"/>
      <c r="G177" s="18"/>
      <c r="H177" s="18"/>
      <c r="I177" s="18"/>
      <c r="J177" s="18"/>
      <c r="K177" s="18"/>
      <c r="L177" s="18"/>
      <c r="M177" s="18"/>
      <c r="N177" s="18"/>
      <c r="O177" s="18"/>
      <c r="P177" s="18"/>
      <c r="Q177" s="18"/>
      <c r="R177" s="18"/>
      <c r="S177" s="18"/>
      <c r="T177" s="18"/>
    </row>
    <row r="178" spans="1:20" s="559" customFormat="1" ht="15" hidden="1" x14ac:dyDescent="0.25">
      <c r="A178" s="18"/>
      <c r="B178" s="29" t="s">
        <v>226</v>
      </c>
      <c r="C178" s="53">
        <f>C35</f>
        <v>6</v>
      </c>
      <c r="D178" s="53"/>
      <c r="E178" s="29"/>
      <c r="F178" s="18"/>
      <c r="G178" s="18"/>
      <c r="H178" s="18"/>
      <c r="I178" s="18"/>
      <c r="J178" s="18"/>
      <c r="K178" s="18"/>
      <c r="L178" s="18"/>
      <c r="M178" s="18"/>
      <c r="N178" s="18"/>
      <c r="O178" s="18"/>
      <c r="P178" s="18"/>
      <c r="Q178" s="18"/>
      <c r="R178" s="18"/>
      <c r="S178" s="18"/>
      <c r="T178" s="18"/>
    </row>
    <row r="179" spans="1:20" s="559" customFormat="1" ht="15" hidden="1" x14ac:dyDescent="0.25">
      <c r="A179" s="18"/>
      <c r="B179" s="29" t="s">
        <v>228</v>
      </c>
      <c r="C179" s="54" t="e">
        <f>IF((C177/1000*C178)&lt;0,0,(C177/1000*C178))</f>
        <v>#DIV/0!</v>
      </c>
      <c r="D179" s="54"/>
      <c r="E179" s="29"/>
      <c r="F179" s="18"/>
      <c r="G179" s="18"/>
      <c r="H179" s="18"/>
      <c r="I179" s="18"/>
      <c r="J179" s="18"/>
      <c r="K179" s="18"/>
      <c r="L179" s="18"/>
      <c r="M179" s="18"/>
      <c r="N179" s="18"/>
      <c r="O179" s="18"/>
      <c r="P179" s="18"/>
      <c r="Q179" s="18"/>
      <c r="R179" s="18"/>
      <c r="S179" s="18"/>
      <c r="T179" s="18"/>
    </row>
    <row r="180" spans="1:20" ht="15" hidden="1" customHeight="1" x14ac:dyDescent="0.2">
      <c r="A180" s="29"/>
      <c r="B180" s="29"/>
      <c r="C180" s="51"/>
      <c r="D180" s="29"/>
      <c r="E180" s="29"/>
      <c r="F180" s="29"/>
      <c r="G180" s="29"/>
      <c r="H180" s="29"/>
      <c r="I180" s="29"/>
      <c r="J180" s="29"/>
      <c r="K180" s="29"/>
      <c r="L180" s="29"/>
      <c r="M180" s="29"/>
      <c r="N180" s="29"/>
      <c r="O180" s="29"/>
      <c r="P180" s="29"/>
      <c r="Q180" s="29"/>
      <c r="R180" s="29"/>
      <c r="S180" s="29"/>
      <c r="T180" s="29"/>
    </row>
    <row r="181" spans="1:20" ht="15" hidden="1" customHeight="1" x14ac:dyDescent="0.2">
      <c r="A181" s="29"/>
      <c r="B181" s="29"/>
      <c r="C181" s="37"/>
      <c r="D181" s="29"/>
      <c r="E181" s="29"/>
      <c r="F181" s="29"/>
      <c r="G181" s="29"/>
      <c r="H181" s="29"/>
      <c r="I181" s="29"/>
      <c r="J181" s="29"/>
      <c r="K181" s="29"/>
      <c r="L181" s="29"/>
      <c r="M181" s="29"/>
      <c r="N181" s="29"/>
      <c r="O181" s="29"/>
      <c r="P181" s="29"/>
      <c r="Q181" s="29"/>
      <c r="R181" s="29"/>
      <c r="S181" s="29"/>
      <c r="T181" s="29"/>
    </row>
    <row r="182" spans="1:20" s="559" customFormat="1" ht="15" hidden="1" x14ac:dyDescent="0.25">
      <c r="A182" s="20"/>
      <c r="B182" s="27" t="s">
        <v>170</v>
      </c>
      <c r="C182" s="164"/>
      <c r="D182" s="164"/>
      <c r="E182" s="20"/>
      <c r="F182" s="20"/>
      <c r="G182" s="20"/>
      <c r="H182" s="20"/>
      <c r="I182" s="20"/>
      <c r="J182" s="20"/>
      <c r="K182" s="20"/>
      <c r="L182" s="20"/>
      <c r="M182" s="20"/>
      <c r="N182" s="20"/>
      <c r="O182" s="20"/>
      <c r="P182" s="20"/>
      <c r="Q182" s="20"/>
      <c r="R182" s="20"/>
      <c r="S182" s="20"/>
      <c r="T182" s="20"/>
    </row>
    <row r="183" spans="1:20" s="559" customFormat="1" ht="15" hidden="1" x14ac:dyDescent="0.25">
      <c r="A183" s="20"/>
      <c r="B183" s="27" t="s">
        <v>479</v>
      </c>
      <c r="C183" s="164"/>
      <c r="D183" s="164"/>
      <c r="E183" s="20"/>
      <c r="F183" s="20"/>
      <c r="G183" s="20"/>
      <c r="H183" s="20"/>
      <c r="I183" s="20"/>
      <c r="J183" s="20"/>
      <c r="K183" s="20"/>
      <c r="L183" s="20"/>
      <c r="M183" s="20"/>
      <c r="N183" s="20"/>
      <c r="O183" s="20"/>
      <c r="P183" s="20"/>
      <c r="Q183" s="20"/>
      <c r="R183" s="20"/>
      <c r="S183" s="20"/>
      <c r="T183" s="20"/>
    </row>
    <row r="184" spans="1:20" s="559" customFormat="1" ht="15" hidden="1" x14ac:dyDescent="0.25">
      <c r="A184" s="20"/>
      <c r="B184" s="24" t="s">
        <v>11</v>
      </c>
      <c r="C184" s="218" t="e">
        <f>'Baseline farm'!D222</f>
        <v>#DIV/0!</v>
      </c>
      <c r="D184" s="164"/>
      <c r="E184" s="20"/>
      <c r="F184" s="20"/>
      <c r="G184" s="20"/>
      <c r="H184" s="20"/>
      <c r="I184" s="20"/>
      <c r="J184" s="20"/>
      <c r="K184" s="20"/>
      <c r="L184" s="20"/>
      <c r="M184" s="20"/>
      <c r="N184" s="20"/>
      <c r="O184" s="20"/>
      <c r="P184" s="20"/>
      <c r="Q184" s="20"/>
      <c r="R184" s="20"/>
      <c r="S184" s="20"/>
      <c r="T184" s="20"/>
    </row>
    <row r="185" spans="1:20" s="559" customFormat="1" ht="15" hidden="1" x14ac:dyDescent="0.25">
      <c r="A185" s="20"/>
      <c r="B185" s="164"/>
      <c r="C185" s="164"/>
      <c r="D185" s="164"/>
      <c r="E185" s="20"/>
      <c r="F185" s="20"/>
      <c r="G185" s="20"/>
      <c r="H185" s="20"/>
      <c r="I185" s="20"/>
      <c r="J185" s="20"/>
      <c r="K185" s="20"/>
      <c r="L185" s="20"/>
      <c r="M185" s="20"/>
      <c r="N185" s="20"/>
      <c r="O185" s="20"/>
      <c r="P185" s="20"/>
      <c r="Q185" s="20"/>
      <c r="R185" s="20"/>
      <c r="S185" s="20"/>
      <c r="T185" s="20"/>
    </row>
    <row r="186" spans="1:20" s="559" customFormat="1" ht="15" hidden="1" x14ac:dyDescent="0.25">
      <c r="A186" s="20"/>
      <c r="B186" s="24" t="s">
        <v>12</v>
      </c>
      <c r="C186" s="32">
        <f>C11</f>
        <v>0</v>
      </c>
      <c r="D186" s="29"/>
      <c r="E186" s="20"/>
      <c r="F186" s="20"/>
      <c r="G186" s="20"/>
      <c r="H186" s="20"/>
      <c r="I186" s="20"/>
      <c r="J186" s="20"/>
      <c r="K186" s="20"/>
      <c r="L186" s="20"/>
      <c r="M186" s="20"/>
      <c r="N186" s="20"/>
      <c r="O186" s="20"/>
      <c r="P186" s="20"/>
      <c r="Q186" s="20"/>
      <c r="R186" s="20"/>
      <c r="S186" s="20"/>
      <c r="T186" s="20"/>
    </row>
    <row r="187" spans="1:20" s="559" customFormat="1" ht="15" hidden="1" x14ac:dyDescent="0.25">
      <c r="A187" s="20"/>
      <c r="B187" s="24" t="s">
        <v>13</v>
      </c>
      <c r="C187" s="44" t="e">
        <f>C184*C186*365</f>
        <v>#DIV/0!</v>
      </c>
      <c r="D187" s="29" t="s">
        <v>216</v>
      </c>
      <c r="E187" s="20"/>
      <c r="F187" s="20"/>
      <c r="G187" s="20"/>
      <c r="H187" s="20"/>
      <c r="I187" s="20"/>
      <c r="J187" s="20"/>
      <c r="K187" s="20"/>
      <c r="L187" s="20"/>
      <c r="M187" s="20"/>
      <c r="N187" s="20"/>
      <c r="O187" s="20"/>
      <c r="P187" s="20"/>
      <c r="Q187" s="20"/>
      <c r="R187" s="20"/>
      <c r="S187" s="20"/>
      <c r="T187" s="20"/>
    </row>
    <row r="188" spans="1:20" s="559" customFormat="1" ht="15" hidden="1" x14ac:dyDescent="0.25">
      <c r="A188" s="20"/>
      <c r="B188" s="27" t="s">
        <v>14</v>
      </c>
      <c r="C188" s="45" t="e">
        <f>C187*25/1000</f>
        <v>#DIV/0!</v>
      </c>
      <c r="D188" s="29"/>
      <c r="E188" s="20"/>
      <c r="F188" s="20"/>
      <c r="G188" s="20"/>
      <c r="H188" s="20"/>
      <c r="I188" s="20"/>
      <c r="J188" s="20"/>
      <c r="K188" s="20"/>
      <c r="L188" s="20"/>
      <c r="M188" s="20"/>
      <c r="N188" s="20"/>
      <c r="O188" s="20"/>
      <c r="P188" s="20"/>
      <c r="Q188" s="20"/>
      <c r="R188" s="20"/>
      <c r="S188" s="20"/>
      <c r="T188" s="20"/>
    </row>
    <row r="189" spans="1:20" s="559" customFormat="1" ht="15" hidden="1" x14ac:dyDescent="0.25">
      <c r="A189" s="20"/>
      <c r="B189" s="164"/>
      <c r="C189" s="164"/>
      <c r="D189" s="164"/>
      <c r="E189" s="20"/>
      <c r="F189" s="20"/>
      <c r="G189" s="20"/>
      <c r="H189" s="20"/>
      <c r="I189" s="20"/>
      <c r="J189" s="20"/>
      <c r="K189" s="20"/>
      <c r="L189" s="20"/>
      <c r="M189" s="20"/>
      <c r="N189" s="20"/>
      <c r="O189" s="20"/>
      <c r="P189" s="20"/>
      <c r="Q189" s="20"/>
      <c r="R189" s="20"/>
      <c r="S189" s="20"/>
      <c r="T189" s="20"/>
    </row>
    <row r="190" spans="1:20" s="559" customFormat="1" ht="15" hidden="1" x14ac:dyDescent="0.25">
      <c r="A190" s="20"/>
      <c r="B190" s="164"/>
      <c r="C190" s="164"/>
      <c r="D190" s="164"/>
      <c r="E190" s="20"/>
      <c r="F190" s="20"/>
      <c r="G190" s="20"/>
      <c r="H190" s="20"/>
      <c r="I190" s="20"/>
      <c r="J190" s="20"/>
      <c r="K190" s="20"/>
      <c r="L190" s="20"/>
      <c r="M190" s="20"/>
      <c r="N190" s="20"/>
      <c r="O190" s="20"/>
      <c r="P190" s="20"/>
      <c r="Q190" s="20"/>
      <c r="R190" s="20"/>
      <c r="S190" s="20"/>
      <c r="T190" s="20"/>
    </row>
    <row r="191" spans="1:20" s="559" customFormat="1" ht="15" hidden="1" x14ac:dyDescent="0.25">
      <c r="A191" s="20"/>
      <c r="B191" s="48" t="s">
        <v>171</v>
      </c>
      <c r="C191" s="164"/>
      <c r="D191" s="164"/>
      <c r="E191" s="20"/>
      <c r="F191" s="20"/>
      <c r="G191" s="20"/>
      <c r="H191" s="20"/>
      <c r="I191" s="20"/>
      <c r="J191" s="20"/>
      <c r="K191" s="20"/>
      <c r="L191" s="20"/>
      <c r="M191" s="20"/>
      <c r="N191" s="20"/>
      <c r="O191" s="20"/>
      <c r="P191" s="20"/>
      <c r="Q191" s="20"/>
      <c r="R191" s="20"/>
      <c r="S191" s="20"/>
      <c r="T191" s="20"/>
    </row>
    <row r="192" spans="1:20" s="559" customFormat="1" ht="15" hidden="1" x14ac:dyDescent="0.25">
      <c r="A192" s="20"/>
      <c r="B192" s="27" t="s">
        <v>479</v>
      </c>
      <c r="C192" s="164"/>
      <c r="D192" s="164"/>
      <c r="E192" s="20"/>
      <c r="F192" s="20"/>
      <c r="G192" s="20"/>
      <c r="H192" s="20"/>
      <c r="I192" s="20"/>
      <c r="J192" s="20"/>
      <c r="K192" s="20"/>
      <c r="L192" s="20"/>
      <c r="M192" s="20"/>
      <c r="N192" s="20"/>
      <c r="O192" s="20"/>
      <c r="P192" s="20"/>
      <c r="Q192" s="20"/>
      <c r="R192" s="20"/>
      <c r="S192" s="20"/>
      <c r="T192" s="20"/>
    </row>
    <row r="193" spans="1:20" s="559" customFormat="1" ht="15" hidden="1" x14ac:dyDescent="0.25">
      <c r="A193" s="20"/>
      <c r="B193" s="164"/>
      <c r="C193" s="164"/>
      <c r="D193" s="164"/>
      <c r="E193" s="20"/>
      <c r="F193" s="20"/>
      <c r="G193" s="20"/>
      <c r="H193" s="20"/>
      <c r="I193" s="20"/>
      <c r="J193" s="20"/>
      <c r="K193" s="20"/>
      <c r="L193" s="20"/>
      <c r="M193" s="20"/>
      <c r="N193" s="20"/>
      <c r="O193" s="20"/>
      <c r="P193" s="20"/>
      <c r="Q193" s="20"/>
      <c r="R193" s="20"/>
      <c r="S193" s="20"/>
      <c r="T193" s="20"/>
    </row>
    <row r="194" spans="1:20" s="559" customFormat="1" ht="15" hidden="1" x14ac:dyDescent="0.25">
      <c r="A194" s="20"/>
      <c r="B194" s="219" t="s">
        <v>1553</v>
      </c>
      <c r="C194" s="218" t="e">
        <f>(C116*(1-C148%)+(0.04*C116))*(1-0.08)</f>
        <v>#DIV/0!</v>
      </c>
      <c r="D194" s="164"/>
      <c r="E194" s="20"/>
      <c r="F194" s="20"/>
      <c r="G194" s="20"/>
      <c r="H194" s="20"/>
      <c r="I194" s="20"/>
      <c r="J194" s="20"/>
      <c r="K194" s="20"/>
      <c r="L194" s="20"/>
      <c r="M194" s="20"/>
      <c r="N194" s="20"/>
      <c r="O194" s="20"/>
      <c r="P194" s="20"/>
      <c r="Q194" s="20"/>
      <c r="R194" s="20"/>
      <c r="S194" s="20"/>
      <c r="T194" s="20"/>
    </row>
    <row r="195" spans="1:20" s="559" customFormat="1" ht="15" hidden="1" x14ac:dyDescent="0.25">
      <c r="A195" s="20"/>
      <c r="B195" s="29"/>
      <c r="C195" s="218"/>
      <c r="D195" s="164"/>
      <c r="E195" s="20"/>
      <c r="F195" s="20"/>
      <c r="G195" s="20"/>
      <c r="H195" s="20"/>
      <c r="I195" s="20"/>
      <c r="J195" s="20"/>
      <c r="K195" s="20"/>
      <c r="L195" s="20"/>
      <c r="M195" s="20"/>
      <c r="N195" s="20"/>
      <c r="O195" s="20"/>
      <c r="P195" s="20"/>
      <c r="Q195" s="20"/>
      <c r="R195" s="20"/>
      <c r="S195" s="20"/>
      <c r="T195" s="20"/>
    </row>
    <row r="196" spans="1:20" s="559" customFormat="1" ht="15" hidden="1" x14ac:dyDescent="0.25">
      <c r="A196" s="20"/>
      <c r="B196" s="219" t="s">
        <v>294</v>
      </c>
      <c r="C196" s="218" t="e">
        <f>C194*'Baseline farm'!C210*'Baseline farm'!I90%*'Baseline farm'!C211</f>
        <v>#DIV/0!</v>
      </c>
      <c r="D196" s="164"/>
      <c r="E196" s="20"/>
      <c r="F196" s="20"/>
      <c r="G196" s="20"/>
      <c r="H196" s="20"/>
      <c r="I196" s="20"/>
      <c r="J196" s="20"/>
      <c r="K196" s="20"/>
      <c r="L196" s="20"/>
      <c r="M196" s="20"/>
      <c r="N196" s="20"/>
      <c r="O196" s="20"/>
      <c r="P196" s="20"/>
      <c r="Q196" s="20"/>
      <c r="R196" s="20"/>
      <c r="S196" s="20"/>
      <c r="T196" s="20"/>
    </row>
    <row r="197" spans="1:20" s="559" customFormat="1" ht="15" hidden="1" x14ac:dyDescent="0.25">
      <c r="A197" s="20"/>
      <c r="B197" s="164"/>
      <c r="C197" s="218"/>
      <c r="D197" s="164"/>
      <c r="E197" s="20"/>
      <c r="F197" s="20"/>
      <c r="G197" s="20"/>
      <c r="H197" s="20"/>
      <c r="I197" s="20"/>
      <c r="J197" s="20"/>
      <c r="K197" s="20"/>
      <c r="L197" s="20"/>
      <c r="M197" s="20"/>
      <c r="N197" s="20"/>
      <c r="O197" s="20"/>
      <c r="P197" s="20"/>
      <c r="Q197" s="20"/>
      <c r="R197" s="20"/>
      <c r="S197" s="20"/>
      <c r="T197" s="20"/>
    </row>
    <row r="198" spans="1:20" s="559" customFormat="1" ht="15" hidden="1" x14ac:dyDescent="0.25">
      <c r="A198" s="18"/>
      <c r="B198" s="24" t="s">
        <v>12</v>
      </c>
      <c r="C198" s="32">
        <f>$C$11</f>
        <v>0</v>
      </c>
      <c r="D198" s="29"/>
      <c r="E198" s="37"/>
      <c r="F198" s="157"/>
      <c r="G198" s="18"/>
      <c r="H198" s="18"/>
      <c r="I198" s="18"/>
      <c r="J198" s="18"/>
      <c r="K198" s="18"/>
      <c r="L198" s="18"/>
      <c r="M198" s="18"/>
      <c r="N198" s="18"/>
      <c r="O198" s="18"/>
      <c r="P198" s="18"/>
      <c r="Q198" s="18"/>
      <c r="R198" s="18"/>
      <c r="S198" s="18"/>
      <c r="T198" s="18"/>
    </row>
    <row r="199" spans="1:20" s="559" customFormat="1" ht="15" hidden="1" x14ac:dyDescent="0.25">
      <c r="A199" s="18"/>
      <c r="B199" s="24" t="s">
        <v>13</v>
      </c>
      <c r="C199" s="44" t="e">
        <f>C196*C198*365</f>
        <v>#DIV/0!</v>
      </c>
      <c r="D199" s="29" t="s">
        <v>216</v>
      </c>
      <c r="E199" s="43"/>
      <c r="F199" s="157"/>
      <c r="G199" s="18"/>
      <c r="H199" s="18"/>
      <c r="I199" s="18"/>
      <c r="J199" s="18"/>
      <c r="K199" s="18"/>
      <c r="L199" s="18"/>
      <c r="M199" s="18"/>
      <c r="N199" s="18"/>
      <c r="O199" s="18"/>
      <c r="P199" s="18"/>
      <c r="Q199" s="18"/>
      <c r="R199" s="18"/>
      <c r="S199" s="18"/>
      <c r="T199" s="18"/>
    </row>
    <row r="200" spans="1:20" s="559" customFormat="1" ht="15" hidden="1" x14ac:dyDescent="0.25">
      <c r="A200" s="18"/>
      <c r="B200" s="27" t="s">
        <v>488</v>
      </c>
      <c r="C200" s="45" t="e">
        <f>C199*25/1000</f>
        <v>#DIV/0!</v>
      </c>
      <c r="D200" s="29"/>
      <c r="E200" s="37"/>
      <c r="F200" s="157"/>
      <c r="G200" s="18"/>
      <c r="H200" s="18"/>
      <c r="I200" s="18"/>
      <c r="J200" s="18"/>
      <c r="K200" s="18"/>
      <c r="L200" s="18"/>
      <c r="M200" s="18"/>
      <c r="N200" s="18"/>
      <c r="O200" s="18"/>
      <c r="P200" s="18"/>
      <c r="Q200" s="18"/>
      <c r="R200" s="18"/>
      <c r="S200" s="18"/>
      <c r="T200" s="18"/>
    </row>
    <row r="201" spans="1:20" s="559" customFormat="1" ht="15" hidden="1" x14ac:dyDescent="0.25">
      <c r="A201" s="20"/>
      <c r="B201" s="164"/>
      <c r="C201" s="164"/>
      <c r="D201" s="164"/>
      <c r="E201" s="20"/>
      <c r="F201" s="20"/>
      <c r="G201" s="20"/>
      <c r="H201" s="20"/>
      <c r="I201" s="20"/>
      <c r="J201" s="20"/>
      <c r="K201" s="20"/>
      <c r="L201" s="20"/>
      <c r="M201" s="20"/>
      <c r="N201" s="20"/>
      <c r="O201" s="20"/>
      <c r="P201" s="20"/>
      <c r="Q201" s="20"/>
      <c r="R201" s="20"/>
      <c r="S201" s="20"/>
      <c r="T201" s="20"/>
    </row>
    <row r="202" spans="1:20" s="559" customFormat="1" ht="15" hidden="1" x14ac:dyDescent="0.25">
      <c r="A202" s="20"/>
      <c r="B202" s="165" t="s">
        <v>481</v>
      </c>
      <c r="C202" s="220" t="e">
        <f>C188-C200</f>
        <v>#DIV/0!</v>
      </c>
      <c r="D202" s="164"/>
      <c r="E202" s="20"/>
      <c r="F202" s="20"/>
      <c r="G202" s="20"/>
      <c r="H202" s="20"/>
      <c r="I202" s="20"/>
      <c r="J202" s="20"/>
      <c r="K202" s="20"/>
      <c r="L202" s="20"/>
      <c r="M202" s="20"/>
      <c r="N202" s="20"/>
      <c r="O202" s="20"/>
      <c r="P202" s="20"/>
      <c r="Q202" s="20"/>
      <c r="R202" s="20"/>
      <c r="S202" s="20"/>
      <c r="T202" s="20"/>
    </row>
    <row r="203" spans="1:20" s="559" customFormat="1" ht="15" hidden="1" x14ac:dyDescent="0.25">
      <c r="A203" s="20"/>
      <c r="B203" s="164"/>
      <c r="C203" s="164"/>
      <c r="D203" s="164"/>
      <c r="E203" s="20"/>
      <c r="F203" s="20"/>
      <c r="G203" s="20"/>
      <c r="H203" s="20"/>
      <c r="I203" s="20"/>
      <c r="J203" s="20"/>
      <c r="K203" s="20"/>
      <c r="L203" s="20"/>
      <c r="M203" s="20"/>
      <c r="N203" s="20"/>
      <c r="O203" s="20"/>
      <c r="P203" s="20"/>
      <c r="Q203" s="20"/>
      <c r="R203" s="20"/>
      <c r="S203" s="20"/>
      <c r="T203" s="20"/>
    </row>
    <row r="204" spans="1:20" s="559" customFormat="1" ht="15" hidden="1" x14ac:dyDescent="0.25">
      <c r="A204" s="20"/>
      <c r="B204" s="27" t="s">
        <v>170</v>
      </c>
      <c r="C204" s="164"/>
      <c r="D204" s="164"/>
      <c r="E204" s="20"/>
      <c r="F204" s="20"/>
      <c r="G204" s="20"/>
      <c r="H204" s="20"/>
      <c r="I204" s="20"/>
      <c r="J204" s="20"/>
      <c r="K204" s="20"/>
      <c r="L204" s="20"/>
      <c r="M204" s="20"/>
      <c r="N204" s="20"/>
      <c r="O204" s="20"/>
      <c r="P204" s="20"/>
      <c r="Q204" s="20"/>
      <c r="R204" s="20"/>
      <c r="S204" s="20"/>
      <c r="T204" s="20"/>
    </row>
    <row r="205" spans="1:20" s="559" customFormat="1" ht="15" hidden="1" x14ac:dyDescent="0.25">
      <c r="A205" s="20"/>
      <c r="B205" s="166" t="s">
        <v>464</v>
      </c>
      <c r="C205" s="164"/>
      <c r="D205" s="164"/>
      <c r="E205" s="20"/>
      <c r="F205" s="20"/>
      <c r="G205" s="20"/>
      <c r="H205" s="20"/>
      <c r="I205" s="20"/>
      <c r="J205" s="20"/>
      <c r="K205" s="20"/>
      <c r="L205" s="20"/>
      <c r="M205" s="20"/>
      <c r="N205" s="20"/>
      <c r="O205" s="20"/>
      <c r="P205" s="20"/>
      <c r="Q205" s="20"/>
      <c r="R205" s="20"/>
      <c r="S205" s="20"/>
      <c r="T205" s="20"/>
    </row>
    <row r="206" spans="1:20" s="559" customFormat="1" ht="15" hidden="1" x14ac:dyDescent="0.25">
      <c r="A206" s="20"/>
      <c r="B206" s="164" t="s">
        <v>490</v>
      </c>
      <c r="C206" s="218" t="e">
        <f>'Baseline farm'!D102/298*1000</f>
        <v>#DIV/0!</v>
      </c>
      <c r="D206" s="164"/>
      <c r="E206" s="20"/>
      <c r="F206" s="20"/>
      <c r="G206" s="20"/>
      <c r="H206" s="20"/>
      <c r="I206" s="20"/>
      <c r="J206" s="20"/>
      <c r="K206" s="20"/>
      <c r="L206" s="20"/>
      <c r="M206" s="20"/>
      <c r="N206" s="20"/>
      <c r="O206" s="20"/>
      <c r="P206" s="20"/>
      <c r="Q206" s="20"/>
      <c r="R206" s="20"/>
      <c r="S206" s="20"/>
      <c r="T206" s="20"/>
    </row>
    <row r="207" spans="1:20" s="559" customFormat="1" ht="15" hidden="1" x14ac:dyDescent="0.25">
      <c r="A207" s="20"/>
      <c r="B207" s="164"/>
      <c r="C207" s="164"/>
      <c r="D207" s="164"/>
      <c r="E207" s="20"/>
      <c r="F207" s="20"/>
      <c r="G207" s="20"/>
      <c r="H207" s="20"/>
      <c r="I207" s="20"/>
      <c r="J207" s="20"/>
      <c r="K207" s="20"/>
      <c r="L207" s="20"/>
      <c r="M207" s="20"/>
      <c r="N207" s="20"/>
      <c r="O207" s="20"/>
      <c r="P207" s="20"/>
      <c r="Q207" s="20"/>
      <c r="R207" s="20"/>
      <c r="S207" s="20"/>
      <c r="T207" s="20"/>
    </row>
    <row r="208" spans="1:20" s="559" customFormat="1" ht="15" hidden="1" x14ac:dyDescent="0.25">
      <c r="A208" s="20"/>
      <c r="B208" s="166" t="s">
        <v>1538</v>
      </c>
      <c r="C208" s="164"/>
      <c r="D208" s="164"/>
      <c r="E208" s="20"/>
      <c r="F208" s="20"/>
      <c r="G208" s="20"/>
      <c r="H208" s="20"/>
      <c r="I208" s="20"/>
      <c r="J208" s="20"/>
      <c r="K208" s="20"/>
      <c r="L208" s="20"/>
      <c r="M208" s="20"/>
      <c r="N208" s="20"/>
      <c r="O208" s="20"/>
      <c r="P208" s="20"/>
      <c r="Q208" s="20"/>
      <c r="R208" s="20"/>
      <c r="S208" s="20"/>
      <c r="T208" s="20"/>
    </row>
    <row r="209" spans="1:20" s="559" customFormat="1" ht="15" hidden="1" x14ac:dyDescent="0.25">
      <c r="A209" s="20"/>
      <c r="B209" s="164" t="s">
        <v>490</v>
      </c>
      <c r="C209" s="218" t="e">
        <f>'Baseline farm'!D103/298*1000</f>
        <v>#DIV/0!</v>
      </c>
      <c r="D209" s="164"/>
      <c r="E209" s="20"/>
      <c r="F209" s="20"/>
      <c r="G209" s="20"/>
      <c r="H209" s="20"/>
      <c r="I209" s="20"/>
      <c r="J209" s="20"/>
      <c r="K209" s="20"/>
      <c r="L209" s="20"/>
      <c r="M209" s="20"/>
      <c r="N209" s="20"/>
      <c r="O209" s="20"/>
      <c r="P209" s="20"/>
      <c r="Q209" s="20"/>
      <c r="R209" s="20"/>
      <c r="S209" s="20"/>
      <c r="T209" s="20"/>
    </row>
    <row r="210" spans="1:20" s="559" customFormat="1" ht="15" hidden="1" x14ac:dyDescent="0.25">
      <c r="A210" s="20"/>
      <c r="B210" s="29"/>
      <c r="C210" s="164"/>
      <c r="D210" s="164"/>
      <c r="E210" s="20"/>
      <c r="F210" s="20"/>
      <c r="G210" s="20"/>
      <c r="H210" s="20"/>
      <c r="I210" s="20"/>
      <c r="J210" s="20"/>
      <c r="K210" s="20"/>
      <c r="L210" s="20"/>
      <c r="M210" s="20"/>
      <c r="N210" s="20"/>
      <c r="O210" s="20"/>
      <c r="P210" s="20"/>
      <c r="Q210" s="20"/>
      <c r="R210" s="20"/>
      <c r="S210" s="20"/>
      <c r="T210" s="20"/>
    </row>
    <row r="211" spans="1:20" s="559" customFormat="1" ht="15" hidden="1" x14ac:dyDescent="0.25">
      <c r="A211" s="20"/>
      <c r="B211" s="166" t="s">
        <v>461</v>
      </c>
      <c r="C211" s="164"/>
      <c r="D211" s="164"/>
      <c r="E211" s="20"/>
      <c r="F211" s="20"/>
      <c r="G211" s="20"/>
      <c r="H211" s="20"/>
      <c r="I211" s="20"/>
      <c r="J211" s="20"/>
      <c r="K211" s="20"/>
      <c r="L211" s="20"/>
      <c r="M211" s="20"/>
      <c r="N211" s="20"/>
      <c r="O211" s="20"/>
      <c r="P211" s="20"/>
      <c r="Q211" s="20"/>
      <c r="R211" s="20"/>
      <c r="S211" s="20"/>
      <c r="T211" s="20"/>
    </row>
    <row r="212" spans="1:20" s="559" customFormat="1" ht="15" hidden="1" x14ac:dyDescent="0.25">
      <c r="A212" s="20"/>
      <c r="B212" s="164" t="s">
        <v>490</v>
      </c>
      <c r="C212" s="218" t="e">
        <f>'Baseline farm'!D104/298*1000</f>
        <v>#DIV/0!</v>
      </c>
      <c r="D212" s="164"/>
      <c r="E212" s="20"/>
      <c r="F212" s="20"/>
      <c r="G212" s="20"/>
      <c r="H212" s="20"/>
      <c r="I212" s="20"/>
      <c r="J212" s="20"/>
      <c r="K212" s="20"/>
      <c r="L212" s="20"/>
      <c r="M212" s="20"/>
      <c r="N212" s="20"/>
      <c r="O212" s="20"/>
      <c r="P212" s="20"/>
      <c r="Q212" s="20"/>
      <c r="R212" s="20"/>
      <c r="S212" s="20"/>
      <c r="T212" s="20"/>
    </row>
    <row r="213" spans="1:20" s="559" customFormat="1" ht="15" hidden="1" x14ac:dyDescent="0.25">
      <c r="A213" s="20"/>
      <c r="B213" s="164"/>
      <c r="C213" s="164"/>
      <c r="D213" s="164"/>
      <c r="E213" s="20"/>
      <c r="F213" s="20"/>
      <c r="G213" s="20"/>
      <c r="H213" s="20"/>
      <c r="I213" s="20"/>
      <c r="J213" s="20"/>
      <c r="K213" s="20"/>
      <c r="L213" s="20"/>
      <c r="M213" s="20"/>
      <c r="N213" s="20"/>
      <c r="O213" s="20"/>
      <c r="P213" s="20"/>
      <c r="Q213" s="20"/>
      <c r="R213" s="20"/>
      <c r="S213" s="20"/>
      <c r="T213" s="20"/>
    </row>
    <row r="214" spans="1:20" s="559" customFormat="1" ht="15" hidden="1" x14ac:dyDescent="0.25">
      <c r="A214" s="20"/>
      <c r="B214" s="165" t="s">
        <v>485</v>
      </c>
      <c r="C214" s="164"/>
      <c r="D214" s="164"/>
      <c r="E214" s="20"/>
      <c r="F214" s="20"/>
      <c r="G214" s="20"/>
      <c r="H214" s="20"/>
      <c r="I214" s="20"/>
      <c r="J214" s="20"/>
      <c r="K214" s="20"/>
      <c r="L214" s="20"/>
      <c r="M214" s="20"/>
      <c r="N214" s="20"/>
      <c r="O214" s="20"/>
      <c r="P214" s="20"/>
      <c r="Q214" s="20"/>
      <c r="R214" s="20"/>
      <c r="S214" s="20"/>
      <c r="T214" s="20"/>
    </row>
    <row r="215" spans="1:20" s="559" customFormat="1" ht="15" hidden="1" x14ac:dyDescent="0.25">
      <c r="A215" s="20"/>
      <c r="B215" s="164" t="s">
        <v>490</v>
      </c>
      <c r="C215" s="218" t="e">
        <f>C206+C209+C212</f>
        <v>#DIV/0!</v>
      </c>
      <c r="D215" s="164"/>
      <c r="E215" s="20"/>
      <c r="F215" s="20"/>
      <c r="G215" s="20"/>
      <c r="H215" s="20"/>
      <c r="I215" s="20"/>
      <c r="J215" s="20"/>
      <c r="K215" s="20"/>
      <c r="L215" s="20"/>
      <c r="M215" s="20"/>
      <c r="N215" s="20"/>
      <c r="O215" s="20"/>
      <c r="P215" s="20"/>
      <c r="Q215" s="20"/>
      <c r="R215" s="20"/>
      <c r="S215" s="20"/>
      <c r="T215" s="20"/>
    </row>
    <row r="216" spans="1:20" s="559" customFormat="1" ht="15" hidden="1" x14ac:dyDescent="0.25">
      <c r="A216" s="20"/>
      <c r="B216" s="164"/>
      <c r="C216" s="164"/>
      <c r="D216" s="164"/>
      <c r="E216" s="20"/>
      <c r="F216" s="20"/>
      <c r="G216" s="20"/>
      <c r="H216" s="20"/>
      <c r="I216" s="20"/>
      <c r="J216" s="20"/>
      <c r="K216" s="20"/>
      <c r="L216" s="20"/>
      <c r="M216" s="20"/>
      <c r="N216" s="20"/>
      <c r="O216" s="20"/>
      <c r="P216" s="20"/>
      <c r="Q216" s="20"/>
      <c r="R216" s="20"/>
      <c r="S216" s="20"/>
      <c r="T216" s="20"/>
    </row>
    <row r="217" spans="1:20" s="559" customFormat="1" ht="15" hidden="1" x14ac:dyDescent="0.25">
      <c r="A217" s="18"/>
      <c r="B217" s="27" t="s">
        <v>487</v>
      </c>
      <c r="C217" s="45" t="e">
        <f>C215*298/1000</f>
        <v>#DIV/0!</v>
      </c>
      <c r="D217" s="29" t="s">
        <v>491</v>
      </c>
      <c r="E217" s="37"/>
      <c r="F217" s="157"/>
      <c r="G217" s="18"/>
      <c r="H217" s="18"/>
      <c r="I217" s="18"/>
      <c r="J217" s="18"/>
      <c r="K217" s="18"/>
      <c r="L217" s="18"/>
      <c r="M217" s="18"/>
      <c r="N217" s="18"/>
      <c r="O217" s="18"/>
      <c r="P217" s="18"/>
      <c r="Q217" s="18"/>
      <c r="R217" s="18"/>
      <c r="S217" s="18"/>
      <c r="T217" s="18"/>
    </row>
    <row r="218" spans="1:20" s="559" customFormat="1" ht="15" hidden="1" x14ac:dyDescent="0.25">
      <c r="A218" s="20"/>
      <c r="B218" s="20"/>
      <c r="C218" s="20"/>
      <c r="D218" s="20"/>
      <c r="E218" s="20"/>
      <c r="F218" s="20"/>
      <c r="G218" s="20"/>
      <c r="H218" s="20"/>
      <c r="I218" s="20"/>
      <c r="J218" s="20"/>
      <c r="K218" s="20"/>
      <c r="L218" s="20"/>
      <c r="M218" s="20"/>
      <c r="N218" s="20"/>
      <c r="O218" s="20"/>
      <c r="P218" s="20"/>
      <c r="Q218" s="20"/>
      <c r="R218" s="20"/>
      <c r="S218" s="20"/>
      <c r="T218" s="20"/>
    </row>
    <row r="219" spans="1:20" s="559" customFormat="1" ht="15" hidden="1" x14ac:dyDescent="0.25">
      <c r="A219" s="20"/>
      <c r="B219" s="20"/>
      <c r="C219" s="20"/>
      <c r="D219" s="20"/>
      <c r="E219" s="20"/>
      <c r="F219" s="20"/>
      <c r="G219" s="20"/>
      <c r="H219" s="20"/>
      <c r="I219" s="20"/>
      <c r="J219" s="20"/>
      <c r="K219" s="20"/>
      <c r="L219" s="20"/>
      <c r="M219" s="20"/>
      <c r="N219" s="20"/>
      <c r="O219" s="20"/>
      <c r="P219" s="20"/>
      <c r="Q219" s="20"/>
      <c r="R219" s="20"/>
      <c r="S219" s="20"/>
      <c r="T219" s="20"/>
    </row>
    <row r="220" spans="1:20" s="559" customFormat="1" ht="15" hidden="1" x14ac:dyDescent="0.25">
      <c r="A220" s="20"/>
      <c r="B220" s="48" t="s">
        <v>171</v>
      </c>
      <c r="C220" s="20"/>
      <c r="D220" s="20"/>
      <c r="E220" s="20"/>
      <c r="F220" s="20"/>
      <c r="G220" s="20"/>
      <c r="H220" s="20"/>
      <c r="I220" s="20"/>
      <c r="J220" s="20"/>
      <c r="K220" s="20"/>
      <c r="L220" s="20"/>
      <c r="M220" s="20"/>
      <c r="N220" s="20"/>
      <c r="O220" s="20"/>
      <c r="P220" s="20"/>
      <c r="Q220" s="20"/>
      <c r="R220" s="20"/>
      <c r="S220" s="20"/>
      <c r="T220" s="20"/>
    </row>
    <row r="221" spans="1:20" s="559" customFormat="1" ht="15" hidden="1" x14ac:dyDescent="0.25">
      <c r="A221" s="18"/>
      <c r="B221" s="18"/>
      <c r="C221" s="18"/>
      <c r="D221" s="18"/>
      <c r="E221" s="18"/>
      <c r="F221" s="18"/>
      <c r="G221" s="18"/>
      <c r="H221" s="18"/>
      <c r="I221" s="18"/>
      <c r="J221" s="18"/>
      <c r="K221" s="18"/>
      <c r="L221" s="18"/>
      <c r="M221" s="18"/>
      <c r="N221" s="18"/>
      <c r="O221" s="18"/>
      <c r="P221" s="18"/>
      <c r="Q221" s="18"/>
      <c r="R221" s="18"/>
      <c r="S221" s="18"/>
      <c r="T221" s="18"/>
    </row>
    <row r="222" spans="1:20" s="559" customFormat="1" ht="15.75" hidden="1" x14ac:dyDescent="0.25">
      <c r="A222" s="17"/>
      <c r="B222" s="221" t="s">
        <v>304</v>
      </c>
      <c r="C222" s="221" t="s">
        <v>253</v>
      </c>
      <c r="D222" s="222" t="s">
        <v>489</v>
      </c>
      <c r="E222" s="222"/>
      <c r="F222" s="222"/>
      <c r="G222" s="222"/>
      <c r="H222" s="222"/>
      <c r="I222" s="222">
        <f>I93</f>
        <v>0</v>
      </c>
      <c r="J222" s="223" t="s">
        <v>267</v>
      </c>
      <c r="K222" s="17"/>
      <c r="L222" s="17"/>
      <c r="M222" s="17"/>
      <c r="N222" s="17"/>
      <c r="O222" s="17"/>
      <c r="P222" s="17"/>
      <c r="Q222" s="17"/>
      <c r="R222" s="17"/>
      <c r="S222" s="17"/>
      <c r="T222" s="17"/>
    </row>
    <row r="223" spans="1:20" s="559" customFormat="1" ht="15.75" hidden="1" x14ac:dyDescent="0.25">
      <c r="A223" s="17"/>
      <c r="B223" s="224"/>
      <c r="C223" s="224"/>
      <c r="D223" s="224"/>
      <c r="E223" s="224"/>
      <c r="F223" s="224"/>
      <c r="G223" s="224"/>
      <c r="H223" s="224"/>
      <c r="I223" s="224"/>
      <c r="J223" s="225"/>
      <c r="K223" s="17"/>
      <c r="L223" s="17"/>
      <c r="M223" s="17"/>
      <c r="N223" s="17"/>
      <c r="O223" s="17"/>
      <c r="P223" s="17"/>
      <c r="Q223" s="17"/>
      <c r="R223" s="17"/>
      <c r="S223" s="17"/>
      <c r="T223" s="17"/>
    </row>
    <row r="224" spans="1:20" s="559" customFormat="1" ht="15.75" hidden="1" x14ac:dyDescent="0.25">
      <c r="A224" s="17"/>
      <c r="B224" s="226" t="s">
        <v>305</v>
      </c>
      <c r="C224" s="224"/>
      <c r="D224" s="226" t="s">
        <v>306</v>
      </c>
      <c r="E224" s="227"/>
      <c r="F224" s="227"/>
      <c r="G224" s="228"/>
      <c r="H224" s="224"/>
      <c r="I224" s="224"/>
      <c r="J224" s="225" t="s">
        <v>307</v>
      </c>
      <c r="K224" s="17"/>
      <c r="L224" s="17"/>
      <c r="M224" s="17"/>
      <c r="N224" s="17"/>
      <c r="O224" s="17"/>
      <c r="P224" s="17"/>
      <c r="Q224" s="17"/>
      <c r="R224" s="17"/>
      <c r="S224" s="17"/>
      <c r="T224" s="17"/>
    </row>
    <row r="225" spans="1:20" s="559" customFormat="1" ht="15.75" hidden="1" x14ac:dyDescent="0.25">
      <c r="A225" s="17"/>
      <c r="B225" s="224"/>
      <c r="C225" s="229" t="s">
        <v>472</v>
      </c>
      <c r="D225" s="1534" t="e">
        <f>C116*C149%</f>
        <v>#DIV/0!</v>
      </c>
      <c r="E225" s="230"/>
      <c r="F225" s="230"/>
      <c r="G225" s="230"/>
      <c r="H225" s="230"/>
      <c r="I225" s="224" t="s">
        <v>292</v>
      </c>
      <c r="J225" s="225"/>
      <c r="K225" s="17"/>
      <c r="L225" s="17"/>
      <c r="M225" s="17"/>
      <c r="N225" s="17"/>
      <c r="O225" s="17"/>
      <c r="P225" s="17"/>
      <c r="Q225" s="17"/>
      <c r="R225" s="17"/>
      <c r="S225" s="17"/>
      <c r="T225" s="17"/>
    </row>
    <row r="226" spans="1:20" s="559" customFormat="1" ht="15.75" hidden="1" x14ac:dyDescent="0.25">
      <c r="A226" s="17"/>
      <c r="B226" s="231"/>
      <c r="C226" s="231"/>
      <c r="D226" s="231"/>
      <c r="E226" s="231"/>
      <c r="F226" s="231"/>
      <c r="G226" s="232"/>
      <c r="H226" s="224"/>
      <c r="I226" s="224"/>
      <c r="J226" s="225"/>
      <c r="K226" s="17"/>
      <c r="L226" s="17"/>
      <c r="M226" s="17"/>
      <c r="N226" s="17"/>
      <c r="O226" s="17"/>
      <c r="P226" s="17"/>
      <c r="Q226" s="17"/>
      <c r="R226" s="17"/>
      <c r="S226" s="17"/>
      <c r="T226" s="17"/>
    </row>
    <row r="227" spans="1:20" s="559" customFormat="1" ht="15.75" hidden="1" x14ac:dyDescent="0.25">
      <c r="A227" s="17"/>
      <c r="B227" s="226" t="s">
        <v>308</v>
      </c>
      <c r="C227" s="227"/>
      <c r="D227" s="226" t="s">
        <v>309</v>
      </c>
      <c r="E227" s="227"/>
      <c r="F227" s="227"/>
      <c r="G227" s="228"/>
      <c r="H227" s="224"/>
      <c r="I227" s="224"/>
      <c r="J227" s="225" t="s">
        <v>310</v>
      </c>
      <c r="K227" s="17"/>
      <c r="L227" s="17"/>
      <c r="M227" s="17"/>
      <c r="N227" s="17"/>
      <c r="O227" s="17"/>
      <c r="P227" s="17"/>
      <c r="Q227" s="17"/>
      <c r="R227" s="17"/>
      <c r="S227" s="17"/>
      <c r="T227" s="17"/>
    </row>
    <row r="228" spans="1:20" s="559" customFormat="1" ht="15.75" hidden="1" x14ac:dyDescent="0.25">
      <c r="A228" s="17"/>
      <c r="B228" s="227"/>
      <c r="C228" s="224"/>
      <c r="D228" s="224" t="s">
        <v>311</v>
      </c>
      <c r="E228" s="227"/>
      <c r="F228" s="227"/>
      <c r="G228" s="228"/>
      <c r="H228" s="224"/>
      <c r="I228" s="224"/>
      <c r="J228" s="225"/>
      <c r="K228" s="17"/>
      <c r="L228" s="17"/>
      <c r="M228" s="17"/>
      <c r="N228" s="17"/>
      <c r="O228" s="17"/>
      <c r="P228" s="17"/>
      <c r="Q228" s="17"/>
      <c r="R228" s="17"/>
      <c r="S228" s="17"/>
      <c r="T228" s="17"/>
    </row>
    <row r="229" spans="1:20" s="559" customFormat="1" ht="15.75" hidden="1" x14ac:dyDescent="0.25">
      <c r="A229" s="17"/>
      <c r="B229" s="224"/>
      <c r="C229" s="224"/>
      <c r="D229" s="224" t="s">
        <v>312</v>
      </c>
      <c r="E229" s="233"/>
      <c r="F229" s="233"/>
      <c r="G229" s="228"/>
      <c r="H229" s="224"/>
      <c r="I229" s="224"/>
      <c r="J229" s="225"/>
      <c r="K229" s="17"/>
      <c r="L229" s="17"/>
      <c r="M229" s="17"/>
      <c r="N229" s="17"/>
      <c r="O229" s="17"/>
      <c r="P229" s="17"/>
      <c r="Q229" s="17"/>
      <c r="R229" s="17"/>
      <c r="S229" s="17"/>
      <c r="T229" s="17"/>
    </row>
    <row r="230" spans="1:20" s="559" customFormat="1" ht="15.75" hidden="1" x14ac:dyDescent="0.25">
      <c r="A230" s="17"/>
      <c r="B230" s="224"/>
      <c r="C230" s="229" t="s">
        <v>472</v>
      </c>
      <c r="D230" s="1534" t="e">
        <f>(0.3*((D225*(1-((C148+10)/100))))+(0.105*((C151)*C116*0.008))+(0.0152*C116))/6.25</f>
        <v>#DIV/0!</v>
      </c>
      <c r="E230" s="230"/>
      <c r="F230" s="230"/>
      <c r="G230" s="230"/>
      <c r="H230" s="230"/>
      <c r="I230" s="224" t="s">
        <v>292</v>
      </c>
      <c r="J230" s="225"/>
      <c r="K230" s="17"/>
      <c r="L230" s="17"/>
      <c r="M230" s="17"/>
      <c r="N230" s="17"/>
      <c r="O230" s="17"/>
      <c r="P230" s="17"/>
      <c r="Q230" s="17"/>
      <c r="R230" s="17"/>
      <c r="S230" s="17"/>
      <c r="T230" s="17"/>
    </row>
    <row r="231" spans="1:20" s="559" customFormat="1" ht="15.75" hidden="1" x14ac:dyDescent="0.25">
      <c r="A231" s="17"/>
      <c r="B231" s="224"/>
      <c r="C231" s="224"/>
      <c r="D231" s="224"/>
      <c r="E231" s="224"/>
      <c r="F231" s="224"/>
      <c r="G231" s="224"/>
      <c r="H231" s="224"/>
      <c r="I231" s="224"/>
      <c r="J231" s="225"/>
      <c r="K231" s="17"/>
      <c r="L231" s="17"/>
      <c r="M231" s="17"/>
      <c r="N231" s="17"/>
      <c r="O231" s="17"/>
      <c r="P231" s="17"/>
      <c r="Q231" s="17"/>
      <c r="R231" s="17"/>
      <c r="S231" s="17"/>
      <c r="T231" s="17"/>
    </row>
    <row r="232" spans="1:20" s="559" customFormat="1" ht="17.25" hidden="1" x14ac:dyDescent="0.3">
      <c r="A232" s="17"/>
      <c r="B232" s="226" t="s">
        <v>313</v>
      </c>
      <c r="C232" s="224"/>
      <c r="D232" s="234" t="s">
        <v>1556</v>
      </c>
      <c r="E232" s="235"/>
      <c r="F232" s="235"/>
      <c r="G232" s="235"/>
      <c r="H232" s="235"/>
      <c r="I232" s="224"/>
      <c r="J232" s="225" t="s">
        <v>314</v>
      </c>
      <c r="K232" s="17"/>
      <c r="L232" s="17"/>
      <c r="M232" s="17"/>
      <c r="N232" s="17"/>
      <c r="O232" s="17"/>
      <c r="P232" s="17"/>
      <c r="Q232" s="17"/>
      <c r="R232" s="17"/>
      <c r="S232" s="17"/>
      <c r="T232" s="17"/>
    </row>
    <row r="233" spans="1:20" s="559" customFormat="1" ht="16.5" hidden="1" thickBot="1" x14ac:dyDescent="0.3">
      <c r="A233" s="17"/>
      <c r="B233" s="224"/>
      <c r="C233" s="224"/>
      <c r="D233" s="224"/>
      <c r="E233" s="224"/>
      <c r="F233" s="224"/>
      <c r="G233" s="224"/>
      <c r="H233" s="224"/>
      <c r="I233" s="224"/>
      <c r="J233" s="225"/>
      <c r="K233" s="17"/>
      <c r="L233" s="17"/>
      <c r="M233" s="17"/>
      <c r="N233" s="17"/>
      <c r="O233" s="17"/>
      <c r="P233" s="17"/>
      <c r="Q233" s="17"/>
      <c r="R233" s="17"/>
      <c r="S233" s="17"/>
      <c r="T233" s="17"/>
    </row>
    <row r="234" spans="1:20" s="559" customFormat="1" ht="16.5" hidden="1" thickBot="1" x14ac:dyDescent="0.3">
      <c r="A234" s="17"/>
      <c r="B234" s="236"/>
      <c r="C234" s="237" t="s">
        <v>897</v>
      </c>
      <c r="D234" s="238"/>
      <c r="E234" s="238"/>
      <c r="F234" s="238"/>
      <c r="G234" s="238"/>
      <c r="H234" s="239"/>
      <c r="I234" s="224"/>
      <c r="J234" s="225" t="s">
        <v>315</v>
      </c>
      <c r="K234" s="17"/>
      <c r="L234" s="17"/>
      <c r="M234" s="17"/>
      <c r="N234" s="17"/>
      <c r="O234" s="17"/>
      <c r="P234" s="17"/>
      <c r="Q234" s="17"/>
      <c r="R234" s="17"/>
      <c r="S234" s="17"/>
      <c r="T234" s="17"/>
    </row>
    <row r="235" spans="1:20" s="559" customFormat="1" ht="15.75" hidden="1" x14ac:dyDescent="0.25">
      <c r="A235" s="17"/>
      <c r="B235" s="224"/>
      <c r="C235" s="237"/>
      <c r="D235" s="240" t="s">
        <v>249</v>
      </c>
      <c r="E235" s="238"/>
      <c r="F235" s="238"/>
      <c r="G235" s="238"/>
      <c r="H235" s="239"/>
      <c r="I235" s="224"/>
      <c r="J235" s="225"/>
      <c r="K235" s="17"/>
      <c r="L235" s="17"/>
      <c r="M235" s="17"/>
      <c r="N235" s="17"/>
      <c r="O235" s="17"/>
      <c r="P235" s="17"/>
      <c r="Q235" s="17"/>
      <c r="R235" s="17"/>
      <c r="S235" s="17"/>
      <c r="T235" s="17"/>
    </row>
    <row r="236" spans="1:20" s="559" customFormat="1" ht="15.75" hidden="1" x14ac:dyDescent="0.25">
      <c r="A236" s="17"/>
      <c r="B236" s="236">
        <v>1</v>
      </c>
      <c r="C236" s="621" t="s">
        <v>1008</v>
      </c>
      <c r="D236" s="241">
        <v>590</v>
      </c>
      <c r="E236" s="242"/>
      <c r="F236" s="242"/>
      <c r="G236" s="242"/>
      <c r="H236" s="243"/>
      <c r="I236" s="224"/>
      <c r="J236" s="225"/>
      <c r="K236" s="17"/>
      <c r="L236" s="17"/>
      <c r="M236" s="17"/>
      <c r="N236" s="17"/>
      <c r="O236" s="17"/>
      <c r="P236" s="17"/>
      <c r="Q236" s="17"/>
      <c r="R236" s="17"/>
      <c r="S236" s="17"/>
      <c r="T236" s="17"/>
    </row>
    <row r="237" spans="1:20" s="559" customFormat="1" ht="15.75" hidden="1" x14ac:dyDescent="0.25">
      <c r="A237" s="17"/>
      <c r="B237" s="236">
        <v>2</v>
      </c>
      <c r="C237" s="621" t="s">
        <v>1015</v>
      </c>
      <c r="D237" s="241">
        <v>590</v>
      </c>
      <c r="E237" s="242"/>
      <c r="F237" s="242"/>
      <c r="G237" s="242"/>
      <c r="H237" s="243"/>
      <c r="I237" s="224"/>
      <c r="J237" s="225"/>
      <c r="K237" s="17"/>
      <c r="L237" s="17"/>
      <c r="M237" s="17"/>
      <c r="N237" s="17"/>
      <c r="O237" s="17"/>
      <c r="P237" s="17"/>
      <c r="Q237" s="17"/>
      <c r="R237" s="17"/>
      <c r="S237" s="17"/>
      <c r="T237" s="17"/>
    </row>
    <row r="238" spans="1:20" s="559" customFormat="1" ht="15.75" hidden="1" x14ac:dyDescent="0.25">
      <c r="A238" s="17"/>
      <c r="B238" s="236">
        <v>3</v>
      </c>
      <c r="C238" s="621" t="s">
        <v>960</v>
      </c>
      <c r="D238" s="241">
        <v>590</v>
      </c>
      <c r="E238" s="242"/>
      <c r="F238" s="242"/>
      <c r="G238" s="242"/>
      <c r="H238" s="243"/>
      <c r="I238" s="236"/>
      <c r="J238" s="225"/>
      <c r="K238" s="17"/>
      <c r="L238" s="17"/>
      <c r="M238" s="17"/>
      <c r="N238" s="17"/>
      <c r="O238" s="17"/>
      <c r="P238" s="17"/>
      <c r="Q238" s="17"/>
      <c r="R238" s="17"/>
      <c r="S238" s="17"/>
      <c r="T238" s="17"/>
    </row>
    <row r="239" spans="1:20" s="559" customFormat="1" ht="15.75" hidden="1" x14ac:dyDescent="0.25">
      <c r="A239" s="17"/>
      <c r="B239" s="236">
        <v>4</v>
      </c>
      <c r="C239" s="621" t="s">
        <v>1010</v>
      </c>
      <c r="D239" s="241">
        <v>590</v>
      </c>
      <c r="E239" s="242"/>
      <c r="F239" s="242"/>
      <c r="G239" s="242"/>
      <c r="H239" s="243"/>
      <c r="I239" s="224"/>
      <c r="J239" s="225"/>
      <c r="K239" s="17"/>
      <c r="L239" s="17"/>
      <c r="M239" s="17"/>
      <c r="N239" s="17"/>
      <c r="O239" s="17"/>
      <c r="P239" s="17"/>
      <c r="Q239" s="17"/>
      <c r="R239" s="17"/>
      <c r="S239" s="17"/>
      <c r="T239" s="17"/>
    </row>
    <row r="240" spans="1:20" s="559" customFormat="1" ht="15.75" hidden="1" x14ac:dyDescent="0.25">
      <c r="A240" s="17"/>
      <c r="B240" s="236">
        <v>5</v>
      </c>
      <c r="C240" s="621" t="s">
        <v>1016</v>
      </c>
      <c r="D240" s="241">
        <v>590</v>
      </c>
      <c r="E240" s="242"/>
      <c r="F240" s="242"/>
      <c r="G240" s="242"/>
      <c r="H240" s="243"/>
      <c r="I240" s="224"/>
      <c r="J240" s="225"/>
      <c r="K240" s="17"/>
      <c r="L240" s="17"/>
      <c r="M240" s="17"/>
      <c r="N240" s="17"/>
      <c r="O240" s="17"/>
      <c r="P240" s="17"/>
      <c r="Q240" s="17"/>
      <c r="R240" s="17"/>
      <c r="S240" s="17"/>
      <c r="T240" s="17"/>
    </row>
    <row r="241" spans="1:20" s="559" customFormat="1" ht="15.75" hidden="1" x14ac:dyDescent="0.25">
      <c r="A241" s="17"/>
      <c r="B241" s="236">
        <v>6</v>
      </c>
      <c r="C241" s="622" t="s">
        <v>1017</v>
      </c>
      <c r="D241" s="241">
        <v>590</v>
      </c>
      <c r="E241" s="242"/>
      <c r="F241" s="242"/>
      <c r="G241" s="242"/>
      <c r="H241" s="243"/>
      <c r="I241" s="224"/>
      <c r="J241" s="225"/>
      <c r="K241" s="17"/>
      <c r="L241" s="17"/>
      <c r="M241" s="17"/>
      <c r="N241" s="17"/>
      <c r="O241" s="17"/>
      <c r="P241" s="17"/>
      <c r="Q241" s="17"/>
      <c r="R241" s="17"/>
      <c r="S241" s="17"/>
      <c r="T241" s="17"/>
    </row>
    <row r="242" spans="1:20" s="559" customFormat="1" ht="16.5" hidden="1" thickBot="1" x14ac:dyDescent="0.3">
      <c r="A242" s="17"/>
      <c r="B242" s="236">
        <v>7</v>
      </c>
      <c r="C242" s="623" t="s">
        <v>1018</v>
      </c>
      <c r="D242" s="241">
        <v>590</v>
      </c>
      <c r="E242" s="242"/>
      <c r="F242" s="242"/>
      <c r="G242" s="242"/>
      <c r="H242" s="243"/>
      <c r="I242" s="224"/>
      <c r="J242" s="225"/>
      <c r="K242" s="17"/>
      <c r="L242" s="17"/>
      <c r="M242" s="17"/>
      <c r="N242" s="17"/>
      <c r="O242" s="17"/>
      <c r="P242" s="17"/>
      <c r="Q242" s="17"/>
      <c r="R242" s="17"/>
      <c r="S242" s="17"/>
      <c r="T242" s="17"/>
    </row>
    <row r="243" spans="1:20" s="559" customFormat="1" ht="16.5" hidden="1" thickBot="1" x14ac:dyDescent="0.3">
      <c r="A243" s="17"/>
      <c r="B243" s="224"/>
      <c r="C243" s="244" t="s">
        <v>265</v>
      </c>
      <c r="D243" s="245" t="e">
        <f>VLOOKUP('Baseline farm'!$C$178,$C$236:$H$242,2,FALSE)</f>
        <v>#N/A</v>
      </c>
      <c r="E243" s="246"/>
      <c r="F243" s="246"/>
      <c r="G243" s="246"/>
      <c r="H243" s="246"/>
      <c r="I243" s="224"/>
      <c r="J243" s="225"/>
      <c r="K243" s="17"/>
      <c r="L243" s="17"/>
      <c r="M243" s="17"/>
      <c r="N243" s="17"/>
      <c r="O243" s="17"/>
      <c r="P243" s="17"/>
      <c r="Q243" s="17"/>
      <c r="R243" s="17"/>
      <c r="S243" s="17"/>
      <c r="T243" s="17"/>
    </row>
    <row r="244" spans="1:20" s="559" customFormat="1" ht="16.5" hidden="1" thickBot="1" x14ac:dyDescent="0.3">
      <c r="A244" s="17"/>
      <c r="B244" s="224"/>
      <c r="C244" s="244" t="s">
        <v>337</v>
      </c>
      <c r="D244" s="247" t="e">
        <f>IF(D243&gt;0,C12/D243,0)</f>
        <v>#N/A</v>
      </c>
      <c r="E244" s="248"/>
      <c r="F244" s="248"/>
      <c r="G244" s="248"/>
      <c r="H244" s="249"/>
      <c r="I244" s="236"/>
      <c r="J244" s="225"/>
      <c r="K244" s="17"/>
      <c r="L244" s="17"/>
      <c r="M244" s="17"/>
      <c r="N244" s="17"/>
      <c r="O244" s="17"/>
      <c r="P244" s="17"/>
      <c r="Q244" s="17"/>
      <c r="R244" s="17"/>
      <c r="S244" s="17"/>
      <c r="T244" s="17"/>
    </row>
    <row r="245" spans="1:20" s="559" customFormat="1" ht="15.75" hidden="1" x14ac:dyDescent="0.25">
      <c r="A245" s="17"/>
      <c r="B245" s="224"/>
      <c r="C245" s="224"/>
      <c r="D245" s="224"/>
      <c r="E245" s="224"/>
      <c r="F245" s="224"/>
      <c r="G245" s="224"/>
      <c r="H245" s="224"/>
      <c r="I245" s="224"/>
      <c r="J245" s="225"/>
      <c r="K245" s="17"/>
      <c r="L245" s="17"/>
      <c r="M245" s="17"/>
      <c r="N245" s="17"/>
      <c r="O245" s="17"/>
      <c r="P245" s="17"/>
      <c r="Q245" s="17"/>
      <c r="R245" s="17"/>
      <c r="S245" s="17"/>
      <c r="T245" s="17"/>
    </row>
    <row r="246" spans="1:20" s="559" customFormat="1" ht="15.75" hidden="1" x14ac:dyDescent="0.25">
      <c r="A246" s="17"/>
      <c r="B246" s="224"/>
      <c r="C246" s="229" t="s">
        <v>472</v>
      </c>
      <c r="D246" s="250" t="e">
        <f>((0.032*C155*1.03/6.38)+((0.212-0.008*(C127-2)-((0.14-0.008*(C127-2))/(1+EXP(-6*(D244-0.4)))))*(C13*0.92)/6.25))</f>
        <v>#DIV/0!</v>
      </c>
      <c r="E246" s="250"/>
      <c r="F246" s="250"/>
      <c r="G246" s="250"/>
      <c r="H246" s="250"/>
      <c r="I246" s="236" t="s">
        <v>320</v>
      </c>
      <c r="J246" s="225"/>
      <c r="K246" s="17"/>
      <c r="L246" s="17"/>
      <c r="M246" s="17"/>
      <c r="N246" s="17"/>
      <c r="O246" s="17"/>
      <c r="P246" s="17"/>
      <c r="Q246" s="17"/>
      <c r="R246" s="17"/>
      <c r="S246" s="17"/>
      <c r="T246" s="17"/>
    </row>
    <row r="247" spans="1:20" s="559" customFormat="1" ht="15.75" hidden="1" x14ac:dyDescent="0.25">
      <c r="A247" s="17"/>
      <c r="B247" s="224"/>
      <c r="C247" s="251"/>
      <c r="D247" s="250"/>
      <c r="E247" s="250"/>
      <c r="F247" s="250"/>
      <c r="G247" s="250"/>
      <c r="H247" s="250"/>
      <c r="I247" s="236"/>
      <c r="J247" s="225"/>
      <c r="K247" s="17"/>
      <c r="L247" s="17"/>
      <c r="M247" s="17"/>
      <c r="N247" s="17"/>
      <c r="O247" s="17"/>
      <c r="P247" s="17"/>
      <c r="Q247" s="17"/>
      <c r="R247" s="17"/>
      <c r="S247" s="17"/>
      <c r="T247" s="17"/>
    </row>
    <row r="248" spans="1:20" s="559" customFormat="1" ht="18.75" hidden="1" x14ac:dyDescent="0.25">
      <c r="A248" s="17"/>
      <c r="B248" s="226" t="s">
        <v>321</v>
      </c>
      <c r="C248" s="224"/>
      <c r="D248" s="252" t="s">
        <v>322</v>
      </c>
      <c r="E248" s="250"/>
      <c r="F248" s="250"/>
      <c r="G248" s="250"/>
      <c r="H248" s="224"/>
      <c r="I248" s="236"/>
      <c r="J248" s="225" t="s">
        <v>323</v>
      </c>
      <c r="K248" s="17"/>
      <c r="L248" s="17"/>
      <c r="M248" s="17"/>
      <c r="N248" s="17"/>
      <c r="O248" s="17"/>
      <c r="P248" s="17"/>
      <c r="Q248" s="17"/>
      <c r="R248" s="17"/>
      <c r="S248" s="17"/>
      <c r="T248" s="17"/>
    </row>
    <row r="249" spans="1:20" s="559" customFormat="1" ht="15.75" hidden="1" x14ac:dyDescent="0.25">
      <c r="A249" s="17"/>
      <c r="B249" s="224"/>
      <c r="C249" s="229" t="s">
        <v>472</v>
      </c>
      <c r="D249" s="250" t="e">
        <f>(D225/6.25)-D246-D230-((1.1*10^-4*C12^0.75)/6.25)</f>
        <v>#DIV/0!</v>
      </c>
      <c r="E249" s="250"/>
      <c r="F249" s="250"/>
      <c r="G249" s="250"/>
      <c r="H249" s="250"/>
      <c r="I249" s="236" t="s">
        <v>320</v>
      </c>
      <c r="J249" s="225"/>
      <c r="K249" s="17"/>
      <c r="L249" s="17"/>
      <c r="M249" s="17"/>
      <c r="N249" s="17"/>
      <c r="O249" s="17"/>
      <c r="P249" s="17"/>
      <c r="Q249" s="17"/>
      <c r="R249" s="17"/>
      <c r="S249" s="17"/>
      <c r="T249" s="17"/>
    </row>
    <row r="250" spans="1:20" s="559" customFormat="1" ht="15.75" hidden="1" x14ac:dyDescent="0.25">
      <c r="A250" s="17"/>
      <c r="B250" s="224"/>
      <c r="C250" s="224"/>
      <c r="D250" s="224"/>
      <c r="E250" s="224"/>
      <c r="F250" s="224"/>
      <c r="G250" s="224"/>
      <c r="H250" s="224"/>
      <c r="I250" s="236"/>
      <c r="J250" s="225"/>
      <c r="K250" s="17"/>
      <c r="L250" s="17"/>
      <c r="M250" s="17"/>
      <c r="N250" s="17"/>
      <c r="O250" s="17"/>
      <c r="P250" s="17"/>
      <c r="Q250" s="17"/>
      <c r="R250" s="17"/>
      <c r="S250" s="17"/>
      <c r="T250" s="17"/>
    </row>
    <row r="251" spans="1:20" s="559" customFormat="1" ht="15.75" hidden="1" x14ac:dyDescent="0.25">
      <c r="A251" s="17"/>
      <c r="B251" s="226" t="s">
        <v>482</v>
      </c>
      <c r="C251" s="224"/>
      <c r="D251" s="226" t="s">
        <v>474</v>
      </c>
      <c r="E251" s="224"/>
      <c r="F251" s="224"/>
      <c r="G251" s="224"/>
      <c r="H251" s="224"/>
      <c r="I251" s="236"/>
      <c r="J251" s="225" t="s">
        <v>324</v>
      </c>
      <c r="K251" s="17"/>
      <c r="L251" s="17"/>
      <c r="M251" s="17"/>
      <c r="N251" s="17"/>
      <c r="O251" s="17"/>
      <c r="P251" s="17"/>
      <c r="Q251" s="17"/>
      <c r="R251" s="17"/>
      <c r="S251" s="17"/>
      <c r="T251" s="17"/>
    </row>
    <row r="252" spans="1:20" s="559" customFormat="1" ht="15.75" hidden="1" x14ac:dyDescent="0.25">
      <c r="A252" s="17"/>
      <c r="B252" s="224"/>
      <c r="C252" s="224"/>
      <c r="D252" s="224"/>
      <c r="E252" s="224"/>
      <c r="F252" s="224"/>
      <c r="G252" s="224"/>
      <c r="H252" s="224"/>
      <c r="I252" s="224"/>
      <c r="J252" s="225"/>
      <c r="K252" s="17"/>
      <c r="L252" s="17"/>
      <c r="M252" s="17"/>
      <c r="N252" s="17"/>
      <c r="O252" s="17"/>
      <c r="P252" s="17"/>
      <c r="Q252" s="17"/>
      <c r="R252" s="17"/>
      <c r="S252" s="17"/>
      <c r="T252" s="17"/>
    </row>
    <row r="253" spans="1:20" s="559" customFormat="1" ht="15.75" hidden="1" x14ac:dyDescent="0.25">
      <c r="A253" s="17"/>
      <c r="B253" s="224"/>
      <c r="C253" s="229" t="s">
        <v>472</v>
      </c>
      <c r="D253" s="230" t="e">
        <f>(365*C11*D230)*10^-6</f>
        <v>#DIV/0!</v>
      </c>
      <c r="E253" s="230"/>
      <c r="F253" s="230"/>
      <c r="G253" s="230"/>
      <c r="H253" s="230"/>
      <c r="I253" s="224" t="s">
        <v>476</v>
      </c>
      <c r="J253" s="225"/>
      <c r="K253" s="17"/>
      <c r="L253" s="17"/>
      <c r="M253" s="17"/>
      <c r="N253" s="17"/>
      <c r="O253" s="17"/>
      <c r="P253" s="17"/>
      <c r="Q253" s="17"/>
      <c r="R253" s="17"/>
      <c r="S253" s="17"/>
      <c r="T253" s="17"/>
    </row>
    <row r="254" spans="1:20" s="559" customFormat="1" ht="15.75" hidden="1" x14ac:dyDescent="0.25">
      <c r="A254" s="17"/>
      <c r="B254" s="224"/>
      <c r="C254" s="224"/>
      <c r="D254" s="224"/>
      <c r="E254" s="224"/>
      <c r="F254" s="224"/>
      <c r="G254" s="224"/>
      <c r="H254" s="224"/>
      <c r="I254" s="224"/>
      <c r="J254" s="225"/>
      <c r="K254" s="17"/>
      <c r="L254" s="17"/>
      <c r="M254" s="17"/>
      <c r="N254" s="17"/>
      <c r="O254" s="17"/>
      <c r="P254" s="17"/>
      <c r="Q254" s="17"/>
      <c r="R254" s="17"/>
      <c r="S254" s="17"/>
      <c r="T254" s="17"/>
    </row>
    <row r="255" spans="1:20" s="559" customFormat="1" ht="15.75" hidden="1" x14ac:dyDescent="0.25">
      <c r="A255" s="17"/>
      <c r="B255" s="226" t="s">
        <v>483</v>
      </c>
      <c r="C255" s="224"/>
      <c r="D255" s="226" t="s">
        <v>475</v>
      </c>
      <c r="E255" s="224"/>
      <c r="F255" s="224"/>
      <c r="G255" s="224"/>
      <c r="H255" s="224"/>
      <c r="I255" s="224"/>
      <c r="J255" s="225" t="s">
        <v>326</v>
      </c>
      <c r="K255" s="17"/>
      <c r="L255" s="17"/>
      <c r="M255" s="17"/>
      <c r="N255" s="17"/>
      <c r="O255" s="17"/>
      <c r="P255" s="17"/>
      <c r="Q255" s="17"/>
      <c r="R255" s="17"/>
      <c r="S255" s="17"/>
      <c r="T255" s="17"/>
    </row>
    <row r="256" spans="1:20" s="559" customFormat="1" ht="15.75" hidden="1" x14ac:dyDescent="0.25">
      <c r="A256" s="17"/>
      <c r="B256" s="224"/>
      <c r="C256" s="224"/>
      <c r="D256" s="224"/>
      <c r="E256" s="224"/>
      <c r="F256" s="224"/>
      <c r="G256" s="224"/>
      <c r="H256" s="224"/>
      <c r="I256" s="224"/>
      <c r="J256" s="225"/>
      <c r="K256" s="17"/>
      <c r="L256" s="17"/>
      <c r="M256" s="17"/>
      <c r="N256" s="17"/>
      <c r="O256" s="17"/>
      <c r="P256" s="17"/>
      <c r="Q256" s="17"/>
      <c r="R256" s="17"/>
      <c r="S256" s="17"/>
      <c r="T256" s="17"/>
    </row>
    <row r="257" spans="1:20" s="559" customFormat="1" ht="15.75" hidden="1" x14ac:dyDescent="0.25">
      <c r="A257" s="17"/>
      <c r="B257" s="224"/>
      <c r="C257" s="229" t="s">
        <v>472</v>
      </c>
      <c r="D257" s="250" t="e">
        <f>(365*C11*D249)*10^-6</f>
        <v>#DIV/0!</v>
      </c>
      <c r="E257" s="250"/>
      <c r="F257" s="250"/>
      <c r="G257" s="250"/>
      <c r="H257" s="250"/>
      <c r="I257" s="224" t="s">
        <v>476</v>
      </c>
      <c r="J257" s="225"/>
      <c r="K257" s="17"/>
      <c r="L257" s="17"/>
      <c r="M257" s="17"/>
      <c r="N257" s="17"/>
      <c r="O257" s="17"/>
      <c r="P257" s="17"/>
      <c r="Q257" s="17"/>
      <c r="R257" s="17"/>
      <c r="S257" s="17"/>
      <c r="T257" s="17"/>
    </row>
    <row r="258" spans="1:20" s="559" customFormat="1" ht="15.75" hidden="1" x14ac:dyDescent="0.25">
      <c r="A258" s="17"/>
      <c r="B258" s="224"/>
      <c r="C258" s="224"/>
      <c r="D258" s="224"/>
      <c r="E258" s="224"/>
      <c r="F258" s="224"/>
      <c r="G258" s="224"/>
      <c r="H258" s="224"/>
      <c r="I258" s="224"/>
      <c r="J258" s="225"/>
      <c r="K258" s="17"/>
      <c r="L258" s="17"/>
      <c r="M258" s="17"/>
      <c r="N258" s="17"/>
      <c r="O258" s="17"/>
      <c r="P258" s="17"/>
      <c r="Q258" s="17"/>
      <c r="R258" s="17"/>
      <c r="S258" s="17"/>
      <c r="T258" s="17"/>
    </row>
    <row r="259" spans="1:20" s="559" customFormat="1" ht="15.75" hidden="1" x14ac:dyDescent="0.25">
      <c r="A259" s="17"/>
      <c r="B259" s="226" t="s">
        <v>484</v>
      </c>
      <c r="C259" s="224"/>
      <c r="D259" s="226" t="s">
        <v>327</v>
      </c>
      <c r="E259" s="224"/>
      <c r="F259" s="224"/>
      <c r="G259" s="224"/>
      <c r="H259" s="224"/>
      <c r="I259" s="224"/>
      <c r="J259" s="225"/>
      <c r="K259" s="17"/>
      <c r="L259" s="17"/>
      <c r="M259" s="17"/>
      <c r="N259" s="17"/>
      <c r="O259" s="17"/>
      <c r="P259" s="17"/>
      <c r="Q259" s="17"/>
      <c r="R259" s="17"/>
      <c r="S259" s="17"/>
      <c r="T259" s="17"/>
    </row>
    <row r="260" spans="1:20" s="559" customFormat="1" ht="15.75" hidden="1" x14ac:dyDescent="0.25">
      <c r="A260" s="17"/>
      <c r="B260" s="224"/>
      <c r="C260" s="229"/>
      <c r="D260" s="229"/>
      <c r="E260" s="253"/>
      <c r="F260" s="253"/>
      <c r="G260" s="253"/>
      <c r="H260" s="253"/>
      <c r="I260" s="236"/>
      <c r="J260" s="225"/>
      <c r="K260" s="17"/>
      <c r="L260" s="17"/>
      <c r="M260" s="17"/>
      <c r="N260" s="17"/>
      <c r="O260" s="17"/>
      <c r="P260" s="17"/>
      <c r="Q260" s="17"/>
      <c r="R260" s="17"/>
      <c r="S260" s="17"/>
      <c r="T260" s="17"/>
    </row>
    <row r="261" spans="1:20" s="559" customFormat="1" ht="15.75" hidden="1" x14ac:dyDescent="0.25">
      <c r="A261" s="17"/>
      <c r="B261" s="224"/>
      <c r="C261" s="229" t="s">
        <v>472</v>
      </c>
      <c r="D261" s="253" t="e">
        <f>D257+D253</f>
        <v>#DIV/0!</v>
      </c>
      <c r="E261" s="253"/>
      <c r="F261" s="253"/>
      <c r="G261" s="253"/>
      <c r="H261" s="253"/>
      <c r="I261" s="224"/>
      <c r="J261" s="225"/>
      <c r="K261" s="17"/>
      <c r="L261" s="17"/>
      <c r="M261" s="17"/>
      <c r="N261" s="17"/>
      <c r="O261" s="17"/>
      <c r="P261" s="17"/>
      <c r="Q261" s="17"/>
      <c r="R261" s="17"/>
      <c r="S261" s="17"/>
      <c r="T261" s="17"/>
    </row>
    <row r="262" spans="1:20" s="1299" customFormat="1" ht="15.75" hidden="1" x14ac:dyDescent="0.25">
      <c r="B262" s="224"/>
      <c r="C262" s="229"/>
      <c r="D262" s="253"/>
      <c r="E262" s="253"/>
      <c r="F262" s="253"/>
      <c r="G262" s="253"/>
      <c r="H262" s="253"/>
      <c r="I262" s="224"/>
      <c r="J262" s="225"/>
    </row>
    <row r="263" spans="1:20" s="559" customFormat="1" ht="15.75" hidden="1" x14ac:dyDescent="0.25">
      <c r="A263" s="17"/>
      <c r="B263" s="226" t="s">
        <v>328</v>
      </c>
      <c r="C263" s="251"/>
      <c r="D263" s="226" t="s">
        <v>329</v>
      </c>
      <c r="E263" s="251"/>
      <c r="F263" s="251"/>
      <c r="G263" s="251"/>
      <c r="H263" s="236"/>
      <c r="I263" s="224"/>
      <c r="J263" s="225"/>
      <c r="K263" s="17"/>
      <c r="L263" s="17"/>
      <c r="M263" s="17"/>
      <c r="N263" s="17"/>
      <c r="O263" s="17"/>
      <c r="P263" s="17"/>
      <c r="Q263" s="17"/>
      <c r="R263" s="17"/>
      <c r="S263" s="17"/>
      <c r="T263" s="17"/>
    </row>
    <row r="264" spans="1:20" s="559" customFormat="1" ht="15.75" hidden="1" x14ac:dyDescent="0.25">
      <c r="A264" s="17"/>
      <c r="B264" s="224"/>
      <c r="C264" s="224"/>
      <c r="D264" s="224" t="s">
        <v>330</v>
      </c>
      <c r="E264" s="254"/>
      <c r="F264" s="254"/>
      <c r="G264" s="254"/>
      <c r="H264" s="254"/>
      <c r="I264" s="224"/>
      <c r="J264" s="225"/>
      <c r="K264" s="17"/>
      <c r="L264" s="17"/>
      <c r="M264" s="17"/>
      <c r="N264" s="17"/>
      <c r="O264" s="17"/>
      <c r="P264" s="17"/>
      <c r="Q264" s="17"/>
      <c r="R264" s="17"/>
      <c r="S264" s="17"/>
      <c r="T264" s="17"/>
    </row>
    <row r="265" spans="1:20" s="559" customFormat="1" ht="15.75" hidden="1" x14ac:dyDescent="0.25">
      <c r="A265" s="17"/>
      <c r="B265" s="224"/>
      <c r="C265" s="224"/>
      <c r="D265" s="224" t="s">
        <v>331</v>
      </c>
      <c r="E265" s="224"/>
      <c r="F265" s="224"/>
      <c r="G265" s="224"/>
      <c r="H265" s="224"/>
      <c r="I265" s="224"/>
      <c r="J265" s="225"/>
      <c r="K265" s="17"/>
      <c r="L265" s="17"/>
      <c r="M265" s="17"/>
      <c r="N265" s="17"/>
      <c r="O265" s="17"/>
      <c r="P265" s="17"/>
      <c r="Q265" s="17"/>
      <c r="R265" s="17"/>
      <c r="S265" s="17"/>
      <c r="T265" s="17"/>
    </row>
    <row r="266" spans="1:20" s="559" customFormat="1" ht="15.75" hidden="1" x14ac:dyDescent="0.25">
      <c r="A266" s="17"/>
      <c r="B266" s="224"/>
      <c r="C266" s="224"/>
      <c r="D266" s="224"/>
      <c r="E266" s="224"/>
      <c r="F266" s="224"/>
      <c r="G266" s="224"/>
      <c r="H266" s="224"/>
      <c r="I266" s="224"/>
      <c r="J266" s="225"/>
      <c r="K266" s="17"/>
      <c r="L266" s="17"/>
      <c r="M266" s="17"/>
      <c r="N266" s="17"/>
      <c r="O266" s="17"/>
      <c r="P266" s="17"/>
      <c r="Q266" s="17"/>
      <c r="R266" s="17"/>
      <c r="S266" s="17"/>
      <c r="T266" s="17"/>
    </row>
    <row r="267" spans="1:20" s="559" customFormat="1" ht="17.25" hidden="1" x14ac:dyDescent="0.3">
      <c r="A267" s="17"/>
      <c r="B267" s="1194" t="s">
        <v>332</v>
      </c>
      <c r="C267" s="1447"/>
      <c r="D267" s="1443" t="s">
        <v>1531</v>
      </c>
      <c r="E267" s="224"/>
      <c r="F267" s="224"/>
      <c r="G267" s="1194" t="s">
        <v>333</v>
      </c>
      <c r="H267" s="224"/>
      <c r="I267" s="224"/>
      <c r="J267" s="255"/>
      <c r="K267" s="17"/>
      <c r="L267" s="17"/>
      <c r="M267" s="17"/>
      <c r="N267" s="17"/>
      <c r="O267" s="17"/>
      <c r="P267" s="17"/>
      <c r="Q267" s="17"/>
      <c r="R267" s="17"/>
      <c r="S267" s="17"/>
      <c r="T267" s="17"/>
    </row>
    <row r="268" spans="1:20" s="559" customFormat="1" ht="15.75" hidden="1" x14ac:dyDescent="0.25">
      <c r="A268" s="17"/>
      <c r="B268" s="1420" t="s">
        <v>1462</v>
      </c>
      <c r="C268" s="1431" t="s">
        <v>472</v>
      </c>
      <c r="D268" s="1503" t="e">
        <f>$D$261*'Baseline farm'!C73%</f>
        <v>#DIV/0!</v>
      </c>
      <c r="E268" s="257"/>
      <c r="F268" s="257"/>
      <c r="G268" s="1420">
        <v>0</v>
      </c>
      <c r="H268" s="257"/>
      <c r="I268" s="256"/>
      <c r="J268" s="225"/>
      <c r="K268" s="17"/>
      <c r="L268" s="17"/>
      <c r="M268" s="17"/>
      <c r="N268" s="17"/>
      <c r="O268" s="17"/>
      <c r="P268" s="17"/>
      <c r="Q268" s="17"/>
      <c r="R268" s="17"/>
      <c r="S268" s="17"/>
      <c r="T268" s="17"/>
    </row>
    <row r="269" spans="1:20" s="559" customFormat="1" ht="15.75" hidden="1" x14ac:dyDescent="0.25">
      <c r="A269" s="17"/>
      <c r="B269" s="1447"/>
      <c r="C269" s="1447"/>
      <c r="D269" s="1415"/>
      <c r="E269" s="224"/>
      <c r="F269" s="224"/>
      <c r="G269" s="1447"/>
      <c r="H269" s="224"/>
      <c r="I269" s="251"/>
      <c r="J269" s="225"/>
      <c r="K269" s="17"/>
      <c r="L269" s="17"/>
      <c r="M269" s="17"/>
      <c r="N269" s="17"/>
      <c r="O269" s="17"/>
      <c r="P269" s="17"/>
      <c r="Q269" s="17"/>
      <c r="R269" s="17"/>
      <c r="S269" s="17"/>
      <c r="T269" s="17"/>
    </row>
    <row r="270" spans="1:20" s="559" customFormat="1" ht="15.75" hidden="1" x14ac:dyDescent="0.25">
      <c r="A270" s="17"/>
      <c r="B270" s="1420" t="s">
        <v>1461</v>
      </c>
      <c r="C270" s="1431" t="s">
        <v>472</v>
      </c>
      <c r="D270" s="1503" t="e">
        <f>$D$261*'Baseline farm'!D73%</f>
        <v>#DIV/0!</v>
      </c>
      <c r="E270" s="257"/>
      <c r="F270" s="257"/>
      <c r="G270" s="1420">
        <v>0</v>
      </c>
      <c r="H270" s="257"/>
      <c r="I270" s="224"/>
      <c r="J270" s="225"/>
      <c r="K270" s="17"/>
      <c r="L270" s="17"/>
      <c r="M270" s="17"/>
      <c r="N270" s="17"/>
      <c r="O270" s="17"/>
      <c r="P270" s="17"/>
      <c r="Q270" s="17"/>
      <c r="R270" s="17"/>
      <c r="S270" s="17"/>
      <c r="T270" s="17"/>
    </row>
    <row r="271" spans="1:20" s="559" customFormat="1" ht="15.75" hidden="1" x14ac:dyDescent="0.25">
      <c r="A271" s="17"/>
      <c r="B271" s="1447"/>
      <c r="C271" s="1447"/>
      <c r="D271" s="1415"/>
      <c r="E271" s="224"/>
      <c r="F271" s="224"/>
      <c r="G271" s="1447"/>
      <c r="H271" s="224"/>
      <c r="I271" s="251"/>
      <c r="J271" s="225"/>
      <c r="K271" s="17"/>
      <c r="L271" s="17"/>
      <c r="M271" s="17"/>
      <c r="N271" s="17"/>
      <c r="O271" s="17"/>
      <c r="P271" s="17"/>
      <c r="Q271" s="17"/>
      <c r="R271" s="17"/>
      <c r="S271" s="17"/>
      <c r="T271" s="17"/>
    </row>
    <row r="272" spans="1:20" s="559" customFormat="1" ht="15.75" hidden="1" x14ac:dyDescent="0.25">
      <c r="A272" s="17"/>
      <c r="B272" s="1420" t="s">
        <v>1463</v>
      </c>
      <c r="C272" s="1431" t="s">
        <v>472</v>
      </c>
      <c r="D272" s="1503" t="e">
        <f>$D$261*'Baseline farm'!E73%</f>
        <v>#DIV/0!</v>
      </c>
      <c r="E272" s="257"/>
      <c r="F272" s="257"/>
      <c r="G272" s="1420">
        <v>0</v>
      </c>
      <c r="H272" s="257"/>
      <c r="I272" s="224"/>
      <c r="J272" s="225"/>
      <c r="K272" s="17"/>
      <c r="L272" s="17"/>
      <c r="M272" s="17"/>
      <c r="N272" s="17"/>
      <c r="O272" s="17"/>
      <c r="P272" s="17"/>
      <c r="Q272" s="17"/>
      <c r="R272" s="17"/>
      <c r="S272" s="17"/>
      <c r="T272" s="17"/>
    </row>
    <row r="273" spans="1:20" s="559" customFormat="1" ht="15.75" hidden="1" x14ac:dyDescent="0.25">
      <c r="A273" s="17"/>
      <c r="B273" s="1447"/>
      <c r="C273" s="1431"/>
      <c r="D273" s="1415"/>
      <c r="E273" s="257"/>
      <c r="F273" s="257"/>
      <c r="G273" s="1447"/>
      <c r="H273" s="257"/>
      <c r="I273" s="251"/>
      <c r="J273" s="225"/>
      <c r="K273" s="17"/>
      <c r="L273" s="17"/>
      <c r="M273" s="17"/>
      <c r="N273" s="17"/>
      <c r="O273" s="17"/>
      <c r="P273" s="17"/>
      <c r="Q273" s="17"/>
      <c r="R273" s="17"/>
      <c r="S273" s="17"/>
      <c r="T273" s="17"/>
    </row>
    <row r="274" spans="1:20" s="559" customFormat="1" ht="15.75" hidden="1" x14ac:dyDescent="0.25">
      <c r="A274" s="17"/>
      <c r="B274" s="1420" t="s">
        <v>1464</v>
      </c>
      <c r="C274" s="1431" t="s">
        <v>472</v>
      </c>
      <c r="D274" s="1503" t="e">
        <f>$D$261*'Baseline farm'!F73%</f>
        <v>#DIV/0!</v>
      </c>
      <c r="E274" s="257"/>
      <c r="F274" s="257"/>
      <c r="G274" s="1431">
        <v>5.0000000000000001E-3</v>
      </c>
      <c r="H274" s="257"/>
      <c r="I274" s="224"/>
      <c r="J274" s="225"/>
      <c r="K274" s="17"/>
      <c r="L274" s="17"/>
      <c r="M274" s="17"/>
      <c r="N274" s="17"/>
      <c r="O274" s="17"/>
      <c r="P274" s="17"/>
      <c r="Q274" s="17"/>
      <c r="R274" s="17"/>
      <c r="S274" s="17"/>
      <c r="T274" s="17"/>
    </row>
    <row r="275" spans="1:20" s="559" customFormat="1" ht="15.75" hidden="1" x14ac:dyDescent="0.25">
      <c r="A275" s="17"/>
      <c r="B275" s="1447"/>
      <c r="C275" s="1431"/>
      <c r="D275" s="1415"/>
      <c r="E275" s="257"/>
      <c r="F275" s="257"/>
      <c r="G275" s="1447"/>
      <c r="H275" s="257"/>
      <c r="I275" s="229"/>
      <c r="J275" s="225"/>
      <c r="K275" s="17"/>
      <c r="L275" s="17"/>
      <c r="M275" s="17"/>
      <c r="N275" s="17"/>
      <c r="O275" s="17"/>
      <c r="P275" s="17"/>
      <c r="Q275" s="17"/>
      <c r="R275" s="17"/>
      <c r="S275" s="17"/>
      <c r="T275" s="17"/>
    </row>
    <row r="276" spans="1:20" s="559" customFormat="1" ht="15.75" hidden="1" x14ac:dyDescent="0.25">
      <c r="A276" s="17"/>
      <c r="B276" s="1420" t="s">
        <v>1465</v>
      </c>
      <c r="C276" s="1431" t="s">
        <v>472</v>
      </c>
      <c r="D276" s="1503" t="e">
        <f>$D$261*'Baseline farm'!G73%</f>
        <v>#DIV/0!</v>
      </c>
      <c r="E276" s="257"/>
      <c r="F276" s="257"/>
      <c r="G276" s="1420">
        <v>0</v>
      </c>
      <c r="H276" s="257"/>
      <c r="I276" s="224"/>
      <c r="J276" s="225"/>
      <c r="K276" s="17"/>
      <c r="L276" s="17"/>
      <c r="M276" s="17"/>
      <c r="N276" s="17"/>
      <c r="O276" s="17"/>
      <c r="P276" s="17"/>
      <c r="Q276" s="17"/>
      <c r="R276" s="17"/>
      <c r="S276" s="17"/>
      <c r="T276" s="17"/>
    </row>
    <row r="277" spans="1:20" s="559" customFormat="1" ht="15.75" hidden="1" x14ac:dyDescent="0.25">
      <c r="A277" s="17"/>
      <c r="B277" s="1447"/>
      <c r="C277" s="1447"/>
      <c r="D277" s="1415"/>
      <c r="E277" s="257"/>
      <c r="F277" s="257"/>
      <c r="G277" s="1447"/>
      <c r="H277" s="257"/>
      <c r="I277" s="229"/>
      <c r="J277" s="225"/>
      <c r="K277" s="17"/>
      <c r="L277" s="17"/>
      <c r="M277" s="17"/>
      <c r="N277" s="17"/>
      <c r="O277" s="17"/>
      <c r="P277" s="17"/>
      <c r="Q277" s="17"/>
      <c r="R277" s="17"/>
      <c r="S277" s="17"/>
      <c r="T277" s="17"/>
    </row>
    <row r="278" spans="1:20" s="559" customFormat="1" ht="17.25" hidden="1" x14ac:dyDescent="0.3">
      <c r="A278" s="17"/>
      <c r="B278" s="1443" t="s">
        <v>1450</v>
      </c>
      <c r="C278" s="1431" t="s">
        <v>472</v>
      </c>
      <c r="D278" s="1503" t="e">
        <f>SUM(D268,D270,D272,D274,D276)</f>
        <v>#DIV/0!</v>
      </c>
      <c r="E278" s="257"/>
      <c r="F278" s="257"/>
      <c r="G278" s="1447" t="s">
        <v>476</v>
      </c>
      <c r="H278" s="257"/>
      <c r="I278" s="224"/>
      <c r="J278" s="225"/>
      <c r="K278" s="17"/>
      <c r="L278" s="17"/>
      <c r="M278" s="17"/>
      <c r="N278" s="17"/>
      <c r="O278" s="17"/>
      <c r="P278" s="17"/>
      <c r="Q278" s="17"/>
      <c r="R278" s="17"/>
      <c r="S278" s="17"/>
      <c r="T278" s="17"/>
    </row>
    <row r="279" spans="1:20" s="559" customFormat="1" ht="15.75" hidden="1" x14ac:dyDescent="0.25">
      <c r="A279" s="17"/>
      <c r="B279" s="1447"/>
      <c r="C279" s="1447"/>
      <c r="D279" s="1504"/>
      <c r="E279" s="257"/>
      <c r="F279" s="257"/>
      <c r="G279" s="1447"/>
      <c r="H279" s="257"/>
      <c r="I279" s="251"/>
      <c r="J279" s="225"/>
      <c r="K279" s="17"/>
      <c r="L279" s="17"/>
      <c r="M279" s="17"/>
      <c r="N279" s="17"/>
      <c r="O279" s="17"/>
      <c r="P279" s="17"/>
      <c r="Q279" s="17"/>
      <c r="R279" s="17"/>
      <c r="S279" s="17"/>
      <c r="T279" s="17"/>
    </row>
    <row r="280" spans="1:20" s="559" customFormat="1" ht="17.25" hidden="1" x14ac:dyDescent="0.3">
      <c r="A280" s="17"/>
      <c r="B280" s="1443" t="s">
        <v>1480</v>
      </c>
      <c r="C280" s="1431" t="s">
        <v>472</v>
      </c>
      <c r="D280" s="1505" t="e">
        <f>((D268*$G$268)+(D270*$G$270)+(D272*$G$272)+(D274*$G$274))*44/28</f>
        <v>#DIV/0!</v>
      </c>
      <c r="E280" s="257"/>
      <c r="F280" s="257"/>
      <c r="G280" s="1447" t="s">
        <v>1452</v>
      </c>
      <c r="H280" s="257"/>
      <c r="I280" s="224"/>
      <c r="J280" s="225"/>
      <c r="K280" s="17"/>
      <c r="L280" s="17"/>
      <c r="M280" s="17"/>
      <c r="N280" s="17"/>
      <c r="O280" s="17"/>
      <c r="P280" s="17"/>
      <c r="Q280" s="17"/>
      <c r="R280" s="17"/>
      <c r="S280" s="17"/>
      <c r="T280" s="17"/>
    </row>
    <row r="281" spans="1:20" s="559" customFormat="1" ht="15.75" hidden="1" x14ac:dyDescent="0.25">
      <c r="A281" s="17"/>
      <c r="B281" s="1447"/>
      <c r="C281" s="1431"/>
      <c r="D281" s="1447"/>
      <c r="E281" s="224"/>
      <c r="F281" s="224"/>
      <c r="G281" s="1447"/>
      <c r="H281" s="224"/>
      <c r="I281" s="224"/>
      <c r="J281" s="225"/>
      <c r="K281" s="17"/>
      <c r="L281" s="17"/>
      <c r="M281" s="17"/>
      <c r="N281" s="17"/>
      <c r="O281" s="17"/>
      <c r="P281" s="17"/>
      <c r="Q281" s="17"/>
      <c r="R281" s="17"/>
      <c r="S281" s="17"/>
      <c r="T281" s="17"/>
    </row>
    <row r="282" spans="1:20" s="559" customFormat="1" ht="15.75" hidden="1" x14ac:dyDescent="0.25">
      <c r="A282" s="17"/>
      <c r="B282" s="1443" t="s">
        <v>1437</v>
      </c>
      <c r="C282" s="1431"/>
      <c r="D282" s="1443" t="s">
        <v>1438</v>
      </c>
      <c r="E282" s="257"/>
      <c r="F282" s="257"/>
      <c r="G282" s="1443" t="s">
        <v>1453</v>
      </c>
      <c r="H282" s="257"/>
      <c r="I282" s="224"/>
      <c r="J282" s="225"/>
      <c r="K282" s="17"/>
      <c r="L282" s="17"/>
      <c r="M282" s="17"/>
      <c r="N282" s="17"/>
      <c r="O282" s="17"/>
      <c r="P282" s="17"/>
      <c r="Q282" s="17"/>
      <c r="R282" s="17"/>
      <c r="S282" s="17"/>
      <c r="T282" s="17"/>
    </row>
    <row r="283" spans="1:20" s="559" customFormat="1" ht="15.75" hidden="1" x14ac:dyDescent="0.25">
      <c r="A283" s="17"/>
      <c r="B283" s="1420"/>
      <c r="C283" s="1431"/>
      <c r="D283" s="1447"/>
      <c r="E283" s="224"/>
      <c r="F283" s="224"/>
      <c r="G283" s="1447"/>
      <c r="H283" s="224"/>
      <c r="I283" s="224"/>
      <c r="J283" s="225"/>
      <c r="K283" s="17"/>
      <c r="L283" s="17"/>
      <c r="M283" s="17"/>
      <c r="N283" s="17"/>
      <c r="O283" s="17"/>
      <c r="P283" s="17"/>
      <c r="Q283" s="17"/>
      <c r="R283" s="17"/>
      <c r="S283" s="17"/>
      <c r="T283" s="17"/>
    </row>
    <row r="284" spans="1:20" s="559" customFormat="1" ht="15.75" hidden="1" x14ac:dyDescent="0.25">
      <c r="A284" s="17"/>
      <c r="B284" s="1420" t="s">
        <v>1462</v>
      </c>
      <c r="C284" s="1431"/>
      <c r="D284" s="1504" t="e">
        <f>D268*G284</f>
        <v>#DIV/0!</v>
      </c>
      <c r="E284" s="224"/>
      <c r="F284" s="224"/>
      <c r="G284" s="1447">
        <v>0.35</v>
      </c>
      <c r="H284" s="224"/>
      <c r="I284" s="224"/>
      <c r="J284" s="225"/>
      <c r="K284" s="17"/>
      <c r="L284" s="17"/>
      <c r="M284" s="17"/>
      <c r="N284" s="17"/>
      <c r="O284" s="17"/>
      <c r="P284" s="17"/>
      <c r="Q284" s="17"/>
      <c r="R284" s="17"/>
      <c r="S284" s="17"/>
      <c r="T284" s="17"/>
    </row>
    <row r="285" spans="1:20" s="559" customFormat="1" ht="15.75" hidden="1" x14ac:dyDescent="0.25">
      <c r="A285" s="17"/>
      <c r="B285" s="1447"/>
      <c r="C285" s="1431"/>
      <c r="D285" s="1504"/>
      <c r="E285" s="224"/>
      <c r="F285" s="224"/>
      <c r="G285" s="1447"/>
      <c r="H285" s="224"/>
      <c r="I285" s="224"/>
      <c r="J285" s="225"/>
      <c r="K285" s="17"/>
      <c r="L285" s="17"/>
      <c r="M285" s="17"/>
      <c r="N285" s="17"/>
      <c r="O285" s="17"/>
      <c r="P285" s="17"/>
      <c r="Q285" s="17"/>
      <c r="R285" s="17"/>
      <c r="S285" s="17"/>
      <c r="T285" s="17"/>
    </row>
    <row r="286" spans="1:20" s="559" customFormat="1" ht="15.75" hidden="1" x14ac:dyDescent="0.25">
      <c r="A286" s="17"/>
      <c r="B286" s="1420" t="s">
        <v>1461</v>
      </c>
      <c r="C286" s="1431"/>
      <c r="D286" s="1504" t="e">
        <f>D270*G286</f>
        <v>#DIV/0!</v>
      </c>
      <c r="E286" s="251"/>
      <c r="F286" s="251"/>
      <c r="G286" s="1447">
        <v>7.0000000000000007E-2</v>
      </c>
      <c r="H286" s="224"/>
      <c r="I286" s="224"/>
      <c r="J286" s="225"/>
      <c r="K286" s="17"/>
      <c r="L286" s="17"/>
      <c r="M286" s="17"/>
      <c r="N286" s="17"/>
      <c r="O286" s="17"/>
      <c r="P286" s="17"/>
      <c r="Q286" s="17"/>
      <c r="R286" s="17"/>
      <c r="S286" s="17"/>
      <c r="T286" s="17"/>
    </row>
    <row r="287" spans="1:20" s="559" customFormat="1" ht="15.75" hidden="1" x14ac:dyDescent="0.25">
      <c r="A287" s="17"/>
      <c r="B287" s="1447"/>
      <c r="C287" s="1431"/>
      <c r="D287" s="1504"/>
      <c r="E287" s="1502"/>
      <c r="F287" s="1502"/>
      <c r="G287" s="1447"/>
      <c r="H287" s="224"/>
      <c r="I287" s="224"/>
      <c r="J287" s="225"/>
      <c r="K287" s="17"/>
      <c r="L287" s="17"/>
      <c r="M287" s="17"/>
      <c r="N287" s="17"/>
      <c r="O287" s="17"/>
      <c r="P287" s="17"/>
      <c r="Q287" s="17"/>
      <c r="R287" s="17"/>
      <c r="S287" s="17"/>
      <c r="T287" s="17"/>
    </row>
    <row r="288" spans="1:20" s="559" customFormat="1" ht="15.75" hidden="1" x14ac:dyDescent="0.25">
      <c r="A288" s="17"/>
      <c r="B288" s="1420" t="s">
        <v>1463</v>
      </c>
      <c r="C288" s="1431"/>
      <c r="D288" s="1504" t="e">
        <f>D272*G288</f>
        <v>#DIV/0!</v>
      </c>
      <c r="E288" s="224"/>
      <c r="F288" s="224"/>
      <c r="G288" s="1447">
        <v>0.2</v>
      </c>
      <c r="H288" s="224"/>
      <c r="I288" s="224"/>
      <c r="J288" s="225"/>
      <c r="K288" s="17"/>
      <c r="L288" s="17"/>
      <c r="M288" s="17"/>
      <c r="N288" s="17"/>
      <c r="O288" s="17"/>
      <c r="P288" s="17"/>
      <c r="Q288" s="17"/>
      <c r="R288" s="17"/>
      <c r="S288" s="17"/>
      <c r="T288" s="17"/>
    </row>
    <row r="289" spans="1:20" s="559" customFormat="1" ht="15.75" hidden="1" x14ac:dyDescent="0.25">
      <c r="A289" s="17"/>
      <c r="B289" s="1447"/>
      <c r="C289" s="1431"/>
      <c r="D289" s="1504"/>
      <c r="E289" s="224"/>
      <c r="F289" s="224"/>
      <c r="G289" s="1447"/>
      <c r="H289" s="224"/>
      <c r="I289" s="224"/>
      <c r="J289" s="225"/>
      <c r="K289" s="261"/>
      <c r="L289" s="56"/>
      <c r="M289" s="56"/>
      <c r="N289" s="17"/>
      <c r="O289" s="17"/>
      <c r="P289" s="17"/>
      <c r="Q289" s="17"/>
      <c r="R289" s="17"/>
      <c r="S289" s="17"/>
      <c r="T289" s="17"/>
    </row>
    <row r="290" spans="1:20" s="559" customFormat="1" ht="15.75" hidden="1" x14ac:dyDescent="0.25">
      <c r="A290" s="17"/>
      <c r="B290" s="1420" t="s">
        <v>1464</v>
      </c>
      <c r="C290" s="1431"/>
      <c r="D290" s="1504" t="e">
        <f>D274*G290</f>
        <v>#DIV/0!</v>
      </c>
      <c r="E290" s="224"/>
      <c r="F290" s="224"/>
      <c r="G290" s="1447">
        <v>0.3</v>
      </c>
      <c r="H290" s="224"/>
      <c r="I290" s="224"/>
      <c r="J290" s="225"/>
      <c r="K290" s="56"/>
      <c r="L290" s="56"/>
      <c r="M290" s="56"/>
      <c r="N290" s="17"/>
      <c r="O290" s="17"/>
      <c r="P290" s="17"/>
      <c r="Q290" s="17"/>
      <c r="R290" s="17"/>
      <c r="S290" s="17"/>
      <c r="T290" s="17"/>
    </row>
    <row r="291" spans="1:20" s="559" customFormat="1" ht="15.75" hidden="1" x14ac:dyDescent="0.25">
      <c r="A291" s="17"/>
      <c r="B291" s="1447"/>
      <c r="C291" s="1431"/>
      <c r="D291" s="1506"/>
      <c r="E291" s="224"/>
      <c r="F291" s="224"/>
      <c r="G291" s="1447"/>
      <c r="H291" s="224"/>
      <c r="I291" s="224"/>
      <c r="J291" s="225"/>
      <c r="K291" s="56"/>
      <c r="L291" s="56"/>
      <c r="M291" s="56"/>
      <c r="N291" s="17"/>
      <c r="O291" s="17"/>
      <c r="P291" s="17"/>
      <c r="Q291" s="17"/>
      <c r="R291" s="17"/>
      <c r="S291" s="17"/>
      <c r="T291" s="17"/>
    </row>
    <row r="292" spans="1:20" s="559" customFormat="1" ht="15.75" hidden="1" x14ac:dyDescent="0.25">
      <c r="A292" s="17"/>
      <c r="B292" s="1420" t="s">
        <v>1465</v>
      </c>
      <c r="C292" s="1431"/>
      <c r="D292" s="1504" t="e">
        <f>D276*G292</f>
        <v>#DIV/0!</v>
      </c>
      <c r="E292" s="224"/>
      <c r="F292" s="224"/>
      <c r="G292" s="1447">
        <v>0</v>
      </c>
      <c r="H292" s="224"/>
      <c r="I292" s="224"/>
      <c r="J292" s="225"/>
      <c r="K292" s="56"/>
      <c r="L292" s="56"/>
      <c r="M292" s="56"/>
      <c r="N292" s="17"/>
      <c r="O292" s="17"/>
      <c r="P292" s="17"/>
      <c r="Q292" s="17"/>
      <c r="R292" s="17"/>
      <c r="S292" s="17"/>
      <c r="T292" s="17"/>
    </row>
    <row r="293" spans="1:20" s="559" customFormat="1" ht="15.75" hidden="1" x14ac:dyDescent="0.25">
      <c r="A293" s="17"/>
      <c r="B293" s="1447"/>
      <c r="C293" s="1431"/>
      <c r="D293" s="1447"/>
      <c r="E293" s="224"/>
      <c r="F293" s="224"/>
      <c r="G293" s="1447"/>
      <c r="H293" s="224"/>
      <c r="I293" s="224"/>
      <c r="J293" s="225"/>
      <c r="K293" s="56"/>
      <c r="L293" s="56"/>
      <c r="M293" s="56"/>
      <c r="N293" s="17"/>
      <c r="O293" s="17"/>
      <c r="P293" s="17"/>
      <c r="Q293" s="17"/>
      <c r="R293" s="17"/>
      <c r="S293" s="17"/>
      <c r="T293" s="17"/>
    </row>
    <row r="294" spans="1:20" s="559" customFormat="1" ht="15.75" hidden="1" x14ac:dyDescent="0.25">
      <c r="A294" s="17"/>
      <c r="B294" s="1443" t="s">
        <v>1455</v>
      </c>
      <c r="C294" s="1431"/>
      <c r="D294" s="1443" t="s">
        <v>1456</v>
      </c>
      <c r="E294" s="224"/>
      <c r="F294" s="224"/>
      <c r="G294" s="1443" t="s">
        <v>1457</v>
      </c>
      <c r="H294" s="224"/>
      <c r="I294" s="224"/>
      <c r="J294" s="225"/>
      <c r="K294" s="56"/>
      <c r="L294" s="56"/>
      <c r="M294" s="56"/>
      <c r="N294" s="17"/>
      <c r="O294" s="17"/>
      <c r="P294" s="17"/>
      <c r="Q294" s="17"/>
      <c r="R294" s="17"/>
      <c r="S294" s="17"/>
      <c r="T294" s="17"/>
    </row>
    <row r="295" spans="1:20" s="559" customFormat="1" ht="15.75" hidden="1" x14ac:dyDescent="0.25">
      <c r="A295" s="17"/>
      <c r="B295" s="1447"/>
      <c r="C295" s="1431"/>
      <c r="D295" s="1504" t="e">
        <f>SUM(D284:D290)*G295*44/28</f>
        <v>#DIV/0!</v>
      </c>
      <c r="E295" s="224"/>
      <c r="F295" s="224"/>
      <c r="G295" s="1447">
        <v>4.0000000000000001E-3</v>
      </c>
      <c r="H295" s="224"/>
      <c r="I295" s="224"/>
      <c r="J295" s="225"/>
      <c r="K295" s="56"/>
      <c r="L295" s="56"/>
      <c r="M295" s="56"/>
      <c r="N295" s="17"/>
      <c r="O295" s="17"/>
      <c r="P295" s="17"/>
      <c r="Q295" s="17"/>
      <c r="R295" s="17"/>
      <c r="S295" s="17"/>
      <c r="T295" s="17"/>
    </row>
    <row r="296" spans="1:20" s="559" customFormat="1" ht="15.75" hidden="1" x14ac:dyDescent="0.25">
      <c r="A296" s="17"/>
      <c r="B296" s="1447"/>
      <c r="C296" s="1431"/>
      <c r="D296" s="1504"/>
      <c r="E296" s="224"/>
      <c r="F296" s="224"/>
      <c r="G296" s="1447"/>
      <c r="H296" s="224"/>
      <c r="I296" s="224"/>
      <c r="J296" s="225"/>
      <c r="K296" s="56"/>
      <c r="L296" s="56"/>
      <c r="M296" s="56"/>
      <c r="N296" s="17"/>
      <c r="O296" s="17"/>
      <c r="P296" s="17"/>
      <c r="Q296" s="17"/>
      <c r="R296" s="17"/>
      <c r="S296" s="17"/>
      <c r="T296" s="17"/>
    </row>
    <row r="297" spans="1:20" s="559" customFormat="1" ht="15.75" hidden="1" x14ac:dyDescent="0.25">
      <c r="A297" s="17"/>
      <c r="B297" s="1447" t="s">
        <v>1460</v>
      </c>
      <c r="C297" s="1431"/>
      <c r="D297" s="1507" t="e">
        <f>SUM(D295)*298*10^3</f>
        <v>#DIV/0!</v>
      </c>
      <c r="E297" s="224"/>
      <c r="F297" s="224"/>
      <c r="G297" s="1447" t="s">
        <v>1468</v>
      </c>
      <c r="H297" s="224"/>
      <c r="I297" s="224"/>
      <c r="J297" s="225"/>
      <c r="K297" s="56"/>
      <c r="L297" s="56"/>
      <c r="M297" s="56"/>
      <c r="N297" s="17"/>
      <c r="O297" s="17"/>
      <c r="P297" s="17"/>
      <c r="Q297" s="17"/>
      <c r="R297" s="17"/>
      <c r="S297" s="17"/>
      <c r="T297" s="17"/>
    </row>
    <row r="298" spans="1:20" s="559" customFormat="1" ht="15.75" hidden="1" x14ac:dyDescent="0.25">
      <c r="A298" s="17"/>
      <c r="B298" s="1447"/>
      <c r="C298" s="1431"/>
      <c r="D298" s="1447"/>
      <c r="E298" s="224"/>
      <c r="F298" s="224"/>
      <c r="G298" s="1447"/>
      <c r="H298" s="224"/>
      <c r="I298" s="224"/>
      <c r="J298" s="225"/>
      <c r="K298" s="57"/>
      <c r="L298" s="271"/>
      <c r="M298" s="272"/>
      <c r="N298" s="17"/>
      <c r="O298" s="17"/>
      <c r="P298" s="17"/>
      <c r="Q298" s="17"/>
      <c r="R298" s="17"/>
      <c r="S298" s="17"/>
      <c r="T298" s="17"/>
    </row>
    <row r="299" spans="1:20" s="559" customFormat="1" ht="17.25" hidden="1" x14ac:dyDescent="0.3">
      <c r="A299" s="17"/>
      <c r="B299" s="1443" t="s">
        <v>1459</v>
      </c>
      <c r="C299" s="1431"/>
      <c r="D299" s="1443" t="s">
        <v>1510</v>
      </c>
      <c r="E299" s="224"/>
      <c r="F299" s="224"/>
      <c r="G299" s="1443" t="s">
        <v>1466</v>
      </c>
      <c r="H299" s="224"/>
      <c r="I299" s="224"/>
      <c r="J299" s="225"/>
      <c r="K299" s="57"/>
      <c r="L299" s="271"/>
      <c r="M299" s="273"/>
      <c r="N299" s="17"/>
      <c r="O299" s="17"/>
      <c r="P299" s="17"/>
      <c r="Q299" s="17"/>
      <c r="R299" s="17"/>
      <c r="S299" s="17"/>
      <c r="T299" s="17"/>
    </row>
    <row r="300" spans="1:20" s="559" customFormat="1" ht="15.75" hidden="1" x14ac:dyDescent="0.25">
      <c r="A300" s="17"/>
      <c r="B300" s="1447"/>
      <c r="C300" s="1431"/>
      <c r="D300" s="1447"/>
      <c r="E300" s="224"/>
      <c r="F300" s="224"/>
      <c r="G300" s="1447">
        <v>1</v>
      </c>
      <c r="H300" s="224"/>
      <c r="I300" s="224"/>
      <c r="J300" s="225"/>
      <c r="K300" s="56"/>
      <c r="L300" s="57"/>
      <c r="M300" s="273"/>
      <c r="N300" s="17"/>
      <c r="O300" s="17"/>
      <c r="P300" s="17"/>
      <c r="Q300" s="17"/>
      <c r="R300" s="17"/>
      <c r="S300" s="17"/>
      <c r="T300" s="17"/>
    </row>
    <row r="301" spans="1:20" s="559" customFormat="1" ht="15.75" hidden="1" x14ac:dyDescent="0.25">
      <c r="A301" s="17"/>
      <c r="B301" s="1447" t="s">
        <v>1522</v>
      </c>
      <c r="C301" s="1431"/>
      <c r="D301" s="1508" t="e">
        <f>D274*G300*G302</f>
        <v>#DIV/0!</v>
      </c>
      <c r="E301" s="224"/>
      <c r="F301" s="224"/>
      <c r="G301" s="1443" t="s">
        <v>1467</v>
      </c>
      <c r="H301" s="224"/>
      <c r="I301" s="224"/>
      <c r="J301" s="225"/>
      <c r="K301" s="56"/>
      <c r="L301" s="276"/>
      <c r="M301" s="273"/>
      <c r="N301" s="56"/>
      <c r="O301" s="56"/>
      <c r="P301" s="56"/>
      <c r="Q301" s="56"/>
      <c r="R301" s="56"/>
      <c r="S301" s="56"/>
      <c r="T301" s="56"/>
    </row>
    <row r="302" spans="1:20" s="559" customFormat="1" ht="15.75" hidden="1" x14ac:dyDescent="0.25">
      <c r="A302" s="17"/>
      <c r="B302" s="1443"/>
      <c r="C302" s="1423"/>
      <c r="D302" s="1447"/>
      <c r="E302" s="224"/>
      <c r="F302" s="224"/>
      <c r="G302" s="1435">
        <v>0.3</v>
      </c>
      <c r="H302" s="224"/>
      <c r="I302" s="224"/>
      <c r="J302" s="225"/>
      <c r="K302" s="56"/>
      <c r="L302" s="276"/>
      <c r="M302" s="273"/>
      <c r="N302" s="56"/>
      <c r="O302" s="56"/>
      <c r="P302" s="56"/>
      <c r="Q302" s="56"/>
      <c r="R302" s="56"/>
      <c r="S302" s="56"/>
      <c r="T302" s="56"/>
    </row>
    <row r="303" spans="1:20" s="559" customFormat="1" ht="15.75" hidden="1" x14ac:dyDescent="0.25">
      <c r="A303" s="17"/>
      <c r="B303" s="1443"/>
      <c r="C303" s="1423"/>
      <c r="D303" s="1443" t="s">
        <v>1513</v>
      </c>
      <c r="E303" s="224"/>
      <c r="F303" s="224"/>
      <c r="G303" s="1441" t="s">
        <v>1475</v>
      </c>
      <c r="H303" s="224"/>
      <c r="I303" s="224"/>
      <c r="J303" s="225"/>
      <c r="K303" s="56"/>
      <c r="L303" s="276"/>
      <c r="M303" s="276"/>
      <c r="N303" s="56"/>
      <c r="O303" s="56"/>
      <c r="P303" s="56"/>
      <c r="Q303" s="56"/>
      <c r="R303" s="56"/>
      <c r="S303" s="56"/>
      <c r="T303" s="56"/>
    </row>
    <row r="304" spans="1:20" s="559" customFormat="1" ht="15.75" hidden="1" x14ac:dyDescent="0.25">
      <c r="A304" s="17"/>
      <c r="B304" s="1443"/>
      <c r="C304" s="1423"/>
      <c r="D304" s="1509" t="e">
        <f>D301*G304*44/28</f>
        <v>#DIV/0!</v>
      </c>
      <c r="E304" s="224"/>
      <c r="F304" s="224"/>
      <c r="G304" s="1440">
        <v>7.4999999999999997E-3</v>
      </c>
      <c r="H304" s="224"/>
      <c r="I304" s="224"/>
      <c r="J304" s="225"/>
      <c r="K304" s="56"/>
      <c r="L304" s="276"/>
      <c r="M304" s="276"/>
      <c r="N304" s="56"/>
      <c r="O304" s="56"/>
      <c r="P304" s="56"/>
      <c r="Q304" s="56"/>
      <c r="R304" s="56"/>
      <c r="S304" s="56"/>
      <c r="T304" s="56"/>
    </row>
    <row r="305" spans="1:20" s="559" customFormat="1" ht="15.75" hidden="1" x14ac:dyDescent="0.25">
      <c r="A305" s="17"/>
      <c r="B305" s="1443"/>
      <c r="C305" s="1235"/>
      <c r="D305" s="1447"/>
      <c r="E305" s="224"/>
      <c r="F305" s="224"/>
      <c r="G305" s="1447"/>
      <c r="H305" s="224"/>
      <c r="I305" s="224"/>
      <c r="J305" s="225"/>
      <c r="K305" s="57"/>
      <c r="L305" s="279"/>
      <c r="M305" s="56"/>
      <c r="N305" s="56"/>
      <c r="O305" s="56"/>
      <c r="P305" s="56"/>
      <c r="Q305" s="56"/>
      <c r="R305" s="56"/>
      <c r="S305" s="56"/>
      <c r="T305" s="56"/>
    </row>
    <row r="306" spans="1:20" s="559" customFormat="1" ht="15.75" hidden="1" x14ac:dyDescent="0.25">
      <c r="A306" s="17"/>
      <c r="B306" s="97" t="s">
        <v>1469</v>
      </c>
      <c r="C306" s="618"/>
      <c r="D306" s="1510" t="e">
        <f>SUM(D304)*298*10^3</f>
        <v>#DIV/0!</v>
      </c>
      <c r="E306" s="1511"/>
      <c r="F306" s="1511"/>
      <c r="G306" s="1237" t="s">
        <v>1468</v>
      </c>
      <c r="H306" s="1511"/>
      <c r="I306" s="1511"/>
      <c r="J306" s="1528"/>
      <c r="K306" s="57"/>
      <c r="L306" s="273"/>
      <c r="M306" s="56"/>
      <c r="N306" s="56"/>
      <c r="O306" s="56"/>
      <c r="P306" s="56"/>
      <c r="Q306" s="56"/>
      <c r="R306" s="56"/>
      <c r="S306" s="56"/>
      <c r="T306" s="56"/>
    </row>
    <row r="307" spans="1:20" s="1299" customFormat="1" ht="15.75" hidden="1" x14ac:dyDescent="0.25">
      <c r="B307" s="1300"/>
      <c r="C307" s="1300"/>
      <c r="D307" s="1529"/>
      <c r="E307" s="1300"/>
      <c r="F307" s="1300"/>
      <c r="G307" s="1300"/>
      <c r="H307" s="1300"/>
      <c r="I307" s="1300"/>
      <c r="J307" s="1300"/>
      <c r="K307" s="568"/>
      <c r="L307" s="280"/>
      <c r="M307" s="1300"/>
      <c r="N307" s="1300"/>
      <c r="O307" s="1300"/>
      <c r="P307" s="1300"/>
      <c r="Q307" s="1300"/>
      <c r="R307" s="1300"/>
      <c r="S307" s="1300"/>
      <c r="T307" s="1300"/>
    </row>
    <row r="308" spans="1:20" s="559" customFormat="1" ht="15.75" hidden="1" x14ac:dyDescent="0.25">
      <c r="A308" s="17"/>
      <c r="B308" s="258" t="s">
        <v>282</v>
      </c>
      <c r="C308" s="259"/>
      <c r="D308" s="260"/>
      <c r="E308" s="260"/>
      <c r="F308" s="260"/>
      <c r="G308" s="260"/>
      <c r="H308" s="260"/>
      <c r="I308" s="1530"/>
      <c r="J308" s="1531"/>
      <c r="K308" s="57"/>
      <c r="L308" s="279"/>
      <c r="M308" s="56"/>
      <c r="N308" s="56"/>
      <c r="O308" s="56"/>
      <c r="P308" s="56"/>
      <c r="Q308" s="56"/>
      <c r="R308" s="56"/>
      <c r="S308" s="56"/>
      <c r="T308" s="56"/>
    </row>
    <row r="309" spans="1:20" s="559" customFormat="1" ht="15.75" hidden="1" x14ac:dyDescent="0.25">
      <c r="A309" s="17"/>
      <c r="B309" s="262"/>
      <c r="C309" s="262"/>
      <c r="D309" s="262"/>
      <c r="E309" s="263"/>
      <c r="F309" s="263"/>
      <c r="G309" s="263"/>
      <c r="H309" s="263"/>
      <c r="I309" s="262"/>
      <c r="J309" s="275"/>
      <c r="K309" s="282"/>
      <c r="L309" s="57"/>
      <c r="M309" s="57"/>
      <c r="N309" s="56"/>
      <c r="O309" s="56"/>
      <c r="P309" s="56"/>
      <c r="Q309" s="56"/>
      <c r="R309" s="56"/>
      <c r="S309" s="56"/>
      <c r="T309" s="56"/>
    </row>
    <row r="310" spans="1:20" s="559" customFormat="1" ht="17.25" hidden="1" x14ac:dyDescent="0.3">
      <c r="A310" s="17"/>
      <c r="B310" s="1473" t="s">
        <v>365</v>
      </c>
      <c r="C310" s="1473" t="s">
        <v>1477</v>
      </c>
      <c r="D310" s="1474"/>
      <c r="E310" s="263"/>
      <c r="F310" s="263"/>
      <c r="G310" s="266"/>
      <c r="H310" s="266"/>
      <c r="I310" s="262"/>
      <c r="J310" s="264"/>
      <c r="K310" s="56"/>
      <c r="L310" s="56"/>
      <c r="M310" s="283"/>
      <c r="N310" s="56"/>
      <c r="O310" s="56"/>
      <c r="P310" s="56"/>
      <c r="Q310" s="56"/>
      <c r="R310" s="56"/>
      <c r="S310" s="56"/>
      <c r="T310" s="56"/>
    </row>
    <row r="311" spans="1:20" s="559" customFormat="1" ht="15.75" hidden="1" x14ac:dyDescent="0.25">
      <c r="A311" s="17"/>
      <c r="B311" s="1455"/>
      <c r="C311" s="1455" t="s">
        <v>367</v>
      </c>
      <c r="D311" s="1455"/>
      <c r="E311" s="263"/>
      <c r="F311" s="263"/>
      <c r="G311" s="263"/>
      <c r="H311" s="263"/>
      <c r="I311" s="262"/>
      <c r="J311" s="264"/>
      <c r="K311" s="56"/>
      <c r="L311" s="56"/>
      <c r="M311" s="283"/>
      <c r="N311" s="56"/>
      <c r="O311" s="56"/>
      <c r="P311" s="56"/>
      <c r="Q311" s="56"/>
      <c r="R311" s="56"/>
      <c r="S311" s="56"/>
      <c r="T311" s="56"/>
    </row>
    <row r="312" spans="1:20" s="559" customFormat="1" ht="15.75" hidden="1" x14ac:dyDescent="0.25">
      <c r="A312" s="17"/>
      <c r="B312" s="1455"/>
      <c r="C312" s="1474" t="s">
        <v>1504</v>
      </c>
      <c r="D312" s="1455"/>
      <c r="E312" s="263"/>
      <c r="F312" s="263"/>
      <c r="G312" s="263"/>
      <c r="H312" s="263"/>
      <c r="I312" s="262"/>
      <c r="J312" s="264"/>
      <c r="K312" s="56"/>
      <c r="L312" s="56"/>
      <c r="M312" s="283"/>
      <c r="N312" s="56"/>
      <c r="O312" s="56"/>
      <c r="P312" s="56"/>
      <c r="Q312" s="56"/>
      <c r="R312" s="56"/>
      <c r="S312" s="56"/>
      <c r="T312" s="56"/>
    </row>
    <row r="313" spans="1:20" s="559" customFormat="1" ht="15.75" hidden="1" x14ac:dyDescent="0.25">
      <c r="A313" s="17"/>
      <c r="B313" s="1474"/>
      <c r="C313" s="1474" t="s">
        <v>1478</v>
      </c>
      <c r="D313" s="1455"/>
      <c r="E313" s="263"/>
      <c r="F313" s="263"/>
      <c r="G313" s="263"/>
      <c r="H313" s="263"/>
      <c r="I313" s="262"/>
      <c r="J313" s="275"/>
      <c r="K313" s="56"/>
      <c r="L313" s="56"/>
      <c r="M313" s="283"/>
      <c r="N313" s="56"/>
      <c r="O313" s="56"/>
      <c r="P313" s="56"/>
      <c r="Q313" s="56"/>
      <c r="R313" s="56"/>
      <c r="S313" s="56"/>
      <c r="T313" s="56"/>
    </row>
    <row r="314" spans="1:20" s="559" customFormat="1" ht="15.75" hidden="1" x14ac:dyDescent="0.25">
      <c r="A314" s="17"/>
      <c r="B314" s="1474"/>
      <c r="C314" s="1474" t="s">
        <v>1479</v>
      </c>
      <c r="D314" s="1455"/>
      <c r="E314" s="267"/>
      <c r="F314" s="262"/>
      <c r="G314" s="262"/>
      <c r="H314" s="262"/>
      <c r="I314" s="262"/>
      <c r="J314" s="264"/>
      <c r="K314" s="285"/>
      <c r="L314" s="285"/>
      <c r="M314" s="286"/>
      <c r="N314" s="56"/>
      <c r="O314" s="56"/>
      <c r="P314" s="56"/>
      <c r="Q314" s="56"/>
      <c r="R314" s="56"/>
      <c r="S314" s="56"/>
      <c r="T314" s="56"/>
    </row>
    <row r="315" spans="1:20" s="559" customFormat="1" ht="15.75" hidden="1" x14ac:dyDescent="0.25">
      <c r="A315" s="17"/>
      <c r="B315" s="1474"/>
      <c r="C315" s="1455"/>
      <c r="D315" s="1455"/>
      <c r="E315" s="267"/>
      <c r="F315" s="262"/>
      <c r="G315" s="262"/>
      <c r="H315" s="262"/>
      <c r="I315" s="262"/>
      <c r="J315" s="264"/>
      <c r="K315" s="285"/>
      <c r="L315" s="285"/>
      <c r="M315" s="285"/>
      <c r="N315" s="56"/>
      <c r="O315" s="56"/>
      <c r="P315" s="56"/>
      <c r="Q315" s="56"/>
      <c r="R315" s="56"/>
      <c r="S315" s="56"/>
      <c r="T315" s="56"/>
    </row>
    <row r="316" spans="1:20" s="559" customFormat="1" ht="15.75" hidden="1" x14ac:dyDescent="0.25">
      <c r="A316" s="17"/>
      <c r="B316" s="1473"/>
      <c r="C316" s="1474"/>
      <c r="D316" s="117"/>
      <c r="E316" s="268"/>
      <c r="F316" s="268"/>
      <c r="G316" s="268"/>
      <c r="H316" s="268"/>
      <c r="I316" s="262"/>
      <c r="J316" s="264"/>
      <c r="K316" s="285"/>
      <c r="L316" s="285"/>
      <c r="M316" s="286"/>
      <c r="N316" s="57"/>
      <c r="O316" s="57"/>
      <c r="P316" s="57"/>
      <c r="Q316" s="57"/>
      <c r="R316" s="57"/>
      <c r="S316" s="57"/>
      <c r="T316" s="57"/>
    </row>
    <row r="317" spans="1:20" s="559" customFormat="1" ht="15.75" hidden="1" x14ac:dyDescent="0.25">
      <c r="A317" s="17"/>
      <c r="B317" s="1473" t="s">
        <v>1525</v>
      </c>
      <c r="C317" s="1475" t="s">
        <v>478</v>
      </c>
      <c r="D317" s="1512" t="e">
        <f>(($D$261*'Baseline farm'!$C$73%)*(1-$G268-$G284))-0</f>
        <v>#DIV/0!</v>
      </c>
      <c r="E317" s="270"/>
      <c r="F317" s="270"/>
      <c r="G317" s="270"/>
      <c r="H317" s="270"/>
      <c r="I317" s="262"/>
      <c r="J317" s="275"/>
      <c r="K317" s="285"/>
      <c r="L317" s="285"/>
      <c r="M317" s="286"/>
      <c r="N317" s="57"/>
      <c r="O317" s="57"/>
      <c r="P317" s="57"/>
      <c r="Q317" s="57"/>
      <c r="R317" s="57"/>
      <c r="S317" s="282"/>
      <c r="T317" s="57"/>
    </row>
    <row r="318" spans="1:20" s="559" customFormat="1" ht="15.75" hidden="1" x14ac:dyDescent="0.25">
      <c r="A318" s="17"/>
      <c r="B318" s="1474"/>
      <c r="C318" s="1474"/>
      <c r="D318" s="1512"/>
      <c r="E318" s="262"/>
      <c r="F318" s="262"/>
      <c r="G318" s="262"/>
      <c r="H318" s="262"/>
      <c r="I318" s="262"/>
      <c r="J318" s="275"/>
      <c r="K318" s="285"/>
      <c r="L318" s="285"/>
      <c r="M318" s="286"/>
      <c r="N318" s="57"/>
      <c r="O318" s="287"/>
      <c r="P318" s="287"/>
      <c r="Q318" s="57"/>
      <c r="R318" s="57"/>
      <c r="S318" s="282"/>
      <c r="T318" s="57"/>
    </row>
    <row r="319" spans="1:20" s="559" customFormat="1" ht="15.75" hidden="1" x14ac:dyDescent="0.25">
      <c r="A319" s="17"/>
      <c r="B319" s="1473" t="s">
        <v>1526</v>
      </c>
      <c r="C319" s="1475" t="s">
        <v>478</v>
      </c>
      <c r="D319" s="1512" t="e">
        <f>(($D$261*'Baseline farm'!$D$73%)*(1-$G270-$G286))-0</f>
        <v>#DIV/0!</v>
      </c>
      <c r="E319" s="270"/>
      <c r="F319" s="270"/>
      <c r="G319" s="270"/>
      <c r="H319" s="270"/>
      <c r="I319" s="262"/>
      <c r="J319" s="275"/>
      <c r="K319" s="56"/>
      <c r="L319" s="56"/>
      <c r="M319" s="56"/>
      <c r="N319" s="56"/>
      <c r="O319" s="56"/>
      <c r="P319" s="56"/>
      <c r="Q319" s="56"/>
      <c r="R319" s="56"/>
      <c r="S319" s="56"/>
      <c r="T319" s="56"/>
    </row>
    <row r="320" spans="1:20" s="559" customFormat="1" ht="15.75" hidden="1" x14ac:dyDescent="0.25">
      <c r="A320" s="17"/>
      <c r="B320" s="1474"/>
      <c r="C320" s="1474"/>
      <c r="D320" s="1512"/>
      <c r="E320" s="274"/>
      <c r="F320" s="274"/>
      <c r="G320" s="274"/>
      <c r="H320" s="274"/>
      <c r="I320" s="262"/>
      <c r="J320" s="264"/>
      <c r="K320" s="56"/>
      <c r="L320" s="56"/>
      <c r="M320" s="56"/>
      <c r="N320" s="56"/>
      <c r="O320" s="56"/>
      <c r="P320" s="56"/>
      <c r="Q320" s="56"/>
      <c r="R320" s="56"/>
      <c r="S320" s="56"/>
      <c r="T320" s="56"/>
    </row>
    <row r="321" spans="1:23" s="559" customFormat="1" ht="15.75" hidden="1" x14ac:dyDescent="0.25">
      <c r="A321" s="17"/>
      <c r="B321" s="1473" t="s">
        <v>1527</v>
      </c>
      <c r="C321" s="1475" t="s">
        <v>478</v>
      </c>
      <c r="D321" s="1512" t="e">
        <f>(($D$261*'Baseline farm'!$E$73%)*(1-$G272-$G288))-0</f>
        <v>#DIV/0!</v>
      </c>
      <c r="E321" s="277"/>
      <c r="F321" s="277"/>
      <c r="G321" s="277"/>
      <c r="H321" s="277"/>
      <c r="I321" s="262"/>
      <c r="J321" s="275"/>
      <c r="K321" s="56"/>
      <c r="L321" s="56"/>
      <c r="M321" s="56"/>
      <c r="N321" s="56"/>
      <c r="O321" s="56"/>
      <c r="P321" s="56"/>
      <c r="Q321" s="56"/>
      <c r="R321" s="56"/>
      <c r="S321" s="56"/>
      <c r="T321" s="56"/>
    </row>
    <row r="322" spans="1:23" s="559" customFormat="1" ht="15.75" hidden="1" x14ac:dyDescent="0.25">
      <c r="A322" s="17"/>
      <c r="B322" s="1474"/>
      <c r="C322" s="1475"/>
      <c r="D322" s="1512"/>
      <c r="E322" s="278"/>
      <c r="F322" s="278"/>
      <c r="G322" s="278"/>
      <c r="H322" s="278"/>
      <c r="I322" s="262"/>
      <c r="J322" s="275"/>
      <c r="K322" s="56"/>
      <c r="L322" s="56"/>
      <c r="M322" s="56"/>
      <c r="N322" s="56"/>
      <c r="O322" s="56"/>
      <c r="P322" s="56"/>
      <c r="Q322" s="56"/>
      <c r="R322" s="56"/>
      <c r="S322" s="56"/>
      <c r="T322" s="56"/>
    </row>
    <row r="323" spans="1:23" s="559" customFormat="1" ht="15.75" hidden="1" x14ac:dyDescent="0.25">
      <c r="A323" s="17"/>
      <c r="B323" s="1473" t="s">
        <v>1528</v>
      </c>
      <c r="C323" s="1475" t="s">
        <v>478</v>
      </c>
      <c r="D323" s="1512" t="e">
        <f>(($D$261*'Baseline farm'!$F$73%)*(1-$G274-$G290))-D301</f>
        <v>#DIV/0!</v>
      </c>
      <c r="E323" s="270"/>
      <c r="F323" s="270"/>
      <c r="G323" s="270"/>
      <c r="H323" s="270"/>
      <c r="I323" s="262"/>
      <c r="J323" s="275"/>
      <c r="K323" s="56"/>
      <c r="L323" s="56"/>
      <c r="M323" s="56"/>
      <c r="N323" s="57"/>
      <c r="O323" s="57"/>
      <c r="P323" s="57"/>
      <c r="Q323" s="57"/>
      <c r="R323" s="57"/>
      <c r="S323" s="57"/>
      <c r="T323" s="57"/>
    </row>
    <row r="324" spans="1:23" s="559" customFormat="1" ht="15.75" hidden="1" x14ac:dyDescent="0.25">
      <c r="A324" s="17"/>
      <c r="B324" s="1474"/>
      <c r="C324" s="1475"/>
      <c r="D324" s="1512"/>
      <c r="E324" s="262"/>
      <c r="F324" s="262"/>
      <c r="G324" s="262"/>
      <c r="H324" s="262"/>
      <c r="I324" s="269"/>
      <c r="J324" s="275"/>
      <c r="K324" s="56"/>
      <c r="L324" s="289"/>
      <c r="M324" s="56"/>
      <c r="N324" s="57"/>
      <c r="O324" s="57"/>
      <c r="P324" s="57"/>
      <c r="Q324" s="57"/>
      <c r="R324" s="57"/>
      <c r="S324" s="57"/>
      <c r="T324" s="57"/>
    </row>
    <row r="325" spans="1:23" s="559" customFormat="1" ht="15.75" hidden="1" x14ac:dyDescent="0.25">
      <c r="A325" s="17"/>
      <c r="B325" s="1473" t="s">
        <v>1529</v>
      </c>
      <c r="C325" s="1475" t="s">
        <v>478</v>
      </c>
      <c r="D325" s="1512" t="e">
        <f>SUM(D317:D323)</f>
        <v>#DIV/0!</v>
      </c>
      <c r="E325" s="262"/>
      <c r="F325" s="262"/>
      <c r="G325" s="262"/>
      <c r="H325" s="262"/>
      <c r="I325" s="262"/>
      <c r="J325" s="275"/>
      <c r="K325" s="56"/>
      <c r="L325" s="56"/>
      <c r="M325" s="56"/>
      <c r="N325" s="56"/>
      <c r="O325" s="56"/>
      <c r="P325" s="56"/>
      <c r="Q325" s="56"/>
      <c r="R325" s="56"/>
      <c r="S325" s="56"/>
      <c r="T325" s="56"/>
    </row>
    <row r="326" spans="1:23" s="559" customFormat="1" ht="15.75" hidden="1" x14ac:dyDescent="0.25">
      <c r="A326" s="17"/>
      <c r="B326" s="1474"/>
      <c r="C326" s="1474"/>
      <c r="D326" s="1474"/>
      <c r="E326" s="262"/>
      <c r="F326" s="262"/>
      <c r="G326" s="262"/>
      <c r="H326" s="262"/>
      <c r="I326" s="262"/>
      <c r="J326" s="275"/>
      <c r="K326" s="56"/>
      <c r="L326" s="56"/>
      <c r="M326" s="56"/>
      <c r="N326" s="56"/>
      <c r="O326" s="56"/>
      <c r="P326" s="56"/>
      <c r="Q326" s="56"/>
      <c r="R326" s="56"/>
      <c r="S326" s="56"/>
      <c r="T326" s="56"/>
    </row>
    <row r="327" spans="1:23" s="559" customFormat="1" ht="15.75" hidden="1" x14ac:dyDescent="0.25">
      <c r="A327" s="17"/>
      <c r="B327" s="1473" t="s">
        <v>1554</v>
      </c>
      <c r="C327" s="1473" t="s">
        <v>369</v>
      </c>
      <c r="D327" s="1478"/>
      <c r="E327" s="281"/>
      <c r="F327" s="281"/>
      <c r="G327" s="281"/>
      <c r="H327" s="281"/>
      <c r="I327" s="269"/>
      <c r="J327" s="275"/>
      <c r="K327" s="17"/>
      <c r="L327" s="17"/>
      <c r="M327" s="17"/>
      <c r="N327" s="56"/>
      <c r="O327" s="56"/>
      <c r="P327" s="56"/>
      <c r="Q327" s="56"/>
      <c r="R327" s="56"/>
      <c r="S327" s="56"/>
      <c r="T327" s="56"/>
    </row>
    <row r="328" spans="1:23" s="559" customFormat="1" ht="15.75" hidden="1" x14ac:dyDescent="0.25">
      <c r="A328" s="17"/>
      <c r="B328" s="1474"/>
      <c r="C328" s="1474" t="s">
        <v>371</v>
      </c>
      <c r="D328" s="1513">
        <v>0.01</v>
      </c>
      <c r="E328" s="262"/>
      <c r="F328" s="262"/>
      <c r="G328" s="262"/>
      <c r="H328" s="262"/>
      <c r="I328" s="269"/>
      <c r="J328" s="290"/>
      <c r="K328" s="17"/>
      <c r="L328" s="17"/>
      <c r="M328" s="17"/>
      <c r="N328" s="56"/>
      <c r="O328" s="56"/>
      <c r="P328" s="56"/>
      <c r="Q328" s="56"/>
      <c r="R328" s="56"/>
      <c r="S328" s="56"/>
      <c r="T328" s="56"/>
    </row>
    <row r="329" spans="1:23" s="559" customFormat="1" ht="15.75" hidden="1" x14ac:dyDescent="0.25">
      <c r="A329" s="17"/>
      <c r="B329" s="1474"/>
      <c r="C329" s="1475" t="s">
        <v>478</v>
      </c>
      <c r="D329" s="1514" t="e">
        <f>D325*D328*44/28</f>
        <v>#DIV/0!</v>
      </c>
      <c r="E329" s="262"/>
      <c r="F329" s="262"/>
      <c r="G329" s="262"/>
      <c r="H329" s="262"/>
      <c r="I329" s="269"/>
      <c r="J329" s="290"/>
      <c r="K329" s="291"/>
      <c r="L329" s="291"/>
      <c r="M329" s="291"/>
      <c r="N329" s="56"/>
      <c r="O329" s="56"/>
      <c r="P329" s="56"/>
      <c r="Q329" s="56"/>
      <c r="R329" s="56"/>
      <c r="S329" s="56"/>
      <c r="T329" s="56"/>
    </row>
    <row r="330" spans="1:23" s="559" customFormat="1" ht="15.75" hidden="1" x14ac:dyDescent="0.25">
      <c r="A330" s="17"/>
      <c r="B330" s="265" t="s">
        <v>405</v>
      </c>
      <c r="C330" s="262"/>
      <c r="D330" s="262"/>
      <c r="E330" s="262"/>
      <c r="F330" s="262"/>
      <c r="G330" s="262"/>
      <c r="H330" s="262"/>
      <c r="I330" s="269"/>
      <c r="J330" s="290"/>
      <c r="K330" s="291"/>
      <c r="L330" s="291"/>
      <c r="M330" s="291"/>
      <c r="N330" s="56"/>
      <c r="O330" s="56"/>
      <c r="P330" s="56"/>
      <c r="Q330" s="56"/>
      <c r="R330" s="56"/>
      <c r="S330" s="56"/>
      <c r="T330" s="56"/>
    </row>
    <row r="331" spans="1:23" s="559" customFormat="1" ht="15.75" hidden="1" x14ac:dyDescent="0.25">
      <c r="A331" s="17"/>
      <c r="B331" s="262"/>
      <c r="C331" s="265" t="s">
        <v>407</v>
      </c>
      <c r="D331" s="262"/>
      <c r="E331" s="262"/>
      <c r="F331" s="262"/>
      <c r="G331" s="262"/>
      <c r="H331" s="262"/>
      <c r="I331" s="269"/>
      <c r="J331" s="290"/>
      <c r="K331" s="291"/>
      <c r="L331" s="291"/>
      <c r="M331" s="291"/>
      <c r="N331" s="56"/>
      <c r="O331" s="56"/>
      <c r="P331" s="56"/>
      <c r="Q331" s="56"/>
      <c r="R331" s="56"/>
      <c r="S331" s="56"/>
      <c r="T331" s="56"/>
    </row>
    <row r="332" spans="1:23" s="559" customFormat="1" ht="15.75" hidden="1" x14ac:dyDescent="0.25">
      <c r="A332" s="17"/>
      <c r="B332" s="262"/>
      <c r="C332" s="262"/>
      <c r="D332" s="262"/>
      <c r="E332" s="262"/>
      <c r="F332" s="262"/>
      <c r="G332" s="262"/>
      <c r="H332" s="262"/>
      <c r="I332" s="262"/>
      <c r="J332" s="290"/>
      <c r="K332" s="291"/>
      <c r="L332" s="291"/>
      <c r="M332" s="291"/>
      <c r="N332" s="292"/>
      <c r="O332" s="292"/>
      <c r="P332" s="292"/>
      <c r="Q332" s="292"/>
      <c r="R332" s="292"/>
      <c r="S332" s="292"/>
      <c r="T332" s="56"/>
    </row>
    <row r="333" spans="1:23" s="559" customFormat="1" ht="15.75" hidden="1" x14ac:dyDescent="0.25">
      <c r="A333" s="17"/>
      <c r="B333" s="284"/>
      <c r="C333" s="269" t="s">
        <v>478</v>
      </c>
      <c r="D333" s="1515" t="e">
        <f>D253*'Baseline farm'!G73%</f>
        <v>#DIV/0!</v>
      </c>
      <c r="E333" s="274"/>
      <c r="F333" s="274"/>
      <c r="G333" s="274"/>
      <c r="H333" s="274"/>
      <c r="I333" s="262"/>
      <c r="J333" s="264"/>
      <c r="K333" s="261"/>
      <c r="L333" s="291"/>
      <c r="M333" s="291"/>
      <c r="N333" s="56"/>
      <c r="O333" s="56"/>
      <c r="P333" s="56"/>
      <c r="Q333" s="56"/>
      <c r="R333" s="56"/>
      <c r="S333" s="56"/>
      <c r="T333" s="56"/>
    </row>
    <row r="334" spans="1:23" s="559" customFormat="1" ht="15.75" hidden="1" x14ac:dyDescent="0.25">
      <c r="A334" s="17"/>
      <c r="B334" s="262"/>
      <c r="C334" s="262"/>
      <c r="D334" s="1515"/>
      <c r="E334" s="274"/>
      <c r="F334" s="274"/>
      <c r="G334" s="274"/>
      <c r="H334" s="274"/>
      <c r="I334" s="262"/>
      <c r="J334" s="264"/>
      <c r="K334" s="56"/>
      <c r="L334" s="291"/>
      <c r="M334" s="291"/>
      <c r="N334" s="56"/>
      <c r="O334" s="56"/>
      <c r="P334" s="56"/>
      <c r="Q334" s="56"/>
      <c r="R334" s="56"/>
      <c r="S334" s="56"/>
      <c r="T334" s="56"/>
    </row>
    <row r="335" spans="1:23" s="559" customFormat="1" ht="15.75" hidden="1" x14ac:dyDescent="0.25">
      <c r="A335" s="17"/>
      <c r="B335" s="262"/>
      <c r="C335" s="265" t="s">
        <v>409</v>
      </c>
      <c r="D335" s="1515"/>
      <c r="E335" s="274"/>
      <c r="F335" s="274"/>
      <c r="G335" s="274"/>
      <c r="H335" s="274"/>
      <c r="I335" s="293"/>
      <c r="J335" s="264"/>
      <c r="K335" s="56"/>
      <c r="L335" s="291"/>
      <c r="M335" s="291"/>
      <c r="N335" s="56"/>
      <c r="O335" s="56"/>
      <c r="P335" s="56"/>
      <c r="Q335" s="56"/>
      <c r="R335" s="56"/>
      <c r="S335" s="56"/>
      <c r="T335" s="56"/>
    </row>
    <row r="336" spans="1:23" s="559" customFormat="1" ht="15.75" hidden="1" x14ac:dyDescent="0.25">
      <c r="A336" s="17"/>
      <c r="B336" s="262"/>
      <c r="C336" s="262"/>
      <c r="D336" s="1515"/>
      <c r="E336" s="274"/>
      <c r="F336" s="274"/>
      <c r="G336" s="274"/>
      <c r="H336" s="274"/>
      <c r="I336" s="293"/>
      <c r="J336" s="264"/>
      <c r="K336" s="1472"/>
      <c r="L336" s="1472"/>
      <c r="M336" s="1472"/>
      <c r="N336" s="1472"/>
      <c r="O336" s="1472"/>
      <c r="P336" s="1472"/>
      <c r="Q336" s="1472"/>
      <c r="R336" s="1472"/>
      <c r="S336" s="1472"/>
      <c r="T336" s="1472"/>
      <c r="U336" s="1472"/>
      <c r="V336" s="1472"/>
      <c r="W336" s="1472"/>
    </row>
    <row r="337" spans="1:23" s="559" customFormat="1" ht="15.75" hidden="1" x14ac:dyDescent="0.25">
      <c r="A337" s="17"/>
      <c r="B337" s="262"/>
      <c r="C337" s="269" t="s">
        <v>478</v>
      </c>
      <c r="D337" s="1515" t="e">
        <f>D257*'Baseline farm'!G73%</f>
        <v>#DIV/0!</v>
      </c>
      <c r="E337" s="274"/>
      <c r="F337" s="274"/>
      <c r="G337" s="274"/>
      <c r="H337" s="274"/>
      <c r="I337" s="293"/>
      <c r="J337" s="264"/>
      <c r="K337" s="1472"/>
      <c r="L337" s="1472"/>
      <c r="M337" s="1472"/>
      <c r="N337" s="1472"/>
      <c r="O337" s="1472"/>
      <c r="P337" s="1472"/>
      <c r="Q337" s="1472"/>
      <c r="R337" s="1472"/>
      <c r="S337" s="1472"/>
      <c r="T337" s="1472"/>
      <c r="U337" s="1472"/>
      <c r="V337" s="1472"/>
      <c r="W337" s="1472"/>
    </row>
    <row r="338" spans="1:23" s="559" customFormat="1" ht="15.75" hidden="1" x14ac:dyDescent="0.25">
      <c r="A338" s="17"/>
      <c r="B338" s="262"/>
      <c r="C338" s="262"/>
      <c r="D338" s="262"/>
      <c r="E338" s="262"/>
      <c r="F338" s="262"/>
      <c r="G338" s="262"/>
      <c r="H338" s="262"/>
      <c r="I338" s="293"/>
      <c r="J338" s="264"/>
      <c r="K338" s="1472"/>
      <c r="L338" s="1472"/>
      <c r="M338" s="1472"/>
      <c r="N338" s="1472"/>
      <c r="O338" s="1472"/>
      <c r="P338" s="1472"/>
      <c r="Q338" s="1472"/>
      <c r="R338" s="1472"/>
      <c r="S338" s="1472"/>
      <c r="T338" s="1472"/>
      <c r="U338" s="1472"/>
      <c r="V338" s="1472"/>
      <c r="W338" s="1472"/>
    </row>
    <row r="339" spans="1:23" s="559" customFormat="1" ht="15.75" hidden="1" x14ac:dyDescent="0.25">
      <c r="A339" s="17"/>
      <c r="B339" s="265" t="s">
        <v>411</v>
      </c>
      <c r="C339" s="265" t="s">
        <v>412</v>
      </c>
      <c r="D339" s="262"/>
      <c r="E339" s="262"/>
      <c r="F339" s="262"/>
      <c r="G339" s="262"/>
      <c r="H339" s="262"/>
      <c r="I339" s="262"/>
      <c r="J339" s="264"/>
      <c r="K339" s="1472"/>
      <c r="L339" s="1472"/>
      <c r="M339" s="1472"/>
      <c r="N339" s="1472"/>
      <c r="O339" s="1472"/>
      <c r="P339" s="1472"/>
      <c r="Q339" s="1472"/>
      <c r="R339" s="1472"/>
      <c r="S339" s="1472"/>
      <c r="T339" s="1472"/>
      <c r="U339" s="1472"/>
      <c r="V339" s="1472"/>
      <c r="W339" s="1472"/>
    </row>
    <row r="340" spans="1:23" s="559" customFormat="1" ht="15.75" hidden="1" x14ac:dyDescent="0.25">
      <c r="A340" s="17"/>
      <c r="B340" s="262"/>
      <c r="C340" s="262" t="s">
        <v>414</v>
      </c>
      <c r="D340" s="294">
        <v>4.0000000000000001E-3</v>
      </c>
      <c r="E340" s="262"/>
      <c r="F340" s="262"/>
      <c r="G340" s="262"/>
      <c r="H340" s="262"/>
      <c r="I340" s="262"/>
      <c r="J340" s="264"/>
      <c r="K340" s="1472"/>
      <c r="L340" s="1472"/>
      <c r="M340" s="1472"/>
      <c r="N340" s="1472"/>
      <c r="O340" s="1472"/>
      <c r="P340" s="1472"/>
      <c r="Q340" s="1472"/>
      <c r="R340" s="1472"/>
      <c r="S340" s="1472"/>
      <c r="T340" s="1472"/>
      <c r="U340" s="1472"/>
      <c r="V340" s="1472"/>
      <c r="W340" s="1472"/>
    </row>
    <row r="341" spans="1:23" s="559" customFormat="1" ht="15.75" hidden="1" x14ac:dyDescent="0.25">
      <c r="A341" s="17"/>
      <c r="B341" s="262"/>
      <c r="C341" s="262" t="s">
        <v>415</v>
      </c>
      <c r="D341" s="294">
        <v>4.0000000000000001E-3</v>
      </c>
      <c r="E341" s="262"/>
      <c r="F341" s="262"/>
      <c r="G341" s="262"/>
      <c r="H341" s="262"/>
      <c r="I341" s="262"/>
      <c r="J341" s="275"/>
      <c r="K341" s="1472"/>
      <c r="L341" s="1472"/>
      <c r="M341" s="1472"/>
      <c r="N341" s="1472"/>
      <c r="O341" s="1472"/>
      <c r="P341" s="1472"/>
      <c r="Q341" s="1472"/>
      <c r="R341" s="1472"/>
      <c r="S341" s="1472"/>
      <c r="T341" s="1472"/>
      <c r="U341" s="1472"/>
      <c r="V341" s="1472"/>
      <c r="W341" s="1472"/>
    </row>
    <row r="342" spans="1:23" s="559" customFormat="1" ht="15.75" hidden="1" x14ac:dyDescent="0.25">
      <c r="A342" s="17"/>
      <c r="B342" s="262"/>
      <c r="C342" s="262"/>
      <c r="D342" s="262"/>
      <c r="E342" s="262"/>
      <c r="F342" s="262"/>
      <c r="G342" s="262"/>
      <c r="H342" s="262"/>
      <c r="I342" s="293"/>
      <c r="J342" s="264"/>
      <c r="K342" s="1472"/>
      <c r="L342" s="1472"/>
      <c r="M342" s="1472"/>
      <c r="N342" s="1472"/>
      <c r="O342" s="1472"/>
      <c r="P342" s="1472"/>
      <c r="Q342" s="1472"/>
      <c r="R342" s="1472"/>
      <c r="S342" s="1472"/>
      <c r="T342" s="1472"/>
      <c r="U342" s="1472"/>
      <c r="V342" s="1472"/>
      <c r="W342" s="1472"/>
    </row>
    <row r="343" spans="1:23" s="559" customFormat="1" ht="15.75" hidden="1" x14ac:dyDescent="0.25">
      <c r="A343" s="17"/>
      <c r="B343" s="262"/>
      <c r="C343" s="269" t="s">
        <v>478</v>
      </c>
      <c r="D343" s="1516" t="e">
        <f>(D333+D337)*D340*44/28</f>
        <v>#DIV/0!</v>
      </c>
      <c r="E343" s="288"/>
      <c r="F343" s="288"/>
      <c r="G343" s="288"/>
      <c r="H343" s="288"/>
      <c r="I343" s="262"/>
      <c r="J343" s="275"/>
      <c r="K343" s="1472"/>
      <c r="L343" s="1472"/>
      <c r="M343" s="1472"/>
      <c r="N343" s="1472"/>
      <c r="O343" s="1472"/>
      <c r="P343" s="1472"/>
      <c r="Q343" s="1472"/>
      <c r="R343" s="1472"/>
      <c r="S343" s="1472"/>
      <c r="T343" s="1472"/>
      <c r="U343" s="1472"/>
      <c r="V343" s="1472"/>
      <c r="W343" s="1472"/>
    </row>
    <row r="344" spans="1:23" s="559" customFormat="1" ht="15.75" hidden="1" x14ac:dyDescent="0.25">
      <c r="A344" s="17"/>
      <c r="B344" s="262"/>
      <c r="C344" s="262"/>
      <c r="D344" s="1517"/>
      <c r="E344" s="262"/>
      <c r="F344" s="262"/>
      <c r="G344" s="262"/>
      <c r="H344" s="262"/>
      <c r="I344" s="262"/>
      <c r="J344" s="275"/>
      <c r="K344" s="1472"/>
      <c r="L344" s="1472"/>
      <c r="M344" s="1472"/>
      <c r="N344" s="1472"/>
      <c r="O344" s="1472"/>
      <c r="P344" s="1472"/>
      <c r="Q344" s="1472"/>
      <c r="R344" s="1472"/>
      <c r="S344" s="1472"/>
      <c r="T344" s="1472"/>
      <c r="U344" s="1472"/>
      <c r="V344" s="1472"/>
      <c r="W344" s="1472"/>
    </row>
    <row r="345" spans="1:23" s="559" customFormat="1" ht="15.75" hidden="1" x14ac:dyDescent="0.25">
      <c r="A345" s="17"/>
      <c r="B345" s="265" t="s">
        <v>416</v>
      </c>
      <c r="C345" s="262"/>
      <c r="D345" s="1518"/>
      <c r="E345" s="262"/>
      <c r="F345" s="262"/>
      <c r="G345" s="262"/>
      <c r="H345" s="262"/>
      <c r="I345" s="262"/>
      <c r="J345" s="264"/>
      <c r="K345" s="1472"/>
      <c r="L345" s="1472"/>
      <c r="M345" s="1472"/>
      <c r="N345" s="1472"/>
      <c r="O345" s="1472"/>
      <c r="P345" s="1472"/>
      <c r="Q345" s="1472"/>
      <c r="R345" s="1472"/>
      <c r="S345" s="1472"/>
      <c r="T345" s="1472"/>
      <c r="U345" s="1472"/>
      <c r="V345" s="1472"/>
      <c r="W345" s="1472"/>
    </row>
    <row r="346" spans="1:23" s="559" customFormat="1" ht="15.75" hidden="1" x14ac:dyDescent="0.25">
      <c r="A346" s="17"/>
      <c r="B346" s="262"/>
      <c r="C346" s="269" t="s">
        <v>478</v>
      </c>
      <c r="D346" s="1519" t="e">
        <f>D329+D343</f>
        <v>#DIV/0!</v>
      </c>
      <c r="E346" s="284"/>
      <c r="F346" s="284"/>
      <c r="G346" s="284"/>
      <c r="H346" s="284"/>
      <c r="I346" s="262"/>
      <c r="J346" s="264"/>
      <c r="K346" s="1472"/>
      <c r="L346" s="1472"/>
      <c r="M346" s="1472"/>
      <c r="N346" s="1472"/>
      <c r="O346" s="1472"/>
      <c r="P346" s="1472"/>
      <c r="Q346" s="1472"/>
      <c r="R346" s="1472"/>
      <c r="S346" s="1472"/>
      <c r="T346" s="1472"/>
      <c r="U346" s="1472"/>
      <c r="V346" s="1472"/>
      <c r="W346" s="1472"/>
    </row>
    <row r="347" spans="1:23" s="559" customFormat="1" ht="15.75" hidden="1" x14ac:dyDescent="0.25">
      <c r="A347" s="17"/>
      <c r="B347" s="262"/>
      <c r="C347" s="269"/>
      <c r="D347" s="284"/>
      <c r="E347" s="284"/>
      <c r="F347" s="284"/>
      <c r="G347" s="284"/>
      <c r="H347" s="284"/>
      <c r="I347" s="262"/>
      <c r="J347" s="264"/>
      <c r="K347" s="1472"/>
      <c r="L347" s="1472"/>
      <c r="M347" s="1472"/>
      <c r="N347" s="1472"/>
      <c r="O347" s="1472"/>
      <c r="P347" s="1472"/>
      <c r="Q347" s="1472"/>
      <c r="R347" s="1472"/>
      <c r="S347" s="1472"/>
      <c r="T347" s="1472"/>
      <c r="U347" s="1472"/>
      <c r="V347" s="1472"/>
      <c r="W347" s="1472"/>
    </row>
    <row r="348" spans="1:23" s="559" customFormat="1" ht="15.75" hidden="1" x14ac:dyDescent="0.25">
      <c r="A348" s="17"/>
      <c r="B348" s="262"/>
      <c r="C348" s="269"/>
      <c r="D348" s="281"/>
      <c r="E348" s="267"/>
      <c r="F348" s="262"/>
      <c r="G348" s="262"/>
      <c r="H348" s="262"/>
      <c r="I348" s="262"/>
      <c r="J348" s="264"/>
      <c r="K348" s="56"/>
      <c r="L348" s="56"/>
      <c r="M348" s="56"/>
      <c r="N348" s="17"/>
      <c r="O348" s="17"/>
      <c r="P348" s="17"/>
      <c r="Q348" s="17"/>
      <c r="R348" s="17"/>
      <c r="S348" s="17"/>
      <c r="T348" s="17"/>
    </row>
    <row r="349" spans="1:23" s="559" customFormat="1" ht="15.75" hidden="1" x14ac:dyDescent="0.25">
      <c r="A349" s="17"/>
      <c r="B349" s="1473" t="s">
        <v>423</v>
      </c>
      <c r="C349" s="1473" t="s">
        <v>1484</v>
      </c>
      <c r="D349" s="1474"/>
      <c r="E349" s="262"/>
      <c r="F349" s="262"/>
      <c r="G349" s="262"/>
      <c r="H349" s="262"/>
      <c r="I349" s="262"/>
      <c r="J349" s="264"/>
      <c r="K349" s="56"/>
      <c r="L349" s="56"/>
      <c r="M349" s="56"/>
      <c r="N349" s="17"/>
      <c r="O349" s="17"/>
      <c r="P349" s="17"/>
      <c r="Q349" s="17"/>
      <c r="R349" s="17"/>
      <c r="S349" s="17"/>
      <c r="T349" s="17"/>
    </row>
    <row r="350" spans="1:23" s="559" customFormat="1" ht="15.75" hidden="1" x14ac:dyDescent="0.25">
      <c r="A350" s="17"/>
      <c r="B350" s="1474"/>
      <c r="C350" s="1474" t="s">
        <v>1485</v>
      </c>
      <c r="D350" s="1520">
        <v>0.2</v>
      </c>
      <c r="E350" s="262"/>
      <c r="F350" s="262"/>
      <c r="G350" s="262"/>
      <c r="H350" s="262"/>
      <c r="I350" s="293"/>
      <c r="J350" s="264"/>
      <c r="K350" s="56"/>
      <c r="L350" s="56"/>
      <c r="M350" s="56"/>
      <c r="N350" s="17"/>
      <c r="O350" s="17"/>
      <c r="P350" s="17"/>
      <c r="Q350" s="17"/>
      <c r="R350" s="17"/>
      <c r="S350" s="17"/>
      <c r="T350" s="17"/>
    </row>
    <row r="351" spans="1:23" s="559" customFormat="1" ht="15.75" hidden="1" x14ac:dyDescent="0.25">
      <c r="A351" s="17"/>
      <c r="B351" s="1474"/>
      <c r="C351" s="1474"/>
      <c r="D351" s="1474"/>
      <c r="E351" s="262"/>
      <c r="F351" s="262"/>
      <c r="G351" s="262"/>
      <c r="H351" s="262"/>
      <c r="I351" s="262"/>
      <c r="J351" s="264"/>
      <c r="K351" s="56"/>
      <c r="L351" s="56"/>
      <c r="M351" s="56"/>
      <c r="N351" s="17"/>
      <c r="O351" s="17"/>
      <c r="P351" s="17"/>
      <c r="Q351" s="17"/>
      <c r="R351" s="17"/>
      <c r="S351" s="17"/>
      <c r="T351" s="17"/>
    </row>
    <row r="352" spans="1:23" s="559" customFormat="1" ht="15.75" hidden="1" x14ac:dyDescent="0.25">
      <c r="A352" s="17"/>
      <c r="B352" s="1474" t="s">
        <v>427</v>
      </c>
      <c r="C352" s="1475" t="s">
        <v>478</v>
      </c>
      <c r="D352" s="1521" t="e">
        <f>(D325+D333+D337)*D350</f>
        <v>#DIV/0!</v>
      </c>
      <c r="E352" s="267"/>
      <c r="F352" s="295"/>
      <c r="G352" s="295"/>
      <c r="H352" s="295"/>
      <c r="I352" s="293"/>
      <c r="J352" s="275"/>
      <c r="K352" s="56"/>
      <c r="L352" s="56"/>
      <c r="M352" s="56"/>
      <c r="N352" s="17"/>
      <c r="O352" s="17"/>
      <c r="P352" s="17"/>
      <c r="Q352" s="17"/>
      <c r="R352" s="17"/>
      <c r="S352" s="17"/>
      <c r="T352" s="17"/>
    </row>
    <row r="353" spans="1:23" s="559" customFormat="1" ht="15.75" hidden="1" x14ac:dyDescent="0.25">
      <c r="A353" s="17"/>
      <c r="B353" s="262"/>
      <c r="C353" s="262"/>
      <c r="D353" s="262"/>
      <c r="E353" s="267"/>
      <c r="F353" s="262"/>
      <c r="G353" s="262"/>
      <c r="H353" s="262"/>
      <c r="I353" s="293"/>
      <c r="J353" s="264"/>
      <c r="K353" s="56"/>
      <c r="L353" s="56"/>
      <c r="M353" s="56"/>
      <c r="N353" s="17"/>
      <c r="O353" s="17"/>
      <c r="P353" s="17"/>
      <c r="Q353" s="17"/>
      <c r="R353" s="17"/>
      <c r="S353" s="17"/>
      <c r="T353" s="17"/>
    </row>
    <row r="354" spans="1:23" s="559" customFormat="1" ht="15.75" hidden="1" x14ac:dyDescent="0.25">
      <c r="A354" s="17"/>
      <c r="B354" s="1474"/>
      <c r="C354" s="1473" t="s">
        <v>386</v>
      </c>
      <c r="D354" s="1474"/>
      <c r="E354" s="262"/>
      <c r="F354" s="262"/>
      <c r="G354" s="262"/>
      <c r="H354" s="262"/>
      <c r="I354" s="293"/>
      <c r="J354" s="264"/>
      <c r="K354" s="56"/>
      <c r="L354" s="56"/>
      <c r="M354" s="56"/>
      <c r="N354" s="17"/>
      <c r="O354" s="17"/>
      <c r="P354" s="17"/>
      <c r="Q354" s="17"/>
      <c r="R354" s="17"/>
      <c r="S354" s="17"/>
      <c r="T354" s="17"/>
    </row>
    <row r="355" spans="1:23" s="559" customFormat="1" ht="15.75" hidden="1" x14ac:dyDescent="0.25">
      <c r="A355" s="17"/>
      <c r="B355" s="1474"/>
      <c r="C355" s="1474" t="s">
        <v>436</v>
      </c>
      <c r="D355" s="1474"/>
      <c r="E355" s="262"/>
      <c r="F355" s="262"/>
      <c r="G355" s="262"/>
      <c r="H355" s="262"/>
      <c r="I355" s="293"/>
      <c r="J355" s="264"/>
      <c r="K355" s="56"/>
      <c r="L355" s="56"/>
      <c r="M355" s="56"/>
      <c r="N355" s="17"/>
      <c r="O355" s="17"/>
      <c r="P355" s="17"/>
      <c r="Q355" s="17"/>
      <c r="R355" s="17"/>
      <c r="S355" s="17"/>
      <c r="T355" s="17"/>
    </row>
    <row r="356" spans="1:23" s="559" customFormat="1" ht="15.75" hidden="1" x14ac:dyDescent="0.25">
      <c r="A356" s="17"/>
      <c r="B356" s="1474"/>
      <c r="C356" s="1474" t="s">
        <v>1474</v>
      </c>
      <c r="D356" s="1520">
        <v>4.0000000000000001E-3</v>
      </c>
      <c r="E356" s="262"/>
      <c r="F356" s="262"/>
      <c r="G356" s="262"/>
      <c r="H356" s="262"/>
      <c r="I356" s="262"/>
      <c r="J356" s="264"/>
      <c r="K356" s="56"/>
      <c r="L356" s="289"/>
      <c r="M356" s="289"/>
      <c r="N356" s="17"/>
      <c r="O356" s="17"/>
      <c r="P356" s="17"/>
      <c r="Q356" s="17"/>
      <c r="R356" s="17"/>
      <c r="S356" s="17"/>
      <c r="T356" s="17"/>
    </row>
    <row r="357" spans="1:23" s="559" customFormat="1" ht="15.75" hidden="1" x14ac:dyDescent="0.25">
      <c r="A357" s="17"/>
      <c r="B357" s="262"/>
      <c r="C357" s="262"/>
      <c r="D357" s="262"/>
      <c r="E357" s="262"/>
      <c r="F357" s="262"/>
      <c r="G357" s="262"/>
      <c r="H357" s="262"/>
      <c r="I357" s="262"/>
      <c r="J357" s="264"/>
      <c r="K357" s="56"/>
      <c r="L357" s="289"/>
      <c r="M357" s="289"/>
      <c r="N357" s="17"/>
      <c r="O357" s="17"/>
      <c r="P357" s="17"/>
      <c r="Q357" s="17"/>
      <c r="R357" s="17"/>
      <c r="S357" s="17"/>
      <c r="T357" s="17"/>
      <c r="U357" s="296"/>
      <c r="V357" s="296"/>
      <c r="W357" s="296"/>
    </row>
    <row r="358" spans="1:23" s="559" customFormat="1" ht="15.75" hidden="1" x14ac:dyDescent="0.25">
      <c r="A358" s="17"/>
      <c r="B358" s="1473" t="s">
        <v>434</v>
      </c>
      <c r="C358" s="1475" t="s">
        <v>478</v>
      </c>
      <c r="D358" s="1517" t="e">
        <f>D352*D356*44/28</f>
        <v>#DIV/0!</v>
      </c>
      <c r="E358" s="262"/>
      <c r="F358" s="262"/>
      <c r="G358" s="141" t="s">
        <v>336</v>
      </c>
      <c r="H358" s="262"/>
      <c r="I358" s="262"/>
      <c r="J358" s="264"/>
      <c r="K358" s="56"/>
      <c r="L358" s="56"/>
      <c r="M358" s="56"/>
      <c r="N358" s="17"/>
      <c r="O358" s="17"/>
      <c r="P358" s="17"/>
      <c r="Q358" s="17"/>
      <c r="R358" s="17"/>
      <c r="S358" s="17"/>
      <c r="T358" s="17"/>
      <c r="U358" s="296"/>
    </row>
    <row r="359" spans="1:23" s="559" customFormat="1" ht="15.75" hidden="1" x14ac:dyDescent="0.25">
      <c r="A359" s="17"/>
      <c r="B359" s="265" t="s">
        <v>1540</v>
      </c>
      <c r="C359" s="1475" t="s">
        <v>478</v>
      </c>
      <c r="D359" s="1517" t="e">
        <f>D358*298</f>
        <v>#DIV/0!</v>
      </c>
      <c r="E359" s="262"/>
      <c r="F359" s="262"/>
      <c r="G359" s="141" t="s">
        <v>302</v>
      </c>
      <c r="H359" s="262"/>
      <c r="I359" s="262"/>
      <c r="J359" s="264"/>
      <c r="K359" s="56"/>
      <c r="L359" s="56"/>
      <c r="M359" s="56"/>
      <c r="N359" s="17"/>
      <c r="O359" s="17"/>
      <c r="P359" s="17"/>
      <c r="Q359" s="17"/>
      <c r="R359" s="17"/>
      <c r="S359" s="17"/>
      <c r="T359" s="17"/>
      <c r="U359" s="296"/>
    </row>
    <row r="360" spans="1:23" s="559" customFormat="1" ht="15.75" hidden="1" x14ac:dyDescent="0.25">
      <c r="A360" s="17"/>
      <c r="B360" s="262"/>
      <c r="C360" s="269"/>
      <c r="D360" s="284"/>
      <c r="E360" s="284"/>
      <c r="F360" s="284"/>
      <c r="G360" s="284"/>
      <c r="H360" s="284"/>
      <c r="I360" s="262"/>
      <c r="J360" s="264"/>
      <c r="K360" s="56"/>
      <c r="L360" s="56"/>
      <c r="M360" s="56"/>
      <c r="N360" s="17"/>
      <c r="O360" s="17"/>
      <c r="P360" s="17"/>
      <c r="Q360" s="17"/>
      <c r="R360" s="17"/>
      <c r="S360" s="17"/>
      <c r="T360" s="17"/>
      <c r="U360" s="296"/>
    </row>
    <row r="361" spans="1:23" s="559" customFormat="1" ht="15.75" hidden="1" x14ac:dyDescent="0.25">
      <c r="A361" s="17"/>
      <c r="B361" s="1473" t="s">
        <v>446</v>
      </c>
      <c r="C361" s="1473" t="s">
        <v>447</v>
      </c>
      <c r="D361" s="1474"/>
      <c r="E361" s="262"/>
      <c r="F361" s="262"/>
      <c r="G361" s="1474" t="s">
        <v>443</v>
      </c>
      <c r="H361" s="1474">
        <v>1</v>
      </c>
      <c r="I361" s="262"/>
      <c r="J361" s="264"/>
      <c r="K361" s="261"/>
      <c r="L361" s="56"/>
      <c r="M361" s="56"/>
      <c r="N361" s="17"/>
      <c r="O361" s="17"/>
      <c r="P361" s="17"/>
      <c r="Q361" s="17"/>
      <c r="R361" s="17"/>
      <c r="S361" s="17"/>
      <c r="T361" s="17"/>
    </row>
    <row r="362" spans="1:23" s="559" customFormat="1" ht="15.75" hidden="1" x14ac:dyDescent="0.25">
      <c r="A362" s="17"/>
      <c r="B362" s="1474"/>
      <c r="C362" s="1474" t="s">
        <v>449</v>
      </c>
      <c r="D362" s="1474"/>
      <c r="E362" s="284"/>
      <c r="F362" s="284"/>
      <c r="G362" s="1474" t="s">
        <v>445</v>
      </c>
      <c r="H362" s="1475">
        <v>0.3</v>
      </c>
      <c r="I362" s="262"/>
      <c r="J362" s="264"/>
      <c r="K362" s="56"/>
      <c r="L362" s="56"/>
      <c r="M362" s="56"/>
      <c r="N362" s="17"/>
      <c r="O362" s="17"/>
      <c r="P362" s="17"/>
      <c r="Q362" s="17"/>
      <c r="R362" s="17"/>
      <c r="S362" s="17"/>
      <c r="T362" s="17"/>
    </row>
    <row r="363" spans="1:23" s="559" customFormat="1" ht="15.75" hidden="1" x14ac:dyDescent="0.25">
      <c r="A363" s="17"/>
      <c r="B363" s="1474"/>
      <c r="C363" s="1474" t="s">
        <v>450</v>
      </c>
      <c r="D363" s="1474"/>
      <c r="E363" s="262"/>
      <c r="F363" s="262"/>
      <c r="G363" s="262"/>
      <c r="H363" s="262"/>
      <c r="I363" s="262"/>
      <c r="J363" s="264"/>
      <c r="K363" s="56"/>
      <c r="L363" s="17"/>
      <c r="M363" s="17"/>
      <c r="N363" s="17"/>
      <c r="O363" s="17"/>
      <c r="P363" s="17"/>
      <c r="Q363" s="17"/>
      <c r="R363" s="17"/>
      <c r="S363" s="17"/>
      <c r="T363" s="17"/>
    </row>
    <row r="364" spans="1:23" s="559" customFormat="1" ht="15.75" hidden="1" x14ac:dyDescent="0.25">
      <c r="A364" s="17"/>
      <c r="B364" s="1474"/>
      <c r="C364" s="1474" t="s">
        <v>451</v>
      </c>
      <c r="D364" s="1474"/>
      <c r="E364" s="262"/>
      <c r="F364" s="262"/>
      <c r="G364" s="269"/>
      <c r="H364" s="269"/>
      <c r="I364" s="262"/>
      <c r="J364" s="264"/>
      <c r="K364" s="56"/>
      <c r="L364" s="17"/>
      <c r="M364" s="17"/>
      <c r="N364" s="17"/>
      <c r="O364" s="17"/>
      <c r="P364" s="17"/>
      <c r="Q364" s="17"/>
      <c r="R364" s="17"/>
      <c r="S364" s="17"/>
      <c r="T364" s="17"/>
    </row>
    <row r="365" spans="1:23" s="559" customFormat="1" ht="15.75" hidden="1" x14ac:dyDescent="0.25">
      <c r="A365" s="17"/>
      <c r="B365" s="265"/>
      <c r="C365" s="270"/>
      <c r="D365" s="262"/>
      <c r="E365" s="262"/>
      <c r="F365" s="262"/>
      <c r="G365" s="262"/>
      <c r="H365" s="262"/>
      <c r="I365" s="262"/>
      <c r="J365" s="264"/>
      <c r="K365" s="56"/>
      <c r="L365" s="17"/>
      <c r="M365" s="17"/>
      <c r="N365" s="17"/>
      <c r="O365" s="17"/>
      <c r="P365" s="17"/>
      <c r="Q365" s="17"/>
      <c r="R365" s="17"/>
      <c r="S365" s="17"/>
      <c r="T365" s="17"/>
    </row>
    <row r="366" spans="1:23" s="559" customFormat="1" ht="15.75" hidden="1" x14ac:dyDescent="0.25">
      <c r="A366" s="17"/>
      <c r="B366" s="265"/>
      <c r="C366" s="1475" t="s">
        <v>478</v>
      </c>
      <c r="D366" s="1522" t="e">
        <f>SUM(D325,D337,D333)*H361*H362</f>
        <v>#DIV/0!</v>
      </c>
      <c r="E366" s="262"/>
      <c r="F366" s="262"/>
      <c r="G366" s="262"/>
      <c r="H366" s="262"/>
      <c r="I366" s="262"/>
      <c r="J366" s="264"/>
      <c r="K366" s="56"/>
      <c r="L366" s="17"/>
      <c r="M366" s="17"/>
      <c r="N366" s="17"/>
      <c r="O366" s="17"/>
      <c r="P366" s="17"/>
      <c r="Q366" s="17"/>
      <c r="R366" s="17"/>
      <c r="S366" s="17"/>
      <c r="T366" s="17"/>
    </row>
    <row r="367" spans="1:23" s="559" customFormat="1" ht="15.75" hidden="1" x14ac:dyDescent="0.25">
      <c r="A367" s="17"/>
      <c r="B367" s="265"/>
      <c r="C367" s="262"/>
      <c r="D367" s="262"/>
      <c r="E367" s="262"/>
      <c r="F367" s="262"/>
      <c r="G367" s="262"/>
      <c r="H367" s="262"/>
      <c r="I367" s="262"/>
      <c r="J367" s="264"/>
      <c r="K367" s="56"/>
      <c r="L367" s="17"/>
      <c r="M367" s="17"/>
      <c r="N367" s="17"/>
      <c r="O367" s="17"/>
      <c r="P367" s="17"/>
      <c r="Q367" s="17"/>
      <c r="R367" s="17"/>
      <c r="S367" s="17"/>
      <c r="T367" s="17"/>
    </row>
    <row r="368" spans="1:23" s="559" customFormat="1" ht="15.75" hidden="1" x14ac:dyDescent="0.25">
      <c r="A368" s="17"/>
      <c r="B368" s="1473" t="s">
        <v>452</v>
      </c>
      <c r="C368" s="1473" t="s">
        <v>386</v>
      </c>
      <c r="D368" s="1474"/>
      <c r="E368" s="262"/>
      <c r="F368" s="262"/>
      <c r="G368" s="262"/>
      <c r="H368" s="262"/>
      <c r="I368" s="262"/>
      <c r="J368" s="264"/>
      <c r="K368" s="56"/>
      <c r="L368" s="17"/>
      <c r="M368" s="17"/>
      <c r="N368" s="17"/>
      <c r="O368" s="17"/>
      <c r="P368" s="17"/>
      <c r="Q368" s="17"/>
      <c r="R368" s="17"/>
      <c r="S368" s="17"/>
      <c r="T368" s="17"/>
    </row>
    <row r="369" spans="1:20" s="559" customFormat="1" ht="15.75" hidden="1" x14ac:dyDescent="0.25">
      <c r="A369" s="17"/>
      <c r="B369" s="1474"/>
      <c r="C369" s="1474" t="s">
        <v>454</v>
      </c>
      <c r="D369" s="1474"/>
      <c r="E369" s="262"/>
      <c r="F369" s="262"/>
      <c r="G369" s="262"/>
      <c r="H369" s="262"/>
      <c r="I369" s="262"/>
      <c r="J369" s="264"/>
      <c r="K369" s="56"/>
      <c r="L369" s="17"/>
      <c r="M369" s="17"/>
      <c r="N369" s="17"/>
      <c r="O369" s="17"/>
      <c r="P369" s="17"/>
      <c r="Q369" s="17"/>
      <c r="R369" s="17"/>
      <c r="S369" s="17"/>
      <c r="T369" s="17"/>
    </row>
    <row r="370" spans="1:20" s="559" customFormat="1" ht="15.75" hidden="1" x14ac:dyDescent="0.25">
      <c r="A370" s="17"/>
      <c r="B370" s="1474"/>
      <c r="C370" s="1474" t="s">
        <v>1475</v>
      </c>
      <c r="D370" s="1520">
        <v>7.4999999999999997E-3</v>
      </c>
      <c r="E370" s="262"/>
      <c r="F370" s="262"/>
      <c r="G370" s="262"/>
      <c r="H370" s="262"/>
      <c r="I370" s="262"/>
      <c r="J370" s="264"/>
      <c r="K370" s="56"/>
      <c r="L370" s="17"/>
      <c r="M370" s="17"/>
      <c r="N370" s="17"/>
      <c r="O370" s="17"/>
      <c r="P370" s="17"/>
      <c r="Q370" s="17"/>
      <c r="R370" s="17"/>
      <c r="S370" s="17"/>
      <c r="T370" s="17"/>
    </row>
    <row r="371" spans="1:20" s="559" customFormat="1" ht="15.75" hidden="1" x14ac:dyDescent="0.25">
      <c r="A371" s="17"/>
      <c r="B371" s="262"/>
      <c r="C371" s="262"/>
      <c r="D371" s="293"/>
      <c r="E371" s="262"/>
      <c r="F371" s="262"/>
      <c r="G371" s="262"/>
      <c r="H371" s="262"/>
      <c r="I371" s="262"/>
      <c r="J371" s="264"/>
      <c r="K371" s="56"/>
      <c r="L371" s="17"/>
      <c r="M371" s="17"/>
      <c r="N371" s="17"/>
      <c r="O371" s="17"/>
      <c r="P371" s="17"/>
      <c r="Q371" s="17"/>
      <c r="R371" s="17"/>
      <c r="S371" s="17"/>
      <c r="T371" s="17"/>
    </row>
    <row r="372" spans="1:20" s="559" customFormat="1" ht="15.75" hidden="1" x14ac:dyDescent="0.25">
      <c r="A372" s="17"/>
      <c r="B372" s="1474" t="s">
        <v>427</v>
      </c>
      <c r="C372" s="1475" t="s">
        <v>478</v>
      </c>
      <c r="D372" s="1522" t="e">
        <f>D366*D370*44/28</f>
        <v>#DIV/0!</v>
      </c>
      <c r="E372" s="262"/>
      <c r="F372" s="262"/>
      <c r="G372" s="141" t="s">
        <v>336</v>
      </c>
      <c r="H372" s="262"/>
      <c r="I372" s="262"/>
      <c r="J372" s="264"/>
      <c r="K372" s="56"/>
      <c r="L372" s="17"/>
      <c r="M372" s="17"/>
      <c r="N372" s="17"/>
      <c r="O372" s="17"/>
      <c r="P372" s="17"/>
      <c r="Q372" s="17"/>
      <c r="R372" s="17"/>
      <c r="S372" s="17"/>
      <c r="T372" s="17"/>
    </row>
    <row r="373" spans="1:20" s="559" customFormat="1" ht="15.75" hidden="1" x14ac:dyDescent="0.25">
      <c r="A373" s="17"/>
      <c r="B373" s="262"/>
      <c r="C373" s="262"/>
      <c r="D373" s="262"/>
      <c r="E373" s="262"/>
      <c r="F373" s="262"/>
      <c r="G373" s="262"/>
      <c r="H373" s="262"/>
      <c r="I373" s="262"/>
      <c r="J373" s="264"/>
      <c r="K373" s="56"/>
      <c r="L373" s="17"/>
      <c r="M373" s="17"/>
      <c r="N373" s="17"/>
      <c r="O373" s="17"/>
      <c r="P373" s="17"/>
      <c r="Q373" s="17"/>
      <c r="R373" s="17"/>
      <c r="S373" s="17"/>
      <c r="T373" s="17"/>
    </row>
    <row r="374" spans="1:20" s="559" customFormat="1" ht="15.75" hidden="1" x14ac:dyDescent="0.25">
      <c r="A374" s="17"/>
      <c r="B374" s="1480" t="s">
        <v>455</v>
      </c>
      <c r="C374" s="1345" t="e">
        <f>D372*298</f>
        <v>#DIV/0!</v>
      </c>
      <c r="D374" s="1523"/>
      <c r="E374" s="1523"/>
      <c r="F374" s="1523"/>
      <c r="G374" s="1523" t="s">
        <v>302</v>
      </c>
      <c r="H374" s="1523"/>
      <c r="I374" s="1532"/>
      <c r="J374" s="1533"/>
      <c r="K374" s="56"/>
      <c r="L374" s="20"/>
      <c r="M374" s="20"/>
      <c r="N374" s="20"/>
      <c r="O374" s="20"/>
      <c r="P374" s="20"/>
      <c r="Q374" s="20"/>
      <c r="R374" s="20"/>
      <c r="S374" s="20"/>
      <c r="T374" s="20"/>
    </row>
    <row r="375" spans="1:20" s="559" customFormat="1" ht="15.75" hidden="1" x14ac:dyDescent="0.25">
      <c r="A375" s="17"/>
      <c r="B375" s="17"/>
      <c r="C375" s="17"/>
      <c r="D375" s="17"/>
      <c r="E375" s="17"/>
      <c r="F375" s="17"/>
      <c r="G375" s="17"/>
      <c r="H375" s="17"/>
      <c r="I375" s="17"/>
      <c r="J375" s="17"/>
      <c r="K375" s="56"/>
      <c r="L375" s="20"/>
      <c r="M375" s="20"/>
      <c r="N375" s="20"/>
      <c r="O375" s="20"/>
      <c r="P375" s="20"/>
      <c r="Q375" s="20"/>
      <c r="R375" s="20"/>
      <c r="S375" s="20"/>
      <c r="T375" s="20"/>
    </row>
    <row r="376" spans="1:20" s="559" customFormat="1" ht="15" hidden="1" x14ac:dyDescent="0.25">
      <c r="A376" s="20"/>
      <c r="B376" s="20"/>
      <c r="C376" s="20"/>
      <c r="D376" s="20"/>
      <c r="E376" s="20"/>
      <c r="F376" s="20"/>
      <c r="G376" s="20"/>
      <c r="H376" s="20"/>
      <c r="I376" s="20"/>
      <c r="J376" s="20"/>
      <c r="K376" s="20"/>
      <c r="L376" s="20"/>
      <c r="M376" s="20"/>
      <c r="N376" s="20"/>
      <c r="O376" s="20"/>
      <c r="P376" s="20"/>
      <c r="Q376" s="20"/>
      <c r="R376" s="20"/>
      <c r="S376" s="20"/>
      <c r="T376" s="20"/>
    </row>
    <row r="377" spans="1:20" s="559" customFormat="1" ht="15" hidden="1" x14ac:dyDescent="0.25">
      <c r="A377" s="20"/>
      <c r="B377" s="20"/>
      <c r="C377" s="20"/>
      <c r="D377" s="20"/>
      <c r="E377" s="20"/>
      <c r="F377" s="20"/>
      <c r="G377" s="20"/>
      <c r="H377" s="20"/>
      <c r="I377" s="20"/>
      <c r="J377" s="20"/>
      <c r="K377" s="20"/>
      <c r="L377" s="20"/>
      <c r="M377" s="20"/>
      <c r="N377" s="20"/>
      <c r="O377" s="20"/>
      <c r="P377" s="20"/>
      <c r="Q377" s="20"/>
      <c r="R377" s="20"/>
      <c r="S377" s="20"/>
      <c r="T377" s="20"/>
    </row>
    <row r="378" spans="1:20" s="559" customFormat="1" ht="15.75" hidden="1" x14ac:dyDescent="0.25">
      <c r="A378" s="20"/>
      <c r="B378" s="297" t="s">
        <v>464</v>
      </c>
      <c r="C378" s="20"/>
      <c r="D378" s="20"/>
      <c r="E378" s="20"/>
      <c r="F378" s="20"/>
      <c r="G378" s="20"/>
      <c r="H378" s="20"/>
      <c r="I378" s="20"/>
      <c r="J378" s="20"/>
      <c r="K378" s="20"/>
      <c r="L378" s="20"/>
      <c r="M378" s="20"/>
      <c r="N378" s="20"/>
      <c r="O378" s="20"/>
      <c r="P378" s="20"/>
      <c r="Q378" s="20"/>
      <c r="R378" s="20"/>
      <c r="S378" s="20"/>
      <c r="T378" s="20"/>
    </row>
    <row r="379" spans="1:20" s="559" customFormat="1" ht="15" hidden="1" x14ac:dyDescent="0.25">
      <c r="A379" s="20"/>
      <c r="B379" s="20" t="s">
        <v>490</v>
      </c>
      <c r="C379" s="298" t="e">
        <f>D343*10^6</f>
        <v>#DIV/0!</v>
      </c>
      <c r="D379" s="20"/>
      <c r="E379" s="20"/>
      <c r="F379" s="20"/>
      <c r="G379" s="20"/>
      <c r="H379" s="20"/>
      <c r="I379" s="20"/>
      <c r="J379" s="20"/>
      <c r="K379" s="20"/>
      <c r="L379" s="20"/>
      <c r="M379" s="20"/>
      <c r="N379" s="20"/>
      <c r="O379" s="20"/>
      <c r="P379" s="20"/>
      <c r="Q379" s="20"/>
      <c r="R379" s="20"/>
      <c r="S379" s="20"/>
      <c r="T379" s="20"/>
    </row>
    <row r="380" spans="1:20" s="559" customFormat="1" ht="15" hidden="1" x14ac:dyDescent="0.25">
      <c r="A380" s="20"/>
      <c r="B380" s="20"/>
      <c r="C380" s="20"/>
      <c r="D380" s="20"/>
      <c r="E380" s="20"/>
      <c r="F380" s="20"/>
      <c r="G380" s="20"/>
      <c r="H380" s="20"/>
      <c r="I380" s="20"/>
      <c r="J380" s="20"/>
      <c r="K380" s="20"/>
      <c r="L380" s="20"/>
      <c r="M380" s="20"/>
      <c r="N380" s="20"/>
      <c r="O380" s="20"/>
      <c r="P380" s="20"/>
      <c r="Q380" s="20"/>
      <c r="R380" s="20"/>
      <c r="S380" s="20"/>
      <c r="T380" s="20"/>
    </row>
    <row r="381" spans="1:20" s="559" customFormat="1" ht="15.75" hidden="1" x14ac:dyDescent="0.25">
      <c r="A381" s="20"/>
      <c r="B381" s="297" t="s">
        <v>1523</v>
      </c>
      <c r="C381" s="20"/>
      <c r="D381" s="20"/>
      <c r="E381" s="20"/>
      <c r="F381" s="20"/>
      <c r="G381" s="20"/>
      <c r="H381" s="20"/>
      <c r="I381" s="20"/>
      <c r="J381" s="20"/>
      <c r="K381" s="20"/>
      <c r="L381" s="20"/>
      <c r="M381" s="20"/>
      <c r="N381" s="20"/>
      <c r="O381" s="20"/>
      <c r="P381" s="20"/>
      <c r="Q381" s="20"/>
      <c r="R381" s="20"/>
      <c r="S381" s="20"/>
      <c r="T381" s="20"/>
    </row>
    <row r="382" spans="1:20" s="559" customFormat="1" ht="15" hidden="1" x14ac:dyDescent="0.25">
      <c r="A382" s="20"/>
      <c r="B382" s="20" t="s">
        <v>490</v>
      </c>
      <c r="C382" s="298" t="e">
        <f>(D280+D329)*10^6</f>
        <v>#DIV/0!</v>
      </c>
      <c r="D382" s="20"/>
      <c r="E382" s="20"/>
      <c r="F382" s="20"/>
      <c r="G382" s="20"/>
      <c r="H382" s="20"/>
      <c r="I382" s="20"/>
      <c r="J382" s="20"/>
      <c r="K382" s="20"/>
      <c r="L382" s="20"/>
      <c r="M382" s="20"/>
      <c r="N382" s="20"/>
      <c r="O382" s="20"/>
      <c r="P382" s="20"/>
      <c r="Q382" s="20"/>
      <c r="R382" s="20"/>
      <c r="S382" s="20"/>
      <c r="T382" s="20"/>
    </row>
    <row r="383" spans="1:20" s="559" customFormat="1" ht="15" hidden="1" x14ac:dyDescent="0.25">
      <c r="A383" s="20"/>
      <c r="B383" s="18"/>
      <c r="C383" s="20"/>
      <c r="D383" s="20"/>
      <c r="E383" s="20"/>
      <c r="F383" s="20"/>
      <c r="G383" s="20"/>
      <c r="H383" s="20"/>
      <c r="I383" s="20"/>
      <c r="J383" s="20"/>
      <c r="K383" s="20"/>
      <c r="L383" s="20"/>
      <c r="M383" s="20"/>
      <c r="N383" s="20"/>
      <c r="O383" s="20"/>
      <c r="P383" s="20"/>
      <c r="Q383" s="20"/>
      <c r="R383" s="20"/>
      <c r="S383" s="20"/>
      <c r="T383" s="20"/>
    </row>
    <row r="384" spans="1:20" s="559" customFormat="1" ht="15.75" hidden="1" x14ac:dyDescent="0.25">
      <c r="A384" s="20"/>
      <c r="B384" s="297" t="s">
        <v>461</v>
      </c>
      <c r="C384" s="20"/>
      <c r="D384" s="20"/>
      <c r="E384" s="20"/>
      <c r="F384" s="20"/>
      <c r="G384" s="20"/>
      <c r="H384" s="20"/>
      <c r="I384" s="20"/>
      <c r="J384" s="20"/>
      <c r="K384" s="20"/>
      <c r="L384" s="20"/>
      <c r="M384" s="20"/>
      <c r="N384" s="20"/>
      <c r="O384" s="20"/>
      <c r="P384" s="20"/>
      <c r="Q384" s="20"/>
      <c r="R384" s="20"/>
      <c r="S384" s="20"/>
      <c r="T384" s="20"/>
    </row>
    <row r="385" spans="1:20" s="559" customFormat="1" ht="15" hidden="1" x14ac:dyDescent="0.25">
      <c r="A385" s="20"/>
      <c r="B385" s="20" t="s">
        <v>490</v>
      </c>
      <c r="C385" s="298" t="e">
        <f>(D295+D304+D358+D372)*10^6</f>
        <v>#DIV/0!</v>
      </c>
      <c r="D385" s="20"/>
      <c r="E385" s="20"/>
      <c r="F385" s="20"/>
      <c r="G385" s="20"/>
      <c r="H385" s="20"/>
      <c r="I385" s="20"/>
      <c r="J385" s="20"/>
      <c r="K385" s="20"/>
      <c r="L385" s="20"/>
      <c r="M385" s="20"/>
      <c r="N385" s="20"/>
      <c r="O385" s="20"/>
      <c r="P385" s="20"/>
      <c r="Q385" s="20"/>
      <c r="R385" s="20"/>
      <c r="S385" s="20"/>
      <c r="T385" s="20"/>
    </row>
    <row r="386" spans="1:20" s="559" customFormat="1" ht="15" hidden="1" x14ac:dyDescent="0.25">
      <c r="A386" s="20"/>
      <c r="B386" s="20"/>
      <c r="C386" s="20"/>
      <c r="D386" s="20"/>
      <c r="E386" s="20"/>
      <c r="F386" s="20"/>
      <c r="G386" s="20"/>
      <c r="H386" s="20"/>
      <c r="I386" s="20"/>
      <c r="J386" s="20"/>
      <c r="K386" s="20"/>
      <c r="L386" s="20"/>
      <c r="M386" s="20"/>
      <c r="N386" s="20"/>
      <c r="O386" s="20"/>
      <c r="P386" s="20"/>
      <c r="Q386" s="20"/>
      <c r="R386" s="20"/>
      <c r="S386" s="20"/>
      <c r="T386" s="20"/>
    </row>
    <row r="387" spans="1:20" s="559" customFormat="1" ht="15" hidden="1" x14ac:dyDescent="0.25">
      <c r="A387" s="20"/>
      <c r="B387" s="299" t="s">
        <v>485</v>
      </c>
      <c r="C387" s="20"/>
      <c r="D387" s="20"/>
      <c r="E387" s="20"/>
      <c r="F387" s="20"/>
      <c r="G387" s="20"/>
      <c r="H387" s="20"/>
      <c r="I387" s="20"/>
      <c r="J387" s="20"/>
      <c r="K387" s="20"/>
      <c r="L387" s="20"/>
      <c r="M387" s="20"/>
      <c r="N387" s="20"/>
      <c r="O387" s="20"/>
      <c r="P387" s="20"/>
      <c r="Q387" s="20"/>
      <c r="R387" s="20"/>
      <c r="S387" s="20"/>
      <c r="T387" s="20"/>
    </row>
    <row r="388" spans="1:20" s="559" customFormat="1" ht="15" hidden="1" x14ac:dyDescent="0.25">
      <c r="A388" s="20"/>
      <c r="B388" s="20" t="s">
        <v>490</v>
      </c>
      <c r="C388" s="298" t="e">
        <f>C379+C382+C385</f>
        <v>#DIV/0!</v>
      </c>
      <c r="D388" s="20"/>
      <c r="E388" s="20"/>
      <c r="F388" s="20"/>
      <c r="G388" s="20"/>
      <c r="H388" s="20"/>
      <c r="I388" s="20"/>
      <c r="J388" s="20"/>
      <c r="K388" s="20"/>
      <c r="L388" s="20"/>
      <c r="M388" s="20"/>
      <c r="N388" s="20"/>
      <c r="O388" s="20"/>
      <c r="P388" s="20"/>
      <c r="Q388" s="20"/>
      <c r="R388" s="20"/>
      <c r="S388" s="20"/>
      <c r="T388" s="20"/>
    </row>
    <row r="389" spans="1:20" s="559" customFormat="1" ht="15" hidden="1" x14ac:dyDescent="0.25">
      <c r="A389" s="20"/>
      <c r="B389" s="20"/>
      <c r="C389" s="20"/>
      <c r="D389" s="20"/>
      <c r="E389" s="20"/>
      <c r="F389" s="20"/>
      <c r="G389" s="20"/>
      <c r="H389" s="20"/>
      <c r="I389" s="20"/>
      <c r="J389" s="20"/>
      <c r="K389" s="20"/>
      <c r="L389" s="20"/>
      <c r="M389" s="20"/>
      <c r="N389" s="20"/>
      <c r="O389" s="20"/>
      <c r="P389" s="20"/>
      <c r="Q389" s="20"/>
      <c r="R389" s="20"/>
      <c r="S389" s="20"/>
      <c r="T389" s="20"/>
    </row>
    <row r="390" spans="1:20" s="559" customFormat="1" ht="15" hidden="1" x14ac:dyDescent="0.25">
      <c r="A390" s="20"/>
      <c r="B390" s="27" t="s">
        <v>487</v>
      </c>
      <c r="C390" s="45" t="e">
        <f>C388*298/1000</f>
        <v>#DIV/0!</v>
      </c>
      <c r="D390" s="29" t="s">
        <v>491</v>
      </c>
      <c r="E390" s="20"/>
      <c r="F390" s="20"/>
      <c r="G390" s="20"/>
      <c r="H390" s="20"/>
      <c r="I390" s="20"/>
      <c r="J390" s="20"/>
      <c r="K390" s="20"/>
      <c r="L390" s="20"/>
      <c r="M390" s="20"/>
      <c r="N390" s="20"/>
      <c r="O390" s="20"/>
      <c r="P390" s="20"/>
      <c r="Q390" s="20"/>
      <c r="R390" s="20"/>
      <c r="S390" s="20"/>
      <c r="T390" s="20"/>
    </row>
    <row r="391" spans="1:20" s="559" customFormat="1" ht="15" hidden="1" x14ac:dyDescent="0.25">
      <c r="A391" s="20"/>
      <c r="B391" s="20"/>
      <c r="C391" s="20"/>
      <c r="D391" s="20"/>
      <c r="E391" s="20"/>
      <c r="F391" s="20"/>
      <c r="G391" s="20"/>
      <c r="H391" s="20"/>
      <c r="I391" s="20"/>
      <c r="J391" s="20"/>
      <c r="K391" s="20"/>
      <c r="L391" s="20"/>
      <c r="M391" s="20"/>
      <c r="N391" s="20"/>
      <c r="O391" s="20"/>
      <c r="P391" s="20"/>
      <c r="Q391" s="20"/>
      <c r="R391" s="20"/>
      <c r="S391" s="20"/>
      <c r="T391" s="20"/>
    </row>
    <row r="392" spans="1:20" s="559" customFormat="1" ht="15" hidden="1" x14ac:dyDescent="0.25">
      <c r="A392" s="20"/>
      <c r="B392" s="299" t="s">
        <v>851</v>
      </c>
      <c r="C392" s="202" t="e">
        <f>C217-C390</f>
        <v>#DIV/0!</v>
      </c>
      <c r="D392" s="20"/>
      <c r="E392" s="20"/>
      <c r="F392" s="20"/>
      <c r="G392" s="20"/>
      <c r="H392" s="20"/>
      <c r="I392" s="20"/>
      <c r="J392" s="20"/>
      <c r="K392" s="20"/>
      <c r="L392" s="20"/>
      <c r="M392" s="20"/>
      <c r="N392" s="20"/>
      <c r="O392" s="20"/>
      <c r="P392" s="20"/>
      <c r="Q392" s="20"/>
      <c r="R392" s="20"/>
      <c r="S392" s="20"/>
      <c r="T392" s="20"/>
    </row>
    <row r="393" spans="1:20" s="559" customFormat="1" ht="15" hidden="1" x14ac:dyDescent="0.25">
      <c r="A393" s="20"/>
      <c r="B393" s="20"/>
      <c r="C393" s="20"/>
      <c r="D393" s="20"/>
      <c r="E393" s="20"/>
      <c r="F393" s="20"/>
      <c r="G393" s="20"/>
      <c r="H393" s="20"/>
      <c r="I393" s="20"/>
      <c r="J393" s="20"/>
      <c r="K393" s="20"/>
      <c r="L393" s="20"/>
      <c r="M393" s="20"/>
      <c r="N393" s="20"/>
      <c r="O393" s="20"/>
      <c r="P393" s="20"/>
      <c r="Q393" s="20"/>
      <c r="R393" s="20"/>
      <c r="S393" s="20"/>
      <c r="T393" s="20"/>
    </row>
    <row r="394" spans="1:20" s="559" customFormat="1" ht="15" hidden="1" x14ac:dyDescent="0.25">
      <c r="A394" s="20"/>
      <c r="B394" s="20"/>
      <c r="C394" s="20"/>
      <c r="D394" s="20"/>
      <c r="E394" s="20"/>
      <c r="F394" s="20"/>
      <c r="G394" s="20"/>
      <c r="H394" s="20"/>
      <c r="I394" s="20"/>
      <c r="J394" s="20"/>
      <c r="K394" s="20"/>
      <c r="L394" s="20"/>
      <c r="M394" s="20"/>
      <c r="N394" s="20"/>
      <c r="O394" s="20"/>
      <c r="P394" s="20"/>
      <c r="Q394" s="20"/>
      <c r="R394" s="20"/>
      <c r="S394" s="20"/>
      <c r="T394" s="20"/>
    </row>
    <row r="395" spans="1:20" s="559" customFormat="1" ht="15" hidden="1" x14ac:dyDescent="0.25">
      <c r="A395" s="20"/>
      <c r="B395" s="339" t="s">
        <v>492</v>
      </c>
      <c r="C395" s="20"/>
      <c r="D395" s="20" t="s">
        <v>855</v>
      </c>
      <c r="E395" s="20"/>
      <c r="F395" s="20"/>
      <c r="G395" s="20"/>
      <c r="H395" s="20"/>
      <c r="I395" s="20"/>
      <c r="J395" s="20"/>
      <c r="K395" s="20"/>
      <c r="L395" s="20"/>
      <c r="M395" s="20"/>
      <c r="N395" s="20"/>
      <c r="O395" s="20"/>
      <c r="P395" s="20"/>
      <c r="Q395" s="20"/>
      <c r="R395" s="20"/>
      <c r="S395" s="20"/>
      <c r="T395" s="20"/>
    </row>
    <row r="396" spans="1:20" s="559" customFormat="1" ht="15" hidden="1" x14ac:dyDescent="0.25">
      <c r="A396" s="20"/>
      <c r="B396" s="339" t="s">
        <v>844</v>
      </c>
      <c r="C396" s="202" t="e">
        <f>C108</f>
        <v>#DIV/0!</v>
      </c>
      <c r="D396" s="516" t="e">
        <f>C396/365</f>
        <v>#DIV/0!</v>
      </c>
      <c r="E396" s="20"/>
      <c r="F396" s="20"/>
      <c r="G396" s="20"/>
      <c r="H396" s="20"/>
      <c r="I396" s="20"/>
      <c r="J396" s="20"/>
      <c r="K396" s="20"/>
      <c r="L396" s="20"/>
      <c r="M396" s="20"/>
      <c r="N396" s="20"/>
      <c r="O396" s="20"/>
      <c r="P396" s="20"/>
      <c r="Q396" s="20"/>
      <c r="R396" s="20"/>
      <c r="S396" s="20"/>
      <c r="T396" s="20"/>
    </row>
    <row r="397" spans="1:20" s="559" customFormat="1" ht="15" hidden="1" x14ac:dyDescent="0.25">
      <c r="A397" s="20"/>
      <c r="B397" s="339" t="s">
        <v>845</v>
      </c>
      <c r="C397" s="202" t="e">
        <f>C188</f>
        <v>#DIV/0!</v>
      </c>
      <c r="D397" s="516" t="e">
        <f>C397/365</f>
        <v>#DIV/0!</v>
      </c>
      <c r="E397" s="20"/>
      <c r="F397" s="20"/>
      <c r="G397" s="20"/>
      <c r="H397" s="20"/>
      <c r="I397" s="20"/>
      <c r="J397" s="20"/>
      <c r="K397" s="20"/>
      <c r="L397" s="20"/>
      <c r="M397" s="20"/>
      <c r="N397" s="20"/>
      <c r="O397" s="20"/>
      <c r="P397" s="20"/>
      <c r="Q397" s="20"/>
      <c r="R397" s="20"/>
      <c r="S397" s="20"/>
      <c r="T397" s="20"/>
    </row>
    <row r="398" spans="1:20" s="559" customFormat="1" ht="15" hidden="1" x14ac:dyDescent="0.25">
      <c r="A398" s="20"/>
      <c r="B398" s="339" t="s">
        <v>846</v>
      </c>
      <c r="C398" s="202" t="e">
        <f>C217</f>
        <v>#DIV/0!</v>
      </c>
      <c r="D398" s="516" t="e">
        <f>C398/365</f>
        <v>#DIV/0!</v>
      </c>
      <c r="E398" s="20"/>
      <c r="F398" s="20"/>
      <c r="G398" s="20"/>
      <c r="H398" s="20"/>
      <c r="I398" s="20"/>
      <c r="J398" s="20"/>
      <c r="K398" s="20"/>
      <c r="L398" s="20"/>
      <c r="M398" s="20"/>
      <c r="N398" s="20"/>
      <c r="O398" s="20"/>
      <c r="P398" s="20"/>
      <c r="Q398" s="20"/>
      <c r="R398" s="20"/>
      <c r="S398" s="20"/>
      <c r="T398" s="20"/>
    </row>
    <row r="399" spans="1:20" s="559" customFormat="1" ht="15" hidden="1" x14ac:dyDescent="0.25">
      <c r="A399" s="20"/>
      <c r="B399" s="339" t="s">
        <v>847</v>
      </c>
      <c r="C399" s="300">
        <v>0</v>
      </c>
      <c r="D399" s="516">
        <f>C399/365</f>
        <v>0</v>
      </c>
      <c r="E399" s="20"/>
      <c r="F399" s="20"/>
      <c r="G399" s="20"/>
      <c r="H399" s="20"/>
      <c r="I399" s="20"/>
      <c r="J399" s="20"/>
      <c r="K399" s="20"/>
      <c r="L399" s="20"/>
      <c r="M399" s="20"/>
      <c r="N399" s="20"/>
      <c r="O399" s="20"/>
      <c r="P399" s="20"/>
      <c r="Q399" s="20"/>
      <c r="R399" s="20"/>
      <c r="S399" s="20"/>
      <c r="T399" s="20"/>
    </row>
    <row r="400" spans="1:20" s="559" customFormat="1" ht="15" hidden="1" x14ac:dyDescent="0.25">
      <c r="A400" s="20"/>
      <c r="B400" s="339" t="s">
        <v>848</v>
      </c>
      <c r="C400" s="202" t="e">
        <f>SUM(C396:C399)</f>
        <v>#DIV/0!</v>
      </c>
      <c r="D400" s="516" t="e">
        <f>C400/365</f>
        <v>#DIV/0!</v>
      </c>
      <c r="E400" s="20"/>
      <c r="F400" s="20"/>
      <c r="G400" s="20"/>
      <c r="H400" s="20"/>
      <c r="I400" s="20"/>
      <c r="J400" s="20"/>
      <c r="K400" s="20"/>
      <c r="L400" s="20"/>
      <c r="M400" s="20"/>
      <c r="N400" s="20"/>
      <c r="O400" s="20"/>
      <c r="P400" s="20"/>
      <c r="Q400" s="20"/>
      <c r="R400" s="20"/>
      <c r="S400" s="20"/>
      <c r="T400" s="20"/>
    </row>
    <row r="401" spans="1:20" s="559" customFormat="1" ht="15" hidden="1" x14ac:dyDescent="0.25">
      <c r="A401" s="20"/>
      <c r="B401" s="339"/>
      <c r="C401" s="300"/>
      <c r="D401" s="20"/>
      <c r="E401" s="20"/>
      <c r="F401" s="20"/>
      <c r="G401" s="20"/>
      <c r="H401" s="20"/>
      <c r="I401" s="20"/>
      <c r="J401" s="20"/>
      <c r="K401" s="20"/>
      <c r="L401" s="20"/>
      <c r="M401" s="20"/>
      <c r="N401" s="20"/>
      <c r="O401" s="20"/>
      <c r="P401" s="20"/>
      <c r="Q401" s="20"/>
      <c r="R401" s="20"/>
      <c r="S401" s="20"/>
      <c r="T401" s="20"/>
    </row>
    <row r="402" spans="1:20" s="559" customFormat="1" ht="15" hidden="1" x14ac:dyDescent="0.25">
      <c r="A402" s="20"/>
      <c r="B402" s="339" t="s">
        <v>493</v>
      </c>
      <c r="C402" s="300"/>
      <c r="D402" s="20"/>
      <c r="E402" s="20"/>
      <c r="F402" s="20"/>
      <c r="G402" s="20"/>
      <c r="H402" s="20"/>
      <c r="I402" s="20"/>
      <c r="J402" s="20"/>
      <c r="K402" s="20"/>
      <c r="L402" s="20"/>
      <c r="M402" s="20"/>
      <c r="N402" s="20"/>
      <c r="O402" s="20"/>
      <c r="P402" s="20"/>
      <c r="Q402" s="20"/>
      <c r="R402" s="20"/>
      <c r="S402" s="20"/>
      <c r="T402" s="20"/>
    </row>
    <row r="403" spans="1:20" s="559" customFormat="1" ht="15" hidden="1" x14ac:dyDescent="0.25">
      <c r="A403" s="20"/>
      <c r="B403" s="339" t="s">
        <v>844</v>
      </c>
      <c r="C403" s="202" t="e">
        <f>C139</f>
        <v>#DIV/0!</v>
      </c>
      <c r="D403" s="516" t="e">
        <f>C403/365</f>
        <v>#DIV/0!</v>
      </c>
      <c r="E403" s="20"/>
      <c r="F403" s="20"/>
      <c r="G403" s="20"/>
      <c r="H403" s="20"/>
      <c r="I403" s="20"/>
      <c r="J403" s="20"/>
      <c r="K403" s="20"/>
      <c r="L403" s="20"/>
      <c r="M403" s="20"/>
      <c r="N403" s="20"/>
      <c r="O403" s="20"/>
      <c r="P403" s="20"/>
      <c r="Q403" s="20"/>
      <c r="R403" s="20"/>
      <c r="S403" s="20"/>
      <c r="T403" s="20"/>
    </row>
    <row r="404" spans="1:20" s="559" customFormat="1" ht="15" hidden="1" x14ac:dyDescent="0.25">
      <c r="A404" s="20"/>
      <c r="B404" s="339" t="s">
        <v>845</v>
      </c>
      <c r="C404" s="202" t="e">
        <f>C200</f>
        <v>#DIV/0!</v>
      </c>
      <c r="D404" s="516" t="e">
        <f>C404/365</f>
        <v>#DIV/0!</v>
      </c>
      <c r="E404" s="20"/>
      <c r="F404" s="20"/>
      <c r="G404" s="20"/>
      <c r="H404" s="20"/>
      <c r="I404" s="20"/>
      <c r="J404" s="20"/>
      <c r="K404" s="20"/>
      <c r="L404" s="20"/>
      <c r="M404" s="20"/>
      <c r="N404" s="20"/>
      <c r="O404" s="20"/>
      <c r="P404" s="20"/>
      <c r="Q404" s="20"/>
      <c r="R404" s="20"/>
      <c r="S404" s="20"/>
      <c r="T404" s="20"/>
    </row>
    <row r="405" spans="1:20" s="559" customFormat="1" ht="15" hidden="1" x14ac:dyDescent="0.25">
      <c r="A405" s="20"/>
      <c r="B405" s="339" t="s">
        <v>846</v>
      </c>
      <c r="C405" s="202" t="e">
        <f>C390</f>
        <v>#DIV/0!</v>
      </c>
      <c r="D405" s="516" t="e">
        <f>C405/365</f>
        <v>#DIV/0!</v>
      </c>
      <c r="E405" s="20"/>
      <c r="F405" s="20"/>
      <c r="G405" s="20"/>
      <c r="H405" s="20"/>
      <c r="I405" s="20"/>
      <c r="J405" s="20"/>
      <c r="K405" s="20"/>
      <c r="L405" s="18"/>
      <c r="M405" s="18"/>
      <c r="N405" s="18"/>
      <c r="O405" s="18"/>
      <c r="P405" s="18"/>
      <c r="Q405" s="18"/>
      <c r="R405" s="18"/>
      <c r="S405" s="18"/>
      <c r="T405" s="18"/>
    </row>
    <row r="406" spans="1:20" s="559" customFormat="1" ht="15" hidden="1" x14ac:dyDescent="0.25">
      <c r="A406" s="20"/>
      <c r="B406" s="339" t="s">
        <v>847</v>
      </c>
      <c r="C406" s="300">
        <v>0</v>
      </c>
      <c r="D406" s="516">
        <f>C406/365</f>
        <v>0</v>
      </c>
      <c r="E406" s="20"/>
      <c r="F406" s="20"/>
      <c r="G406" s="20"/>
      <c r="H406" s="20"/>
      <c r="I406" s="20"/>
      <c r="J406" s="20"/>
      <c r="K406" s="20"/>
      <c r="L406" s="20"/>
      <c r="M406" s="20"/>
      <c r="N406" s="20"/>
      <c r="O406" s="20"/>
      <c r="P406" s="20"/>
      <c r="Q406" s="20"/>
      <c r="R406" s="20"/>
      <c r="S406" s="20"/>
      <c r="T406" s="20"/>
    </row>
    <row r="407" spans="1:20" s="559" customFormat="1" ht="15" hidden="1" x14ac:dyDescent="0.25">
      <c r="A407" s="20"/>
      <c r="B407" s="339" t="s">
        <v>848</v>
      </c>
      <c r="C407" s="202" t="e">
        <f>SUM(C403:C406)</f>
        <v>#DIV/0!</v>
      </c>
      <c r="D407" s="516" t="e">
        <f>C407/365</f>
        <v>#DIV/0!</v>
      </c>
      <c r="E407" s="20"/>
      <c r="F407" s="20"/>
      <c r="G407" s="20"/>
      <c r="H407" s="20"/>
      <c r="I407" s="20"/>
      <c r="J407" s="20"/>
      <c r="K407" s="20"/>
      <c r="L407" s="18"/>
      <c r="M407" s="18"/>
      <c r="N407" s="18"/>
      <c r="O407" s="18"/>
      <c r="P407" s="18"/>
      <c r="Q407" s="18"/>
      <c r="R407" s="18"/>
      <c r="S407" s="18"/>
      <c r="T407" s="18"/>
    </row>
    <row r="408" spans="1:20" s="559" customFormat="1" ht="15" hidden="1" x14ac:dyDescent="0.25">
      <c r="A408" s="20"/>
      <c r="B408" s="339"/>
      <c r="C408" s="300"/>
      <c r="D408" s="20"/>
      <c r="E408" s="20"/>
      <c r="F408" s="20"/>
      <c r="G408" s="20"/>
      <c r="H408" s="20"/>
      <c r="I408" s="20"/>
      <c r="J408" s="20"/>
      <c r="K408" s="20"/>
      <c r="L408" s="18"/>
      <c r="M408" s="18"/>
      <c r="N408" s="18"/>
      <c r="O408" s="18"/>
      <c r="P408" s="18"/>
      <c r="Q408" s="18"/>
      <c r="R408" s="18"/>
      <c r="S408" s="18"/>
      <c r="T408" s="18"/>
    </row>
    <row r="409" spans="1:20" s="559" customFormat="1" ht="15" hidden="1" x14ac:dyDescent="0.25">
      <c r="A409" s="20"/>
      <c r="B409" s="339" t="s">
        <v>849</v>
      </c>
      <c r="C409" s="300"/>
      <c r="D409" s="20" t="s">
        <v>856</v>
      </c>
      <c r="E409" s="20"/>
      <c r="F409" s="20"/>
      <c r="G409" s="20"/>
      <c r="H409" s="20"/>
      <c r="I409" s="20"/>
      <c r="J409" s="20"/>
      <c r="K409" s="20"/>
      <c r="L409" s="18"/>
      <c r="M409" s="18"/>
      <c r="N409" s="18"/>
      <c r="O409" s="18"/>
      <c r="P409" s="18"/>
      <c r="Q409" s="18"/>
      <c r="R409" s="18"/>
      <c r="S409" s="18"/>
      <c r="T409" s="18"/>
    </row>
    <row r="410" spans="1:20" s="559" customFormat="1" ht="15" hidden="1" x14ac:dyDescent="0.25">
      <c r="A410" s="20"/>
      <c r="B410" s="339" t="s">
        <v>844</v>
      </c>
      <c r="C410" s="202" t="e">
        <f>C396-C403</f>
        <v>#DIV/0!</v>
      </c>
      <c r="D410" s="516" t="e">
        <f>(C410/365)*$C$27</f>
        <v>#DIV/0!</v>
      </c>
      <c r="E410" s="20"/>
      <c r="F410" s="20"/>
      <c r="G410" s="20"/>
      <c r="H410" s="20"/>
      <c r="I410" s="20"/>
      <c r="J410" s="20"/>
      <c r="K410" s="20"/>
      <c r="L410" s="18"/>
      <c r="M410" s="18"/>
      <c r="N410" s="18"/>
      <c r="O410" s="18"/>
      <c r="P410" s="18"/>
      <c r="Q410" s="18"/>
      <c r="R410" s="18"/>
      <c r="S410" s="18"/>
      <c r="T410" s="18"/>
    </row>
    <row r="411" spans="1:20" s="559" customFormat="1" ht="15" hidden="1" x14ac:dyDescent="0.25">
      <c r="A411" s="20"/>
      <c r="B411" s="339" t="s">
        <v>845</v>
      </c>
      <c r="C411" s="202" t="e">
        <f>C397-C404</f>
        <v>#DIV/0!</v>
      </c>
      <c r="D411" s="516" t="e">
        <f>(C411/365)*$C$27</f>
        <v>#DIV/0!</v>
      </c>
      <c r="E411" s="20"/>
      <c r="F411" s="20"/>
      <c r="G411" s="20"/>
      <c r="H411" s="20"/>
      <c r="I411" s="20"/>
      <c r="J411" s="20"/>
      <c r="K411" s="20"/>
      <c r="L411" s="18"/>
      <c r="M411" s="18"/>
      <c r="N411" s="18"/>
      <c r="O411" s="18"/>
      <c r="P411" s="18"/>
      <c r="Q411" s="18"/>
      <c r="R411" s="18"/>
      <c r="S411" s="18"/>
      <c r="T411" s="18"/>
    </row>
    <row r="412" spans="1:20" s="559" customFormat="1" ht="15" hidden="1" x14ac:dyDescent="0.25">
      <c r="A412" s="20"/>
      <c r="B412" s="339" t="s">
        <v>846</v>
      </c>
      <c r="C412" s="202" t="e">
        <f>C398-C405</f>
        <v>#DIV/0!</v>
      </c>
      <c r="D412" s="516" t="e">
        <f>(C412/365)*$C$27</f>
        <v>#DIV/0!</v>
      </c>
      <c r="E412" s="20"/>
      <c r="F412" s="20"/>
      <c r="G412" s="20"/>
      <c r="H412" s="20"/>
      <c r="I412" s="20"/>
      <c r="J412" s="20"/>
      <c r="K412" s="20"/>
      <c r="L412" s="18"/>
      <c r="M412" s="18"/>
      <c r="N412" s="18"/>
      <c r="O412" s="18"/>
      <c r="P412" s="18"/>
      <c r="Q412" s="18"/>
      <c r="R412" s="18"/>
      <c r="S412" s="18"/>
      <c r="T412" s="18"/>
    </row>
    <row r="413" spans="1:20" s="559" customFormat="1" ht="15" hidden="1" x14ac:dyDescent="0.25">
      <c r="A413" s="20"/>
      <c r="B413" s="339" t="s">
        <v>847</v>
      </c>
      <c r="C413" s="300">
        <f>C399-C406</f>
        <v>0</v>
      </c>
      <c r="D413" s="516">
        <f>(C413/365)*$C$27</f>
        <v>0</v>
      </c>
      <c r="E413" s="20"/>
      <c r="F413" s="20"/>
      <c r="G413" s="20"/>
      <c r="H413" s="20"/>
      <c r="I413" s="20"/>
      <c r="J413" s="20"/>
      <c r="K413" s="20"/>
      <c r="L413" s="20"/>
      <c r="M413" s="20"/>
      <c r="N413" s="20"/>
      <c r="O413" s="20"/>
      <c r="P413" s="20"/>
      <c r="Q413" s="20"/>
      <c r="R413" s="20"/>
      <c r="S413" s="20"/>
      <c r="T413" s="20"/>
    </row>
    <row r="414" spans="1:20" s="559" customFormat="1" ht="15" hidden="1" x14ac:dyDescent="0.25">
      <c r="A414" s="20"/>
      <c r="B414" s="339" t="s">
        <v>848</v>
      </c>
      <c r="C414" s="202" t="e">
        <f>SUM(C410:C413)</f>
        <v>#DIV/0!</v>
      </c>
      <c r="D414" s="516" t="e">
        <f>(C414/365)*$C$27</f>
        <v>#DIV/0!</v>
      </c>
      <c r="E414" s="20"/>
      <c r="F414" s="20"/>
      <c r="G414" s="20"/>
      <c r="H414" s="20"/>
      <c r="I414" s="20"/>
      <c r="J414" s="20"/>
      <c r="K414" s="20"/>
      <c r="L414" s="18"/>
      <c r="M414" s="18"/>
      <c r="N414" s="18"/>
      <c r="O414" s="18"/>
      <c r="P414" s="18"/>
      <c r="Q414" s="18"/>
      <c r="R414" s="18"/>
      <c r="S414" s="18"/>
      <c r="T414" s="18"/>
    </row>
    <row r="415" spans="1:20" s="559" customFormat="1" ht="15" hidden="1" x14ac:dyDescent="0.25">
      <c r="A415" s="20"/>
      <c r="B415" s="20"/>
      <c r="C415" s="20"/>
      <c r="D415" s="20"/>
      <c r="E415" s="20"/>
      <c r="F415" s="20"/>
      <c r="G415" s="20"/>
      <c r="H415" s="20"/>
      <c r="I415" s="20"/>
      <c r="J415" s="20"/>
      <c r="K415" s="20"/>
      <c r="L415" s="18"/>
      <c r="M415" s="18"/>
      <c r="N415" s="18"/>
      <c r="O415" s="18"/>
      <c r="P415" s="18"/>
      <c r="Q415" s="18"/>
      <c r="R415" s="18"/>
      <c r="S415" s="18"/>
      <c r="T415" s="18"/>
    </row>
    <row r="416" spans="1:20" hidden="1" x14ac:dyDescent="0.2">
      <c r="A416" s="29"/>
      <c r="B416" s="29"/>
      <c r="C416" s="29"/>
      <c r="D416" s="29"/>
      <c r="E416" s="29"/>
      <c r="F416" s="29"/>
      <c r="G416" s="29"/>
      <c r="H416" s="29"/>
      <c r="I416" s="29"/>
      <c r="J416" s="29"/>
      <c r="K416" s="29"/>
      <c r="L416" s="29"/>
      <c r="M416" s="29"/>
      <c r="N416" s="29"/>
      <c r="O416" s="29"/>
      <c r="P416" s="29"/>
      <c r="Q416" s="29"/>
      <c r="R416" s="29"/>
      <c r="S416" s="29"/>
      <c r="T416" s="29"/>
    </row>
    <row r="417" spans="1:20" hidden="1" x14ac:dyDescent="0.2">
      <c r="A417" s="29"/>
      <c r="B417" s="29"/>
      <c r="C417" s="29"/>
      <c r="D417" s="29"/>
      <c r="E417" s="29"/>
      <c r="F417" s="29"/>
      <c r="G417" s="29"/>
      <c r="H417" s="29"/>
      <c r="I417" s="29"/>
      <c r="J417" s="29"/>
      <c r="K417" s="29"/>
      <c r="L417" s="29"/>
      <c r="M417" s="29"/>
      <c r="N417" s="29"/>
      <c r="O417" s="29"/>
      <c r="P417" s="29"/>
      <c r="Q417" s="29"/>
      <c r="R417" s="29"/>
      <c r="S417" s="29"/>
      <c r="T417" s="29"/>
    </row>
    <row r="418" spans="1:20" hidden="1" x14ac:dyDescent="0.2">
      <c r="A418" s="29"/>
      <c r="B418" s="29"/>
      <c r="C418" s="29"/>
      <c r="D418" s="29"/>
      <c r="E418" s="29"/>
      <c r="F418" s="29"/>
      <c r="G418" s="29"/>
      <c r="H418" s="29"/>
      <c r="I418" s="29"/>
      <c r="J418" s="29"/>
      <c r="K418" s="29"/>
      <c r="L418" s="29"/>
      <c r="M418" s="29"/>
      <c r="N418" s="29"/>
      <c r="O418" s="29"/>
      <c r="P418" s="29"/>
      <c r="Q418" s="29"/>
      <c r="R418" s="29"/>
      <c r="S418" s="29"/>
      <c r="T418" s="29"/>
    </row>
    <row r="419" spans="1:20" hidden="1" x14ac:dyDescent="0.2">
      <c r="A419" s="29"/>
      <c r="B419" s="29"/>
      <c r="C419" s="29"/>
      <c r="D419" s="29"/>
      <c r="E419" s="29"/>
      <c r="F419" s="29"/>
      <c r="G419" s="29"/>
      <c r="H419" s="29"/>
      <c r="I419" s="29"/>
      <c r="J419" s="29"/>
      <c r="K419" s="29"/>
      <c r="L419" s="29"/>
      <c r="M419" s="29"/>
      <c r="N419" s="29"/>
      <c r="O419" s="29"/>
      <c r="P419" s="29"/>
      <c r="Q419" s="29"/>
      <c r="R419" s="29"/>
      <c r="S419" s="29"/>
      <c r="T419" s="29"/>
    </row>
    <row r="420" spans="1:20" hidden="1" x14ac:dyDescent="0.2">
      <c r="A420" s="29"/>
      <c r="B420" s="29"/>
      <c r="C420" s="29"/>
      <c r="D420" s="29"/>
      <c r="E420" s="29"/>
      <c r="F420" s="29"/>
      <c r="G420" s="29"/>
      <c r="H420" s="29"/>
      <c r="I420" s="29"/>
      <c r="J420" s="29"/>
      <c r="K420" s="29"/>
      <c r="L420" s="29"/>
      <c r="M420" s="29"/>
      <c r="N420" s="29"/>
      <c r="O420" s="29"/>
      <c r="P420" s="29"/>
      <c r="Q420" s="29"/>
      <c r="R420" s="29"/>
      <c r="S420" s="29"/>
      <c r="T420" s="29"/>
    </row>
    <row r="421" spans="1:20" hidden="1" x14ac:dyDescent="0.2">
      <c r="A421" s="29"/>
      <c r="B421" s="29"/>
      <c r="C421" s="29"/>
      <c r="D421" s="29"/>
      <c r="E421" s="29"/>
      <c r="F421" s="29"/>
      <c r="G421" s="29"/>
      <c r="H421" s="29"/>
      <c r="I421" s="29"/>
      <c r="J421" s="29"/>
      <c r="K421" s="29"/>
      <c r="L421" s="29"/>
      <c r="M421" s="29"/>
      <c r="N421" s="29"/>
      <c r="O421" s="29"/>
      <c r="P421" s="29"/>
      <c r="Q421" s="29"/>
      <c r="R421" s="29"/>
      <c r="S421" s="29"/>
      <c r="T421" s="29"/>
    </row>
    <row r="422" spans="1:20" hidden="1" x14ac:dyDescent="0.2">
      <c r="A422" s="29"/>
      <c r="B422" s="29"/>
      <c r="C422" s="29"/>
      <c r="D422" s="29"/>
      <c r="E422" s="29"/>
      <c r="F422" s="29"/>
      <c r="G422" s="29"/>
      <c r="H422" s="29"/>
      <c r="I422" s="29"/>
      <c r="J422" s="29"/>
      <c r="K422" s="29"/>
      <c r="L422" s="29"/>
      <c r="M422" s="29"/>
      <c r="N422" s="29"/>
      <c r="O422" s="29"/>
      <c r="P422" s="29"/>
      <c r="Q422" s="29"/>
      <c r="R422" s="29"/>
      <c r="S422" s="29"/>
      <c r="T422" s="29"/>
    </row>
    <row r="423" spans="1:20" hidden="1" x14ac:dyDescent="0.2">
      <c r="A423" s="29"/>
      <c r="B423" s="29"/>
      <c r="C423" s="29"/>
      <c r="D423" s="29"/>
      <c r="E423" s="29"/>
      <c r="F423" s="29"/>
      <c r="G423" s="29"/>
      <c r="H423" s="29"/>
      <c r="I423" s="29"/>
      <c r="J423" s="29"/>
      <c r="K423" s="29"/>
      <c r="L423" s="29"/>
      <c r="M423" s="29"/>
      <c r="N423" s="29"/>
      <c r="O423" s="29"/>
      <c r="P423" s="29"/>
      <c r="Q423" s="29"/>
      <c r="R423" s="29"/>
      <c r="S423" s="29"/>
      <c r="T423" s="29"/>
    </row>
    <row r="424" spans="1:20" hidden="1" x14ac:dyDescent="0.2">
      <c r="A424" s="29"/>
      <c r="B424" s="29"/>
      <c r="C424" s="29"/>
      <c r="D424" s="29"/>
      <c r="E424" s="29"/>
      <c r="F424" s="29"/>
      <c r="G424" s="29"/>
      <c r="H424" s="29"/>
      <c r="I424" s="29"/>
      <c r="J424" s="29"/>
      <c r="K424" s="29"/>
      <c r="L424" s="29"/>
      <c r="M424" s="29"/>
      <c r="N424" s="29"/>
      <c r="O424" s="29"/>
      <c r="P424" s="29"/>
      <c r="Q424" s="29"/>
      <c r="R424" s="29"/>
      <c r="S424" s="29"/>
      <c r="T424" s="29"/>
    </row>
    <row r="425" spans="1:20" hidden="1" x14ac:dyDescent="0.2">
      <c r="A425" s="29"/>
      <c r="B425" s="29"/>
      <c r="C425" s="29"/>
      <c r="D425" s="29"/>
      <c r="E425" s="29"/>
      <c r="F425" s="29"/>
      <c r="G425" s="29"/>
      <c r="H425" s="29"/>
      <c r="I425" s="29"/>
      <c r="J425" s="29"/>
      <c r="K425" s="29"/>
      <c r="L425" s="29"/>
      <c r="M425" s="29"/>
      <c r="N425" s="29"/>
      <c r="O425" s="29"/>
      <c r="P425" s="29"/>
      <c r="Q425" s="29"/>
      <c r="R425" s="29"/>
      <c r="S425" s="29"/>
      <c r="T425" s="29"/>
    </row>
    <row r="426" spans="1:20" hidden="1" x14ac:dyDescent="0.2"/>
  </sheetData>
  <sheetProtection algorithmName="SHA-512" hashValue="BI5nyjohp80uFrGCjN8nJQSuu7cHY5+n43kiZZYEjbX1IrMMgBFb3YvNwnEv6bP+JhXeZK7k7r3l9cZ06P454Q==" saltValue="sF+Sxfvq+DM8Oyuh/1kR3w=="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02" r:id="rId4" name="Spinner 42">
              <controlPr defaultSize="0" autoPict="0">
                <anchor moveWithCells="1" sizeWithCells="1">
                  <from>
                    <xdr:col>2</xdr:col>
                    <xdr:colOff>1238250</xdr:colOff>
                    <xdr:row>18</xdr:row>
                    <xdr:rowOff>57150</xdr:rowOff>
                  </from>
                  <to>
                    <xdr:col>2</xdr:col>
                    <xdr:colOff>1581150</xdr:colOff>
                    <xdr:row>18</xdr:row>
                    <xdr:rowOff>247650</xdr:rowOff>
                  </to>
                </anchor>
              </controlPr>
            </control>
          </mc:Choice>
        </mc:AlternateContent>
        <mc:AlternateContent xmlns:mc="http://schemas.openxmlformats.org/markup-compatibility/2006">
          <mc:Choice Requires="x14">
            <control shapeId="15403" r:id="rId5" name="Spinner 43">
              <controlPr defaultSize="0" autoPict="0">
                <anchor moveWithCells="1" sizeWithCells="1">
                  <from>
                    <xdr:col>2</xdr:col>
                    <xdr:colOff>1238250</xdr:colOff>
                    <xdr:row>20</xdr:row>
                    <xdr:rowOff>57150</xdr:rowOff>
                  </from>
                  <to>
                    <xdr:col>2</xdr:col>
                    <xdr:colOff>1581150</xdr:colOff>
                    <xdr:row>20</xdr:row>
                    <xdr:rowOff>247650</xdr:rowOff>
                  </to>
                </anchor>
              </controlPr>
            </control>
          </mc:Choice>
        </mc:AlternateContent>
        <mc:AlternateContent xmlns:mc="http://schemas.openxmlformats.org/markup-compatibility/2006">
          <mc:Choice Requires="x14">
            <control shapeId="15405" r:id="rId6" name="Spinner 45">
              <controlPr defaultSize="0" autoPict="0">
                <anchor moveWithCells="1" sizeWithCells="1">
                  <from>
                    <xdr:col>2</xdr:col>
                    <xdr:colOff>1238250</xdr:colOff>
                    <xdr:row>24</xdr:row>
                    <xdr:rowOff>57150</xdr:rowOff>
                  </from>
                  <to>
                    <xdr:col>2</xdr:col>
                    <xdr:colOff>1581150</xdr:colOff>
                    <xdr:row>24</xdr:row>
                    <xdr:rowOff>247650</xdr:rowOff>
                  </to>
                </anchor>
              </controlPr>
            </control>
          </mc:Choice>
        </mc:AlternateContent>
        <mc:AlternateContent xmlns:mc="http://schemas.openxmlformats.org/markup-compatibility/2006">
          <mc:Choice Requires="x14">
            <control shapeId="15409" r:id="rId7" name="Spinner 49">
              <controlPr defaultSize="0" autoPict="0">
                <anchor moveWithCells="1" sizeWithCells="1">
                  <from>
                    <xdr:col>2</xdr:col>
                    <xdr:colOff>1238250</xdr:colOff>
                    <xdr:row>26</xdr:row>
                    <xdr:rowOff>57150</xdr:rowOff>
                  </from>
                  <to>
                    <xdr:col>2</xdr:col>
                    <xdr:colOff>1581150</xdr:colOff>
                    <xdr:row>26</xdr:row>
                    <xdr:rowOff>247650</xdr:rowOff>
                  </to>
                </anchor>
              </controlPr>
            </control>
          </mc:Choice>
        </mc:AlternateContent>
        <mc:AlternateContent xmlns:mc="http://schemas.openxmlformats.org/markup-compatibility/2006">
          <mc:Choice Requires="x14">
            <control shapeId="15410" r:id="rId8" name="Spinner 50">
              <controlPr defaultSize="0" autoPict="0">
                <anchor moveWithCells="1" sizeWithCells="1">
                  <from>
                    <xdr:col>2</xdr:col>
                    <xdr:colOff>1238250</xdr:colOff>
                    <xdr:row>28</xdr:row>
                    <xdr:rowOff>57150</xdr:rowOff>
                  </from>
                  <to>
                    <xdr:col>2</xdr:col>
                    <xdr:colOff>1581150</xdr:colOff>
                    <xdr:row>28</xdr:row>
                    <xdr:rowOff>238125</xdr:rowOff>
                  </to>
                </anchor>
              </controlPr>
            </control>
          </mc:Choice>
        </mc:AlternateContent>
        <mc:AlternateContent xmlns:mc="http://schemas.openxmlformats.org/markup-compatibility/2006">
          <mc:Choice Requires="x14">
            <control shapeId="15412" r:id="rId9" name="Spinner 52">
              <controlPr defaultSize="0" autoPict="0">
                <anchor moveWithCells="1" sizeWithCells="1">
                  <from>
                    <xdr:col>2</xdr:col>
                    <xdr:colOff>1238250</xdr:colOff>
                    <xdr:row>30</xdr:row>
                    <xdr:rowOff>57150</xdr:rowOff>
                  </from>
                  <to>
                    <xdr:col>2</xdr:col>
                    <xdr:colOff>1581150</xdr:colOff>
                    <xdr:row>30</xdr:row>
                    <xdr:rowOff>238125</xdr:rowOff>
                  </to>
                </anchor>
              </controlPr>
            </control>
          </mc:Choice>
        </mc:AlternateContent>
        <mc:AlternateContent xmlns:mc="http://schemas.openxmlformats.org/markup-compatibility/2006">
          <mc:Choice Requires="x14">
            <control shapeId="15414" r:id="rId10" name="Spinner 54">
              <controlPr defaultSize="0" autoPict="0">
                <anchor moveWithCells="1" sizeWithCells="1">
                  <from>
                    <xdr:col>2</xdr:col>
                    <xdr:colOff>1238250</xdr:colOff>
                    <xdr:row>34</xdr:row>
                    <xdr:rowOff>47625</xdr:rowOff>
                  </from>
                  <to>
                    <xdr:col>2</xdr:col>
                    <xdr:colOff>1581150</xdr:colOff>
                    <xdr:row>34</xdr:row>
                    <xdr:rowOff>247650</xdr:rowOff>
                  </to>
                </anchor>
              </controlPr>
            </control>
          </mc:Choice>
        </mc:AlternateContent>
        <mc:AlternateContent xmlns:mc="http://schemas.openxmlformats.org/markup-compatibility/2006">
          <mc:Choice Requires="x14">
            <control shapeId="15422" r:id="rId11" name="Spinner 62">
              <controlPr defaultSize="0" autoPict="0">
                <anchor moveWithCells="1" sizeWithCells="1">
                  <from>
                    <xdr:col>2</xdr:col>
                    <xdr:colOff>1238250</xdr:colOff>
                    <xdr:row>32</xdr:row>
                    <xdr:rowOff>57150</xdr:rowOff>
                  </from>
                  <to>
                    <xdr:col>2</xdr:col>
                    <xdr:colOff>1581150</xdr:colOff>
                    <xdr:row>32</xdr:row>
                    <xdr:rowOff>247650</xdr:rowOff>
                  </to>
                </anchor>
              </controlPr>
            </control>
          </mc:Choice>
        </mc:AlternateContent>
        <mc:AlternateContent xmlns:mc="http://schemas.openxmlformats.org/markup-compatibility/2006">
          <mc:Choice Requires="x14">
            <control shapeId="15425" r:id="rId12" name="Spinner 65">
              <controlPr defaultSize="0" autoPict="0">
                <anchor moveWithCells="1" sizeWithCells="1">
                  <from>
                    <xdr:col>2</xdr:col>
                    <xdr:colOff>1238250</xdr:colOff>
                    <xdr:row>22</xdr:row>
                    <xdr:rowOff>66675</xdr:rowOff>
                  </from>
                  <to>
                    <xdr:col>2</xdr:col>
                    <xdr:colOff>1581150</xdr:colOff>
                    <xdr:row>23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P538"/>
  <sheetViews>
    <sheetView zoomScale="70" zoomScaleNormal="70" workbookViewId="0"/>
  </sheetViews>
  <sheetFormatPr defaultColWidth="16.7109375" defaultRowHeight="15" x14ac:dyDescent="0.25"/>
  <cols>
    <col min="1" max="1" width="3.28515625" style="559" customWidth="1"/>
    <col min="2" max="2" width="82.85546875" style="559" customWidth="1"/>
    <col min="3" max="3" width="31.140625" style="559" customWidth="1"/>
    <col min="4" max="4" width="46" style="559" customWidth="1"/>
    <col min="5" max="16384" width="16.7109375" style="559"/>
  </cols>
  <sheetData>
    <row r="1" spans="1:94" s="18" customFormat="1" x14ac:dyDescent="0.25">
      <c r="A1" s="17"/>
      <c r="I1" s="17"/>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c r="CO1" s="559"/>
      <c r="CP1" s="559"/>
    </row>
    <row r="2" spans="1:94" s="18" customFormat="1" x14ac:dyDescent="0.25">
      <c r="A2" s="17"/>
      <c r="I2" s="17"/>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row>
    <row r="3" spans="1:94" s="18" customFormat="1" x14ac:dyDescent="0.25">
      <c r="A3" s="17"/>
      <c r="I3" s="17"/>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59"/>
      <c r="CA3" s="559"/>
      <c r="CB3" s="559"/>
      <c r="CC3" s="559"/>
      <c r="CD3" s="559"/>
      <c r="CE3" s="559"/>
      <c r="CF3" s="559"/>
      <c r="CG3" s="559"/>
      <c r="CH3" s="559"/>
      <c r="CI3" s="559"/>
      <c r="CJ3" s="559"/>
      <c r="CK3" s="559"/>
      <c r="CL3" s="559"/>
      <c r="CM3" s="559"/>
      <c r="CN3" s="559"/>
      <c r="CO3" s="559"/>
      <c r="CP3" s="559"/>
    </row>
    <row r="4" spans="1:94" s="18" customFormat="1" x14ac:dyDescent="0.25">
      <c r="A4" s="17"/>
      <c r="I4" s="17"/>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59"/>
      <c r="BF4" s="559"/>
      <c r="BG4" s="559"/>
      <c r="BH4" s="559"/>
      <c r="BI4" s="559"/>
      <c r="BJ4" s="559"/>
      <c r="BK4" s="559"/>
      <c r="BL4" s="559"/>
      <c r="BM4" s="559"/>
      <c r="BN4" s="559"/>
      <c r="BO4" s="559"/>
      <c r="BP4" s="559"/>
      <c r="BQ4" s="559"/>
      <c r="BR4" s="559"/>
      <c r="BS4" s="559"/>
      <c r="BT4" s="559"/>
      <c r="BU4" s="559"/>
      <c r="BV4" s="559"/>
      <c r="BW4" s="559"/>
      <c r="BX4" s="559"/>
      <c r="BY4" s="559"/>
      <c r="BZ4" s="559"/>
      <c r="CA4" s="559"/>
      <c r="CB4" s="559"/>
      <c r="CC4" s="559"/>
      <c r="CD4" s="559"/>
      <c r="CE4" s="559"/>
      <c r="CF4" s="559"/>
      <c r="CG4" s="559"/>
      <c r="CH4" s="559"/>
      <c r="CI4" s="559"/>
      <c r="CJ4" s="559"/>
      <c r="CK4" s="559"/>
      <c r="CL4" s="559"/>
      <c r="CM4" s="559"/>
      <c r="CN4" s="559"/>
      <c r="CO4" s="559"/>
      <c r="CP4" s="559"/>
    </row>
    <row r="5" spans="1:94" s="18" customFormat="1" x14ac:dyDescent="0.25">
      <c r="A5" s="17"/>
      <c r="I5" s="17"/>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59"/>
      <c r="CC5" s="559"/>
      <c r="CD5" s="559"/>
      <c r="CE5" s="559"/>
      <c r="CF5" s="559"/>
      <c r="CG5" s="559"/>
      <c r="CH5" s="559"/>
      <c r="CI5" s="559"/>
      <c r="CJ5" s="559"/>
      <c r="CK5" s="559"/>
      <c r="CL5" s="559"/>
      <c r="CM5" s="559"/>
      <c r="CN5" s="559"/>
      <c r="CO5" s="559"/>
      <c r="CP5" s="559"/>
    </row>
    <row r="6" spans="1:94" s="18" customFormat="1" x14ac:dyDescent="0.25">
      <c r="A6" s="17"/>
      <c r="I6" s="17"/>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row>
    <row r="7" spans="1:94" s="18" customFormat="1" x14ac:dyDescent="0.25">
      <c r="A7" s="17"/>
      <c r="I7" s="17"/>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row>
    <row r="8" spans="1:94" s="18" customFormat="1" x14ac:dyDescent="0.25">
      <c r="A8" s="17"/>
      <c r="I8" s="17"/>
      <c r="J8" s="559"/>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9"/>
      <c r="BQ8" s="559"/>
      <c r="BR8" s="559"/>
      <c r="BS8" s="559"/>
      <c r="BT8" s="559"/>
      <c r="BU8" s="559"/>
      <c r="BV8" s="559"/>
      <c r="BW8" s="559"/>
      <c r="BX8" s="559"/>
      <c r="BY8" s="559"/>
      <c r="BZ8" s="559"/>
      <c r="CA8" s="559"/>
      <c r="CB8" s="559"/>
      <c r="CC8" s="559"/>
      <c r="CD8" s="559"/>
      <c r="CE8" s="559"/>
      <c r="CF8" s="559"/>
      <c r="CG8" s="559"/>
      <c r="CH8" s="559"/>
      <c r="CI8" s="559"/>
      <c r="CJ8" s="559"/>
      <c r="CK8" s="559"/>
      <c r="CL8" s="559"/>
      <c r="CM8" s="559"/>
      <c r="CN8" s="559"/>
      <c r="CO8" s="559"/>
      <c r="CP8" s="559"/>
    </row>
    <row r="9" spans="1:94" s="18" customFormat="1" ht="20.100000000000001" customHeight="1" x14ac:dyDescent="0.25">
      <c r="A9" s="17"/>
      <c r="B9" s="670" t="s">
        <v>1049</v>
      </c>
      <c r="C9" s="669"/>
      <c r="I9" s="17"/>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59"/>
      <c r="CC9" s="559"/>
      <c r="CD9" s="559"/>
      <c r="CE9" s="559"/>
      <c r="CF9" s="559"/>
      <c r="CG9" s="559"/>
      <c r="CH9" s="559"/>
      <c r="CI9" s="559"/>
      <c r="CJ9" s="559"/>
      <c r="CK9" s="559"/>
      <c r="CL9" s="559"/>
      <c r="CM9" s="559"/>
      <c r="CN9" s="559"/>
      <c r="CO9" s="559"/>
      <c r="CP9" s="559"/>
    </row>
    <row r="10" spans="1:94" s="18" customFormat="1" ht="20.100000000000001" customHeight="1" x14ac:dyDescent="0.25">
      <c r="A10" s="559"/>
      <c r="B10" s="203" t="s">
        <v>744</v>
      </c>
      <c r="C10" s="171">
        <f>'Baseline farm'!D17</f>
        <v>0</v>
      </c>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59"/>
      <c r="CC10" s="559"/>
      <c r="CD10" s="559"/>
      <c r="CE10" s="559"/>
      <c r="CF10" s="559"/>
      <c r="CG10" s="559"/>
      <c r="CH10" s="559"/>
      <c r="CI10" s="559"/>
      <c r="CJ10" s="559"/>
      <c r="CK10" s="559"/>
      <c r="CL10" s="559"/>
      <c r="CM10" s="559"/>
      <c r="CN10" s="559"/>
      <c r="CO10" s="559"/>
      <c r="CP10" s="559"/>
    </row>
    <row r="11" spans="1:94" s="18" customFormat="1" ht="20.100000000000001" customHeight="1" x14ac:dyDescent="0.25">
      <c r="A11" s="17"/>
      <c r="B11" s="203" t="s">
        <v>465</v>
      </c>
      <c r="C11" s="171">
        <f>'Baseline farm'!D19</f>
        <v>0</v>
      </c>
      <c r="I11" s="17"/>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c r="CH11" s="559"/>
      <c r="CI11" s="559"/>
      <c r="CJ11" s="559"/>
      <c r="CK11" s="559"/>
      <c r="CL11" s="559"/>
      <c r="CM11" s="559"/>
      <c r="CN11" s="559"/>
      <c r="CO11" s="559"/>
      <c r="CP11" s="559"/>
    </row>
    <row r="12" spans="1:94" s="18" customFormat="1" ht="20.100000000000001" hidden="1" customHeight="1" x14ac:dyDescent="0.25">
      <c r="A12" s="17"/>
      <c r="B12" s="203" t="s">
        <v>15</v>
      </c>
      <c r="C12" s="8">
        <v>0</v>
      </c>
      <c r="I12" s="17"/>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row>
    <row r="13" spans="1:94" s="18" customFormat="1" ht="20.100000000000001" customHeight="1" x14ac:dyDescent="0.25">
      <c r="A13" s="17"/>
      <c r="B13" s="203" t="s">
        <v>496</v>
      </c>
      <c r="C13" s="8" t="e">
        <f>'Baseline farm'!H28</f>
        <v>#DIV/0!</v>
      </c>
      <c r="I13" s="17"/>
      <c r="J13" s="559"/>
      <c r="K13" s="559"/>
      <c r="L13" s="559"/>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c r="CB13" s="559"/>
      <c r="CC13" s="559"/>
      <c r="CD13" s="559"/>
      <c r="CE13" s="559"/>
      <c r="CF13" s="559"/>
      <c r="CG13" s="559"/>
      <c r="CH13" s="559"/>
      <c r="CI13" s="559"/>
      <c r="CJ13" s="559"/>
      <c r="CK13" s="559"/>
      <c r="CL13" s="559"/>
      <c r="CM13" s="559"/>
      <c r="CN13" s="559"/>
      <c r="CO13" s="559"/>
      <c r="CP13" s="559"/>
    </row>
    <row r="14" spans="1:94" s="18" customFormat="1" ht="20.100000000000001" customHeight="1" x14ac:dyDescent="0.25">
      <c r="A14" s="17"/>
      <c r="B14" s="203" t="s">
        <v>515</v>
      </c>
      <c r="C14" s="7">
        <f>'Baseline farm'!D28</f>
        <v>0</v>
      </c>
      <c r="I14" s="17"/>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c r="CB14" s="559"/>
      <c r="CC14" s="559"/>
      <c r="CD14" s="559"/>
      <c r="CE14" s="559"/>
      <c r="CF14" s="559"/>
      <c r="CG14" s="559"/>
      <c r="CH14" s="559"/>
      <c r="CI14" s="559"/>
      <c r="CJ14" s="559"/>
      <c r="CK14" s="559"/>
      <c r="CL14" s="559"/>
      <c r="CM14" s="559"/>
      <c r="CN14" s="559"/>
      <c r="CO14" s="559"/>
      <c r="CP14" s="559"/>
    </row>
    <row r="15" spans="1:94" s="18" customFormat="1" ht="20.100000000000001" customHeight="1" x14ac:dyDescent="0.25">
      <c r="A15" s="17"/>
      <c r="B15" s="303" t="s">
        <v>507</v>
      </c>
      <c r="C15" s="176" t="e">
        <f>'Baseline farm'!F36</f>
        <v>#DIV/0!</v>
      </c>
      <c r="I15" s="17"/>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c r="CB15" s="559"/>
      <c r="CC15" s="559"/>
      <c r="CD15" s="559"/>
      <c r="CE15" s="559"/>
      <c r="CF15" s="559"/>
      <c r="CG15" s="559"/>
      <c r="CH15" s="559"/>
      <c r="CI15" s="559"/>
      <c r="CJ15" s="559"/>
      <c r="CK15" s="559"/>
      <c r="CL15" s="559"/>
      <c r="CM15" s="559"/>
      <c r="CN15" s="559"/>
      <c r="CO15" s="559"/>
      <c r="CP15" s="559"/>
    </row>
    <row r="16" spans="1:94" s="18" customFormat="1" ht="20.100000000000001" customHeight="1" x14ac:dyDescent="0.25">
      <c r="A16" s="17"/>
      <c r="B16" s="304" t="s">
        <v>508</v>
      </c>
      <c r="C16" s="146" t="e">
        <f>'Baseline farm'!H36</f>
        <v>#DIV/0!</v>
      </c>
      <c r="I16" s="17"/>
      <c r="J16" s="559"/>
      <c r="K16" s="559"/>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c r="CB16" s="559"/>
      <c r="CC16" s="559"/>
      <c r="CD16" s="559"/>
      <c r="CE16" s="559"/>
      <c r="CF16" s="559"/>
      <c r="CG16" s="559"/>
      <c r="CH16" s="559"/>
      <c r="CI16" s="559"/>
      <c r="CJ16" s="559"/>
      <c r="CK16" s="559"/>
      <c r="CL16" s="559"/>
      <c r="CM16" s="559"/>
      <c r="CN16" s="559"/>
      <c r="CO16" s="559"/>
      <c r="CP16" s="559"/>
    </row>
    <row r="17" spans="1:94" s="18" customFormat="1" ht="20.100000000000001" customHeight="1" x14ac:dyDescent="0.25">
      <c r="A17" s="17"/>
      <c r="B17" s="671" t="s">
        <v>1050</v>
      </c>
      <c r="C17" s="310"/>
      <c r="I17" s="17"/>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c r="CB17" s="559"/>
      <c r="CC17" s="559"/>
      <c r="CD17" s="559"/>
      <c r="CE17" s="559"/>
      <c r="CF17" s="559"/>
      <c r="CG17" s="559"/>
      <c r="CH17" s="559"/>
      <c r="CI17" s="559"/>
      <c r="CJ17" s="559"/>
      <c r="CK17" s="559"/>
      <c r="CL17" s="559"/>
      <c r="CM17" s="559"/>
      <c r="CN17" s="559"/>
      <c r="CO17" s="559"/>
      <c r="CP17" s="559"/>
    </row>
    <row r="18" spans="1:94" s="18" customFormat="1" ht="20.100000000000001" customHeight="1" x14ac:dyDescent="0.25">
      <c r="A18" s="17"/>
      <c r="B18" s="305" t="s">
        <v>73</v>
      </c>
      <c r="C18" s="847">
        <f>C68/10</f>
        <v>82</v>
      </c>
      <c r="I18" s="17"/>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c r="BZ18" s="559"/>
      <c r="CA18" s="559"/>
      <c r="CB18" s="559"/>
      <c r="CC18" s="559"/>
      <c r="CD18" s="559"/>
      <c r="CE18" s="559"/>
      <c r="CF18" s="559"/>
      <c r="CG18" s="559"/>
      <c r="CH18" s="559"/>
      <c r="CI18" s="559"/>
      <c r="CJ18" s="559"/>
      <c r="CK18" s="559"/>
      <c r="CL18" s="559"/>
      <c r="CM18" s="559"/>
      <c r="CN18" s="559"/>
      <c r="CO18" s="559"/>
      <c r="CP18" s="559"/>
    </row>
    <row r="19" spans="1:94" s="18" customFormat="1" ht="5.0999999999999996" customHeight="1" x14ac:dyDescent="0.25">
      <c r="A19" s="17"/>
      <c r="B19" s="305"/>
      <c r="C19" s="345"/>
      <c r="I19" s="17"/>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59"/>
      <c r="BT19" s="559"/>
      <c r="BU19" s="559"/>
      <c r="BV19" s="559"/>
      <c r="BW19" s="559"/>
      <c r="BX19" s="559"/>
      <c r="BY19" s="559"/>
      <c r="BZ19" s="559"/>
      <c r="CA19" s="559"/>
      <c r="CB19" s="559"/>
      <c r="CC19" s="559"/>
      <c r="CD19" s="559"/>
      <c r="CE19" s="559"/>
      <c r="CF19" s="559"/>
      <c r="CG19" s="559"/>
      <c r="CH19" s="559"/>
      <c r="CI19" s="559"/>
      <c r="CJ19" s="559"/>
      <c r="CK19" s="559"/>
      <c r="CL19" s="559"/>
      <c r="CM19" s="559"/>
      <c r="CN19" s="559"/>
      <c r="CO19" s="559"/>
      <c r="CP19" s="559"/>
    </row>
    <row r="20" spans="1:94" s="18" customFormat="1" ht="20.100000000000001" customHeight="1" x14ac:dyDescent="0.25">
      <c r="A20" s="17"/>
      <c r="B20" s="305" t="s">
        <v>512</v>
      </c>
      <c r="C20" s="847">
        <f>C69/10</f>
        <v>20</v>
      </c>
      <c r="I20" s="17"/>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row>
    <row r="21" spans="1:94" s="18" customFormat="1" ht="5.0999999999999996" customHeight="1" x14ac:dyDescent="0.25">
      <c r="A21" s="17"/>
      <c r="B21" s="305"/>
      <c r="C21" s="344"/>
      <c r="I21" s="17"/>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row>
    <row r="22" spans="1:94" s="18" customFormat="1" ht="20.100000000000001" customHeight="1" x14ac:dyDescent="0.25">
      <c r="A22" s="17"/>
      <c r="B22" s="305" t="s">
        <v>1103</v>
      </c>
      <c r="C22" s="849">
        <f>C70/1</f>
        <v>90</v>
      </c>
      <c r="I22" s="17"/>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59"/>
      <c r="CM22" s="559"/>
      <c r="CN22" s="559"/>
      <c r="CO22" s="559"/>
      <c r="CP22" s="559"/>
    </row>
    <row r="23" spans="1:94" s="18" customFormat="1" ht="4.5" customHeight="1" x14ac:dyDescent="0.25">
      <c r="A23" s="17"/>
      <c r="B23" s="305"/>
      <c r="C23" s="344"/>
      <c r="I23" s="17"/>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c r="CB23" s="559"/>
      <c r="CC23" s="559"/>
      <c r="CD23" s="559"/>
      <c r="CE23" s="559"/>
      <c r="CF23" s="559"/>
      <c r="CG23" s="559"/>
      <c r="CH23" s="559"/>
      <c r="CI23" s="559"/>
      <c r="CJ23" s="559"/>
      <c r="CK23" s="559"/>
      <c r="CL23" s="559"/>
      <c r="CM23" s="559"/>
      <c r="CN23" s="559"/>
      <c r="CO23" s="559"/>
      <c r="CP23" s="559"/>
    </row>
    <row r="24" spans="1:94" s="18" customFormat="1" ht="20.100000000000001" customHeight="1" x14ac:dyDescent="0.25">
      <c r="A24" s="17"/>
      <c r="B24" s="205" t="s">
        <v>745</v>
      </c>
      <c r="C24" s="854">
        <f>C71/1</f>
        <v>0</v>
      </c>
      <c r="I24" s="17"/>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row>
    <row r="25" spans="1:94" s="18" customFormat="1" ht="5.0999999999999996" customHeight="1" x14ac:dyDescent="0.25">
      <c r="A25" s="17"/>
      <c r="B25" s="205"/>
      <c r="C25" s="350"/>
      <c r="I25" s="17"/>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row>
    <row r="26" spans="1:94" s="18" customFormat="1" ht="20.100000000000001" customHeight="1" x14ac:dyDescent="0.25">
      <c r="A26" s="17"/>
      <c r="B26" s="205" t="s">
        <v>128</v>
      </c>
      <c r="C26" s="855">
        <f>C72/1000</f>
        <v>0.4</v>
      </c>
      <c r="I26" s="17"/>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row>
    <row r="27" spans="1:94" s="18" customFormat="1" ht="5.0999999999999996" customHeight="1" x14ac:dyDescent="0.25">
      <c r="A27" s="17"/>
      <c r="B27" s="205"/>
      <c r="C27" s="350"/>
      <c r="I27" s="17"/>
      <c r="J27" s="559"/>
      <c r="K27" s="559"/>
      <c r="L27" s="559"/>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row>
    <row r="28" spans="1:94" s="18" customFormat="1" ht="20.100000000000001" customHeight="1" x14ac:dyDescent="0.25">
      <c r="A28" s="17"/>
      <c r="B28" s="205" t="s">
        <v>1079</v>
      </c>
      <c r="C28" s="853">
        <f>C73/1000</f>
        <v>0.42499999999999999</v>
      </c>
      <c r="I28" s="17"/>
      <c r="J28" s="559"/>
      <c r="K28" s="559"/>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row>
    <row r="29" spans="1:94" s="18" customFormat="1" ht="5.0999999999999996" customHeight="1" x14ac:dyDescent="0.25">
      <c r="A29" s="17"/>
      <c r="B29" s="205"/>
      <c r="C29" s="206"/>
      <c r="I29" s="17"/>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row>
    <row r="30" spans="1:94" s="18" customFormat="1" ht="20.100000000000001" customHeight="1" x14ac:dyDescent="0.25">
      <c r="A30" s="17"/>
      <c r="B30" s="205" t="s">
        <v>72</v>
      </c>
      <c r="C30" s="845">
        <f>C74/100</f>
        <v>6</v>
      </c>
      <c r="I30" s="17"/>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row>
    <row r="31" spans="1:94" s="18" customFormat="1" ht="5.0999999999999996" customHeight="1" x14ac:dyDescent="0.25">
      <c r="A31" s="17"/>
      <c r="B31" s="309"/>
      <c r="C31" s="311"/>
      <c r="I31" s="17"/>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row>
    <row r="32" spans="1:94" s="18" customFormat="1" ht="20.100000000000001" hidden="1" customHeight="1" x14ac:dyDescent="0.25">
      <c r="A32" s="17"/>
      <c r="B32" s="312" t="s">
        <v>74</v>
      </c>
      <c r="C32" s="177" t="e">
        <f>D249</f>
        <v>#DIV/0!</v>
      </c>
      <c r="I32" s="17"/>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row>
    <row r="33" spans="1:94" s="18" customFormat="1" ht="5.0999999999999996" hidden="1" customHeight="1" x14ac:dyDescent="0.25">
      <c r="A33" s="17"/>
      <c r="B33" s="312"/>
      <c r="C33" s="177"/>
      <c r="I33" s="17"/>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c r="CB33" s="559"/>
      <c r="CC33" s="559"/>
      <c r="CD33" s="559"/>
      <c r="CE33" s="559"/>
      <c r="CF33" s="559"/>
      <c r="CG33" s="559"/>
      <c r="CH33" s="559"/>
      <c r="CI33" s="559"/>
      <c r="CJ33" s="559"/>
      <c r="CK33" s="559"/>
      <c r="CL33" s="559"/>
      <c r="CM33" s="559"/>
      <c r="CN33" s="559"/>
      <c r="CO33" s="559"/>
      <c r="CP33" s="559"/>
    </row>
    <row r="34" spans="1:94" s="18" customFormat="1" ht="20.100000000000001" customHeight="1" x14ac:dyDescent="0.25">
      <c r="A34" s="17"/>
      <c r="B34" s="672" t="s">
        <v>1051</v>
      </c>
      <c r="C34" s="673"/>
      <c r="I34" s="17"/>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row>
    <row r="35" spans="1:94" s="18" customFormat="1" ht="20.100000000000001" customHeight="1" x14ac:dyDescent="0.25">
      <c r="A35" s="559"/>
      <c r="B35" s="312" t="s">
        <v>75</v>
      </c>
      <c r="C35" s="177" t="e">
        <f>C111-C110</f>
        <v>#DIV/0!</v>
      </c>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c r="CB35" s="559"/>
      <c r="CC35" s="559"/>
      <c r="CD35" s="559"/>
      <c r="CE35" s="559"/>
      <c r="CF35" s="559"/>
      <c r="CG35" s="559"/>
      <c r="CH35" s="559"/>
      <c r="CI35" s="559"/>
      <c r="CJ35" s="559"/>
      <c r="CK35" s="559"/>
      <c r="CL35" s="559"/>
      <c r="CM35" s="559"/>
      <c r="CN35" s="559"/>
      <c r="CO35" s="559"/>
      <c r="CP35" s="559"/>
    </row>
    <row r="36" spans="1:94" s="18" customFormat="1" ht="20.100000000000001" customHeight="1" x14ac:dyDescent="0.25">
      <c r="A36" s="17"/>
      <c r="B36" s="207" t="s">
        <v>830</v>
      </c>
      <c r="C36" s="10" t="e">
        <f>C113*C22*C10</f>
        <v>#DIV/0!</v>
      </c>
      <c r="I36" s="17"/>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row>
    <row r="37" spans="1:94" s="18" customFormat="1" ht="20.100000000000001" customHeight="1" x14ac:dyDescent="0.25">
      <c r="A37" s="17"/>
      <c r="B37" s="208" t="s">
        <v>1052</v>
      </c>
      <c r="C37" s="11"/>
      <c r="I37" s="17"/>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row>
    <row r="38" spans="1:94" s="18" customFormat="1" ht="20.100000000000001" customHeight="1" x14ac:dyDescent="0.25">
      <c r="A38" s="17"/>
      <c r="B38" s="523" t="s">
        <v>89</v>
      </c>
      <c r="C38" s="535" t="e">
        <f>D522</f>
        <v>#DIV/0!</v>
      </c>
      <c r="I38" s="17"/>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c r="CB38" s="559"/>
      <c r="CC38" s="559"/>
      <c r="CD38" s="559"/>
      <c r="CE38" s="559"/>
      <c r="CF38" s="559"/>
      <c r="CG38" s="559"/>
      <c r="CH38" s="559"/>
      <c r="CI38" s="559"/>
      <c r="CJ38" s="559"/>
      <c r="CK38" s="559"/>
      <c r="CL38" s="559"/>
      <c r="CM38" s="559"/>
      <c r="CN38" s="559"/>
      <c r="CO38" s="559"/>
      <c r="CP38" s="559"/>
    </row>
    <row r="39" spans="1:94" s="18" customFormat="1" ht="20.100000000000001" customHeight="1" x14ac:dyDescent="0.25">
      <c r="A39" s="17"/>
      <c r="B39" s="523" t="s">
        <v>494</v>
      </c>
      <c r="C39" s="535" t="e">
        <f>D523</f>
        <v>#DIV/0!</v>
      </c>
      <c r="I39" s="17"/>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c r="CB39" s="559"/>
      <c r="CC39" s="559"/>
      <c r="CD39" s="559"/>
      <c r="CE39" s="559"/>
      <c r="CF39" s="559"/>
      <c r="CG39" s="559"/>
      <c r="CH39" s="559"/>
      <c r="CI39" s="559"/>
      <c r="CJ39" s="559"/>
      <c r="CK39" s="559"/>
      <c r="CL39" s="559"/>
      <c r="CM39" s="559"/>
      <c r="CN39" s="559"/>
      <c r="CO39" s="559"/>
      <c r="CP39" s="559"/>
    </row>
    <row r="40" spans="1:94" s="18" customFormat="1" ht="20.100000000000001" customHeight="1" x14ac:dyDescent="0.25">
      <c r="A40" s="17"/>
      <c r="B40" s="523" t="s">
        <v>495</v>
      </c>
      <c r="C40" s="535" t="e">
        <f>D524</f>
        <v>#DIV/0!</v>
      </c>
      <c r="I40" s="17"/>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c r="CB40" s="559"/>
      <c r="CC40" s="559"/>
      <c r="CD40" s="559"/>
      <c r="CE40" s="559"/>
      <c r="CF40" s="559"/>
      <c r="CG40" s="559"/>
      <c r="CH40" s="559"/>
      <c r="CI40" s="559"/>
      <c r="CJ40" s="559"/>
      <c r="CK40" s="559"/>
      <c r="CL40" s="559"/>
      <c r="CM40" s="559"/>
      <c r="CN40" s="559"/>
      <c r="CO40" s="559"/>
      <c r="CP40" s="559"/>
    </row>
    <row r="41" spans="1:94" s="18" customFormat="1" ht="20.100000000000001" customHeight="1" x14ac:dyDescent="0.25">
      <c r="A41" s="17"/>
      <c r="B41" s="523" t="s">
        <v>217</v>
      </c>
      <c r="C41" s="535">
        <f>D525</f>
        <v>0</v>
      </c>
      <c r="I41" s="17"/>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c r="CB41" s="559"/>
      <c r="CC41" s="559"/>
      <c r="CD41" s="559"/>
      <c r="CE41" s="559"/>
      <c r="CF41" s="559"/>
      <c r="CG41" s="559"/>
      <c r="CH41" s="559"/>
      <c r="CI41" s="559"/>
      <c r="CJ41" s="559"/>
      <c r="CK41" s="559"/>
      <c r="CL41" s="559"/>
      <c r="CM41" s="559"/>
      <c r="CN41" s="559"/>
      <c r="CO41" s="559"/>
      <c r="CP41" s="559"/>
    </row>
    <row r="42" spans="1:94" s="18" customFormat="1" ht="20.100000000000001" customHeight="1" x14ac:dyDescent="0.25">
      <c r="A42" s="17"/>
      <c r="B42" s="523" t="s">
        <v>218</v>
      </c>
      <c r="C42" s="535" t="e">
        <f>D526</f>
        <v>#DIV/0!</v>
      </c>
      <c r="I42" s="17"/>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59"/>
      <c r="CJ42" s="559"/>
      <c r="CK42" s="559"/>
      <c r="CL42" s="559"/>
      <c r="CM42" s="559"/>
      <c r="CN42" s="559"/>
      <c r="CO42" s="559"/>
      <c r="CP42" s="559"/>
    </row>
    <row r="43" spans="1:94" s="18" customFormat="1" ht="20.100000000000001" customHeight="1" x14ac:dyDescent="0.25">
      <c r="A43" s="17"/>
      <c r="B43" s="525" t="s">
        <v>1047</v>
      </c>
      <c r="C43" s="526" t="e">
        <f>IF(C42&gt;0.1,C42*C30,0)</f>
        <v>#DIV/0!</v>
      </c>
      <c r="I43" s="17"/>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c r="CB43" s="559"/>
      <c r="CC43" s="559"/>
      <c r="CD43" s="559"/>
      <c r="CE43" s="559"/>
      <c r="CF43" s="559"/>
      <c r="CG43" s="559"/>
      <c r="CH43" s="559"/>
      <c r="CI43" s="559"/>
      <c r="CJ43" s="559"/>
      <c r="CK43" s="559"/>
      <c r="CL43" s="559"/>
      <c r="CM43" s="559"/>
      <c r="CN43" s="559"/>
      <c r="CO43" s="559"/>
      <c r="CP43" s="559"/>
    </row>
    <row r="44" spans="1:94" s="18" customFormat="1" ht="20.100000000000001" customHeight="1" x14ac:dyDescent="0.25">
      <c r="A44" s="17"/>
      <c r="B44" s="525" t="s">
        <v>1048</v>
      </c>
      <c r="C44" s="526">
        <f>C24</f>
        <v>0</v>
      </c>
      <c r="I44" s="17"/>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c r="CB44" s="559"/>
      <c r="CC44" s="559"/>
      <c r="CD44" s="559"/>
      <c r="CE44" s="559"/>
      <c r="CF44" s="559"/>
      <c r="CG44" s="559"/>
      <c r="CH44" s="559"/>
      <c r="CI44" s="559"/>
      <c r="CJ44" s="559"/>
      <c r="CK44" s="559"/>
      <c r="CL44" s="559"/>
      <c r="CM44" s="559"/>
      <c r="CN44" s="559"/>
      <c r="CO44" s="559"/>
      <c r="CP44" s="559"/>
    </row>
    <row r="45" spans="1:94" s="18" customFormat="1" ht="20.100000000000001" customHeight="1" x14ac:dyDescent="0.25">
      <c r="A45" s="17"/>
      <c r="B45" s="525" t="s">
        <v>20</v>
      </c>
      <c r="C45" s="527" t="e">
        <f>IF(C43&gt;1,C43-C44,C44*-1)</f>
        <v>#DIV/0!</v>
      </c>
      <c r="I45" s="17"/>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c r="CB45" s="559"/>
      <c r="CC45" s="559"/>
      <c r="CD45" s="559"/>
      <c r="CE45" s="559"/>
      <c r="CF45" s="559"/>
      <c r="CG45" s="559"/>
      <c r="CH45" s="559"/>
      <c r="CI45" s="559"/>
      <c r="CJ45" s="559"/>
      <c r="CK45" s="559"/>
      <c r="CL45" s="559"/>
      <c r="CM45" s="559"/>
      <c r="CN45" s="559"/>
      <c r="CO45" s="559"/>
      <c r="CP45" s="559"/>
    </row>
    <row r="46" spans="1:94" s="18" customFormat="1" ht="20.100000000000001" customHeight="1" x14ac:dyDescent="0.25">
      <c r="A46" s="17"/>
      <c r="B46" s="525" t="s">
        <v>95</v>
      </c>
      <c r="C46" s="526" t="e">
        <f>C36*C28</f>
        <v>#DIV/0!</v>
      </c>
      <c r="I46" s="17"/>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c r="CB46" s="559"/>
      <c r="CC46" s="559"/>
      <c r="CD46" s="559"/>
      <c r="CE46" s="559"/>
      <c r="CF46" s="559"/>
      <c r="CG46" s="559"/>
      <c r="CH46" s="559"/>
      <c r="CI46" s="559"/>
      <c r="CJ46" s="559"/>
      <c r="CK46" s="559"/>
      <c r="CL46" s="559"/>
      <c r="CM46" s="559"/>
      <c r="CN46" s="559"/>
      <c r="CO46" s="559"/>
      <c r="CP46" s="559"/>
    </row>
    <row r="47" spans="1:94" s="18" customFormat="1" ht="20.100000000000001" customHeight="1" x14ac:dyDescent="0.25">
      <c r="A47" s="17"/>
      <c r="B47" s="525" t="s">
        <v>18</v>
      </c>
      <c r="C47" s="526" t="e">
        <f>IF(C43&gt;1,C43-C44+C46,C46-C44)</f>
        <v>#DIV/0!</v>
      </c>
      <c r="I47" s="17"/>
      <c r="J47" s="559"/>
      <c r="K47" s="559"/>
      <c r="L47" s="559"/>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c r="CB47" s="559"/>
      <c r="CC47" s="559"/>
      <c r="CD47" s="559"/>
      <c r="CE47" s="559"/>
      <c r="CF47" s="559"/>
      <c r="CG47" s="559"/>
      <c r="CH47" s="559"/>
      <c r="CI47" s="559"/>
      <c r="CJ47" s="559"/>
      <c r="CK47" s="559"/>
      <c r="CL47" s="559"/>
      <c r="CM47" s="559"/>
      <c r="CN47" s="559"/>
      <c r="CO47" s="559"/>
      <c r="CP47" s="559"/>
    </row>
    <row r="48" spans="1:94" s="18" customFormat="1" ht="20.100000000000001" customHeight="1" x14ac:dyDescent="0.25">
      <c r="A48" s="17"/>
      <c r="B48" s="525" t="s">
        <v>1053</v>
      </c>
      <c r="C48" s="528" t="e">
        <f>C86</f>
        <v>#DIV/0!</v>
      </c>
      <c r="I48" s="17"/>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c r="CB48" s="559"/>
      <c r="CC48" s="559"/>
      <c r="CD48" s="559"/>
      <c r="CE48" s="559"/>
      <c r="CF48" s="559"/>
      <c r="CG48" s="559"/>
      <c r="CH48" s="559"/>
      <c r="CI48" s="559"/>
      <c r="CJ48" s="559"/>
      <c r="CK48" s="559"/>
      <c r="CL48" s="559"/>
      <c r="CM48" s="559"/>
      <c r="CN48" s="559"/>
      <c r="CO48" s="559"/>
      <c r="CP48" s="559"/>
    </row>
    <row r="49" spans="1:94" s="18" customFormat="1" ht="20.100000000000001" customHeight="1" x14ac:dyDescent="0.25">
      <c r="A49" s="17"/>
      <c r="B49" s="529" t="s">
        <v>1237</v>
      </c>
      <c r="C49" s="1073" t="e">
        <f>C159</f>
        <v>#DIV/0!</v>
      </c>
      <c r="I49" s="17"/>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c r="CB49" s="559"/>
      <c r="CC49" s="559"/>
      <c r="CD49" s="559"/>
      <c r="CE49" s="559"/>
      <c r="CF49" s="559"/>
      <c r="CG49" s="559"/>
      <c r="CH49" s="559"/>
      <c r="CI49" s="559"/>
      <c r="CJ49" s="559"/>
      <c r="CK49" s="559"/>
      <c r="CL49" s="559"/>
      <c r="CM49" s="559"/>
      <c r="CN49" s="559"/>
      <c r="CO49" s="559"/>
      <c r="CP49" s="559"/>
    </row>
    <row r="50" spans="1:94" s="18" customFormat="1" ht="20.100000000000001" customHeight="1" x14ac:dyDescent="0.25">
      <c r="A50" s="17"/>
      <c r="B50" s="525" t="s">
        <v>1054</v>
      </c>
      <c r="C50" s="531" t="e">
        <f>C172</f>
        <v>#DIV/0!</v>
      </c>
      <c r="I50" s="17"/>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c r="CB50" s="559"/>
      <c r="CC50" s="559"/>
      <c r="CD50" s="559"/>
      <c r="CE50" s="559"/>
      <c r="CF50" s="559"/>
      <c r="CG50" s="559"/>
      <c r="CH50" s="559"/>
      <c r="CI50" s="559"/>
      <c r="CJ50" s="559"/>
      <c r="CK50" s="559"/>
      <c r="CL50" s="559"/>
      <c r="CM50" s="559"/>
      <c r="CN50" s="559"/>
      <c r="CO50" s="559"/>
      <c r="CP50" s="559"/>
    </row>
    <row r="51" spans="1:94" s="18" customFormat="1" ht="20.100000000000001" customHeight="1" x14ac:dyDescent="0.25">
      <c r="A51" s="17"/>
      <c r="B51" s="532" t="s">
        <v>235</v>
      </c>
      <c r="C51" s="533" t="e">
        <f>C50-C44+C46</f>
        <v>#DIV/0!</v>
      </c>
      <c r="I51" s="17"/>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c r="CB51" s="559"/>
      <c r="CC51" s="559"/>
      <c r="CD51" s="559"/>
      <c r="CE51" s="559"/>
      <c r="CF51" s="559"/>
      <c r="CG51" s="559"/>
      <c r="CH51" s="559"/>
      <c r="CI51" s="559"/>
      <c r="CJ51" s="559"/>
      <c r="CK51" s="559"/>
      <c r="CL51" s="559"/>
      <c r="CM51" s="559"/>
      <c r="CN51" s="559"/>
      <c r="CO51" s="559"/>
      <c r="CP51" s="559"/>
    </row>
    <row r="52" spans="1:94" s="18" customFormat="1" x14ac:dyDescent="0.25">
      <c r="A52" s="17"/>
      <c r="B52" s="169"/>
      <c r="C52" s="170"/>
      <c r="D52" s="17"/>
      <c r="E52" s="17"/>
      <c r="F52" s="17"/>
      <c r="G52" s="17"/>
      <c r="H52" s="17"/>
      <c r="I52" s="17"/>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c r="CB52" s="559"/>
      <c r="CC52" s="559"/>
      <c r="CD52" s="559"/>
      <c r="CE52" s="559"/>
      <c r="CF52" s="559"/>
      <c r="CG52" s="559"/>
      <c r="CH52" s="559"/>
      <c r="CI52" s="559"/>
      <c r="CJ52" s="559"/>
      <c r="CK52" s="559"/>
      <c r="CL52" s="559"/>
      <c r="CM52" s="559"/>
      <c r="CN52" s="559"/>
      <c r="CO52" s="559"/>
      <c r="CP52" s="559"/>
    </row>
    <row r="53" spans="1:94" x14ac:dyDescent="0.25">
      <c r="B53" s="169"/>
      <c r="C53" s="170"/>
    </row>
    <row r="54" spans="1:94" ht="14.45" customHeight="1" x14ac:dyDescent="0.25">
      <c r="B54" s="169"/>
      <c r="C54" s="170"/>
    </row>
    <row r="55" spans="1:94" x14ac:dyDescent="0.25">
      <c r="B55" s="169"/>
      <c r="C55" s="170"/>
    </row>
    <row r="56" spans="1:94" ht="14.45" customHeight="1" x14ac:dyDescent="0.25">
      <c r="B56" s="169"/>
      <c r="C56" s="170"/>
    </row>
    <row r="57" spans="1:94" ht="14.45" customHeight="1" x14ac:dyDescent="0.25">
      <c r="B57" s="169"/>
      <c r="C57" s="170"/>
    </row>
    <row r="58" spans="1:94" ht="14.45" customHeight="1" x14ac:dyDescent="0.35">
      <c r="B58" s="640"/>
      <c r="C58" s="170"/>
    </row>
    <row r="59" spans="1:94" ht="14.45" customHeight="1" x14ac:dyDescent="0.35">
      <c r="B59" s="640"/>
      <c r="C59" s="170"/>
    </row>
    <row r="60" spans="1:94" ht="14.45" customHeight="1" x14ac:dyDescent="0.35">
      <c r="B60" s="640"/>
      <c r="C60" s="170"/>
    </row>
    <row r="61" spans="1:94" ht="14.45" hidden="1" customHeight="1" x14ac:dyDescent="0.35">
      <c r="B61" s="640"/>
      <c r="C61" s="170"/>
    </row>
    <row r="62" spans="1:94" ht="19.899999999999999" hidden="1" customHeight="1" x14ac:dyDescent="0.45">
      <c r="B62" s="659"/>
      <c r="C62" s="170"/>
    </row>
    <row r="63" spans="1:94" ht="14.45" hidden="1" customHeight="1" x14ac:dyDescent="0.45">
      <c r="B63" s="659"/>
      <c r="C63" s="170"/>
    </row>
    <row r="64" spans="1:94" ht="14.45" hidden="1" customHeight="1" x14ac:dyDescent="0.45">
      <c r="B64" s="659"/>
      <c r="C64" s="170"/>
    </row>
    <row r="65" spans="2:9" ht="14.45" hidden="1" customHeight="1" x14ac:dyDescent="0.45">
      <c r="B65" s="659"/>
      <c r="C65" s="170"/>
    </row>
    <row r="66" spans="2:9" ht="14.45" hidden="1" customHeight="1" x14ac:dyDescent="0.45">
      <c r="B66" s="659"/>
      <c r="C66" s="170"/>
    </row>
    <row r="67" spans="2:9" ht="14.45" hidden="1" customHeight="1" x14ac:dyDescent="0.25">
      <c r="B67" s="678" t="s">
        <v>166</v>
      </c>
      <c r="C67" s="677"/>
      <c r="D67" s="173"/>
      <c r="E67" s="173"/>
      <c r="F67" s="173"/>
      <c r="G67" s="173"/>
      <c r="H67" s="173"/>
      <c r="I67" s="173"/>
    </row>
    <row r="68" spans="2:9" ht="14.45" hidden="1" customHeight="1" x14ac:dyDescent="0.25">
      <c r="B68" s="679" t="s">
        <v>509</v>
      </c>
      <c r="C68" s="677">
        <v>820</v>
      </c>
      <c r="D68" s="173"/>
      <c r="E68" s="173"/>
      <c r="F68" s="173"/>
      <c r="G68" s="173"/>
      <c r="H68" s="173"/>
      <c r="I68" s="173"/>
    </row>
    <row r="69" spans="2:9" ht="14.45" hidden="1" customHeight="1" x14ac:dyDescent="0.25">
      <c r="B69" s="679" t="s">
        <v>510</v>
      </c>
      <c r="C69" s="677">
        <v>200</v>
      </c>
      <c r="D69" s="173"/>
      <c r="E69" s="173"/>
      <c r="F69" s="173"/>
      <c r="G69" s="173"/>
      <c r="H69" s="173"/>
      <c r="I69" s="173"/>
    </row>
    <row r="70" spans="2:9" ht="14.45" hidden="1" customHeight="1" x14ac:dyDescent="0.25">
      <c r="B70" s="679" t="s">
        <v>754</v>
      </c>
      <c r="C70" s="677">
        <v>90</v>
      </c>
      <c r="D70" s="173"/>
      <c r="E70" s="173"/>
      <c r="F70" s="173"/>
      <c r="G70" s="173"/>
      <c r="H70" s="173"/>
      <c r="I70" s="173"/>
    </row>
    <row r="71" spans="2:9" ht="14.45" hidden="1" customHeight="1" x14ac:dyDescent="0.25">
      <c r="B71" s="679" t="s">
        <v>755</v>
      </c>
      <c r="C71" s="677">
        <v>0</v>
      </c>
      <c r="D71" s="173"/>
      <c r="E71" s="173"/>
      <c r="F71" s="173"/>
      <c r="G71" s="173"/>
      <c r="H71" s="173"/>
      <c r="I71" s="173"/>
    </row>
    <row r="72" spans="2:9" hidden="1" x14ac:dyDescent="0.25">
      <c r="B72" s="169" t="s">
        <v>128</v>
      </c>
      <c r="C72" s="677">
        <v>400</v>
      </c>
      <c r="D72" s="173"/>
      <c r="E72" s="173"/>
      <c r="F72" s="173"/>
      <c r="G72" s="173"/>
      <c r="H72" s="173"/>
      <c r="I72" s="173"/>
    </row>
    <row r="73" spans="2:9" s="173" customFormat="1" ht="12.75" hidden="1" x14ac:dyDescent="0.2">
      <c r="B73" s="679" t="s">
        <v>138</v>
      </c>
      <c r="C73" s="680">
        <v>425</v>
      </c>
    </row>
    <row r="74" spans="2:9" hidden="1" x14ac:dyDescent="0.25">
      <c r="B74" s="169" t="s">
        <v>72</v>
      </c>
      <c r="C74" s="677">
        <v>600</v>
      </c>
      <c r="D74" s="173"/>
      <c r="E74" s="173"/>
      <c r="F74" s="173"/>
      <c r="G74" s="173"/>
      <c r="H74" s="173"/>
      <c r="I74" s="173"/>
    </row>
    <row r="75" spans="2:9" hidden="1" x14ac:dyDescent="0.25">
      <c r="B75" s="169"/>
      <c r="C75" s="677"/>
      <c r="D75" s="173"/>
      <c r="E75" s="173"/>
      <c r="F75" s="173"/>
      <c r="G75" s="173"/>
      <c r="H75" s="173"/>
      <c r="I75" s="173"/>
    </row>
    <row r="76" spans="2:9" hidden="1" x14ac:dyDescent="0.25">
      <c r="B76" s="169"/>
      <c r="C76" s="677"/>
      <c r="D76" s="173"/>
      <c r="E76" s="173"/>
      <c r="F76" s="173"/>
      <c r="G76" s="173"/>
      <c r="H76" s="173"/>
      <c r="I76" s="173"/>
    </row>
    <row r="77" spans="2:9" hidden="1" x14ac:dyDescent="0.25">
      <c r="B77" s="169"/>
      <c r="C77" s="681"/>
      <c r="D77" s="173"/>
      <c r="E77" s="173"/>
      <c r="F77" s="173"/>
      <c r="G77" s="173"/>
      <c r="H77" s="173"/>
      <c r="I77" s="173"/>
    </row>
    <row r="78" spans="2:9" s="5" customFormat="1" ht="15.75" hidden="1" x14ac:dyDescent="0.25">
      <c r="B78" s="682" t="s">
        <v>152</v>
      </c>
      <c r="C78" s="683" t="s">
        <v>702</v>
      </c>
      <c r="D78" s="684" t="s">
        <v>703</v>
      </c>
      <c r="E78" s="685"/>
      <c r="F78" s="685"/>
      <c r="G78" s="685"/>
      <c r="H78" s="685"/>
      <c r="I78" s="685"/>
    </row>
    <row r="79" spans="2:9" s="5" customFormat="1" hidden="1" x14ac:dyDescent="0.25">
      <c r="B79" s="686" t="s">
        <v>21</v>
      </c>
      <c r="C79" s="687" t="e">
        <f>C43</f>
        <v>#DIV/0!</v>
      </c>
      <c r="D79" s="688" t="e">
        <f>C50</f>
        <v>#DIV/0!</v>
      </c>
      <c r="E79" s="685"/>
      <c r="F79" s="685"/>
      <c r="G79" s="685"/>
      <c r="H79" s="685"/>
      <c r="I79" s="685"/>
    </row>
    <row r="80" spans="2:9" s="5" customFormat="1" hidden="1" x14ac:dyDescent="0.25">
      <c r="B80" s="686" t="s">
        <v>22</v>
      </c>
      <c r="C80" s="687">
        <f>C44</f>
        <v>0</v>
      </c>
      <c r="D80" s="688">
        <f>C80</f>
        <v>0</v>
      </c>
      <c r="E80" s="685"/>
      <c r="F80" s="685"/>
      <c r="G80" s="685"/>
      <c r="H80" s="685"/>
      <c r="I80" s="685"/>
    </row>
    <row r="81" spans="2:9" s="5" customFormat="1" hidden="1" x14ac:dyDescent="0.25">
      <c r="B81" s="686" t="s">
        <v>23</v>
      </c>
      <c r="C81" s="687" t="e">
        <f>C46</f>
        <v>#DIV/0!</v>
      </c>
      <c r="D81" s="688" t="e">
        <f>C81</f>
        <v>#DIV/0!</v>
      </c>
      <c r="E81" s="685"/>
      <c r="F81" s="685"/>
      <c r="G81" s="685"/>
      <c r="H81" s="685"/>
      <c r="I81" s="685"/>
    </row>
    <row r="82" spans="2:9" s="5" customFormat="1" hidden="1" x14ac:dyDescent="0.25">
      <c r="B82" s="686" t="s">
        <v>24</v>
      </c>
      <c r="C82" s="687" t="e">
        <f>C47</f>
        <v>#DIV/0!</v>
      </c>
      <c r="D82" s="688" t="e">
        <f>C51</f>
        <v>#DIV/0!</v>
      </c>
      <c r="E82" s="685"/>
      <c r="F82" s="685"/>
      <c r="G82" s="685"/>
      <c r="H82" s="685"/>
      <c r="I82" s="685"/>
    </row>
    <row r="83" spans="2:9" s="5" customFormat="1" hidden="1" x14ac:dyDescent="0.25">
      <c r="B83" s="686"/>
      <c r="C83" s="687"/>
      <c r="D83" s="688"/>
      <c r="E83" s="685"/>
      <c r="F83" s="685"/>
      <c r="G83" s="685"/>
      <c r="H83" s="685"/>
      <c r="I83" s="685"/>
    </row>
    <row r="84" spans="2:9" s="5" customFormat="1" hidden="1" x14ac:dyDescent="0.25">
      <c r="B84" s="686"/>
      <c r="C84" s="687"/>
      <c r="D84" s="688"/>
      <c r="E84" s="685"/>
      <c r="F84" s="685"/>
      <c r="G84" s="685"/>
      <c r="H84" s="685"/>
      <c r="I84" s="685"/>
    </row>
    <row r="85" spans="2:9" s="5" customFormat="1" hidden="1" x14ac:dyDescent="0.25">
      <c r="B85" s="686" t="s">
        <v>109</v>
      </c>
      <c r="C85" s="689" t="e">
        <f>C10*C13*C14*C26</f>
        <v>#DIV/0!</v>
      </c>
      <c r="D85" s="689"/>
      <c r="E85" s="685"/>
      <c r="F85" s="685"/>
      <c r="G85" s="685"/>
      <c r="H85" s="685"/>
      <c r="I85" s="685"/>
    </row>
    <row r="86" spans="2:9" s="5" customFormat="1" hidden="1" x14ac:dyDescent="0.25">
      <c r="B86" s="686" t="s">
        <v>110</v>
      </c>
      <c r="C86" s="690" t="e">
        <f>C82/C85</f>
        <v>#DIV/0!</v>
      </c>
      <c r="D86" s="691"/>
      <c r="E86" s="685"/>
      <c r="F86" s="685"/>
      <c r="G86" s="685"/>
      <c r="H86" s="685"/>
      <c r="I86" s="685"/>
    </row>
    <row r="87" spans="2:9" s="5" customFormat="1" hidden="1" x14ac:dyDescent="0.25">
      <c r="B87" s="686"/>
      <c r="C87" s="692"/>
      <c r="D87" s="685"/>
      <c r="E87" s="685"/>
      <c r="F87" s="685"/>
      <c r="G87" s="685"/>
      <c r="H87" s="685"/>
      <c r="I87" s="685"/>
    </row>
    <row r="88" spans="2:9" s="5" customFormat="1" hidden="1" x14ac:dyDescent="0.25">
      <c r="B88" s="686"/>
      <c r="C88" s="692"/>
      <c r="D88" s="685"/>
      <c r="E88" s="685"/>
      <c r="F88" s="685"/>
      <c r="G88" s="685"/>
      <c r="H88" s="685"/>
      <c r="I88" s="685"/>
    </row>
    <row r="89" spans="2:9" s="5" customFormat="1" hidden="1" x14ac:dyDescent="0.25">
      <c r="B89" s="686"/>
      <c r="C89" s="692"/>
      <c r="D89" s="685"/>
      <c r="E89" s="685"/>
      <c r="F89" s="691"/>
      <c r="G89" s="685"/>
      <c r="H89" s="685"/>
      <c r="I89" s="685"/>
    </row>
    <row r="90" spans="2:9" s="5" customFormat="1" hidden="1" x14ac:dyDescent="0.25">
      <c r="B90" s="693"/>
      <c r="C90" s="691"/>
      <c r="D90" s="685"/>
      <c r="E90" s="691"/>
      <c r="F90" s="685"/>
      <c r="G90" s="685"/>
      <c r="H90" s="685"/>
      <c r="I90" s="685"/>
    </row>
    <row r="91" spans="2:9" s="5" customFormat="1" hidden="1" x14ac:dyDescent="0.25">
      <c r="B91" s="682"/>
      <c r="C91" s="691"/>
      <c r="D91" s="685"/>
      <c r="E91" s="691"/>
      <c r="F91" s="685"/>
      <c r="G91" s="685"/>
      <c r="H91" s="685"/>
      <c r="I91" s="685"/>
    </row>
    <row r="92" spans="2:9" s="5" customFormat="1" hidden="1" x14ac:dyDescent="0.25">
      <c r="B92" s="686"/>
      <c r="C92" s="694"/>
      <c r="D92" s="685"/>
      <c r="E92" s="691"/>
      <c r="F92" s="685"/>
      <c r="G92" s="685"/>
      <c r="H92" s="685"/>
      <c r="I92" s="685"/>
    </row>
    <row r="93" spans="2:9" s="5" customFormat="1" hidden="1" x14ac:dyDescent="0.25">
      <c r="B93" s="686"/>
      <c r="C93" s="695"/>
      <c r="D93" s="685"/>
      <c r="E93" s="691"/>
      <c r="F93" s="685"/>
      <c r="G93" s="685"/>
      <c r="H93" s="685"/>
      <c r="I93" s="685"/>
    </row>
    <row r="94" spans="2:9" s="5" customFormat="1" hidden="1" x14ac:dyDescent="0.25">
      <c r="B94" s="686"/>
      <c r="C94" s="696"/>
      <c r="D94" s="685"/>
      <c r="E94" s="691"/>
      <c r="F94" s="685"/>
      <c r="G94" s="685"/>
      <c r="H94" s="685"/>
      <c r="I94" s="685"/>
    </row>
    <row r="95" spans="2:9" s="5" customFormat="1" hidden="1" x14ac:dyDescent="0.25">
      <c r="B95" s="686"/>
      <c r="C95" s="694"/>
      <c r="D95" s="685"/>
      <c r="E95" s="691"/>
      <c r="F95" s="685"/>
      <c r="G95" s="685"/>
      <c r="H95" s="685"/>
      <c r="I95" s="685"/>
    </row>
    <row r="96" spans="2:9" s="5" customFormat="1" hidden="1" x14ac:dyDescent="0.25">
      <c r="B96" s="697"/>
      <c r="C96" s="696"/>
      <c r="D96" s="685"/>
      <c r="E96" s="691"/>
      <c r="F96" s="685"/>
      <c r="G96" s="685"/>
      <c r="H96" s="685"/>
      <c r="I96" s="685"/>
    </row>
    <row r="97" spans="2:12" s="5" customFormat="1" hidden="1" x14ac:dyDescent="0.25">
      <c r="B97" s="682" t="s">
        <v>170</v>
      </c>
      <c r="C97" s="685"/>
      <c r="D97" s="685"/>
      <c r="E97" s="685"/>
      <c r="F97" s="698"/>
      <c r="G97" s="698"/>
    </row>
    <row r="98" spans="2:12" s="5" customFormat="1" hidden="1" x14ac:dyDescent="0.25">
      <c r="B98" s="682" t="s">
        <v>480</v>
      </c>
      <c r="C98" s="699"/>
      <c r="D98" s="685"/>
      <c r="E98" s="691"/>
      <c r="F98" s="698"/>
    </row>
    <row r="99" spans="2:12" s="5" customFormat="1" hidden="1" x14ac:dyDescent="0.25">
      <c r="B99" s="686" t="s">
        <v>11</v>
      </c>
      <c r="C99" s="700" t="e">
        <f>'Baseline farm'!D197</f>
        <v>#DIV/0!</v>
      </c>
      <c r="D99" s="685"/>
      <c r="E99" s="701"/>
      <c r="F99" s="698"/>
    </row>
    <row r="100" spans="2:12" s="5" customFormat="1" hidden="1" x14ac:dyDescent="0.25">
      <c r="B100" s="702"/>
      <c r="C100" s="701"/>
      <c r="D100" s="685"/>
      <c r="E100" s="691"/>
      <c r="F100" s="698"/>
    </row>
    <row r="101" spans="2:12" s="5" customFormat="1" hidden="1" x14ac:dyDescent="0.25">
      <c r="B101" s="686" t="s">
        <v>12</v>
      </c>
      <c r="C101" s="703">
        <f>C10</f>
        <v>0</v>
      </c>
      <c r="D101" s="685"/>
      <c r="E101" s="704"/>
      <c r="F101" s="698"/>
    </row>
    <row r="102" spans="2:12" s="5" customFormat="1" hidden="1" x14ac:dyDescent="0.25">
      <c r="B102" s="686" t="s">
        <v>13</v>
      </c>
      <c r="C102" s="704" t="e">
        <f>C99*C101*365</f>
        <v>#DIV/0!</v>
      </c>
      <c r="D102" s="685"/>
      <c r="E102" s="705"/>
      <c r="F102" s="698"/>
    </row>
    <row r="103" spans="2:12" s="5" customFormat="1" hidden="1" x14ac:dyDescent="0.25">
      <c r="B103" s="682" t="s">
        <v>14</v>
      </c>
      <c r="C103" s="705" t="e">
        <f>C102*25/1000</f>
        <v>#DIV/0!</v>
      </c>
      <c r="D103" s="685"/>
      <c r="E103" s="691"/>
      <c r="F103" s="698"/>
    </row>
    <row r="104" spans="2:12" s="5" customFormat="1" hidden="1" x14ac:dyDescent="0.25">
      <c r="B104" s="686"/>
      <c r="C104" s="695"/>
      <c r="D104" s="685"/>
      <c r="E104" s="691"/>
      <c r="F104" s="685"/>
      <c r="G104" s="685"/>
      <c r="H104" s="685"/>
      <c r="I104" s="685"/>
    </row>
    <row r="105" spans="2:12" s="5" customFormat="1" hidden="1" x14ac:dyDescent="0.25">
      <c r="B105" s="686"/>
      <c r="C105" s="696"/>
      <c r="D105" s="685"/>
      <c r="E105" s="691"/>
      <c r="F105" s="685"/>
      <c r="G105" s="685"/>
      <c r="H105" s="685"/>
      <c r="I105" s="685"/>
    </row>
    <row r="106" spans="2:12" s="5" customFormat="1" hidden="1" x14ac:dyDescent="0.25">
      <c r="B106" s="686"/>
      <c r="C106" s="703"/>
      <c r="D106" s="685"/>
      <c r="E106" s="691"/>
      <c r="F106" s="685"/>
      <c r="G106" s="685"/>
      <c r="H106" s="685"/>
      <c r="I106" s="685"/>
    </row>
    <row r="107" spans="2:12" s="5" customFormat="1" hidden="1" x14ac:dyDescent="0.25">
      <c r="B107" s="693" t="s">
        <v>171</v>
      </c>
      <c r="C107" s="691"/>
      <c r="D107" s="685"/>
      <c r="E107" s="706"/>
      <c r="F107" s="685"/>
      <c r="G107" s="685"/>
      <c r="H107" s="685"/>
      <c r="I107" s="685"/>
    </row>
    <row r="108" spans="2:12" s="5" customFormat="1" hidden="1" x14ac:dyDescent="0.25">
      <c r="B108" s="682" t="s">
        <v>0</v>
      </c>
      <c r="C108" s="686"/>
      <c r="D108" s="685"/>
      <c r="E108" s="691"/>
      <c r="F108" s="685"/>
      <c r="G108" s="685"/>
      <c r="H108" s="685"/>
      <c r="I108" s="685"/>
      <c r="J108" s="707"/>
      <c r="K108" s="707"/>
      <c r="L108" s="707"/>
    </row>
    <row r="109" spans="2:12" s="5" customFormat="1" hidden="1" x14ac:dyDescent="0.25">
      <c r="B109" s="685"/>
      <c r="C109" s="685"/>
      <c r="D109" s="685"/>
      <c r="E109" s="685"/>
      <c r="F109" s="685"/>
      <c r="G109" s="685"/>
      <c r="H109" s="685"/>
      <c r="I109" s="685"/>
    </row>
    <row r="110" spans="2:12" s="5" customFormat="1" hidden="1" x14ac:dyDescent="0.25">
      <c r="B110" s="686" t="s">
        <v>29</v>
      </c>
      <c r="C110" s="696" t="e">
        <f>'Baseline farm'!D189*((0.1604*C15)-1.037)</f>
        <v>#DIV/0!</v>
      </c>
      <c r="D110" s="685" t="s">
        <v>155</v>
      </c>
      <c r="E110" s="691"/>
      <c r="F110" s="685"/>
      <c r="G110" s="685"/>
      <c r="H110" s="685"/>
      <c r="I110" s="685"/>
      <c r="J110" s="707"/>
      <c r="K110" s="707"/>
      <c r="L110" s="707"/>
    </row>
    <row r="111" spans="2:12" s="5" customFormat="1" hidden="1" x14ac:dyDescent="0.25">
      <c r="B111" s="686" t="s">
        <v>30</v>
      </c>
      <c r="C111" s="696" t="e">
        <f>C123*((0.1604*C18)-1.037)</f>
        <v>#DIV/0!</v>
      </c>
      <c r="D111" s="685" t="s">
        <v>183</v>
      </c>
      <c r="E111" s="691"/>
      <c r="F111" s="685"/>
      <c r="G111" s="685"/>
      <c r="H111" s="685"/>
      <c r="I111" s="685"/>
      <c r="J111" s="707"/>
      <c r="K111" s="707"/>
      <c r="L111" s="707"/>
    </row>
    <row r="112" spans="2:12" s="5" customFormat="1" hidden="1" x14ac:dyDescent="0.25">
      <c r="B112" s="686" t="s">
        <v>25</v>
      </c>
      <c r="C112" s="696" t="e">
        <f>C111-C110</f>
        <v>#DIV/0!</v>
      </c>
      <c r="D112" s="685" t="s">
        <v>203</v>
      </c>
      <c r="E112" s="691"/>
      <c r="F112" s="685"/>
      <c r="G112" s="685"/>
      <c r="H112" s="685"/>
      <c r="I112" s="685"/>
    </row>
    <row r="113" spans="2:12" s="5" customFormat="1" hidden="1" x14ac:dyDescent="0.25">
      <c r="B113" s="686" t="s">
        <v>26</v>
      </c>
      <c r="C113" s="696" t="e">
        <f>C112/5.5</f>
        <v>#DIV/0!</v>
      </c>
      <c r="D113" s="685" t="s">
        <v>204</v>
      </c>
      <c r="E113" s="691"/>
      <c r="F113" s="685"/>
      <c r="G113" s="685"/>
      <c r="H113" s="685"/>
      <c r="I113" s="685"/>
    </row>
    <row r="114" spans="2:12" s="5" customFormat="1" hidden="1" x14ac:dyDescent="0.25">
      <c r="B114" s="169" t="s">
        <v>135</v>
      </c>
      <c r="C114" s="708" t="e">
        <f>C113+(C13*C14/365)</f>
        <v>#DIV/0!</v>
      </c>
      <c r="D114" s="685" t="s">
        <v>205</v>
      </c>
      <c r="E114" s="691"/>
      <c r="F114" s="685"/>
      <c r="G114" s="685"/>
      <c r="H114" s="685"/>
      <c r="I114" s="685"/>
    </row>
    <row r="115" spans="2:12" s="5" customFormat="1" hidden="1" x14ac:dyDescent="0.25">
      <c r="B115" s="686" t="s">
        <v>27</v>
      </c>
      <c r="C115" s="708">
        <f>C18</f>
        <v>82</v>
      </c>
      <c r="D115" s="685"/>
      <c r="E115" s="691"/>
      <c r="F115" s="685"/>
      <c r="G115" s="685"/>
      <c r="H115" s="685"/>
      <c r="I115" s="685"/>
    </row>
    <row r="116" spans="2:12" s="5" customFormat="1" hidden="1" x14ac:dyDescent="0.25">
      <c r="B116" s="686" t="s">
        <v>513</v>
      </c>
      <c r="C116" s="708">
        <f>(C115*0.1604)-1.037</f>
        <v>12.1158</v>
      </c>
      <c r="D116" s="685"/>
      <c r="E116" s="691"/>
      <c r="F116" s="685"/>
      <c r="G116" s="685"/>
      <c r="H116" s="685"/>
      <c r="I116" s="685"/>
    </row>
    <row r="117" spans="2:12" s="5" customFormat="1" hidden="1" x14ac:dyDescent="0.25">
      <c r="B117" s="169" t="s">
        <v>1242</v>
      </c>
      <c r="C117" s="696" t="e">
        <f>(C113*C10*C22)*(0.2534+(0.1226*'Baseline farm'!P172)+(0.0776*'Baseline farm'!P173))</f>
        <v>#DIV/0!</v>
      </c>
      <c r="D117" s="685"/>
      <c r="E117" s="691"/>
      <c r="F117" s="685"/>
      <c r="G117" s="685"/>
      <c r="H117" s="685"/>
      <c r="I117" s="685"/>
    </row>
    <row r="118" spans="2:12" s="5" customFormat="1" hidden="1" x14ac:dyDescent="0.25">
      <c r="B118" s="169" t="s">
        <v>833</v>
      </c>
      <c r="C118" s="696" t="e">
        <f>C117/365</f>
        <v>#DIV/0!</v>
      </c>
      <c r="D118" s="685"/>
      <c r="E118" s="691"/>
      <c r="F118" s="685"/>
      <c r="G118" s="685"/>
      <c r="H118" s="685"/>
      <c r="I118" s="685"/>
    </row>
    <row r="119" spans="2:12" s="5" customFormat="1" hidden="1" x14ac:dyDescent="0.25">
      <c r="B119" s="169" t="s">
        <v>834</v>
      </c>
      <c r="C119" s="696" t="e">
        <f>C118/C10</f>
        <v>#DIV/0!</v>
      </c>
      <c r="D119" s="685"/>
      <c r="E119" s="691"/>
      <c r="F119" s="685"/>
      <c r="G119" s="685"/>
      <c r="H119" s="685"/>
      <c r="I119" s="685"/>
    </row>
    <row r="120" spans="2:12" s="5" customFormat="1" hidden="1" x14ac:dyDescent="0.25">
      <c r="B120" s="686"/>
      <c r="C120" s="696"/>
      <c r="D120" s="685"/>
      <c r="E120" s="691"/>
      <c r="F120" s="685"/>
      <c r="G120" s="685"/>
      <c r="H120" s="685"/>
      <c r="I120" s="685"/>
    </row>
    <row r="121" spans="2:12" s="5" customFormat="1" hidden="1" x14ac:dyDescent="0.25">
      <c r="B121" s="686"/>
      <c r="C121" s="696"/>
      <c r="D121" s="685"/>
      <c r="E121" s="691"/>
      <c r="F121" s="685"/>
      <c r="G121" s="685"/>
      <c r="H121" s="685"/>
      <c r="I121" s="685"/>
    </row>
    <row r="122" spans="2:12" s="5" customFormat="1" hidden="1" x14ac:dyDescent="0.25">
      <c r="B122" s="686" t="s">
        <v>1</v>
      </c>
      <c r="C122" s="694" t="s">
        <v>167</v>
      </c>
      <c r="D122" s="685"/>
      <c r="E122" s="691"/>
      <c r="F122" s="685"/>
      <c r="G122" s="685"/>
      <c r="H122" s="685"/>
      <c r="I122" s="685"/>
      <c r="J122" s="707"/>
      <c r="K122" s="707"/>
      <c r="L122" s="707"/>
    </row>
    <row r="123" spans="2:12" s="5" customFormat="1" hidden="1" x14ac:dyDescent="0.25">
      <c r="B123" s="686" t="s">
        <v>1</v>
      </c>
      <c r="C123" s="695" t="e">
        <f>'Baseline farm'!D189+'Improved diet DMD by management'!D249</f>
        <v>#DIV/0!</v>
      </c>
      <c r="D123" s="685"/>
      <c r="E123" s="691"/>
      <c r="F123" s="685"/>
      <c r="G123" s="685"/>
      <c r="H123" s="685"/>
      <c r="I123" s="685"/>
      <c r="J123" s="707"/>
      <c r="K123" s="707"/>
      <c r="L123" s="707"/>
    </row>
    <row r="124" spans="2:12" s="5" customFormat="1" hidden="1" x14ac:dyDescent="0.25">
      <c r="B124" s="686"/>
      <c r="C124" s="696"/>
      <c r="D124" s="685"/>
      <c r="E124" s="691"/>
      <c r="F124" s="685"/>
      <c r="G124" s="685"/>
      <c r="H124" s="685"/>
      <c r="I124" s="685"/>
    </row>
    <row r="125" spans="2:12" s="5" customFormat="1" hidden="1" x14ac:dyDescent="0.25">
      <c r="B125" s="686" t="s">
        <v>2</v>
      </c>
      <c r="C125" s="694" t="s">
        <v>168</v>
      </c>
      <c r="D125" s="685"/>
      <c r="E125" s="691"/>
      <c r="F125" s="685"/>
      <c r="G125" s="685"/>
      <c r="H125" s="685"/>
      <c r="I125" s="685"/>
    </row>
    <row r="126" spans="2:12" s="5" customFormat="1" hidden="1" x14ac:dyDescent="0.25">
      <c r="B126" s="697" t="s">
        <v>3</v>
      </c>
      <c r="C126" s="696"/>
      <c r="D126" s="685"/>
      <c r="E126" s="691"/>
      <c r="F126" s="685"/>
      <c r="G126" s="685"/>
      <c r="H126" s="685"/>
      <c r="I126" s="685"/>
    </row>
    <row r="127" spans="2:12" s="5" customFormat="1" hidden="1" x14ac:dyDescent="0.25">
      <c r="B127" s="686"/>
      <c r="C127" s="709" t="e">
        <f>($C$114*1.03*3.054)/0.6/((0.00795*$C$115)-0.0014)/18.4</f>
        <v>#DIV/0!</v>
      </c>
      <c r="D127" s="685"/>
      <c r="E127" s="691"/>
      <c r="F127" s="685"/>
      <c r="G127" s="685"/>
      <c r="H127" s="685"/>
      <c r="I127" s="685"/>
    </row>
    <row r="128" spans="2:12" s="5" customFormat="1" hidden="1" x14ac:dyDescent="0.25">
      <c r="B128" s="686"/>
      <c r="C128" s="696"/>
      <c r="D128" s="685"/>
      <c r="E128" s="691"/>
      <c r="F128" s="685"/>
      <c r="G128" s="685"/>
      <c r="H128" s="685"/>
      <c r="I128" s="685"/>
    </row>
    <row r="129" spans="2:9" s="5" customFormat="1" hidden="1" x14ac:dyDescent="0.25">
      <c r="B129" s="686" t="s">
        <v>4</v>
      </c>
      <c r="C129" s="694" t="s">
        <v>5</v>
      </c>
      <c r="D129" s="685"/>
      <c r="E129" s="691"/>
      <c r="F129" s="685"/>
      <c r="G129" s="685"/>
      <c r="H129" s="685"/>
      <c r="I129" s="685"/>
    </row>
    <row r="130" spans="2:9" s="5" customFormat="1" hidden="1" x14ac:dyDescent="0.25">
      <c r="B130" s="686"/>
      <c r="C130" s="696"/>
      <c r="D130" s="685"/>
      <c r="E130" s="691"/>
      <c r="F130" s="685"/>
      <c r="G130" s="685"/>
      <c r="H130" s="685"/>
      <c r="I130" s="685"/>
    </row>
    <row r="131" spans="2:9" s="5" customFormat="1" hidden="1" x14ac:dyDescent="0.25">
      <c r="B131" s="686"/>
      <c r="C131" s="709" t="e">
        <f>C123*18.4</f>
        <v>#DIV/0!</v>
      </c>
      <c r="D131" s="685"/>
      <c r="E131" s="691"/>
      <c r="F131" s="685"/>
      <c r="G131" s="685"/>
      <c r="H131" s="685"/>
      <c r="I131" s="685"/>
    </row>
    <row r="132" spans="2:9" s="5" customFormat="1" hidden="1" x14ac:dyDescent="0.25">
      <c r="B132" s="686"/>
      <c r="C132" s="696"/>
      <c r="D132" s="685"/>
      <c r="E132" s="691"/>
      <c r="F132" s="685"/>
      <c r="G132" s="685"/>
      <c r="H132" s="685"/>
      <c r="I132" s="685"/>
    </row>
    <row r="133" spans="2:9" s="5" customFormat="1" hidden="1" x14ac:dyDescent="0.25">
      <c r="B133" s="686" t="s">
        <v>6</v>
      </c>
      <c r="C133" s="694" t="s">
        <v>7</v>
      </c>
      <c r="D133" s="685"/>
      <c r="E133" s="691"/>
      <c r="F133" s="685"/>
      <c r="G133" s="685"/>
      <c r="H133" s="685"/>
      <c r="I133" s="685"/>
    </row>
    <row r="134" spans="2:9" s="5" customFormat="1" hidden="1" x14ac:dyDescent="0.25">
      <c r="B134" s="686"/>
      <c r="C134" s="695" t="e">
        <f>C123/(1.185+(0.00454*$C$11)-(0.0000026*($C$11)^2)+(0.315*0))^2</f>
        <v>#DIV/0!</v>
      </c>
      <c r="D134" s="685"/>
      <c r="E134" s="691"/>
      <c r="F134" s="685"/>
      <c r="G134" s="685"/>
      <c r="H134" s="685"/>
      <c r="I134" s="685"/>
    </row>
    <row r="135" spans="2:9" s="5" customFormat="1" hidden="1" x14ac:dyDescent="0.25">
      <c r="B135" s="686"/>
      <c r="C135" s="696"/>
      <c r="D135" s="685"/>
      <c r="E135" s="691"/>
      <c r="F135" s="685"/>
      <c r="G135" s="685"/>
      <c r="H135" s="685"/>
      <c r="I135" s="685"/>
    </row>
    <row r="136" spans="2:9" s="5" customFormat="1" hidden="1" x14ac:dyDescent="0.25">
      <c r="B136" s="686" t="s">
        <v>8</v>
      </c>
      <c r="C136" s="694" t="s">
        <v>9</v>
      </c>
      <c r="D136" s="685"/>
      <c r="E136" s="691"/>
      <c r="F136" s="685"/>
      <c r="G136" s="685"/>
      <c r="H136" s="685"/>
      <c r="I136" s="685"/>
    </row>
    <row r="137" spans="2:9" s="5" customFormat="1" hidden="1" x14ac:dyDescent="0.25">
      <c r="B137" s="686" t="s">
        <v>169</v>
      </c>
      <c r="C137" s="696"/>
      <c r="D137" s="685"/>
      <c r="E137" s="691"/>
      <c r="F137" s="685"/>
      <c r="G137" s="685"/>
      <c r="H137" s="685"/>
      <c r="I137" s="685"/>
    </row>
    <row r="138" spans="2:9" s="5" customFormat="1" hidden="1" x14ac:dyDescent="0.25">
      <c r="B138" s="686"/>
      <c r="C138" s="709" t="e">
        <f>1.3+(0.112*C115)+(C134*(2.37-(0.05*C115)))</f>
        <v>#DIV/0!</v>
      </c>
      <c r="D138" s="685"/>
      <c r="E138" s="691"/>
      <c r="F138" s="685"/>
      <c r="G138" s="685"/>
      <c r="H138" s="685"/>
      <c r="I138" s="685"/>
    </row>
    <row r="139" spans="2:9" s="5" customFormat="1" hidden="1" x14ac:dyDescent="0.25">
      <c r="B139" s="686"/>
      <c r="C139" s="696"/>
      <c r="D139" s="685"/>
      <c r="E139" s="691"/>
      <c r="F139" s="685"/>
      <c r="G139" s="685"/>
      <c r="H139" s="685"/>
      <c r="I139" s="685"/>
    </row>
    <row r="140" spans="2:9" s="5" customFormat="1" hidden="1" x14ac:dyDescent="0.25">
      <c r="B140" s="686" t="s">
        <v>10</v>
      </c>
      <c r="C140" s="694" t="s">
        <v>1532</v>
      </c>
      <c r="D140" s="685"/>
      <c r="E140" s="691"/>
      <c r="F140" s="685"/>
      <c r="G140" s="685"/>
      <c r="H140" s="685"/>
      <c r="I140" s="685"/>
    </row>
    <row r="141" spans="2:9" s="5" customFormat="1" hidden="1" x14ac:dyDescent="0.25">
      <c r="B141" s="686"/>
      <c r="C141" s="710"/>
      <c r="D141" s="685"/>
      <c r="E141" s="691"/>
      <c r="F141" s="685"/>
      <c r="G141" s="685"/>
      <c r="H141" s="685"/>
      <c r="I141" s="685"/>
    </row>
    <row r="142" spans="2:9" s="5" customFormat="1" ht="15.75" hidden="1" customHeight="1" x14ac:dyDescent="0.25">
      <c r="B142" s="682" t="s">
        <v>11</v>
      </c>
      <c r="C142" s="700" t="e">
        <f>21.5*C123/1000</f>
        <v>#DIV/0!</v>
      </c>
      <c r="D142" s="685"/>
      <c r="E142" s="691"/>
      <c r="F142" s="685"/>
      <c r="G142" s="685"/>
      <c r="H142" s="685"/>
      <c r="I142" s="685"/>
    </row>
    <row r="143" spans="2:9" s="5" customFormat="1" hidden="1" x14ac:dyDescent="0.25">
      <c r="B143" s="702"/>
      <c r="C143" s="701"/>
      <c r="D143" s="685"/>
      <c r="E143" s="691"/>
      <c r="F143" s="685"/>
      <c r="G143" s="685"/>
      <c r="H143" s="685"/>
      <c r="I143" s="685"/>
    </row>
    <row r="144" spans="2:9" s="5" customFormat="1" hidden="1" x14ac:dyDescent="0.25">
      <c r="B144" s="682"/>
      <c r="C144" s="696"/>
      <c r="D144" s="685"/>
      <c r="E144" s="691"/>
      <c r="F144" s="685"/>
      <c r="G144" s="685"/>
      <c r="H144" s="685"/>
      <c r="I144" s="685"/>
    </row>
    <row r="145" spans="2:9" s="5" customFormat="1" hidden="1" x14ac:dyDescent="0.25">
      <c r="B145" s="686"/>
      <c r="C145" s="696"/>
      <c r="D145" s="685"/>
      <c r="E145" s="691"/>
      <c r="F145" s="685"/>
      <c r="G145" s="685"/>
      <c r="H145" s="685"/>
      <c r="I145" s="685"/>
    </row>
    <row r="146" spans="2:9" s="5" customFormat="1" hidden="1" x14ac:dyDescent="0.25">
      <c r="B146" s="686" t="s">
        <v>12</v>
      </c>
      <c r="C146" s="709">
        <f>C10</f>
        <v>0</v>
      </c>
      <c r="D146" s="685"/>
      <c r="E146" s="691"/>
      <c r="F146" s="685"/>
      <c r="G146" s="685"/>
      <c r="H146" s="685"/>
      <c r="I146" s="685"/>
    </row>
    <row r="147" spans="2:9" s="5" customFormat="1" hidden="1" x14ac:dyDescent="0.25">
      <c r="B147" s="686" t="s">
        <v>13</v>
      </c>
      <c r="C147" s="709" t="e">
        <f>C142*C146*365</f>
        <v>#DIV/0!</v>
      </c>
      <c r="D147" s="685"/>
      <c r="E147" s="691"/>
      <c r="F147" s="685"/>
      <c r="G147" s="685"/>
      <c r="H147" s="685"/>
      <c r="I147" s="685"/>
    </row>
    <row r="148" spans="2:9" s="5" customFormat="1" hidden="1" x14ac:dyDescent="0.25">
      <c r="B148" s="682" t="s">
        <v>14</v>
      </c>
      <c r="C148" s="705" t="e">
        <f>C147*25/1000</f>
        <v>#DIV/0!</v>
      </c>
      <c r="D148" s="685"/>
      <c r="E148" s="691"/>
      <c r="F148" s="685"/>
      <c r="G148" s="685"/>
      <c r="H148" s="685"/>
      <c r="I148" s="685"/>
    </row>
    <row r="149" spans="2:9" s="5" customFormat="1" hidden="1" x14ac:dyDescent="0.25">
      <c r="B149" s="702"/>
      <c r="C149" s="702"/>
      <c r="D149" s="685"/>
      <c r="E149" s="685"/>
      <c r="F149" s="685"/>
      <c r="G149" s="685"/>
      <c r="H149" s="685"/>
      <c r="I149" s="685"/>
    </row>
    <row r="150" spans="2:9" s="5" customFormat="1" hidden="1" x14ac:dyDescent="0.25">
      <c r="B150" s="682" t="s">
        <v>28</v>
      </c>
      <c r="C150" s="711" t="e">
        <f>C103-C148</f>
        <v>#DIV/0!</v>
      </c>
      <c r="D150" s="685"/>
      <c r="E150" s="685"/>
      <c r="F150" s="685"/>
      <c r="G150" s="685"/>
      <c r="H150" s="685"/>
      <c r="I150" s="685"/>
    </row>
    <row r="151" spans="2:9" s="5" customFormat="1" hidden="1" x14ac:dyDescent="0.25">
      <c r="B151" s="682"/>
      <c r="C151" s="711"/>
      <c r="D151" s="685"/>
      <c r="E151" s="685"/>
      <c r="F151" s="685"/>
      <c r="G151" s="685"/>
      <c r="H151" s="685"/>
      <c r="I151" s="685"/>
    </row>
    <row r="152" spans="2:9" s="5" customFormat="1" hidden="1" x14ac:dyDescent="0.25">
      <c r="B152" s="682" t="s">
        <v>177</v>
      </c>
      <c r="C152" s="685"/>
      <c r="D152" s="685"/>
      <c r="E152" s="685"/>
      <c r="F152" s="685"/>
      <c r="G152" s="685"/>
      <c r="H152" s="685"/>
      <c r="I152" s="685"/>
    </row>
    <row r="153" spans="2:9" s="5" customFormat="1" hidden="1" x14ac:dyDescent="0.25">
      <c r="B153" s="169" t="s">
        <v>213</v>
      </c>
      <c r="C153" s="689" t="e">
        <f>C512</f>
        <v>#DIV/0!</v>
      </c>
      <c r="D153" s="685"/>
      <c r="E153" s="709"/>
      <c r="F153" s="698"/>
    </row>
    <row r="154" spans="2:9" s="5" customFormat="1" hidden="1" x14ac:dyDescent="0.25">
      <c r="B154" s="169" t="s">
        <v>837</v>
      </c>
      <c r="C154" s="689">
        <f>'Baseline farm'!P176</f>
        <v>0</v>
      </c>
      <c r="D154" s="685"/>
      <c r="E154" s="705"/>
      <c r="F154" s="698"/>
    </row>
    <row r="155" spans="2:9" s="5" customFormat="1" hidden="1" x14ac:dyDescent="0.25">
      <c r="B155" s="169" t="s">
        <v>1240</v>
      </c>
      <c r="C155" s="1071" t="e">
        <f>C153*1000/C154</f>
        <v>#DIV/0!</v>
      </c>
      <c r="D155" s="685"/>
    </row>
    <row r="156" spans="2:9" s="5" customFormat="1" hidden="1" x14ac:dyDescent="0.25">
      <c r="B156" s="169" t="s">
        <v>215</v>
      </c>
      <c r="C156" s="689" t="e">
        <f>C519</f>
        <v>#DIV/0!</v>
      </c>
      <c r="D156" s="685"/>
    </row>
    <row r="157" spans="2:9" s="5" customFormat="1" hidden="1" x14ac:dyDescent="0.25">
      <c r="B157" s="169" t="s">
        <v>838</v>
      </c>
      <c r="C157" s="712" t="e">
        <f>C154+C117</f>
        <v>#DIV/0!</v>
      </c>
      <c r="D157" s="685"/>
      <c r="E157" s="713"/>
    </row>
    <row r="158" spans="2:9" s="5" customFormat="1" hidden="1" x14ac:dyDescent="0.25">
      <c r="B158" s="169" t="s">
        <v>1241</v>
      </c>
      <c r="C158" s="1072" t="e">
        <f>C156*1000/C157</f>
        <v>#DIV/0!</v>
      </c>
      <c r="D158" s="685"/>
      <c r="E158" s="713"/>
    </row>
    <row r="159" spans="2:9" s="5" customFormat="1" hidden="1" x14ac:dyDescent="0.25">
      <c r="B159" s="169" t="s">
        <v>840</v>
      </c>
      <c r="C159" s="713" t="e">
        <f>C155-C158</f>
        <v>#DIV/0!</v>
      </c>
      <c r="D159" s="685"/>
      <c r="E159" s="685"/>
      <c r="F159" s="685"/>
      <c r="G159" s="685"/>
      <c r="H159" s="685"/>
      <c r="I159" s="685"/>
    </row>
    <row r="160" spans="2:9" s="5" customFormat="1" hidden="1" x14ac:dyDescent="0.25">
      <c r="B160" s="686"/>
      <c r="C160" s="685"/>
      <c r="D160" s="685"/>
      <c r="E160" s="685"/>
      <c r="F160" s="685"/>
      <c r="G160" s="685"/>
      <c r="H160" s="685"/>
      <c r="I160" s="685"/>
    </row>
    <row r="161" spans="2:9" s="5" customFormat="1" hidden="1" x14ac:dyDescent="0.25">
      <c r="B161" s="686"/>
      <c r="C161" s="714"/>
      <c r="D161" s="685"/>
      <c r="E161" s="685"/>
      <c r="F161" s="685"/>
      <c r="G161" s="685"/>
      <c r="H161" s="685"/>
      <c r="I161" s="685"/>
    </row>
    <row r="162" spans="2:9" s="5" customFormat="1" hidden="1" x14ac:dyDescent="0.25">
      <c r="B162" s="686"/>
      <c r="C162" s="714"/>
      <c r="D162" s="685"/>
      <c r="E162" s="685"/>
      <c r="F162" s="685"/>
      <c r="G162" s="685"/>
      <c r="H162" s="685"/>
      <c r="I162" s="685"/>
    </row>
    <row r="163" spans="2:9" s="5" customFormat="1" hidden="1" x14ac:dyDescent="0.25">
      <c r="B163" s="685"/>
      <c r="C163" s="685"/>
      <c r="D163" s="685"/>
      <c r="E163" s="685"/>
      <c r="F163" s="685"/>
      <c r="G163" s="685"/>
      <c r="H163" s="685"/>
      <c r="I163" s="685"/>
    </row>
    <row r="164" spans="2:9" s="685" customFormat="1" ht="15" hidden="1" customHeight="1" x14ac:dyDescent="0.2">
      <c r="B164" s="682" t="s">
        <v>219</v>
      </c>
    </row>
    <row r="165" spans="2:9" s="685" customFormat="1" ht="15" hidden="1" customHeight="1" x14ac:dyDescent="0.2">
      <c r="B165" s="169" t="s">
        <v>840</v>
      </c>
      <c r="C165" s="689" t="e">
        <f>C159</f>
        <v>#DIV/0!</v>
      </c>
    </row>
    <row r="166" spans="2:9" s="685" customFormat="1" ht="15" hidden="1" customHeight="1" x14ac:dyDescent="0.2">
      <c r="B166" s="173" t="s">
        <v>841</v>
      </c>
      <c r="C166" s="689" t="e">
        <f>C157</f>
        <v>#DIV/0!</v>
      </c>
    </row>
    <row r="167" spans="2:9" hidden="1" x14ac:dyDescent="0.25">
      <c r="B167" s="173" t="s">
        <v>878</v>
      </c>
      <c r="C167" s="715" t="e">
        <f>C166*C165</f>
        <v>#DIV/0!</v>
      </c>
      <c r="D167" s="715"/>
      <c r="E167" s="173"/>
    </row>
    <row r="168" spans="2:9" hidden="1" x14ac:dyDescent="0.25">
      <c r="B168" s="173" t="s">
        <v>879</v>
      </c>
      <c r="C168" s="715" t="e">
        <f>C167/365</f>
        <v>#DIV/0!</v>
      </c>
      <c r="D168" s="715"/>
      <c r="E168" s="173"/>
    </row>
    <row r="169" spans="2:9" hidden="1" x14ac:dyDescent="0.25">
      <c r="B169" s="173" t="s">
        <v>880</v>
      </c>
      <c r="C169" s="715">
        <f>C22</f>
        <v>90</v>
      </c>
      <c r="D169" s="715"/>
      <c r="E169" s="173"/>
    </row>
    <row r="170" spans="2:9" hidden="1" x14ac:dyDescent="0.25">
      <c r="B170" s="173" t="s">
        <v>881</v>
      </c>
      <c r="C170" s="715" t="e">
        <f>C169*C168</f>
        <v>#DIV/0!</v>
      </c>
      <c r="D170" s="715"/>
      <c r="E170" s="173"/>
    </row>
    <row r="171" spans="2:9" hidden="1" x14ac:dyDescent="0.25">
      <c r="B171" s="173" t="s">
        <v>226</v>
      </c>
      <c r="C171" s="716">
        <f>C30</f>
        <v>6</v>
      </c>
      <c r="D171" s="716"/>
      <c r="E171" s="173"/>
    </row>
    <row r="172" spans="2:9" hidden="1" x14ac:dyDescent="0.25">
      <c r="B172" s="173" t="s">
        <v>228</v>
      </c>
      <c r="C172" s="717" t="e">
        <f>C170/1000*C171</f>
        <v>#DIV/0!</v>
      </c>
      <c r="D172" s="717"/>
      <c r="E172" s="173"/>
    </row>
    <row r="173" spans="2:9" s="5" customFormat="1" hidden="1" x14ac:dyDescent="0.25">
      <c r="B173" s="682"/>
      <c r="C173" s="685"/>
      <c r="D173" s="685"/>
      <c r="E173" s="685"/>
      <c r="F173" s="685"/>
      <c r="G173" s="685"/>
      <c r="H173" s="685"/>
      <c r="I173" s="685"/>
    </row>
    <row r="174" spans="2:9" s="5" customFormat="1" hidden="1" x14ac:dyDescent="0.25">
      <c r="B174" s="685"/>
      <c r="C174" s="685"/>
      <c r="D174" s="685"/>
      <c r="E174" s="685"/>
      <c r="F174" s="685"/>
      <c r="G174" s="685"/>
      <c r="H174" s="685"/>
      <c r="I174" s="685"/>
    </row>
    <row r="175" spans="2:9" s="5" customFormat="1" hidden="1" x14ac:dyDescent="0.25">
      <c r="B175" s="685"/>
      <c r="C175" s="685"/>
      <c r="D175" s="685"/>
      <c r="E175" s="685"/>
      <c r="F175" s="685"/>
      <c r="G175" s="685"/>
      <c r="H175" s="685"/>
      <c r="I175" s="685"/>
    </row>
    <row r="176" spans="2:9" s="5" customFormat="1" hidden="1" x14ac:dyDescent="0.25">
      <c r="B176" s="693" t="s">
        <v>206</v>
      </c>
      <c r="C176" s="685"/>
      <c r="D176" s="685"/>
      <c r="E176" s="685"/>
      <c r="F176" s="685"/>
      <c r="G176" s="685"/>
      <c r="H176" s="685"/>
      <c r="I176" s="685"/>
    </row>
    <row r="177" spans="2:9" s="5" customFormat="1" hidden="1" x14ac:dyDescent="0.25">
      <c r="B177" s="685"/>
      <c r="C177" s="685"/>
      <c r="D177" s="685"/>
      <c r="E177" s="685"/>
      <c r="F177" s="685"/>
      <c r="G177" s="685"/>
      <c r="H177" s="685"/>
      <c r="I177" s="685"/>
    </row>
    <row r="178" spans="2:9" s="5" customFormat="1" hidden="1" x14ac:dyDescent="0.25">
      <c r="B178" s="685"/>
      <c r="C178" s="685"/>
      <c r="D178" s="685" t="s">
        <v>52</v>
      </c>
      <c r="E178" s="685" t="s">
        <v>55</v>
      </c>
      <c r="F178" s="685"/>
      <c r="G178" s="685"/>
      <c r="H178" s="685"/>
      <c r="I178" s="685"/>
    </row>
    <row r="179" spans="2:9" s="5" customFormat="1" hidden="1" x14ac:dyDescent="0.25">
      <c r="B179" s="685"/>
      <c r="C179" s="685" t="s">
        <v>207</v>
      </c>
      <c r="D179" s="685">
        <v>0.8</v>
      </c>
      <c r="E179" s="685">
        <v>20</v>
      </c>
      <c r="F179" s="685"/>
      <c r="G179" s="685"/>
      <c r="H179" s="685"/>
      <c r="I179" s="685"/>
    </row>
    <row r="180" spans="2:9" s="5" customFormat="1" hidden="1" x14ac:dyDescent="0.25">
      <c r="B180" s="685"/>
      <c r="C180" s="685"/>
      <c r="D180" s="685"/>
      <c r="E180" s="685"/>
      <c r="F180" s="685"/>
      <c r="G180" s="685"/>
      <c r="H180" s="685"/>
      <c r="I180" s="685"/>
    </row>
    <row r="181" spans="2:9" s="5" customFormat="1" hidden="1" x14ac:dyDescent="0.25">
      <c r="B181" s="685"/>
      <c r="C181" s="685" t="s">
        <v>208</v>
      </c>
      <c r="D181" s="685">
        <v>0.3</v>
      </c>
      <c r="E181" s="685">
        <v>6</v>
      </c>
      <c r="F181" s="685"/>
      <c r="G181" s="685"/>
      <c r="H181" s="685"/>
      <c r="I181" s="685"/>
    </row>
    <row r="182" spans="2:9" s="5" customFormat="1" hidden="1" x14ac:dyDescent="0.25">
      <c r="B182" s="685"/>
      <c r="C182" s="685"/>
      <c r="D182" s="685"/>
      <c r="E182" s="685"/>
      <c r="F182" s="685"/>
      <c r="G182" s="685"/>
      <c r="H182" s="685"/>
      <c r="I182" s="685"/>
    </row>
    <row r="183" spans="2:9" s="5" customFormat="1" hidden="1" x14ac:dyDescent="0.25">
      <c r="B183" s="685"/>
      <c r="C183" s="685"/>
      <c r="D183" s="685"/>
      <c r="E183" s="685"/>
      <c r="F183" s="685"/>
      <c r="G183" s="685"/>
      <c r="H183" s="685"/>
      <c r="I183" s="685"/>
    </row>
    <row r="184" spans="2:9" s="5" customFormat="1" hidden="1" x14ac:dyDescent="0.25">
      <c r="B184" s="685"/>
      <c r="C184" s="685"/>
      <c r="D184" s="685"/>
      <c r="E184" s="685"/>
      <c r="F184" s="685"/>
      <c r="G184" s="685"/>
      <c r="H184" s="685"/>
      <c r="I184" s="685"/>
    </row>
    <row r="185" spans="2:9" s="5" customFormat="1" hidden="1" x14ac:dyDescent="0.25">
      <c r="B185" s="685" t="s">
        <v>54</v>
      </c>
      <c r="C185" s="685">
        <v>1.5</v>
      </c>
      <c r="D185" s="685"/>
      <c r="E185" s="685"/>
      <c r="F185" s="685"/>
      <c r="G185" s="685"/>
      <c r="H185" s="685"/>
      <c r="I185" s="685"/>
    </row>
    <row r="186" spans="2:9" s="5" customFormat="1" hidden="1" x14ac:dyDescent="0.25">
      <c r="B186" s="685"/>
      <c r="C186" s="685"/>
      <c r="D186" s="685"/>
      <c r="E186" s="685">
        <f>(((1+$C$185)*$D$179 - $D$181))/$C$185</f>
        <v>1.1333333333333333</v>
      </c>
      <c r="F186" s="685"/>
      <c r="G186" s="685"/>
      <c r="H186" s="685"/>
      <c r="I186" s="685"/>
    </row>
    <row r="187" spans="2:9" s="5" customFormat="1" hidden="1" x14ac:dyDescent="0.25">
      <c r="B187" s="685"/>
      <c r="C187" s="685"/>
      <c r="D187" s="685"/>
      <c r="E187" s="685"/>
      <c r="F187" s="685"/>
      <c r="G187" s="685"/>
      <c r="H187" s="685"/>
      <c r="I187" s="685"/>
    </row>
    <row r="188" spans="2:9" s="5" customFormat="1" hidden="1" x14ac:dyDescent="0.25">
      <c r="B188" s="685"/>
      <c r="C188" s="685"/>
      <c r="D188" s="685"/>
      <c r="E188" s="685"/>
      <c r="F188" s="685"/>
      <c r="G188" s="685"/>
      <c r="H188" s="685"/>
      <c r="I188" s="685"/>
    </row>
    <row r="189" spans="2:9" s="5" customFormat="1" hidden="1" x14ac:dyDescent="0.25">
      <c r="B189" s="685"/>
      <c r="C189" s="685"/>
      <c r="D189" s="685"/>
      <c r="E189" s="685">
        <f>(D199-0.3)^1.5</f>
        <v>1.1180339887498938E-2</v>
      </c>
      <c r="F189" s="685">
        <f>E187-D199</f>
        <v>-0.35</v>
      </c>
      <c r="G189" s="685">
        <f>F189*E189</f>
        <v>-3.9131189606246277E-3</v>
      </c>
      <c r="H189" s="685">
        <f>G189/G190</f>
        <v>1.3834964763236642E-2</v>
      </c>
      <c r="I189" s="685"/>
    </row>
    <row r="190" spans="2:9" s="5" customFormat="1" hidden="1" x14ac:dyDescent="0.25">
      <c r="B190" s="685"/>
      <c r="C190" s="685"/>
      <c r="D190" s="685"/>
      <c r="E190" s="685">
        <f>(0.8-0.3)^1.5</f>
        <v>0.35355339059327379</v>
      </c>
      <c r="F190" s="685">
        <f>E187-0.8</f>
        <v>-0.8</v>
      </c>
      <c r="G190" s="685">
        <f>E190*F190</f>
        <v>-0.28284271247461906</v>
      </c>
      <c r="H190" s="685"/>
      <c r="I190" s="685"/>
    </row>
    <row r="191" spans="2:9" s="5" customFormat="1" hidden="1" x14ac:dyDescent="0.25">
      <c r="B191" s="685"/>
      <c r="C191" s="685"/>
      <c r="D191" s="685"/>
      <c r="E191" s="685"/>
      <c r="F191" s="685"/>
      <c r="G191" s="685"/>
      <c r="H191" s="685"/>
      <c r="I191" s="685"/>
    </row>
    <row r="192" spans="2:9" s="5" customFormat="1" hidden="1" x14ac:dyDescent="0.25">
      <c r="B192" s="685"/>
      <c r="C192" s="685"/>
      <c r="D192" s="685"/>
      <c r="E192" s="685"/>
      <c r="F192" s="685"/>
      <c r="G192" s="685"/>
      <c r="H192" s="685"/>
      <c r="I192" s="685"/>
    </row>
    <row r="193" spans="2:9" s="5" customFormat="1" hidden="1" x14ac:dyDescent="0.25">
      <c r="B193" s="685"/>
      <c r="C193" s="685"/>
      <c r="D193" s="718" t="s">
        <v>52</v>
      </c>
      <c r="E193" s="685"/>
      <c r="F193" s="685"/>
      <c r="G193" s="685"/>
      <c r="H193" s="718" t="s">
        <v>53</v>
      </c>
      <c r="I193" s="685"/>
    </row>
    <row r="194" spans="2:9" s="5" customFormat="1" hidden="1" x14ac:dyDescent="0.25">
      <c r="B194" s="685"/>
      <c r="C194" s="685"/>
      <c r="D194" s="685">
        <v>0.3</v>
      </c>
      <c r="E194" s="685">
        <f>((D194-$D$181)^$C$185)*($E$186-D194)</f>
        <v>0</v>
      </c>
      <c r="F194" s="685">
        <f>(($D$179-$D$181)^$C$185)*(($E$186-$D$179))</f>
        <v>0.11785113019775791</v>
      </c>
      <c r="G194" s="685">
        <f>E194/F194</f>
        <v>0</v>
      </c>
      <c r="H194" s="685">
        <f>$E$181+(($E$179-$E$181)*G194)</f>
        <v>6</v>
      </c>
      <c r="I194" s="685"/>
    </row>
    <row r="195" spans="2:9" s="5" customFormat="1" hidden="1" x14ac:dyDescent="0.25">
      <c r="B195" s="685"/>
      <c r="C195" s="685"/>
      <c r="D195" s="685">
        <v>0.31</v>
      </c>
      <c r="E195" s="685">
        <f t="shared" ref="E195:E244" si="0">((D195-$D$181)^$C$185)*($E$186-D195)</f>
        <v>8.2333333333333347E-4</v>
      </c>
      <c r="F195" s="685">
        <f t="shared" ref="F195:F244" si="1">(($D$179-$D$181)^$C$185)*(($E$186-$D$179))</f>
        <v>0.11785113019775791</v>
      </c>
      <c r="G195" s="685">
        <f t="shared" ref="G195:G244" si="2">E195/F195</f>
        <v>6.9862149981230913E-3</v>
      </c>
      <c r="H195" s="685">
        <f t="shared" ref="H195:H244" si="3">$E$181+(($E$179-$E$181)*G195)</f>
        <v>6.0978070099737236</v>
      </c>
      <c r="I195" s="685"/>
    </row>
    <row r="196" spans="2:9" s="5" customFormat="1" hidden="1" x14ac:dyDescent="0.25">
      <c r="B196" s="685"/>
      <c r="C196" s="685"/>
      <c r="D196" s="685">
        <v>0.32</v>
      </c>
      <c r="E196" s="685">
        <f t="shared" si="0"/>
        <v>2.300454061460237E-3</v>
      </c>
      <c r="F196" s="685">
        <f t="shared" si="1"/>
        <v>0.11785113019775791</v>
      </c>
      <c r="G196" s="685">
        <f t="shared" si="2"/>
        <v>1.9520000000000023E-2</v>
      </c>
      <c r="H196" s="685">
        <f t="shared" si="3"/>
        <v>6.2732800000000006</v>
      </c>
      <c r="I196" s="685"/>
    </row>
    <row r="197" spans="2:9" s="5" customFormat="1" hidden="1" x14ac:dyDescent="0.25">
      <c r="B197" s="685"/>
      <c r="C197" s="685"/>
      <c r="D197" s="685">
        <v>0.33</v>
      </c>
      <c r="E197" s="685">
        <f t="shared" si="0"/>
        <v>4.1742424462409989E-3</v>
      </c>
      <c r="F197" s="685">
        <f t="shared" si="1"/>
        <v>0.11785113019775791</v>
      </c>
      <c r="G197" s="685">
        <f t="shared" si="2"/>
        <v>3.5419621680644796E-2</v>
      </c>
      <c r="H197" s="685">
        <f t="shared" si="3"/>
        <v>6.4958747035290267</v>
      </c>
      <c r="I197" s="685"/>
    </row>
    <row r="198" spans="2:9" s="5" customFormat="1" hidden="1" x14ac:dyDescent="0.25">
      <c r="B198" s="685"/>
      <c r="C198" s="685"/>
      <c r="D198" s="685">
        <v>0.34</v>
      </c>
      <c r="E198" s="685">
        <f t="shared" si="0"/>
        <v>6.3466666666666741E-3</v>
      </c>
      <c r="F198" s="685">
        <f t="shared" si="1"/>
        <v>0.11785113019775791</v>
      </c>
      <c r="G198" s="685">
        <f t="shared" si="2"/>
        <v>5.3853252455167526E-2</v>
      </c>
      <c r="H198" s="685">
        <f t="shared" si="3"/>
        <v>6.7539455343723453</v>
      </c>
      <c r="I198" s="685"/>
    </row>
    <row r="199" spans="2:9" s="5" customFormat="1" hidden="1" x14ac:dyDescent="0.25">
      <c r="B199" s="685"/>
      <c r="C199" s="685"/>
      <c r="D199" s="685">
        <v>0.35</v>
      </c>
      <c r="E199" s="685">
        <f t="shared" si="0"/>
        <v>8.7579329118741677E-3</v>
      </c>
      <c r="F199" s="685">
        <f t="shared" si="1"/>
        <v>0.11785113019775791</v>
      </c>
      <c r="G199" s="685">
        <f t="shared" si="2"/>
        <v>7.4313525013956855E-2</v>
      </c>
      <c r="H199" s="685">
        <f t="shared" si="3"/>
        <v>7.0403893501953956</v>
      </c>
      <c r="I199" s="685"/>
    </row>
    <row r="200" spans="2:9" s="5" customFormat="1" hidden="1" x14ac:dyDescent="0.25">
      <c r="B200" s="685"/>
      <c r="C200" s="685"/>
      <c r="D200" s="685">
        <v>0.36</v>
      </c>
      <c r="E200" s="685">
        <f t="shared" si="0"/>
        <v>1.1365632406513941E-2</v>
      </c>
      <c r="F200" s="685">
        <f t="shared" si="1"/>
        <v>0.11785113019775791</v>
      </c>
      <c r="G200" s="685">
        <f t="shared" si="2"/>
        <v>9.6440588965435059E-2</v>
      </c>
      <c r="H200" s="685">
        <f t="shared" si="3"/>
        <v>7.350168245516091</v>
      </c>
      <c r="I200" s="685"/>
    </row>
    <row r="201" spans="2:9" s="5" customFormat="1" hidden="1" x14ac:dyDescent="0.25">
      <c r="B201" s="685"/>
      <c r="C201" s="685"/>
      <c r="D201" s="685">
        <v>0.37</v>
      </c>
      <c r="E201" s="685">
        <f t="shared" si="0"/>
        <v>1.4137131172121804E-2</v>
      </c>
      <c r="F201" s="685">
        <f t="shared" si="1"/>
        <v>0.11785113019775791</v>
      </c>
      <c r="G201" s="685">
        <f t="shared" si="2"/>
        <v>0.11995753581997265</v>
      </c>
      <c r="H201" s="685">
        <f t="shared" si="3"/>
        <v>7.679405501479617</v>
      </c>
      <c r="I201" s="685"/>
    </row>
    <row r="202" spans="2:9" s="5" customFormat="1" hidden="1" x14ac:dyDescent="0.25">
      <c r="B202" s="685"/>
      <c r="C202" s="685"/>
      <c r="D202" s="685">
        <v>0.38</v>
      </c>
      <c r="E202" s="685">
        <f t="shared" si="0"/>
        <v>1.7045987471803716E-2</v>
      </c>
      <c r="F202" s="685">
        <f t="shared" si="1"/>
        <v>0.11785113019775791</v>
      </c>
      <c r="G202" s="685">
        <f t="shared" si="2"/>
        <v>0.1446400000000001</v>
      </c>
      <c r="H202" s="685">
        <f t="shared" si="3"/>
        <v>8.0249600000000019</v>
      </c>
      <c r="I202" s="685"/>
    </row>
    <row r="203" spans="2:9" s="5" customFormat="1" hidden="1" x14ac:dyDescent="0.25">
      <c r="B203" s="685"/>
      <c r="C203" s="685"/>
      <c r="D203" s="685">
        <v>0.39</v>
      </c>
      <c r="E203" s="685">
        <f t="shared" si="0"/>
        <v>2.0070000000000005E-2</v>
      </c>
      <c r="F203" s="685">
        <f t="shared" si="1"/>
        <v>0.11785113019775791</v>
      </c>
      <c r="G203" s="685">
        <f t="shared" si="2"/>
        <v>0.17029959718096815</v>
      </c>
      <c r="H203" s="685">
        <f t="shared" si="3"/>
        <v>8.384194360533554</v>
      </c>
      <c r="I203" s="685"/>
    </row>
    <row r="204" spans="2:9" s="5" customFormat="1" hidden="1" x14ac:dyDescent="0.25">
      <c r="B204" s="685"/>
      <c r="C204" s="685"/>
      <c r="D204" s="685">
        <v>0.4</v>
      </c>
      <c r="E204" s="685">
        <f t="shared" si="0"/>
        <v>2.3190036174568118E-2</v>
      </c>
      <c r="F204" s="685">
        <f t="shared" si="1"/>
        <v>0.11785113019775791</v>
      </c>
      <c r="G204" s="685">
        <f t="shared" si="2"/>
        <v>0.19677398201998153</v>
      </c>
      <c r="H204" s="685">
        <f t="shared" si="3"/>
        <v>8.7548357482797421</v>
      </c>
      <c r="I204" s="685"/>
    </row>
    <row r="205" spans="2:9" s="5" customFormat="1" hidden="1" x14ac:dyDescent="0.25">
      <c r="B205" s="685"/>
      <c r="C205" s="685"/>
      <c r="D205" s="685">
        <v>0.41</v>
      </c>
      <c r="E205" s="685">
        <f t="shared" si="0"/>
        <v>2.638927791526112E-2</v>
      </c>
      <c r="F205" s="685">
        <f t="shared" si="1"/>
        <v>0.11785113019775791</v>
      </c>
      <c r="G205" s="685">
        <f t="shared" si="2"/>
        <v>0.22392044837397046</v>
      </c>
      <c r="H205" s="685">
        <f t="shared" si="3"/>
        <v>9.1348862772355872</v>
      </c>
      <c r="I205" s="685"/>
    </row>
    <row r="206" spans="2:9" s="5" customFormat="1" hidden="1" x14ac:dyDescent="0.25">
      <c r="B206" s="685"/>
      <c r="C206" s="685"/>
      <c r="D206" s="685">
        <v>0.42</v>
      </c>
      <c r="E206" s="685">
        <f t="shared" si="0"/>
        <v>2.9652709825579184E-2</v>
      </c>
      <c r="F206" s="685">
        <f t="shared" si="1"/>
        <v>0.11785113019775791</v>
      </c>
      <c r="G206" s="685">
        <f t="shared" si="2"/>
        <v>0.25161158637868813</v>
      </c>
      <c r="H206" s="685">
        <f t="shared" si="3"/>
        <v>9.5225622093016344</v>
      </c>
      <c r="I206" s="685"/>
    </row>
    <row r="207" spans="2:9" s="5" customFormat="1" hidden="1" x14ac:dyDescent="0.25">
      <c r="B207" s="685"/>
      <c r="C207" s="685"/>
      <c r="D207" s="685">
        <v>0.43</v>
      </c>
      <c r="E207" s="685">
        <f t="shared" si="0"/>
        <v>3.2966757161992412E-2</v>
      </c>
      <c r="F207" s="685">
        <f t="shared" si="1"/>
        <v>0.11785113019775791</v>
      </c>
      <c r="G207" s="685">
        <f t="shared" si="2"/>
        <v>0.27973221051570024</v>
      </c>
      <c r="H207" s="685">
        <f t="shared" si="3"/>
        <v>9.9162509472198028</v>
      </c>
      <c r="I207" s="685"/>
    </row>
    <row r="208" spans="2:9" s="5" customFormat="1" hidden="1" x14ac:dyDescent="0.25">
      <c r="B208" s="685"/>
      <c r="C208" s="685"/>
      <c r="D208" s="685">
        <v>0.44</v>
      </c>
      <c r="E208" s="685">
        <f t="shared" si="0"/>
        <v>3.6319021034285734E-2</v>
      </c>
      <c r="F208" s="685">
        <f t="shared" si="1"/>
        <v>0.11785113019775791</v>
      </c>
      <c r="G208" s="685">
        <f t="shared" si="2"/>
        <v>0.30817711271280362</v>
      </c>
      <c r="H208" s="685">
        <f t="shared" si="3"/>
        <v>10.314479577979251</v>
      </c>
      <c r="I208" s="685"/>
    </row>
    <row r="209" spans="2:9" s="5" customFormat="1" hidden="1" x14ac:dyDescent="0.25">
      <c r="B209" s="685"/>
      <c r="C209" s="685"/>
      <c r="D209" s="685">
        <v>0.45</v>
      </c>
      <c r="E209" s="685">
        <f t="shared" si="0"/>
        <v>3.9698079298626038E-2</v>
      </c>
      <c r="F209" s="685">
        <f t="shared" si="1"/>
        <v>0.11785113019775791</v>
      </c>
      <c r="G209" s="685">
        <f t="shared" si="2"/>
        <v>0.33684937286567734</v>
      </c>
      <c r="H209" s="685">
        <f t="shared" si="3"/>
        <v>10.715891220119483</v>
      </c>
      <c r="I209" s="685"/>
    </row>
    <row r="210" spans="2:9" s="5" customFormat="1" hidden="1" x14ac:dyDescent="0.25">
      <c r="B210" s="685"/>
      <c r="C210" s="685"/>
      <c r="D210" s="685">
        <v>0.46</v>
      </c>
      <c r="E210" s="685">
        <f t="shared" si="0"/>
        <v>4.3093333333333345E-2</v>
      </c>
      <c r="F210" s="685">
        <f t="shared" si="1"/>
        <v>0.11785113019775791</v>
      </c>
      <c r="G210" s="685">
        <f t="shared" si="2"/>
        <v>0.36565905868718762</v>
      </c>
      <c r="H210" s="685">
        <f t="shared" si="3"/>
        <v>11.119226821620627</v>
      </c>
      <c r="I210" s="685"/>
    </row>
    <row r="211" spans="2:9" s="5" customFormat="1" hidden="1" x14ac:dyDescent="0.25">
      <c r="B211" s="685"/>
      <c r="C211" s="685"/>
      <c r="D211" s="685">
        <v>0.47</v>
      </c>
      <c r="E211" s="685">
        <f t="shared" si="0"/>
        <v>4.6494887771548477E-2</v>
      </c>
      <c r="F211" s="685">
        <f t="shared" si="1"/>
        <v>0.11785113019775791</v>
      </c>
      <c r="G211" s="685">
        <f t="shared" si="2"/>
        <v>0.39452220520523301</v>
      </c>
      <c r="H211" s="685">
        <f t="shared" si="3"/>
        <v>11.523310872873262</v>
      </c>
      <c r="I211" s="685"/>
    </row>
    <row r="212" spans="2:9" s="5" customFormat="1" hidden="1" x14ac:dyDescent="0.25">
      <c r="B212" s="685"/>
      <c r="C212" s="685"/>
      <c r="D212" s="685">
        <v>0.48</v>
      </c>
      <c r="E212" s="685">
        <f t="shared" si="0"/>
        <v>4.9893454480522785E-2</v>
      </c>
      <c r="F212" s="685">
        <f t="shared" si="1"/>
        <v>0.11785113019775791</v>
      </c>
      <c r="G212" s="685">
        <f t="shared" si="2"/>
        <v>0.42335999999999996</v>
      </c>
      <c r="H212" s="685">
        <f t="shared" si="3"/>
        <v>11.92704</v>
      </c>
      <c r="I212" s="685"/>
    </row>
    <row r="213" spans="2:9" s="5" customFormat="1" hidden="1" x14ac:dyDescent="0.25">
      <c r="B213" s="685"/>
      <c r="C213" s="685"/>
      <c r="D213" s="685">
        <v>0.49</v>
      </c>
      <c r="E213" s="685">
        <f t="shared" si="0"/>
        <v>5.3280274753212162E-2</v>
      </c>
      <c r="F213" s="685">
        <f t="shared" si="1"/>
        <v>0.11785113019775791</v>
      </c>
      <c r="G213" s="685">
        <f t="shared" si="2"/>
        <v>0.45209812297774477</v>
      </c>
      <c r="H213" s="685">
        <f t="shared" si="3"/>
        <v>12.329373721688427</v>
      </c>
      <c r="I213" s="685"/>
    </row>
    <row r="214" spans="2:9" s="5" customFormat="1" hidden="1" x14ac:dyDescent="0.25">
      <c r="B214" s="685"/>
      <c r="C214" s="685"/>
      <c r="D214" s="685">
        <v>0.5</v>
      </c>
      <c r="E214" s="685">
        <f t="shared" si="0"/>
        <v>5.6647055429994687E-2</v>
      </c>
      <c r="F214" s="685">
        <f t="shared" si="1"/>
        <v>0.11785113019775791</v>
      </c>
      <c r="G214" s="685">
        <f t="shared" si="2"/>
        <v>0.48066620434559387</v>
      </c>
      <c r="H214" s="685">
        <f t="shared" si="3"/>
        <v>12.729326860838313</v>
      </c>
      <c r="I214" s="685"/>
    </row>
    <row r="215" spans="2:9" s="5" customFormat="1" hidden="1" x14ac:dyDescent="0.25">
      <c r="B215" s="685"/>
      <c r="C215" s="685"/>
      <c r="D215" s="685">
        <v>0.51</v>
      </c>
      <c r="E215" s="685">
        <f t="shared" si="0"/>
        <v>5.9985915846971945E-2</v>
      </c>
      <c r="F215" s="685">
        <f t="shared" si="1"/>
        <v>0.11785113019775791</v>
      </c>
      <c r="G215" s="685">
        <f t="shared" si="2"/>
        <v>0.50899737445295345</v>
      </c>
      <c r="H215" s="685">
        <f t="shared" si="3"/>
        <v>13.125963242341349</v>
      </c>
      <c r="I215" s="685"/>
    </row>
    <row r="216" spans="2:9" s="5" customFormat="1" hidden="1" x14ac:dyDescent="0.25">
      <c r="B216" s="685"/>
      <c r="C216" s="685"/>
      <c r="D216" s="685">
        <v>0.52</v>
      </c>
      <c r="E216" s="685">
        <f t="shared" si="0"/>
        <v>6.3289343319217511E-2</v>
      </c>
      <c r="F216" s="685">
        <f t="shared" si="1"/>
        <v>0.11785113019775791</v>
      </c>
      <c r="G216" s="685">
        <f t="shared" si="2"/>
        <v>0.5370278860543467</v>
      </c>
      <c r="H216" s="685">
        <f t="shared" si="3"/>
        <v>13.518390404760854</v>
      </c>
      <c r="I216" s="685"/>
    </row>
    <row r="217" spans="2:9" s="5" customFormat="1" hidden="1" x14ac:dyDescent="0.25">
      <c r="B217" s="685"/>
      <c r="C217" s="685"/>
      <c r="D217" s="685">
        <v>0.53</v>
      </c>
      <c r="E217" s="685">
        <f t="shared" si="0"/>
        <v>6.6550155438502845E-2</v>
      </c>
      <c r="F217" s="685">
        <f t="shared" si="1"/>
        <v>0.11785113019775791</v>
      </c>
      <c r="G217" s="685">
        <f t="shared" si="2"/>
        <v>0.56469679439500997</v>
      </c>
      <c r="H217" s="685">
        <f t="shared" si="3"/>
        <v>13.90575512153014</v>
      </c>
      <c r="I217" s="685"/>
    </row>
    <row r="218" spans="2:9" s="5" customFormat="1" hidden="1" x14ac:dyDescent="0.25">
      <c r="B218" s="685"/>
      <c r="C218" s="685"/>
      <c r="D218" s="685">
        <v>0.54</v>
      </c>
      <c r="E218" s="685">
        <f t="shared" si="0"/>
        <v>6.9761467874464925E-2</v>
      </c>
      <c r="F218" s="685">
        <f t="shared" si="1"/>
        <v>0.11785113019775791</v>
      </c>
      <c r="G218" s="685">
        <f t="shared" si="2"/>
        <v>0.59194568399473968</v>
      </c>
      <c r="H218" s="685">
        <f t="shared" si="3"/>
        <v>14.287239575926355</v>
      </c>
      <c r="I218" s="685"/>
    </row>
    <row r="219" spans="2:9" s="5" customFormat="1" hidden="1" x14ac:dyDescent="0.25">
      <c r="B219" s="685"/>
      <c r="C219" s="685"/>
      <c r="D219" s="685">
        <v>0.55000000000000004</v>
      </c>
      <c r="E219" s="685">
        <f t="shared" si="0"/>
        <v>7.2916666666666713E-2</v>
      </c>
      <c r="F219" s="685">
        <f t="shared" si="1"/>
        <v>0.11785113019775791</v>
      </c>
      <c r="G219" s="685">
        <f t="shared" si="2"/>
        <v>0.61871843353822953</v>
      </c>
      <c r="H219" s="685">
        <f t="shared" si="3"/>
        <v>14.662058069535213</v>
      </c>
      <c r="I219" s="685"/>
    </row>
    <row r="220" spans="2:9" s="5" customFormat="1" hidden="1" x14ac:dyDescent="0.25">
      <c r="B220" s="685"/>
      <c r="C220" s="685"/>
      <c r="D220" s="685">
        <v>0.56000000000000005</v>
      </c>
      <c r="E220" s="685">
        <f t="shared" si="0"/>
        <v>7.6009384215956474E-2</v>
      </c>
      <c r="F220" s="685">
        <f t="shared" si="1"/>
        <v>0.11785113019775791</v>
      </c>
      <c r="G220" s="685">
        <f t="shared" si="2"/>
        <v>0.64496101215499868</v>
      </c>
      <c r="H220" s="685">
        <f t="shared" si="3"/>
        <v>15.029454170169981</v>
      </c>
      <c r="I220" s="685"/>
    </row>
    <row r="221" spans="2:9" s="5" customFormat="1" hidden="1" x14ac:dyDescent="0.25">
      <c r="B221" s="685"/>
      <c r="C221" s="685"/>
      <c r="D221" s="685">
        <v>0.56999999999999995</v>
      </c>
      <c r="E221" s="685">
        <f t="shared" si="0"/>
        <v>7.9033478349367858E-2</v>
      </c>
      <c r="F221" s="685">
        <f t="shared" si="1"/>
        <v>0.11785113019775791</v>
      </c>
      <c r="G221" s="685">
        <f t="shared" si="2"/>
        <v>0.67062130177917845</v>
      </c>
      <c r="H221" s="685">
        <f t="shared" si="3"/>
        <v>15.388698224908499</v>
      </c>
      <c r="I221" s="685"/>
    </row>
    <row r="222" spans="2:9" s="5" customFormat="1" hidden="1" x14ac:dyDescent="0.25">
      <c r="B222" s="685"/>
      <c r="C222" s="685"/>
      <c r="D222" s="685">
        <v>0.57999999999999996</v>
      </c>
      <c r="E222" s="685">
        <f t="shared" si="0"/>
        <v>8.1983013958854767E-2</v>
      </c>
      <c r="F222" s="685">
        <f t="shared" si="1"/>
        <v>0.11785113019775791</v>
      </c>
      <c r="G222" s="685">
        <f t="shared" si="2"/>
        <v>0.69564894134901112</v>
      </c>
      <c r="H222" s="685">
        <f t="shared" si="3"/>
        <v>15.739085178886155</v>
      </c>
      <c r="I222" s="685"/>
    </row>
    <row r="223" spans="2:9" s="5" customFormat="1" hidden="1" x14ac:dyDescent="0.25">
      <c r="B223" s="685"/>
      <c r="C223" s="685"/>
      <c r="D223" s="685">
        <v>0.59</v>
      </c>
      <c r="E223" s="685">
        <f t="shared" si="0"/>
        <v>8.4852246811082652E-2</v>
      </c>
      <c r="F223" s="685">
        <f t="shared" si="1"/>
        <v>0.11785113019775791</v>
      </c>
      <c r="G223" s="685">
        <f t="shared" si="2"/>
        <v>0.71999518942837382</v>
      </c>
      <c r="H223" s="685">
        <f t="shared" si="3"/>
        <v>16.079932651997233</v>
      </c>
      <c r="I223" s="685"/>
    </row>
    <row r="224" spans="2:9" s="5" customFormat="1" hidden="1" x14ac:dyDescent="0.25">
      <c r="B224" s="685"/>
      <c r="C224" s="685"/>
      <c r="D224" s="685">
        <v>0.6</v>
      </c>
      <c r="E224" s="685">
        <f t="shared" si="0"/>
        <v>8.7635609200826553E-2</v>
      </c>
      <c r="F224" s="685">
        <f t="shared" si="1"/>
        <v>0.11785113019775791</v>
      </c>
      <c r="G224" s="685">
        <f t="shared" si="2"/>
        <v>0.74361280247182393</v>
      </c>
      <c r="H224" s="685">
        <f t="shared" si="3"/>
        <v>16.410579234605535</v>
      </c>
      <c r="I224" s="685"/>
    </row>
    <row r="225" spans="2:9" s="5" customFormat="1" hidden="1" x14ac:dyDescent="0.25">
      <c r="B225" s="685"/>
      <c r="C225" s="685"/>
      <c r="D225" s="685">
        <v>0.61</v>
      </c>
      <c r="E225" s="685">
        <f t="shared" si="0"/>
        <v>9.0327697179645727E-2</v>
      </c>
      <c r="F225" s="685">
        <f t="shared" si="1"/>
        <v>0.11785113019775791</v>
      </c>
      <c r="G225" s="685">
        <f t="shared" si="2"/>
        <v>0.76645592645630978</v>
      </c>
      <c r="H225" s="685">
        <f t="shared" si="3"/>
        <v>16.730382970388337</v>
      </c>
      <c r="I225" s="685"/>
    </row>
    <row r="226" spans="2:9" s="5" customFormat="1" hidden="1" x14ac:dyDescent="0.25">
      <c r="B226" s="685"/>
      <c r="C226" s="685"/>
      <c r="D226" s="685">
        <v>0.62</v>
      </c>
      <c r="E226" s="685">
        <f t="shared" si="0"/>
        <v>9.2923259138328163E-2</v>
      </c>
      <c r="F226" s="685">
        <f t="shared" si="1"/>
        <v>0.11785113019775791</v>
      </c>
      <c r="G226" s="685">
        <f t="shared" si="2"/>
        <v>0.78848000000000007</v>
      </c>
      <c r="H226" s="685">
        <f t="shared" si="3"/>
        <v>17.038720000000001</v>
      </c>
      <c r="I226" s="685"/>
    </row>
    <row r="227" spans="2:9" s="5" customFormat="1" hidden="1" x14ac:dyDescent="0.25">
      <c r="B227" s="685"/>
      <c r="C227" s="685"/>
      <c r="D227" s="685">
        <v>0.63</v>
      </c>
      <c r="E227" s="685">
        <f t="shared" si="0"/>
        <v>9.5417185558996656E-2</v>
      </c>
      <c r="F227" s="685">
        <f t="shared" si="1"/>
        <v>0.11785113019775791</v>
      </c>
      <c r="G227" s="685">
        <f t="shared" si="2"/>
        <v>0.80964166740601995</v>
      </c>
      <c r="H227" s="685">
        <f t="shared" si="3"/>
        <v>17.334983343684279</v>
      </c>
      <c r="I227" s="685"/>
    </row>
    <row r="228" spans="2:9" s="5" customFormat="1" hidden="1" x14ac:dyDescent="0.25">
      <c r="B228" s="685"/>
      <c r="C228" s="685"/>
      <c r="D228" s="685">
        <v>0.64</v>
      </c>
      <c r="E228" s="685">
        <f t="shared" si="0"/>
        <v>9.7804499782871854E-2</v>
      </c>
      <c r="F228" s="685">
        <f t="shared" si="1"/>
        <v>0.11785113019775791</v>
      </c>
      <c r="G228" s="685">
        <f t="shared" si="2"/>
        <v>0.82989870032432289</v>
      </c>
      <c r="H228" s="685">
        <f t="shared" si="3"/>
        <v>17.618581804540518</v>
      </c>
      <c r="I228" s="685"/>
    </row>
    <row r="229" spans="2:9" s="5" customFormat="1" hidden="1" x14ac:dyDescent="0.25">
      <c r="B229" s="685"/>
      <c r="C229" s="685"/>
      <c r="D229" s="685">
        <v>0.65</v>
      </c>
      <c r="E229" s="685">
        <f t="shared" si="0"/>
        <v>0.10008034966410184</v>
      </c>
      <c r="F229" s="685">
        <f t="shared" si="1"/>
        <v>0.11785113019775791</v>
      </c>
      <c r="G229" s="685">
        <f t="shared" si="2"/>
        <v>0.84920992693208686</v>
      </c>
      <c r="H229" s="685">
        <f t="shared" si="3"/>
        <v>17.888938977049214</v>
      </c>
      <c r="I229" s="685"/>
    </row>
    <row r="230" spans="2:9" s="5" customFormat="1" hidden="1" x14ac:dyDescent="0.25">
      <c r="B230" s="685"/>
      <c r="C230" s="685"/>
      <c r="D230" s="685">
        <v>0.66</v>
      </c>
      <c r="E230" s="685">
        <f t="shared" si="0"/>
        <v>0.10224</v>
      </c>
      <c r="F230" s="685">
        <f t="shared" si="1"/>
        <v>0.11785113019775791</v>
      </c>
      <c r="G230" s="685">
        <f t="shared" si="2"/>
        <v>0.86753516770215156</v>
      </c>
      <c r="H230" s="685">
        <f t="shared" si="3"/>
        <v>18.145492347830121</v>
      </c>
      <c r="I230" s="685"/>
    </row>
    <row r="231" spans="2:9" s="5" customFormat="1" hidden="1" x14ac:dyDescent="0.25">
      <c r="B231" s="685"/>
      <c r="C231" s="685"/>
      <c r="D231" s="685">
        <v>0.67</v>
      </c>
      <c r="E231" s="685">
        <f t="shared" si="0"/>
        <v>0.1042788256444125</v>
      </c>
      <c r="F231" s="685">
        <f t="shared" si="1"/>
        <v>0.11785113019775791</v>
      </c>
      <c r="G231" s="685">
        <f t="shared" si="2"/>
        <v>0.88483517696800484</v>
      </c>
      <c r="H231" s="685">
        <f t="shared" si="3"/>
        <v>18.387692477552068</v>
      </c>
      <c r="I231" s="685"/>
    </row>
    <row r="232" spans="2:9" s="5" customFormat="1" hidden="1" x14ac:dyDescent="0.25">
      <c r="B232" s="685"/>
      <c r="C232" s="685"/>
      <c r="D232" s="685">
        <v>0.68</v>
      </c>
      <c r="E232" s="685">
        <f t="shared" si="0"/>
        <v>0.10619230522447889</v>
      </c>
      <c r="F232" s="685">
        <f t="shared" si="1"/>
        <v>0.11785113019775791</v>
      </c>
      <c r="G232" s="685">
        <f t="shared" si="2"/>
        <v>0.90107158960872813</v>
      </c>
      <c r="H232" s="685">
        <f t="shared" si="3"/>
        <v>18.615002254522196</v>
      </c>
      <c r="I232" s="685"/>
    </row>
    <row r="233" spans="2:9" s="5" customFormat="1" hidden="1" x14ac:dyDescent="0.25">
      <c r="B233" s="685"/>
      <c r="C233" s="685"/>
      <c r="D233" s="685">
        <v>0.69</v>
      </c>
      <c r="E233" s="685">
        <f t="shared" si="0"/>
        <v>0.10797601539230829</v>
      </c>
      <c r="F233" s="685">
        <f t="shared" si="1"/>
        <v>0.11785113019775791</v>
      </c>
      <c r="G233" s="685">
        <f t="shared" si="2"/>
        <v>0.9162068722728508</v>
      </c>
      <c r="H233" s="685">
        <f t="shared" si="3"/>
        <v>18.826896211819911</v>
      </c>
      <c r="I233" s="685"/>
    </row>
    <row r="234" spans="2:9" s="5" customFormat="1" hidden="1" x14ac:dyDescent="0.25">
      <c r="B234" s="685"/>
      <c r="C234" s="685"/>
      <c r="D234" s="685">
        <v>0.7</v>
      </c>
      <c r="E234" s="685">
        <f t="shared" si="0"/>
        <v>0.10962562555250381</v>
      </c>
      <c r="F234" s="685">
        <f t="shared" si="1"/>
        <v>0.11785113019775791</v>
      </c>
      <c r="G234" s="685">
        <f t="shared" si="2"/>
        <v>0.93020427863991262</v>
      </c>
      <c r="H234" s="685">
        <f t="shared" si="3"/>
        <v>19.022859900958778</v>
      </c>
      <c r="I234" s="685"/>
    </row>
    <row r="235" spans="2:9" s="5" customFormat="1" hidden="1" x14ac:dyDescent="0.25">
      <c r="B235" s="685"/>
      <c r="C235" s="685"/>
      <c r="D235" s="685">
        <v>0.71</v>
      </c>
      <c r="E235" s="685">
        <f t="shared" si="0"/>
        <v>0.11113689301437614</v>
      </c>
      <c r="F235" s="685">
        <f t="shared" si="1"/>
        <v>0.11785113019775791</v>
      </c>
      <c r="G235" s="685">
        <f t="shared" si="2"/>
        <v>0.94302780828563071</v>
      </c>
      <c r="H235" s="685">
        <f t="shared" si="3"/>
        <v>19.202389315998829</v>
      </c>
      <c r="I235" s="685"/>
    </row>
    <row r="236" spans="2:9" s="5" customFormat="1" hidden="1" x14ac:dyDescent="0.25">
      <c r="B236" s="685"/>
      <c r="C236" s="685"/>
      <c r="D236" s="685">
        <v>0.72</v>
      </c>
      <c r="E236" s="685">
        <f t="shared" si="0"/>
        <v>0.11250565852436045</v>
      </c>
      <c r="F236" s="685">
        <f t="shared" si="1"/>
        <v>0.11785113019775791</v>
      </c>
      <c r="G236" s="685">
        <f t="shared" si="2"/>
        <v>0.95464216877320074</v>
      </c>
      <c r="H236" s="685">
        <f t="shared" si="3"/>
        <v>19.364990362824813</v>
      </c>
      <c r="I236" s="685"/>
    </row>
    <row r="237" spans="2:9" s="5" customFormat="1" hidden="1" x14ac:dyDescent="0.25">
      <c r="B237" s="685"/>
      <c r="C237" s="685"/>
      <c r="D237" s="685">
        <v>0.73</v>
      </c>
      <c r="E237" s="685">
        <f t="shared" si="0"/>
        <v>0.11372784213981102</v>
      </c>
      <c r="F237" s="685">
        <f t="shared" si="1"/>
        <v>0.11785113019775791</v>
      </c>
      <c r="G237" s="685">
        <f t="shared" si="2"/>
        <v>0.96501274064128295</v>
      </c>
      <c r="H237" s="685">
        <f t="shared" si="3"/>
        <v>19.510178368977961</v>
      </c>
      <c r="I237" s="685"/>
    </row>
    <row r="238" spans="2:9" s="5" customFormat="1" hidden="1" x14ac:dyDescent="0.25">
      <c r="B238" s="685"/>
      <c r="C238" s="685"/>
      <c r="D238" s="685">
        <v>0.74</v>
      </c>
      <c r="E238" s="685">
        <f t="shared" si="0"/>
        <v>0.11479943941016825</v>
      </c>
      <c r="F238" s="685">
        <f t="shared" si="1"/>
        <v>0.11785113019775791</v>
      </c>
      <c r="G238" s="685">
        <f t="shared" si="2"/>
        <v>0.97410554500013002</v>
      </c>
      <c r="H238" s="685">
        <f t="shared" si="3"/>
        <v>19.637477630001818</v>
      </c>
      <c r="I238" s="685"/>
    </row>
    <row r="239" spans="2:9" s="5" customFormat="1" hidden="1" x14ac:dyDescent="0.25">
      <c r="B239" s="685"/>
      <c r="C239" s="685"/>
      <c r="D239" s="685">
        <v>0.75</v>
      </c>
      <c r="E239" s="685">
        <f t="shared" si="0"/>
        <v>0.11571651783561411</v>
      </c>
      <c r="F239" s="685">
        <f t="shared" si="1"/>
        <v>0.11785113019775791</v>
      </c>
      <c r="G239" s="685">
        <f t="shared" si="2"/>
        <v>0.98188721348228181</v>
      </c>
      <c r="H239" s="685">
        <f t="shared" si="3"/>
        <v>19.746420988751943</v>
      </c>
      <c r="I239" s="685"/>
    </row>
    <row r="240" spans="2:9" s="5" customFormat="1" hidden="1" x14ac:dyDescent="0.25">
      <c r="B240" s="685"/>
      <c r="C240" s="685"/>
      <c r="D240" s="685">
        <v>0.76</v>
      </c>
      <c r="E240" s="685">
        <f t="shared" si="0"/>
        <v>0.11647521357687127</v>
      </c>
      <c r="F240" s="685">
        <f t="shared" si="1"/>
        <v>0.11785113019775791</v>
      </c>
      <c r="G240" s="685">
        <f t="shared" si="2"/>
        <v>0.9883249603242853</v>
      </c>
      <c r="H240" s="685">
        <f t="shared" si="3"/>
        <v>19.836549444539994</v>
      </c>
      <c r="I240" s="685"/>
    </row>
    <row r="241" spans="2:9" s="5" customFormat="1" hidden="1" x14ac:dyDescent="0.25">
      <c r="B241" s="685"/>
      <c r="C241" s="685"/>
      <c r="D241" s="685">
        <v>0.77</v>
      </c>
      <c r="E241" s="685">
        <f t="shared" si="0"/>
        <v>0.11707172839284848</v>
      </c>
      <c r="F241" s="685">
        <f t="shared" si="1"/>
        <v>0.11785113019775791</v>
      </c>
      <c r="G241" s="685">
        <f t="shared" si="2"/>
        <v>0.9933865563817541</v>
      </c>
      <c r="H241" s="685">
        <f t="shared" si="3"/>
        <v>19.907411789344557</v>
      </c>
      <c r="I241" s="685"/>
    </row>
    <row r="242" spans="2:9" s="5" customFormat="1" hidden="1" x14ac:dyDescent="0.25">
      <c r="B242" s="685"/>
      <c r="C242" s="685"/>
      <c r="D242" s="685">
        <v>0.78</v>
      </c>
      <c r="E242" s="685">
        <f t="shared" si="0"/>
        <v>0.11750232678547264</v>
      </c>
      <c r="F242" s="685">
        <f t="shared" si="1"/>
        <v>0.11785113019775791</v>
      </c>
      <c r="G242" s="685">
        <f t="shared" si="2"/>
        <v>0.99704030490246498</v>
      </c>
      <c r="H242" s="685">
        <f t="shared" si="3"/>
        <v>19.958564268634511</v>
      </c>
      <c r="I242" s="685"/>
    </row>
    <row r="243" spans="2:9" s="5" customFormat="1" hidden="1" x14ac:dyDescent="0.25">
      <c r="B243" s="685"/>
      <c r="C243" s="685"/>
      <c r="D243" s="685">
        <v>0.79</v>
      </c>
      <c r="E243" s="685">
        <f t="shared" si="0"/>
        <v>0.11776333333333334</v>
      </c>
      <c r="F243" s="685">
        <f t="shared" si="1"/>
        <v>0.11785113019775791</v>
      </c>
      <c r="G243" s="685">
        <f t="shared" si="2"/>
        <v>0.99925501890158175</v>
      </c>
      <c r="H243" s="685">
        <f t="shared" si="3"/>
        <v>19.989570264622145</v>
      </c>
      <c r="I243" s="685"/>
    </row>
    <row r="244" spans="2:9" s="5" customFormat="1" hidden="1" x14ac:dyDescent="0.25">
      <c r="B244" s="685"/>
      <c r="C244" s="685"/>
      <c r="D244" s="685">
        <v>0.8</v>
      </c>
      <c r="E244" s="685">
        <f t="shared" si="0"/>
        <v>0.11785113019775791</v>
      </c>
      <c r="F244" s="685">
        <f t="shared" si="1"/>
        <v>0.11785113019775791</v>
      </c>
      <c r="G244" s="685">
        <f t="shared" si="2"/>
        <v>1</v>
      </c>
      <c r="H244" s="685">
        <f t="shared" si="3"/>
        <v>20</v>
      </c>
      <c r="I244" s="685"/>
    </row>
    <row r="245" spans="2:9" s="5" customFormat="1" hidden="1" x14ac:dyDescent="0.25">
      <c r="B245" s="685"/>
      <c r="C245" s="685"/>
      <c r="D245" s="685"/>
      <c r="E245" s="685"/>
      <c r="F245" s="685"/>
      <c r="G245" s="685"/>
      <c r="H245" s="685"/>
      <c r="I245" s="685"/>
    </row>
    <row r="246" spans="2:9" s="5" customFormat="1" hidden="1" x14ac:dyDescent="0.25">
      <c r="B246" s="685"/>
      <c r="C246" s="685"/>
      <c r="D246" s="685" t="s">
        <v>212</v>
      </c>
      <c r="E246" s="685"/>
      <c r="F246" s="685"/>
      <c r="G246" s="685"/>
      <c r="H246" s="685"/>
      <c r="I246" s="685"/>
    </row>
    <row r="247" spans="2:9" s="5" customFormat="1" hidden="1" x14ac:dyDescent="0.25">
      <c r="B247" s="685" t="s">
        <v>209</v>
      </c>
      <c r="C247" s="685" t="e">
        <f>C15/100</f>
        <v>#DIV/0!</v>
      </c>
      <c r="D247" s="685" t="e">
        <f>VLOOKUP(C247,D194:H244,5,TRUE)</f>
        <v>#DIV/0!</v>
      </c>
      <c r="E247" s="685"/>
      <c r="F247" s="685"/>
      <c r="G247" s="685"/>
      <c r="H247" s="685"/>
      <c r="I247" s="685"/>
    </row>
    <row r="248" spans="2:9" s="5" customFormat="1" hidden="1" x14ac:dyDescent="0.25">
      <c r="B248" s="685" t="s">
        <v>210</v>
      </c>
      <c r="C248" s="685">
        <f>C18/100</f>
        <v>0.82</v>
      </c>
      <c r="D248" s="685">
        <f>VLOOKUP(C248,D194:H244,5,TRUE)</f>
        <v>20</v>
      </c>
      <c r="E248" s="685"/>
      <c r="F248" s="685"/>
      <c r="G248" s="685"/>
      <c r="H248" s="685"/>
      <c r="I248" s="685"/>
    </row>
    <row r="249" spans="2:9" s="5" customFormat="1" hidden="1" x14ac:dyDescent="0.25">
      <c r="B249" s="685"/>
      <c r="C249" s="685" t="s">
        <v>211</v>
      </c>
      <c r="D249" s="685" t="e">
        <f>D248-D247</f>
        <v>#DIV/0!</v>
      </c>
      <c r="E249" s="685"/>
      <c r="F249" s="685"/>
      <c r="G249" s="685"/>
      <c r="H249" s="685"/>
      <c r="I249" s="685"/>
    </row>
    <row r="250" spans="2:9" s="5" customFormat="1" hidden="1" x14ac:dyDescent="0.25">
      <c r="B250" s="685"/>
      <c r="C250" s="685"/>
      <c r="D250" s="685"/>
      <c r="E250" s="685"/>
      <c r="F250" s="685"/>
      <c r="G250" s="685"/>
      <c r="H250" s="685"/>
      <c r="I250" s="685"/>
    </row>
    <row r="251" spans="2:9" s="5" customFormat="1" hidden="1" x14ac:dyDescent="0.25">
      <c r="B251" s="685"/>
      <c r="C251" s="685"/>
      <c r="D251" s="685"/>
      <c r="E251" s="685"/>
      <c r="F251" s="685"/>
      <c r="G251" s="685"/>
      <c r="H251" s="685"/>
      <c r="I251" s="685"/>
    </row>
    <row r="252" spans="2:9" s="5" customFormat="1" hidden="1" x14ac:dyDescent="0.25">
      <c r="B252" s="685" t="s">
        <v>76</v>
      </c>
      <c r="C252" s="685"/>
      <c r="D252" s="685"/>
      <c r="E252" s="685"/>
      <c r="F252" s="685"/>
      <c r="G252" s="685"/>
      <c r="H252" s="685"/>
      <c r="I252" s="685"/>
    </row>
    <row r="253" spans="2:9" s="5" customFormat="1" hidden="1" x14ac:dyDescent="0.25">
      <c r="B253" s="685"/>
      <c r="C253" s="685"/>
      <c r="D253" s="685"/>
      <c r="E253" s="685"/>
      <c r="F253" s="685"/>
      <c r="G253" s="685"/>
      <c r="H253" s="685"/>
      <c r="I253" s="685"/>
    </row>
    <row r="254" spans="2:9" s="5" customFormat="1" hidden="1" x14ac:dyDescent="0.25">
      <c r="B254" s="685"/>
      <c r="C254" s="685"/>
      <c r="D254" s="685"/>
      <c r="E254" s="685"/>
      <c r="F254" s="685"/>
      <c r="G254" s="685"/>
      <c r="H254" s="685"/>
      <c r="I254" s="685"/>
    </row>
    <row r="255" spans="2:9" s="5" customFormat="1" hidden="1" x14ac:dyDescent="0.25"/>
    <row r="256" spans="2:9" s="5" customFormat="1" hidden="1" x14ac:dyDescent="0.25"/>
    <row r="257" s="5" customFormat="1" hidden="1" x14ac:dyDescent="0.25"/>
    <row r="258" s="5" customFormat="1" hidden="1" x14ac:dyDescent="0.25"/>
    <row r="259" s="5" customFormat="1" hidden="1" x14ac:dyDescent="0.25"/>
    <row r="260" s="5" customFormat="1" hidden="1" x14ac:dyDescent="0.25"/>
    <row r="261" s="5" customFormat="1" hidden="1" x14ac:dyDescent="0.25"/>
    <row r="262" s="5" customFormat="1" hidden="1" x14ac:dyDescent="0.25"/>
    <row r="263" s="5" customFormat="1" hidden="1" x14ac:dyDescent="0.25"/>
    <row r="264" s="5" customFormat="1" hidden="1" x14ac:dyDescent="0.25"/>
    <row r="265" s="5" customFormat="1" hidden="1" x14ac:dyDescent="0.25"/>
    <row r="266" s="5" customFormat="1" hidden="1" x14ac:dyDescent="0.25"/>
    <row r="267" s="5" customFormat="1" hidden="1" x14ac:dyDescent="0.25"/>
    <row r="268" s="5" customFormat="1" hidden="1" x14ac:dyDescent="0.25"/>
    <row r="269" s="5" customFormat="1" hidden="1" x14ac:dyDescent="0.25"/>
    <row r="270" s="5" customFormat="1" hidden="1" x14ac:dyDescent="0.25"/>
    <row r="271" s="5" customFormat="1" hidden="1" x14ac:dyDescent="0.25"/>
    <row r="272" s="5" customFormat="1" hidden="1" x14ac:dyDescent="0.25"/>
    <row r="273" s="5" customFormat="1" hidden="1" x14ac:dyDescent="0.25"/>
    <row r="274" s="5" customFormat="1" hidden="1" x14ac:dyDescent="0.25"/>
    <row r="275" s="5" customFormat="1" hidden="1" x14ac:dyDescent="0.25"/>
    <row r="276" s="5" customFormat="1" hidden="1" x14ac:dyDescent="0.25"/>
    <row r="277" s="5" customFormat="1" hidden="1" x14ac:dyDescent="0.25"/>
    <row r="278" s="5" customFormat="1" hidden="1" x14ac:dyDescent="0.25"/>
    <row r="279" s="5" customFormat="1" hidden="1" x14ac:dyDescent="0.25"/>
    <row r="280" s="5" customFormat="1" hidden="1" x14ac:dyDescent="0.25"/>
    <row r="281" s="5" customFormat="1" hidden="1" x14ac:dyDescent="0.25"/>
    <row r="282" s="5" customFormat="1" hidden="1" x14ac:dyDescent="0.25"/>
    <row r="283" s="5" customFormat="1" hidden="1" x14ac:dyDescent="0.25"/>
    <row r="284" s="5" customFormat="1" hidden="1" x14ac:dyDescent="0.25"/>
    <row r="285" s="5" customFormat="1" hidden="1" x14ac:dyDescent="0.25"/>
    <row r="286" s="5" customFormat="1" hidden="1" x14ac:dyDescent="0.25"/>
    <row r="287" s="5" customFormat="1" hidden="1" x14ac:dyDescent="0.25"/>
    <row r="288" s="5" customFormat="1" hidden="1" x14ac:dyDescent="0.25"/>
    <row r="289" spans="2:4" s="5" customFormat="1" hidden="1" x14ac:dyDescent="0.25"/>
    <row r="290" spans="2:4" s="5" customFormat="1" hidden="1" x14ac:dyDescent="0.25"/>
    <row r="291" spans="2:4" s="5" customFormat="1" hidden="1" x14ac:dyDescent="0.25"/>
    <row r="292" spans="2:4" s="5" customFormat="1" hidden="1" x14ac:dyDescent="0.25"/>
    <row r="293" spans="2:4" s="5" customFormat="1" hidden="1" x14ac:dyDescent="0.25"/>
    <row r="294" spans="2:4" s="5" customFormat="1" hidden="1" x14ac:dyDescent="0.25"/>
    <row r="295" spans="2:4" s="5" customFormat="1" hidden="1" x14ac:dyDescent="0.25">
      <c r="B295" s="682" t="s">
        <v>170</v>
      </c>
      <c r="C295" s="685"/>
      <c r="D295" s="685"/>
    </row>
    <row r="296" spans="2:4" s="5" customFormat="1" hidden="1" x14ac:dyDescent="0.25">
      <c r="B296" s="682" t="s">
        <v>479</v>
      </c>
      <c r="C296" s="685"/>
      <c r="D296" s="685"/>
    </row>
    <row r="297" spans="2:4" s="5" customFormat="1" hidden="1" x14ac:dyDescent="0.25">
      <c r="B297" s="686" t="s">
        <v>11</v>
      </c>
      <c r="C297" s="691" t="e">
        <f>'Baseline farm'!D222</f>
        <v>#DIV/0!</v>
      </c>
      <c r="D297" s="685"/>
    </row>
    <row r="298" spans="2:4" s="5" customFormat="1" hidden="1" x14ac:dyDescent="0.25">
      <c r="B298" s="685"/>
      <c r="C298" s="685"/>
      <c r="D298" s="685"/>
    </row>
    <row r="299" spans="2:4" s="5" customFormat="1" hidden="1" x14ac:dyDescent="0.25">
      <c r="B299" s="686" t="s">
        <v>12</v>
      </c>
      <c r="C299" s="703">
        <f>C10</f>
        <v>0</v>
      </c>
      <c r="D299" s="685"/>
    </row>
    <row r="300" spans="2:4" s="5" customFormat="1" hidden="1" x14ac:dyDescent="0.25">
      <c r="B300" s="686" t="s">
        <v>13</v>
      </c>
      <c r="C300" s="704" t="e">
        <f>C297*C299*365</f>
        <v>#DIV/0!</v>
      </c>
      <c r="D300" s="685"/>
    </row>
    <row r="301" spans="2:4" s="5" customFormat="1" hidden="1" x14ac:dyDescent="0.25">
      <c r="B301" s="682" t="s">
        <v>14</v>
      </c>
      <c r="C301" s="705" t="e">
        <f>C300*25/1000</f>
        <v>#DIV/0!</v>
      </c>
      <c r="D301" s="685"/>
    </row>
    <row r="302" spans="2:4" s="5" customFormat="1" hidden="1" x14ac:dyDescent="0.25">
      <c r="B302" s="685"/>
      <c r="C302" s="685"/>
      <c r="D302" s="685"/>
    </row>
    <row r="303" spans="2:4" s="5" customFormat="1" hidden="1" x14ac:dyDescent="0.25">
      <c r="B303" s="685"/>
      <c r="C303" s="685"/>
      <c r="D303" s="685"/>
    </row>
    <row r="304" spans="2:4" s="5" customFormat="1" hidden="1" x14ac:dyDescent="0.25">
      <c r="B304" s="693" t="s">
        <v>171</v>
      </c>
      <c r="C304" s="685"/>
      <c r="D304" s="685"/>
    </row>
    <row r="305" spans="2:6" s="5" customFormat="1" hidden="1" x14ac:dyDescent="0.25">
      <c r="B305" s="682" t="s">
        <v>479</v>
      </c>
      <c r="C305" s="685"/>
      <c r="D305" s="685"/>
    </row>
    <row r="306" spans="2:6" s="5" customFormat="1" hidden="1" x14ac:dyDescent="0.25">
      <c r="B306" s="685"/>
      <c r="C306" s="685"/>
      <c r="D306" s="685"/>
    </row>
    <row r="307" spans="2:6" s="5" customFormat="1" hidden="1" x14ac:dyDescent="0.25">
      <c r="B307" s="719" t="s">
        <v>1555</v>
      </c>
      <c r="C307" s="691" t="e">
        <f>(C123*(1-C18%)+(0.04*C123))*(1-0.08)</f>
        <v>#DIV/0!</v>
      </c>
      <c r="D307" s="685"/>
    </row>
    <row r="308" spans="2:6" s="5" customFormat="1" hidden="1" x14ac:dyDescent="0.25">
      <c r="B308" s="685"/>
      <c r="C308" s="691"/>
      <c r="D308" s="685"/>
    </row>
    <row r="309" spans="2:6" s="5" customFormat="1" hidden="1" x14ac:dyDescent="0.25">
      <c r="B309" s="719" t="s">
        <v>294</v>
      </c>
      <c r="C309" s="691" t="e">
        <f>C307*'Baseline farm'!C210*'Baseline farm'!I90%*'Baseline farm'!C211</f>
        <v>#DIV/0!</v>
      </c>
      <c r="D309" s="685"/>
    </row>
    <row r="310" spans="2:6" s="5" customFormat="1" hidden="1" x14ac:dyDescent="0.25">
      <c r="B310" s="685"/>
      <c r="C310" s="691"/>
      <c r="D310" s="685"/>
    </row>
    <row r="311" spans="2:6" s="5" customFormat="1" hidden="1" x14ac:dyDescent="0.25">
      <c r="B311" s="686" t="s">
        <v>12</v>
      </c>
      <c r="C311" s="703">
        <f>$C$10</f>
        <v>0</v>
      </c>
      <c r="D311" s="685"/>
      <c r="E311" s="691"/>
      <c r="F311" s="698"/>
    </row>
    <row r="312" spans="2:6" s="5" customFormat="1" hidden="1" x14ac:dyDescent="0.25">
      <c r="B312" s="686" t="s">
        <v>13</v>
      </c>
      <c r="C312" s="704" t="e">
        <f>C309*C311*365</f>
        <v>#DIV/0!</v>
      </c>
      <c r="D312" s="685"/>
      <c r="E312" s="700"/>
      <c r="F312" s="698"/>
    </row>
    <row r="313" spans="2:6" s="5" customFormat="1" hidden="1" x14ac:dyDescent="0.25">
      <c r="B313" s="682" t="s">
        <v>488</v>
      </c>
      <c r="C313" s="705" t="e">
        <f>C312*25/1000</f>
        <v>#DIV/0!</v>
      </c>
      <c r="D313" s="685"/>
      <c r="E313" s="691"/>
      <c r="F313" s="698"/>
    </row>
    <row r="314" spans="2:6" s="5" customFormat="1" hidden="1" x14ac:dyDescent="0.25">
      <c r="B314" s="685"/>
      <c r="C314" s="685"/>
      <c r="D314" s="685"/>
    </row>
    <row r="315" spans="2:6" s="5" customFormat="1" hidden="1" x14ac:dyDescent="0.25">
      <c r="B315" s="693" t="s">
        <v>481</v>
      </c>
      <c r="C315" s="711" t="e">
        <f>C301-C313</f>
        <v>#DIV/0!</v>
      </c>
      <c r="D315" s="685"/>
    </row>
    <row r="316" spans="2:6" s="5" customFormat="1" hidden="1" x14ac:dyDescent="0.25"/>
    <row r="317" spans="2:6" s="5" customFormat="1" hidden="1" x14ac:dyDescent="0.25">
      <c r="B317" s="682" t="s">
        <v>170</v>
      </c>
      <c r="C317" s="685"/>
      <c r="D317" s="685"/>
    </row>
    <row r="318" spans="2:6" s="5" customFormat="1" hidden="1" x14ac:dyDescent="0.25">
      <c r="B318" s="720" t="s">
        <v>464</v>
      </c>
      <c r="C318" s="685"/>
      <c r="D318" s="685"/>
    </row>
    <row r="319" spans="2:6" s="5" customFormat="1" hidden="1" x14ac:dyDescent="0.25">
      <c r="B319" s="685" t="s">
        <v>490</v>
      </c>
      <c r="C319" s="691" t="e">
        <f>'Baseline farm'!D102/298*1000</f>
        <v>#DIV/0!</v>
      </c>
      <c r="D319" s="685"/>
    </row>
    <row r="320" spans="2:6" s="5" customFormat="1" hidden="1" x14ac:dyDescent="0.25">
      <c r="B320" s="685"/>
      <c r="C320" s="685"/>
      <c r="D320" s="685"/>
    </row>
    <row r="321" spans="2:10" s="5" customFormat="1" hidden="1" x14ac:dyDescent="0.25">
      <c r="B321" s="720" t="s">
        <v>1523</v>
      </c>
      <c r="C321" s="685"/>
      <c r="D321" s="685"/>
    </row>
    <row r="322" spans="2:10" s="5" customFormat="1" hidden="1" x14ac:dyDescent="0.25">
      <c r="B322" s="685" t="s">
        <v>490</v>
      </c>
      <c r="C322" s="691" t="e">
        <f>'Baseline farm'!D103/298*1000</f>
        <v>#DIV/0!</v>
      </c>
      <c r="D322" s="685"/>
    </row>
    <row r="323" spans="2:10" s="5" customFormat="1" hidden="1" x14ac:dyDescent="0.25">
      <c r="B323" s="685"/>
      <c r="C323" s="685"/>
      <c r="D323" s="685"/>
    </row>
    <row r="324" spans="2:10" s="5" customFormat="1" hidden="1" x14ac:dyDescent="0.25">
      <c r="B324" s="720" t="s">
        <v>461</v>
      </c>
      <c r="C324" s="685"/>
      <c r="D324" s="685"/>
    </row>
    <row r="325" spans="2:10" s="5" customFormat="1" hidden="1" x14ac:dyDescent="0.25">
      <c r="B325" s="685" t="s">
        <v>490</v>
      </c>
      <c r="C325" s="691" t="e">
        <f>'Baseline farm'!D104/298*1000</f>
        <v>#DIV/0!</v>
      </c>
      <c r="D325" s="685"/>
    </row>
    <row r="326" spans="2:10" s="5" customFormat="1" hidden="1" x14ac:dyDescent="0.25">
      <c r="B326" s="685"/>
      <c r="C326" s="685"/>
      <c r="D326" s="685"/>
    </row>
    <row r="327" spans="2:10" s="5" customFormat="1" hidden="1" x14ac:dyDescent="0.25">
      <c r="B327" s="693" t="s">
        <v>485</v>
      </c>
      <c r="C327" s="685"/>
      <c r="D327" s="685"/>
    </row>
    <row r="328" spans="2:10" s="5" customFormat="1" hidden="1" x14ac:dyDescent="0.25">
      <c r="B328" s="685" t="s">
        <v>490</v>
      </c>
      <c r="C328" s="691" t="e">
        <f>C319+C322+C325</f>
        <v>#DIV/0!</v>
      </c>
      <c r="D328" s="685"/>
    </row>
    <row r="329" spans="2:10" s="5" customFormat="1" hidden="1" x14ac:dyDescent="0.25">
      <c r="B329" s="685"/>
      <c r="C329" s="685"/>
      <c r="D329" s="685"/>
    </row>
    <row r="330" spans="2:10" s="5" customFormat="1" hidden="1" x14ac:dyDescent="0.25">
      <c r="B330" s="682" t="s">
        <v>487</v>
      </c>
      <c r="C330" s="705" t="e">
        <f>C328*310/1000</f>
        <v>#DIV/0!</v>
      </c>
      <c r="D330" s="685"/>
      <c r="E330" s="691"/>
      <c r="F330" s="698"/>
    </row>
    <row r="331" spans="2:10" s="5" customFormat="1" hidden="1" x14ac:dyDescent="0.25"/>
    <row r="332" spans="2:10" s="5" customFormat="1" hidden="1" x14ac:dyDescent="0.25">
      <c r="B332" s="693" t="s">
        <v>171</v>
      </c>
    </row>
    <row r="333" spans="2:10" s="5" customFormat="1" hidden="1" x14ac:dyDescent="0.25"/>
    <row r="334" spans="2:10" s="5" customFormat="1" ht="15.75" hidden="1" x14ac:dyDescent="0.25">
      <c r="B334" s="63" t="s">
        <v>304</v>
      </c>
      <c r="C334" s="63" t="s">
        <v>253</v>
      </c>
      <c r="D334" s="64" t="s">
        <v>489</v>
      </c>
      <c r="E334" s="64"/>
      <c r="F334" s="64"/>
      <c r="G334" s="64"/>
      <c r="H334" s="64"/>
      <c r="I334" s="64">
        <f>I202</f>
        <v>0</v>
      </c>
      <c r="J334" s="65" t="s">
        <v>267</v>
      </c>
    </row>
    <row r="335" spans="2:10" s="5" customFormat="1" ht="15.75" hidden="1" x14ac:dyDescent="0.25">
      <c r="B335" s="66"/>
      <c r="C335" s="66"/>
      <c r="D335" s="66"/>
      <c r="E335" s="66"/>
      <c r="F335" s="66"/>
      <c r="G335" s="66"/>
      <c r="H335" s="66"/>
      <c r="I335" s="66"/>
      <c r="J335" s="67"/>
    </row>
    <row r="336" spans="2:10" s="5" customFormat="1" ht="15.75" hidden="1" x14ac:dyDescent="0.25">
      <c r="B336" s="68" t="s">
        <v>305</v>
      </c>
      <c r="C336" s="66"/>
      <c r="D336" s="68" t="s">
        <v>306</v>
      </c>
      <c r="E336" s="69"/>
      <c r="F336" s="69"/>
      <c r="G336" s="70"/>
      <c r="H336" s="66"/>
      <c r="I336" s="66"/>
      <c r="J336" s="67" t="s">
        <v>307</v>
      </c>
    </row>
    <row r="337" spans="2:10" s="5" customFormat="1" ht="15.75" hidden="1" x14ac:dyDescent="0.25">
      <c r="B337" s="66"/>
      <c r="C337" s="71" t="s">
        <v>472</v>
      </c>
      <c r="D337" s="1535" t="e">
        <f>C123*C20%</f>
        <v>#DIV/0!</v>
      </c>
      <c r="E337" s="72"/>
      <c r="F337" s="72"/>
      <c r="G337" s="72"/>
      <c r="H337" s="72"/>
      <c r="I337" s="66" t="s">
        <v>292</v>
      </c>
      <c r="J337" s="67"/>
    </row>
    <row r="338" spans="2:10" s="5" customFormat="1" ht="15.75" hidden="1" x14ac:dyDescent="0.25">
      <c r="B338" s="73"/>
      <c r="C338" s="73"/>
      <c r="D338" s="73"/>
      <c r="E338" s="73"/>
      <c r="F338" s="73"/>
      <c r="G338" s="74"/>
      <c r="H338" s="66"/>
      <c r="I338" s="66"/>
      <c r="J338" s="67"/>
    </row>
    <row r="339" spans="2:10" s="5" customFormat="1" ht="15.75" hidden="1" x14ac:dyDescent="0.25">
      <c r="B339" s="68" t="s">
        <v>308</v>
      </c>
      <c r="C339" s="69"/>
      <c r="D339" s="68" t="s">
        <v>309</v>
      </c>
      <c r="E339" s="69"/>
      <c r="F339" s="69"/>
      <c r="G339" s="70"/>
      <c r="H339" s="66"/>
      <c r="I339" s="66"/>
      <c r="J339" s="67" t="s">
        <v>310</v>
      </c>
    </row>
    <row r="340" spans="2:10" s="5" customFormat="1" ht="15.75" hidden="1" x14ac:dyDescent="0.25">
      <c r="B340" s="69"/>
      <c r="C340" s="66"/>
      <c r="D340" s="66" t="s">
        <v>311</v>
      </c>
      <c r="E340" s="69"/>
      <c r="F340" s="69"/>
      <c r="G340" s="70"/>
      <c r="H340" s="66"/>
      <c r="I340" s="66"/>
      <c r="J340" s="67"/>
    </row>
    <row r="341" spans="2:10" s="5" customFormat="1" ht="15.75" hidden="1" x14ac:dyDescent="0.25">
      <c r="B341" s="66"/>
      <c r="C341" s="66"/>
      <c r="D341" s="66" t="s">
        <v>312</v>
      </c>
      <c r="E341" s="75"/>
      <c r="F341" s="75"/>
      <c r="G341" s="70"/>
      <c r="H341" s="66"/>
      <c r="I341" s="66"/>
      <c r="J341" s="67"/>
    </row>
    <row r="342" spans="2:10" s="5" customFormat="1" ht="15.75" hidden="1" x14ac:dyDescent="0.25">
      <c r="B342" s="66"/>
      <c r="C342" s="71" t="s">
        <v>472</v>
      </c>
      <c r="D342" s="1399" t="e">
        <f>(0.3*((D337*(1-((C18+10)/100))))+(0.105*((C116)*C123*0.008))+(0.0152*C123))/6.25</f>
        <v>#DIV/0!</v>
      </c>
      <c r="E342" s="72"/>
      <c r="F342" s="72"/>
      <c r="G342" s="72"/>
      <c r="H342" s="72"/>
      <c r="I342" s="66" t="s">
        <v>292</v>
      </c>
      <c r="J342" s="67"/>
    </row>
    <row r="343" spans="2:10" s="5" customFormat="1" ht="15.75" hidden="1" x14ac:dyDescent="0.25">
      <c r="B343" s="66"/>
      <c r="C343" s="66"/>
      <c r="D343" s="66"/>
      <c r="E343" s="66"/>
      <c r="F343" s="66"/>
      <c r="G343" s="66"/>
      <c r="H343" s="66"/>
      <c r="I343" s="66"/>
      <c r="J343" s="67"/>
    </row>
    <row r="344" spans="2:10" s="5" customFormat="1" ht="17.25" hidden="1" x14ac:dyDescent="0.3">
      <c r="B344" s="68" t="s">
        <v>313</v>
      </c>
      <c r="C344" s="66"/>
      <c r="D344" s="76" t="s">
        <v>1551</v>
      </c>
      <c r="E344" s="77"/>
      <c r="F344" s="77"/>
      <c r="G344" s="77"/>
      <c r="H344" s="77"/>
      <c r="I344" s="66"/>
      <c r="J344" s="67" t="s">
        <v>314</v>
      </c>
    </row>
    <row r="345" spans="2:10" s="5" customFormat="1" ht="16.5" hidden="1" thickBot="1" x14ac:dyDescent="0.3">
      <c r="B345" s="66"/>
      <c r="C345" s="66"/>
      <c r="D345" s="66"/>
      <c r="E345" s="66"/>
      <c r="F345" s="66"/>
      <c r="G345" s="66"/>
      <c r="H345" s="66"/>
      <c r="I345" s="66"/>
      <c r="J345" s="67"/>
    </row>
    <row r="346" spans="2:10" s="5" customFormat="1" ht="16.5" hidden="1" thickBot="1" x14ac:dyDescent="0.3">
      <c r="B346" s="78"/>
      <c r="C346" s="79" t="s">
        <v>897</v>
      </c>
      <c r="D346" s="80"/>
      <c r="E346" s="80"/>
      <c r="F346" s="80"/>
      <c r="G346" s="80"/>
      <c r="H346" s="81"/>
      <c r="I346" s="66"/>
      <c r="J346" s="67" t="s">
        <v>315</v>
      </c>
    </row>
    <row r="347" spans="2:10" s="5" customFormat="1" ht="15.75" hidden="1" x14ac:dyDescent="0.25">
      <c r="B347" s="66"/>
      <c r="C347" s="79"/>
      <c r="D347" s="147" t="s">
        <v>249</v>
      </c>
      <c r="E347" s="80"/>
      <c r="F347" s="80"/>
      <c r="G347" s="80"/>
      <c r="H347" s="81"/>
      <c r="I347" s="66"/>
      <c r="J347" s="67"/>
    </row>
    <row r="348" spans="2:10" s="5" customFormat="1" ht="15.75" hidden="1" x14ac:dyDescent="0.25">
      <c r="B348" s="78">
        <v>1</v>
      </c>
      <c r="C348" s="621" t="s">
        <v>1008</v>
      </c>
      <c r="D348" s="148">
        <v>590</v>
      </c>
      <c r="E348" s="82"/>
      <c r="F348" s="82"/>
      <c r="G348" s="82"/>
      <c r="H348" s="83"/>
      <c r="I348" s="66"/>
      <c r="J348" s="67"/>
    </row>
    <row r="349" spans="2:10" s="5" customFormat="1" ht="15.75" hidden="1" x14ac:dyDescent="0.25">
      <c r="B349" s="78">
        <v>2</v>
      </c>
      <c r="C349" s="621" t="s">
        <v>1015</v>
      </c>
      <c r="D349" s="148">
        <v>590</v>
      </c>
      <c r="E349" s="82"/>
      <c r="F349" s="82"/>
      <c r="G349" s="82"/>
      <c r="H349" s="83"/>
      <c r="I349" s="66"/>
      <c r="J349" s="67"/>
    </row>
    <row r="350" spans="2:10" s="5" customFormat="1" ht="15.75" hidden="1" x14ac:dyDescent="0.25">
      <c r="B350" s="78">
        <v>3</v>
      </c>
      <c r="C350" s="621" t="s">
        <v>960</v>
      </c>
      <c r="D350" s="148">
        <v>590</v>
      </c>
      <c r="E350" s="82"/>
      <c r="F350" s="82"/>
      <c r="G350" s="82"/>
      <c r="H350" s="83"/>
      <c r="I350" s="78"/>
      <c r="J350" s="67"/>
    </row>
    <row r="351" spans="2:10" s="5" customFormat="1" ht="15.75" hidden="1" x14ac:dyDescent="0.25">
      <c r="B351" s="78">
        <v>4</v>
      </c>
      <c r="C351" s="621" t="s">
        <v>1010</v>
      </c>
      <c r="D351" s="148">
        <v>590</v>
      </c>
      <c r="E351" s="82"/>
      <c r="F351" s="82"/>
      <c r="G351" s="82"/>
      <c r="H351" s="83"/>
      <c r="I351" s="66"/>
      <c r="J351" s="67"/>
    </row>
    <row r="352" spans="2:10" s="5" customFormat="1" ht="15.75" hidden="1" x14ac:dyDescent="0.25">
      <c r="B352" s="78">
        <v>5</v>
      </c>
      <c r="C352" s="621" t="s">
        <v>1016</v>
      </c>
      <c r="D352" s="148">
        <v>590</v>
      </c>
      <c r="E352" s="82"/>
      <c r="F352" s="82"/>
      <c r="G352" s="82"/>
      <c r="H352" s="83"/>
      <c r="I352" s="66"/>
      <c r="J352" s="67"/>
    </row>
    <row r="353" spans="2:10" s="5" customFormat="1" ht="15.75" hidden="1" x14ac:dyDescent="0.25">
      <c r="B353" s="78">
        <v>6</v>
      </c>
      <c r="C353" s="622" t="s">
        <v>1017</v>
      </c>
      <c r="D353" s="148">
        <v>590</v>
      </c>
      <c r="E353" s="82"/>
      <c r="F353" s="82"/>
      <c r="G353" s="82"/>
      <c r="H353" s="83"/>
      <c r="I353" s="66"/>
      <c r="J353" s="67"/>
    </row>
    <row r="354" spans="2:10" s="5" customFormat="1" ht="16.5" hidden="1" thickBot="1" x14ac:dyDescent="0.3">
      <c r="B354" s="78">
        <v>7</v>
      </c>
      <c r="C354" s="623" t="s">
        <v>1018</v>
      </c>
      <c r="D354" s="148">
        <v>590</v>
      </c>
      <c r="E354" s="82"/>
      <c r="F354" s="82"/>
      <c r="G354" s="82"/>
      <c r="H354" s="83"/>
      <c r="I354" s="66"/>
      <c r="J354" s="67"/>
    </row>
    <row r="355" spans="2:10" s="5" customFormat="1" ht="16.5" hidden="1" thickBot="1" x14ac:dyDescent="0.3">
      <c r="B355" s="66"/>
      <c r="C355" s="84" t="s">
        <v>265</v>
      </c>
      <c r="D355" s="149" t="e">
        <f>VLOOKUP('Baseline farm'!$C$178,$C$348:$H$354,2,FALSE)</f>
        <v>#N/A</v>
      </c>
      <c r="E355" s="85"/>
      <c r="F355" s="85"/>
      <c r="G355" s="85"/>
      <c r="H355" s="85"/>
      <c r="I355" s="66"/>
      <c r="J355" s="67"/>
    </row>
    <row r="356" spans="2:10" s="5" customFormat="1" ht="16.5" hidden="1" thickBot="1" x14ac:dyDescent="0.3">
      <c r="B356" s="66"/>
      <c r="C356" s="84" t="s">
        <v>337</v>
      </c>
      <c r="D356" s="150" t="e">
        <f>IF(D355&gt;0,C11/D355,0)</f>
        <v>#N/A</v>
      </c>
      <c r="E356" s="86"/>
      <c r="F356" s="86"/>
      <c r="G356" s="86"/>
      <c r="H356" s="87"/>
      <c r="I356" s="78"/>
      <c r="J356" s="67"/>
    </row>
    <row r="357" spans="2:10" s="5" customFormat="1" ht="15.75" hidden="1" x14ac:dyDescent="0.25">
      <c r="B357" s="66"/>
      <c r="C357" s="66"/>
      <c r="D357" s="66"/>
      <c r="E357" s="66"/>
      <c r="F357" s="66"/>
      <c r="G357" s="66"/>
      <c r="H357" s="66"/>
      <c r="I357" s="66"/>
      <c r="J357" s="67"/>
    </row>
    <row r="358" spans="2:10" s="5" customFormat="1" ht="15.75" hidden="1" x14ac:dyDescent="0.25">
      <c r="B358" s="66"/>
      <c r="C358" s="71" t="s">
        <v>472</v>
      </c>
      <c r="D358" s="88" t="e">
        <f>((0.032*C114*1.03/6.38)+((0.212-0.008*(C134-2)-((0.14-0.008*(C134-2))/(1+EXP(-6*(D356-0.4)))))*(C12*0.92))/6.25)</f>
        <v>#DIV/0!</v>
      </c>
      <c r="E358" s="88"/>
      <c r="F358" s="88"/>
      <c r="G358" s="88"/>
      <c r="H358" s="88"/>
      <c r="I358" s="78" t="s">
        <v>320</v>
      </c>
      <c r="J358" s="67"/>
    </row>
    <row r="359" spans="2:10" s="5" customFormat="1" ht="15.75" hidden="1" x14ac:dyDescent="0.25">
      <c r="B359" s="66"/>
      <c r="C359" s="89"/>
      <c r="D359" s="88"/>
      <c r="E359" s="88"/>
      <c r="F359" s="88"/>
      <c r="G359" s="88"/>
      <c r="H359" s="88"/>
      <c r="I359" s="78"/>
      <c r="J359" s="67"/>
    </row>
    <row r="360" spans="2:10" s="5" customFormat="1" ht="18.75" hidden="1" x14ac:dyDescent="0.25">
      <c r="B360" s="68" t="s">
        <v>321</v>
      </c>
      <c r="C360" s="66"/>
      <c r="D360" s="90" t="s">
        <v>322</v>
      </c>
      <c r="E360" s="88"/>
      <c r="F360" s="88"/>
      <c r="G360" s="88"/>
      <c r="H360" s="66"/>
      <c r="I360" s="78"/>
      <c r="J360" s="67" t="s">
        <v>323</v>
      </c>
    </row>
    <row r="361" spans="2:10" s="5" customFormat="1" ht="15.75" hidden="1" x14ac:dyDescent="0.25">
      <c r="B361" s="66"/>
      <c r="C361" s="71" t="s">
        <v>472</v>
      </c>
      <c r="D361" s="88" t="e">
        <f>(D337/6.25)-D358-D342-((1.1*10^-4*C11^0.75)/6.25)</f>
        <v>#DIV/0!</v>
      </c>
      <c r="E361" s="88"/>
      <c r="F361" s="88"/>
      <c r="G361" s="88"/>
      <c r="H361" s="88"/>
      <c r="I361" s="78" t="s">
        <v>320</v>
      </c>
      <c r="J361" s="67"/>
    </row>
    <row r="362" spans="2:10" s="5" customFormat="1" ht="15.75" hidden="1" x14ac:dyDescent="0.25">
      <c r="B362" s="66"/>
      <c r="C362" s="66"/>
      <c r="D362" s="66"/>
      <c r="E362" s="66"/>
      <c r="F362" s="66"/>
      <c r="G362" s="66"/>
      <c r="H362" s="66"/>
      <c r="I362" s="78"/>
      <c r="J362" s="67"/>
    </row>
    <row r="363" spans="2:10" s="5" customFormat="1" ht="15.75" hidden="1" x14ac:dyDescent="0.25">
      <c r="B363" s="68" t="s">
        <v>482</v>
      </c>
      <c r="C363" s="66"/>
      <c r="D363" s="68" t="s">
        <v>474</v>
      </c>
      <c r="E363" s="66"/>
      <c r="F363" s="66"/>
      <c r="G363" s="66"/>
      <c r="H363" s="66"/>
      <c r="I363" s="78"/>
      <c r="J363" s="67" t="s">
        <v>324</v>
      </c>
    </row>
    <row r="364" spans="2:10" s="5" customFormat="1" ht="15.75" hidden="1" x14ac:dyDescent="0.25">
      <c r="B364" s="66"/>
      <c r="C364" s="66"/>
      <c r="D364" s="66"/>
      <c r="E364" s="66"/>
      <c r="F364" s="66"/>
      <c r="G364" s="66"/>
      <c r="H364" s="66"/>
      <c r="I364" s="66"/>
      <c r="J364" s="67"/>
    </row>
    <row r="365" spans="2:10" s="5" customFormat="1" ht="15.75" hidden="1" x14ac:dyDescent="0.25">
      <c r="B365" s="66"/>
      <c r="C365" s="71" t="s">
        <v>472</v>
      </c>
      <c r="D365" s="72" t="e">
        <f>(365*C10*D342)*10^-6</f>
        <v>#DIV/0!</v>
      </c>
      <c r="E365" s="72"/>
      <c r="F365" s="72"/>
      <c r="G365" s="72"/>
      <c r="H365" s="72"/>
      <c r="I365" s="66" t="s">
        <v>476</v>
      </c>
      <c r="J365" s="67"/>
    </row>
    <row r="366" spans="2:10" s="5" customFormat="1" ht="15.75" hidden="1" x14ac:dyDescent="0.25">
      <c r="B366" s="66"/>
      <c r="C366" s="66"/>
      <c r="D366" s="66"/>
      <c r="E366" s="66"/>
      <c r="F366" s="66"/>
      <c r="G366" s="66"/>
      <c r="H366" s="66"/>
      <c r="I366" s="66"/>
      <c r="J366" s="67"/>
    </row>
    <row r="367" spans="2:10" s="5" customFormat="1" ht="15.75" hidden="1" x14ac:dyDescent="0.25">
      <c r="B367" s="68" t="s">
        <v>483</v>
      </c>
      <c r="C367" s="66"/>
      <c r="D367" s="68" t="s">
        <v>475</v>
      </c>
      <c r="E367" s="66"/>
      <c r="F367" s="66"/>
      <c r="G367" s="66"/>
      <c r="H367" s="66"/>
      <c r="I367" s="66"/>
      <c r="J367" s="67" t="s">
        <v>326</v>
      </c>
    </row>
    <row r="368" spans="2:10" s="5" customFormat="1" ht="15.75" hidden="1" x14ac:dyDescent="0.25">
      <c r="B368" s="66"/>
      <c r="C368" s="66"/>
      <c r="D368" s="66"/>
      <c r="E368" s="66"/>
      <c r="F368" s="66"/>
      <c r="G368" s="66"/>
      <c r="H368" s="66"/>
      <c r="I368" s="66"/>
      <c r="J368" s="67"/>
    </row>
    <row r="369" spans="2:10" s="5" customFormat="1" ht="15.75" hidden="1" x14ac:dyDescent="0.25">
      <c r="B369" s="66"/>
      <c r="C369" s="71" t="s">
        <v>472</v>
      </c>
      <c r="D369" s="88" t="e">
        <f>(365*C10*D361)*10^-6</f>
        <v>#DIV/0!</v>
      </c>
      <c r="E369" s="88"/>
      <c r="F369" s="88"/>
      <c r="G369" s="88"/>
      <c r="H369" s="88"/>
      <c r="I369" s="66" t="s">
        <v>476</v>
      </c>
      <c r="J369" s="67"/>
    </row>
    <row r="370" spans="2:10" s="5" customFormat="1" ht="15.75" hidden="1" x14ac:dyDescent="0.25">
      <c r="B370" s="66"/>
      <c r="C370" s="66"/>
      <c r="D370" s="66"/>
      <c r="E370" s="66"/>
      <c r="F370" s="66"/>
      <c r="G370" s="66"/>
      <c r="H370" s="66"/>
      <c r="I370" s="66"/>
      <c r="J370" s="67"/>
    </row>
    <row r="371" spans="2:10" s="5" customFormat="1" ht="15.75" hidden="1" x14ac:dyDescent="0.25">
      <c r="B371" s="68" t="s">
        <v>484</v>
      </c>
      <c r="C371" s="66"/>
      <c r="D371" s="68" t="s">
        <v>327</v>
      </c>
      <c r="E371" s="66"/>
      <c r="F371" s="66"/>
      <c r="G371" s="66"/>
      <c r="H371" s="66"/>
      <c r="I371" s="66"/>
      <c r="J371" s="67"/>
    </row>
    <row r="372" spans="2:10" s="5" customFormat="1" ht="15.75" hidden="1" x14ac:dyDescent="0.25">
      <c r="B372" s="66"/>
      <c r="C372" s="66"/>
      <c r="D372" s="91"/>
      <c r="E372" s="91"/>
      <c r="F372" s="91"/>
      <c r="G372" s="91"/>
      <c r="H372" s="91"/>
      <c r="I372" s="78"/>
      <c r="J372" s="67"/>
    </row>
    <row r="373" spans="2:10" s="5" customFormat="1" ht="15.75" hidden="1" x14ac:dyDescent="0.25">
      <c r="B373" s="66"/>
      <c r="C373" s="71" t="s">
        <v>472</v>
      </c>
      <c r="D373" s="91" t="e">
        <f>D365+D369</f>
        <v>#DIV/0!</v>
      </c>
      <c r="E373" s="91"/>
      <c r="F373" s="91"/>
      <c r="G373" s="91"/>
      <c r="H373" s="91"/>
      <c r="I373" s="66" t="s">
        <v>476</v>
      </c>
      <c r="J373" s="67"/>
    </row>
    <row r="374" spans="2:10" s="5" customFormat="1" ht="15.75" hidden="1" x14ac:dyDescent="0.25">
      <c r="B374" s="66"/>
      <c r="C374" s="71"/>
      <c r="D374" s="66"/>
      <c r="E374" s="66"/>
      <c r="F374" s="66"/>
      <c r="G374" s="66"/>
      <c r="H374" s="66"/>
      <c r="I374" s="66"/>
      <c r="J374" s="67"/>
    </row>
    <row r="375" spans="2:10" s="5" customFormat="1" ht="15.75" hidden="1" x14ac:dyDescent="0.25">
      <c r="B375" s="226" t="s">
        <v>328</v>
      </c>
      <c r="C375" s="251"/>
      <c r="D375" s="226" t="s">
        <v>329</v>
      </c>
      <c r="E375" s="251"/>
      <c r="F375" s="251"/>
      <c r="G375" s="251"/>
      <c r="H375" s="236"/>
      <c r="I375" s="224"/>
      <c r="J375" s="225"/>
    </row>
    <row r="376" spans="2:10" s="5" customFormat="1" ht="15.75" hidden="1" x14ac:dyDescent="0.25">
      <c r="B376" s="224"/>
      <c r="C376" s="224"/>
      <c r="D376" s="224" t="s">
        <v>330</v>
      </c>
      <c r="E376" s="254"/>
      <c r="F376" s="254"/>
      <c r="G376" s="254"/>
      <c r="H376" s="254"/>
      <c r="I376" s="224"/>
      <c r="J376" s="225"/>
    </row>
    <row r="377" spans="2:10" s="5" customFormat="1" ht="15.75" hidden="1" x14ac:dyDescent="0.25">
      <c r="B377" s="224"/>
      <c r="C377" s="224"/>
      <c r="D377" s="224" t="s">
        <v>331</v>
      </c>
      <c r="E377" s="224"/>
      <c r="F377" s="224"/>
      <c r="G377" s="224"/>
      <c r="H377" s="224"/>
      <c r="I377" s="224"/>
      <c r="J377" s="225"/>
    </row>
    <row r="378" spans="2:10" s="5" customFormat="1" ht="15.75" hidden="1" x14ac:dyDescent="0.25">
      <c r="B378" s="224"/>
      <c r="C378" s="224"/>
      <c r="D378" s="224"/>
      <c r="E378" s="224"/>
      <c r="F378" s="224"/>
      <c r="G378" s="224"/>
      <c r="H378" s="224"/>
      <c r="I378" s="224"/>
      <c r="J378" s="225"/>
    </row>
    <row r="379" spans="2:10" s="5" customFormat="1" ht="17.25" hidden="1" x14ac:dyDescent="0.3">
      <c r="B379" s="1194" t="s">
        <v>332</v>
      </c>
      <c r="C379" s="1447"/>
      <c r="D379" s="1443" t="s">
        <v>1531</v>
      </c>
      <c r="E379" s="224"/>
      <c r="F379" s="224"/>
      <c r="G379" s="1194" t="s">
        <v>333</v>
      </c>
      <c r="H379" s="224"/>
      <c r="I379" s="224"/>
      <c r="J379" s="255"/>
    </row>
    <row r="380" spans="2:10" s="5" customFormat="1" ht="15.75" hidden="1" x14ac:dyDescent="0.25">
      <c r="B380" s="1420" t="s">
        <v>1462</v>
      </c>
      <c r="C380" s="1431" t="s">
        <v>472</v>
      </c>
      <c r="D380" s="1503" t="e">
        <f>$D$373*'Baseline farm'!C73%</f>
        <v>#DIV/0!</v>
      </c>
      <c r="E380" s="257"/>
      <c r="F380" s="257"/>
      <c r="G380" s="1420">
        <v>0</v>
      </c>
      <c r="H380" s="257"/>
      <c r="I380" s="256"/>
      <c r="J380" s="225"/>
    </row>
    <row r="381" spans="2:10" s="5" customFormat="1" ht="15.75" hidden="1" x14ac:dyDescent="0.25">
      <c r="B381" s="1447"/>
      <c r="C381" s="1447"/>
      <c r="D381" s="1415"/>
      <c r="E381" s="224"/>
      <c r="F381" s="224"/>
      <c r="G381" s="1447"/>
      <c r="H381" s="224"/>
      <c r="I381" s="251"/>
      <c r="J381" s="225"/>
    </row>
    <row r="382" spans="2:10" s="5" customFormat="1" ht="15.75" hidden="1" x14ac:dyDescent="0.25">
      <c r="B382" s="1420" t="s">
        <v>1461</v>
      </c>
      <c r="C382" s="1431" t="s">
        <v>472</v>
      </c>
      <c r="D382" s="1503" t="e">
        <f>$D$373*'Baseline farm'!D73%</f>
        <v>#DIV/0!</v>
      </c>
      <c r="E382" s="257"/>
      <c r="F382" s="257"/>
      <c r="G382" s="1420">
        <v>0</v>
      </c>
      <c r="H382" s="257"/>
      <c r="I382" s="224"/>
      <c r="J382" s="225"/>
    </row>
    <row r="383" spans="2:10" s="5" customFormat="1" ht="15.75" hidden="1" x14ac:dyDescent="0.25">
      <c r="B383" s="1447"/>
      <c r="C383" s="1447"/>
      <c r="D383" s="1415"/>
      <c r="E383" s="224"/>
      <c r="F383" s="224"/>
      <c r="G383" s="1447"/>
      <c r="H383" s="224"/>
      <c r="I383" s="251"/>
      <c r="J383" s="225"/>
    </row>
    <row r="384" spans="2:10" s="5" customFormat="1" ht="15.75" hidden="1" x14ac:dyDescent="0.25">
      <c r="B384" s="1420" t="s">
        <v>1463</v>
      </c>
      <c r="C384" s="1431" t="s">
        <v>472</v>
      </c>
      <c r="D384" s="1503" t="e">
        <f>$D$373*'Baseline farm'!E73%</f>
        <v>#DIV/0!</v>
      </c>
      <c r="E384" s="257"/>
      <c r="F384" s="257"/>
      <c r="G384" s="1420">
        <v>0</v>
      </c>
      <c r="H384" s="257"/>
      <c r="I384" s="224"/>
      <c r="J384" s="225"/>
    </row>
    <row r="385" spans="2:13" s="5" customFormat="1" ht="15.75" hidden="1" x14ac:dyDescent="0.25">
      <c r="B385" s="1447"/>
      <c r="C385" s="1431"/>
      <c r="D385" s="1415"/>
      <c r="E385" s="257"/>
      <c r="F385" s="257"/>
      <c r="G385" s="1447"/>
      <c r="H385" s="257"/>
      <c r="I385" s="251"/>
      <c r="J385" s="225"/>
    </row>
    <row r="386" spans="2:13" s="5" customFormat="1" ht="15.75" hidden="1" x14ac:dyDescent="0.25">
      <c r="B386" s="1420" t="s">
        <v>1464</v>
      </c>
      <c r="C386" s="1431" t="s">
        <v>472</v>
      </c>
      <c r="D386" s="1503" t="e">
        <f>$D$373*'Baseline farm'!F73%</f>
        <v>#DIV/0!</v>
      </c>
      <c r="E386" s="257"/>
      <c r="F386" s="257"/>
      <c r="G386" s="1431">
        <v>5.0000000000000001E-3</v>
      </c>
      <c r="H386" s="257"/>
      <c r="I386" s="224"/>
      <c r="J386" s="225"/>
    </row>
    <row r="387" spans="2:13" s="5" customFormat="1" ht="15.75" hidden="1" x14ac:dyDescent="0.25">
      <c r="B387" s="1447"/>
      <c r="C387" s="1431"/>
      <c r="D387" s="1415"/>
      <c r="E387" s="257"/>
      <c r="F387" s="257"/>
      <c r="G387" s="1447"/>
      <c r="H387" s="257"/>
      <c r="I387" s="229"/>
      <c r="J387" s="225"/>
    </row>
    <row r="388" spans="2:13" s="5" customFormat="1" ht="15.75" hidden="1" x14ac:dyDescent="0.25">
      <c r="B388" s="1420" t="s">
        <v>1465</v>
      </c>
      <c r="C388" s="1431" t="s">
        <v>472</v>
      </c>
      <c r="D388" s="1503" t="e">
        <f>$D$373*'Baseline farm'!G73%</f>
        <v>#DIV/0!</v>
      </c>
      <c r="E388" s="257"/>
      <c r="F388" s="257"/>
      <c r="G388" s="1420">
        <v>0</v>
      </c>
      <c r="H388" s="257"/>
      <c r="I388" s="224"/>
      <c r="J388" s="225"/>
    </row>
    <row r="389" spans="2:13" s="5" customFormat="1" ht="15.75" hidden="1" x14ac:dyDescent="0.25">
      <c r="B389" s="1447"/>
      <c r="C389" s="1447"/>
      <c r="D389" s="1415"/>
      <c r="E389" s="257"/>
      <c r="F389" s="257"/>
      <c r="G389" s="1447"/>
      <c r="H389" s="257"/>
      <c r="I389" s="229"/>
      <c r="J389" s="225"/>
    </row>
    <row r="390" spans="2:13" s="5" customFormat="1" ht="17.25" hidden="1" x14ac:dyDescent="0.3">
      <c r="B390" s="1443" t="s">
        <v>1450</v>
      </c>
      <c r="C390" s="1431" t="s">
        <v>472</v>
      </c>
      <c r="D390" s="1503" t="e">
        <f>SUM(D380,D382,D384,D386,D388)</f>
        <v>#DIV/0!</v>
      </c>
      <c r="E390" s="257"/>
      <c r="F390" s="257"/>
      <c r="G390" s="1447" t="s">
        <v>476</v>
      </c>
      <c r="H390" s="257"/>
      <c r="I390" s="224"/>
      <c r="J390" s="225"/>
    </row>
    <row r="391" spans="2:13" s="5" customFormat="1" ht="15.75" hidden="1" x14ac:dyDescent="0.25">
      <c r="B391" s="1447"/>
      <c r="C391" s="1447"/>
      <c r="D391" s="1504"/>
      <c r="E391" s="257"/>
      <c r="F391" s="257"/>
      <c r="G391" s="1447"/>
      <c r="H391" s="257"/>
      <c r="I391" s="251"/>
      <c r="J391" s="225"/>
    </row>
    <row r="392" spans="2:13" s="5" customFormat="1" ht="17.25" hidden="1" x14ac:dyDescent="0.3">
      <c r="B392" s="1443" t="s">
        <v>1480</v>
      </c>
      <c r="C392" s="1431" t="s">
        <v>472</v>
      </c>
      <c r="D392" s="1505" t="e">
        <f>((D380*G380)+(D382*G382)+(D384*G384)+(D386*G386))*44/28</f>
        <v>#DIV/0!</v>
      </c>
      <c r="E392" s="257"/>
      <c r="F392" s="257"/>
      <c r="G392" s="1447" t="s">
        <v>1452</v>
      </c>
      <c r="H392" s="257"/>
      <c r="I392" s="224"/>
      <c r="J392" s="225"/>
    </row>
    <row r="393" spans="2:13" s="5" customFormat="1" ht="15.75" hidden="1" x14ac:dyDescent="0.25">
      <c r="B393" s="1447"/>
      <c r="C393" s="1431"/>
      <c r="D393" s="1447"/>
      <c r="E393" s="224"/>
      <c r="F393" s="224"/>
      <c r="G393" s="1447"/>
      <c r="H393" s="224"/>
      <c r="I393" s="224"/>
      <c r="J393" s="225"/>
    </row>
    <row r="394" spans="2:13" s="5" customFormat="1" ht="15.75" hidden="1" x14ac:dyDescent="0.25">
      <c r="B394" s="1443" t="s">
        <v>1437</v>
      </c>
      <c r="C394" s="1431"/>
      <c r="D394" s="1443" t="s">
        <v>1438</v>
      </c>
      <c r="E394" s="257"/>
      <c r="F394" s="257"/>
      <c r="G394" s="1443" t="s">
        <v>1453</v>
      </c>
      <c r="H394" s="257"/>
      <c r="I394" s="224"/>
      <c r="J394" s="225"/>
    </row>
    <row r="395" spans="2:13" s="5" customFormat="1" ht="15.75" hidden="1" x14ac:dyDescent="0.25">
      <c r="B395" s="1420"/>
      <c r="C395" s="1431"/>
      <c r="D395" s="1447"/>
      <c r="E395" s="224"/>
      <c r="F395" s="224"/>
      <c r="G395" s="1447"/>
      <c r="H395" s="224"/>
      <c r="I395" s="224"/>
      <c r="J395" s="225"/>
    </row>
    <row r="396" spans="2:13" s="5" customFormat="1" ht="15.75" hidden="1" x14ac:dyDescent="0.25">
      <c r="B396" s="1420" t="s">
        <v>1462</v>
      </c>
      <c r="C396" s="1431"/>
      <c r="D396" s="1504" t="e">
        <f>D380*G396</f>
        <v>#DIV/0!</v>
      </c>
      <c r="E396" s="224"/>
      <c r="F396" s="224"/>
      <c r="G396" s="1447">
        <v>0.35</v>
      </c>
      <c r="H396" s="224"/>
      <c r="I396" s="224"/>
      <c r="J396" s="225"/>
    </row>
    <row r="397" spans="2:13" s="5" customFormat="1" ht="15.75" hidden="1" x14ac:dyDescent="0.25">
      <c r="B397" s="1447"/>
      <c r="C397" s="1431"/>
      <c r="D397" s="1504"/>
      <c r="E397" s="224"/>
      <c r="F397" s="224"/>
      <c r="G397" s="1447"/>
      <c r="H397" s="224"/>
      <c r="I397" s="224"/>
      <c r="J397" s="225"/>
    </row>
    <row r="398" spans="2:13" s="5" customFormat="1" ht="15.75" hidden="1" x14ac:dyDescent="0.25">
      <c r="B398" s="1420" t="s">
        <v>1461</v>
      </c>
      <c r="C398" s="1431"/>
      <c r="D398" s="1504" t="e">
        <f>D382*G398</f>
        <v>#DIV/0!</v>
      </c>
      <c r="E398" s="251"/>
      <c r="F398" s="251"/>
      <c r="G398" s="1447">
        <v>7.0000000000000007E-2</v>
      </c>
      <c r="H398" s="224"/>
      <c r="I398" s="224"/>
      <c r="J398" s="225"/>
    </row>
    <row r="399" spans="2:13" s="5" customFormat="1" ht="15.75" hidden="1" x14ac:dyDescent="0.25">
      <c r="B399" s="1447"/>
      <c r="C399" s="1431"/>
      <c r="D399" s="1504"/>
      <c r="E399" s="1502"/>
      <c r="F399" s="1502"/>
      <c r="G399" s="1447"/>
      <c r="H399" s="224"/>
      <c r="I399" s="224"/>
      <c r="J399" s="225"/>
    </row>
    <row r="400" spans="2:13" s="5" customFormat="1" ht="15.75" hidden="1" x14ac:dyDescent="0.25">
      <c r="B400" s="1420" t="s">
        <v>1463</v>
      </c>
      <c r="C400" s="1431"/>
      <c r="D400" s="1504" t="e">
        <f>D384*G400</f>
        <v>#DIV/0!</v>
      </c>
      <c r="E400" s="224"/>
      <c r="F400" s="224"/>
      <c r="G400" s="1447">
        <v>0.2</v>
      </c>
      <c r="H400" s="224"/>
      <c r="I400" s="224"/>
      <c r="J400" s="225"/>
      <c r="K400" s="105"/>
      <c r="L400" s="62"/>
      <c r="M400" s="62"/>
    </row>
    <row r="401" spans="2:20" s="5" customFormat="1" ht="15.75" hidden="1" x14ac:dyDescent="0.25">
      <c r="B401" s="1447"/>
      <c r="C401" s="1431"/>
      <c r="D401" s="1504"/>
      <c r="E401" s="224"/>
      <c r="F401" s="224"/>
      <c r="G401" s="1447"/>
      <c r="H401" s="224"/>
      <c r="I401" s="224"/>
      <c r="J401" s="225"/>
      <c r="K401" s="62"/>
      <c r="L401" s="62"/>
      <c r="M401" s="62"/>
    </row>
    <row r="402" spans="2:20" s="5" customFormat="1" ht="15.75" hidden="1" x14ac:dyDescent="0.25">
      <c r="B402" s="1420" t="s">
        <v>1464</v>
      </c>
      <c r="C402" s="1431"/>
      <c r="D402" s="1504" t="e">
        <f>D386*G402</f>
        <v>#DIV/0!</v>
      </c>
      <c r="E402" s="224"/>
      <c r="F402" s="224"/>
      <c r="G402" s="1447">
        <v>0.3</v>
      </c>
      <c r="H402" s="224"/>
      <c r="I402" s="224"/>
      <c r="J402" s="225"/>
      <c r="K402" s="62"/>
      <c r="L402" s="62"/>
      <c r="M402" s="62"/>
    </row>
    <row r="403" spans="2:20" s="5" customFormat="1" ht="15.75" hidden="1" x14ac:dyDescent="0.25">
      <c r="B403" s="1447"/>
      <c r="C403" s="1431"/>
      <c r="D403" s="1506"/>
      <c r="E403" s="224"/>
      <c r="F403" s="224"/>
      <c r="G403" s="1447"/>
      <c r="H403" s="224"/>
      <c r="I403" s="224"/>
      <c r="J403" s="225"/>
      <c r="K403" s="62"/>
      <c r="L403" s="62"/>
      <c r="M403" s="62"/>
    </row>
    <row r="404" spans="2:20" s="5" customFormat="1" ht="15.75" hidden="1" x14ac:dyDescent="0.25">
      <c r="B404" s="1420" t="s">
        <v>1465</v>
      </c>
      <c r="C404" s="1431"/>
      <c r="D404" s="1504" t="e">
        <f>D388*G404</f>
        <v>#DIV/0!</v>
      </c>
      <c r="E404" s="224"/>
      <c r="F404" s="224"/>
      <c r="G404" s="1447">
        <v>0</v>
      </c>
      <c r="H404" s="224"/>
      <c r="I404" s="224"/>
      <c r="J404" s="225"/>
      <c r="K404" s="62"/>
      <c r="L404" s="62"/>
      <c r="M404" s="62"/>
    </row>
    <row r="405" spans="2:20" s="5" customFormat="1" ht="15.75" hidden="1" x14ac:dyDescent="0.25">
      <c r="B405" s="1447"/>
      <c r="C405" s="1431"/>
      <c r="D405" s="1447"/>
      <c r="E405" s="224"/>
      <c r="F405" s="224"/>
      <c r="G405" s="1447"/>
      <c r="H405" s="224"/>
      <c r="I405" s="224"/>
      <c r="J405" s="225"/>
      <c r="K405" s="62"/>
      <c r="L405" s="62"/>
      <c r="M405" s="62"/>
    </row>
    <row r="406" spans="2:20" s="5" customFormat="1" ht="15.75" hidden="1" x14ac:dyDescent="0.25">
      <c r="B406" s="1443" t="s">
        <v>1455</v>
      </c>
      <c r="C406" s="1431"/>
      <c r="D406" s="1443" t="s">
        <v>1456</v>
      </c>
      <c r="E406" s="224"/>
      <c r="F406" s="224"/>
      <c r="G406" s="1443" t="s">
        <v>1457</v>
      </c>
      <c r="H406" s="224"/>
      <c r="I406" s="224"/>
      <c r="J406" s="225"/>
      <c r="K406" s="62"/>
      <c r="L406" s="62"/>
      <c r="M406" s="62"/>
    </row>
    <row r="407" spans="2:20" s="5" customFormat="1" ht="15.75" hidden="1" x14ac:dyDescent="0.25">
      <c r="B407" s="1447"/>
      <c r="C407" s="1431"/>
      <c r="D407" s="1504" t="e">
        <f>SUM(D396:D402)*G407*44/28</f>
        <v>#DIV/0!</v>
      </c>
      <c r="E407" s="224"/>
      <c r="F407" s="224"/>
      <c r="G407" s="1447">
        <v>4.0000000000000001E-3</v>
      </c>
      <c r="H407" s="224"/>
      <c r="I407" s="224"/>
      <c r="J407" s="225"/>
      <c r="K407" s="62"/>
      <c r="L407" s="62"/>
      <c r="M407" s="62"/>
    </row>
    <row r="408" spans="2:20" s="5" customFormat="1" ht="15.75" hidden="1" x14ac:dyDescent="0.25">
      <c r="B408" s="1447"/>
      <c r="C408" s="1431"/>
      <c r="D408" s="1504"/>
      <c r="E408" s="224"/>
      <c r="F408" s="224"/>
      <c r="G408" s="1447"/>
      <c r="H408" s="224"/>
      <c r="I408" s="224"/>
      <c r="J408" s="225"/>
      <c r="K408" s="62"/>
      <c r="L408" s="62"/>
      <c r="M408" s="62"/>
    </row>
    <row r="409" spans="2:20" s="5" customFormat="1" ht="15.75" hidden="1" x14ac:dyDescent="0.25">
      <c r="B409" s="1447" t="s">
        <v>1460</v>
      </c>
      <c r="C409" s="1431"/>
      <c r="D409" s="1507" t="e">
        <f>SUM(D407)*298*10^3</f>
        <v>#DIV/0!</v>
      </c>
      <c r="E409" s="224"/>
      <c r="F409" s="224"/>
      <c r="G409" s="1447" t="s">
        <v>1468</v>
      </c>
      <c r="H409" s="224"/>
      <c r="I409" s="224"/>
      <c r="J409" s="225"/>
      <c r="K409" s="61"/>
      <c r="L409" s="119"/>
      <c r="M409" s="120"/>
    </row>
    <row r="410" spans="2:20" s="5" customFormat="1" ht="15.75" hidden="1" x14ac:dyDescent="0.25">
      <c r="B410" s="1447"/>
      <c r="C410" s="1431"/>
      <c r="D410" s="1447"/>
      <c r="E410" s="224"/>
      <c r="F410" s="224"/>
      <c r="G410" s="1447"/>
      <c r="H410" s="224"/>
      <c r="I410" s="224"/>
      <c r="J410" s="225"/>
      <c r="K410" s="61"/>
      <c r="L410" s="119"/>
      <c r="M410" s="121"/>
    </row>
    <row r="411" spans="2:20" s="5" customFormat="1" ht="17.25" hidden="1" x14ac:dyDescent="0.3">
      <c r="B411" s="1443" t="s">
        <v>1459</v>
      </c>
      <c r="C411" s="1431"/>
      <c r="D411" s="1443" t="s">
        <v>1510</v>
      </c>
      <c r="E411" s="224"/>
      <c r="F411" s="224"/>
      <c r="G411" s="1443" t="s">
        <v>1466</v>
      </c>
      <c r="H411" s="224"/>
      <c r="I411" s="224"/>
      <c r="J411" s="225"/>
      <c r="K411" s="62"/>
      <c r="L411" s="61"/>
      <c r="M411" s="121"/>
    </row>
    <row r="412" spans="2:20" s="5" customFormat="1" ht="15.75" hidden="1" x14ac:dyDescent="0.25">
      <c r="B412" s="1447"/>
      <c r="C412" s="1431"/>
      <c r="D412" s="1447"/>
      <c r="E412" s="224"/>
      <c r="F412" s="224"/>
      <c r="G412" s="1447">
        <v>1</v>
      </c>
      <c r="H412" s="224"/>
      <c r="I412" s="224"/>
      <c r="J412" s="225"/>
      <c r="K412" s="62"/>
      <c r="L412" s="124"/>
      <c r="M412" s="121"/>
      <c r="N412" s="62"/>
      <c r="O412" s="62"/>
      <c r="P412" s="62"/>
      <c r="Q412" s="62"/>
      <c r="R412" s="62"/>
      <c r="S412" s="62"/>
      <c r="T412" s="62"/>
    </row>
    <row r="413" spans="2:20" s="5" customFormat="1" ht="15.75" hidden="1" x14ac:dyDescent="0.25">
      <c r="B413" s="1447" t="s">
        <v>1522</v>
      </c>
      <c r="C413" s="1431"/>
      <c r="D413" s="1508" t="e">
        <f>D386*G412*G414</f>
        <v>#DIV/0!</v>
      </c>
      <c r="E413" s="224"/>
      <c r="F413" s="224"/>
      <c r="G413" s="1443" t="s">
        <v>1467</v>
      </c>
      <c r="H413" s="224"/>
      <c r="I413" s="224"/>
      <c r="J413" s="225"/>
      <c r="K413" s="62"/>
      <c r="L413" s="124"/>
      <c r="M413" s="121"/>
      <c r="N413" s="62"/>
      <c r="O413" s="62"/>
      <c r="P413" s="62"/>
      <c r="Q413" s="62"/>
      <c r="R413" s="62"/>
      <c r="S413" s="62"/>
      <c r="T413" s="62"/>
    </row>
    <row r="414" spans="2:20" s="5" customFormat="1" ht="15.75" hidden="1" x14ac:dyDescent="0.25">
      <c r="B414" s="1443"/>
      <c r="C414" s="1423"/>
      <c r="D414" s="1447"/>
      <c r="E414" s="224"/>
      <c r="F414" s="224"/>
      <c r="G414" s="1435">
        <v>0.3</v>
      </c>
      <c r="H414" s="224"/>
      <c r="I414" s="224"/>
      <c r="J414" s="225"/>
      <c r="K414" s="62"/>
      <c r="L414" s="124"/>
      <c r="M414" s="124"/>
      <c r="N414" s="62"/>
      <c r="O414" s="62"/>
      <c r="P414" s="62"/>
      <c r="Q414" s="62"/>
      <c r="R414" s="62"/>
      <c r="S414" s="62"/>
      <c r="T414" s="62"/>
    </row>
    <row r="415" spans="2:20" s="5" customFormat="1" ht="15.75" hidden="1" x14ac:dyDescent="0.25">
      <c r="B415" s="1443"/>
      <c r="C415" s="1423"/>
      <c r="D415" s="1443" t="s">
        <v>1513</v>
      </c>
      <c r="E415" s="224"/>
      <c r="F415" s="224"/>
      <c r="G415" s="1441" t="s">
        <v>1475</v>
      </c>
      <c r="H415" s="224"/>
      <c r="I415" s="224"/>
      <c r="J415" s="225"/>
      <c r="K415" s="62"/>
      <c r="L415" s="124"/>
      <c r="M415" s="124"/>
      <c r="N415" s="62"/>
      <c r="O415" s="62"/>
      <c r="P415" s="62"/>
      <c r="Q415" s="62"/>
      <c r="R415" s="62"/>
      <c r="S415" s="62"/>
      <c r="T415" s="62"/>
    </row>
    <row r="416" spans="2:20" s="5" customFormat="1" ht="15.75" hidden="1" x14ac:dyDescent="0.25">
      <c r="B416" s="1443"/>
      <c r="C416" s="1423"/>
      <c r="D416" s="1509" t="e">
        <f>D413*G416*44/28</f>
        <v>#DIV/0!</v>
      </c>
      <c r="E416" s="224"/>
      <c r="F416" s="224"/>
      <c r="G416" s="1440">
        <v>7.4999999999999997E-3</v>
      </c>
      <c r="H416" s="224"/>
      <c r="I416" s="224"/>
      <c r="J416" s="225"/>
      <c r="K416" s="61"/>
      <c r="L416" s="125"/>
      <c r="M416" s="62"/>
      <c r="N416" s="62"/>
      <c r="O416" s="62"/>
      <c r="P416" s="62"/>
      <c r="Q416" s="62"/>
      <c r="R416" s="62"/>
      <c r="S416" s="62"/>
      <c r="T416" s="62"/>
    </row>
    <row r="417" spans="2:20" s="5" customFormat="1" ht="15.75" hidden="1" x14ac:dyDescent="0.25">
      <c r="B417" s="1443"/>
      <c r="C417" s="1235"/>
      <c r="D417" s="1447"/>
      <c r="E417" s="224"/>
      <c r="F417" s="224"/>
      <c r="G417" s="1447"/>
      <c r="H417" s="224"/>
      <c r="I417" s="224"/>
      <c r="J417" s="225"/>
      <c r="K417" s="61"/>
      <c r="L417" s="121"/>
      <c r="M417" s="62"/>
      <c r="N417" s="62"/>
      <c r="O417" s="62"/>
      <c r="P417" s="62"/>
      <c r="Q417" s="62"/>
      <c r="R417" s="62"/>
      <c r="S417" s="62"/>
      <c r="T417" s="62"/>
    </row>
    <row r="418" spans="2:20" s="5" customFormat="1" ht="15.75" hidden="1" x14ac:dyDescent="0.25">
      <c r="B418" s="97" t="s">
        <v>1469</v>
      </c>
      <c r="C418" s="618"/>
      <c r="D418" s="1510" t="e">
        <f>SUM(D416)*298*10^3</f>
        <v>#DIV/0!</v>
      </c>
      <c r="E418" s="1511"/>
      <c r="F418" s="1511"/>
      <c r="G418" s="1237" t="s">
        <v>1468</v>
      </c>
      <c r="H418" s="1511"/>
      <c r="I418" s="1511"/>
      <c r="J418" s="1528"/>
      <c r="K418" s="61"/>
      <c r="L418" s="127"/>
      <c r="M418" s="62"/>
      <c r="N418" s="62"/>
      <c r="O418" s="62"/>
      <c r="P418" s="62"/>
      <c r="Q418" s="62"/>
      <c r="R418" s="62"/>
      <c r="S418" s="62"/>
      <c r="T418" s="62"/>
    </row>
    <row r="419" spans="2:20" s="5" customFormat="1" ht="15.75" hidden="1" x14ac:dyDescent="0.25">
      <c r="B419" s="1300"/>
      <c r="C419" s="1300"/>
      <c r="D419" s="1529"/>
      <c r="E419" s="1300"/>
      <c r="F419" s="1300"/>
      <c r="G419" s="1300"/>
      <c r="H419" s="1300"/>
      <c r="I419" s="1300"/>
      <c r="J419" s="1300"/>
      <c r="K419" s="61"/>
      <c r="L419" s="125"/>
      <c r="M419" s="62"/>
      <c r="N419" s="62"/>
      <c r="O419" s="62"/>
      <c r="P419" s="62"/>
      <c r="Q419" s="62"/>
      <c r="R419" s="62"/>
      <c r="S419" s="62"/>
      <c r="T419" s="62"/>
    </row>
    <row r="420" spans="2:20" s="5" customFormat="1" ht="15.75" hidden="1" x14ac:dyDescent="0.25">
      <c r="B420" s="258" t="s">
        <v>282</v>
      </c>
      <c r="C420" s="259"/>
      <c r="D420" s="260"/>
      <c r="E420" s="260"/>
      <c r="F420" s="260"/>
      <c r="G420" s="260"/>
      <c r="H420" s="260"/>
      <c r="I420" s="1530"/>
      <c r="J420" s="1531"/>
      <c r="K420" s="128"/>
      <c r="L420" s="61"/>
      <c r="M420" s="61"/>
      <c r="N420" s="62"/>
      <c r="O420" s="62"/>
      <c r="P420" s="62"/>
      <c r="Q420" s="62"/>
      <c r="R420" s="62"/>
      <c r="S420" s="62"/>
      <c r="T420" s="62"/>
    </row>
    <row r="421" spans="2:20" s="5" customFormat="1" ht="15.75" hidden="1" x14ac:dyDescent="0.25">
      <c r="B421" s="262"/>
      <c r="C421" s="262"/>
      <c r="D421" s="262"/>
      <c r="E421" s="263"/>
      <c r="F421" s="263"/>
      <c r="G421" s="263"/>
      <c r="H421" s="263"/>
      <c r="I421" s="262"/>
      <c r="J421" s="275"/>
      <c r="K421" s="62"/>
      <c r="L421" s="62"/>
      <c r="M421" s="129"/>
      <c r="N421" s="62"/>
      <c r="O421" s="62"/>
      <c r="P421" s="62"/>
      <c r="Q421" s="62"/>
      <c r="R421" s="62"/>
      <c r="S421" s="62"/>
      <c r="T421" s="62"/>
    </row>
    <row r="422" spans="2:20" s="5" customFormat="1" ht="17.25" hidden="1" x14ac:dyDescent="0.3">
      <c r="B422" s="1473" t="s">
        <v>365</v>
      </c>
      <c r="C422" s="1473" t="s">
        <v>1477</v>
      </c>
      <c r="D422" s="1474"/>
      <c r="E422" s="263"/>
      <c r="F422" s="263"/>
      <c r="G422" s="266"/>
      <c r="H422" s="266"/>
      <c r="I422" s="262"/>
      <c r="J422" s="264"/>
      <c r="K422" s="62"/>
      <c r="L422" s="62"/>
      <c r="M422" s="129"/>
      <c r="N422" s="62"/>
      <c r="O422" s="62"/>
      <c r="P422" s="62"/>
      <c r="Q422" s="62"/>
      <c r="R422" s="62"/>
      <c r="S422" s="62"/>
      <c r="T422" s="62"/>
    </row>
    <row r="423" spans="2:20" s="5" customFormat="1" ht="15.75" hidden="1" x14ac:dyDescent="0.25">
      <c r="B423" s="1455"/>
      <c r="C423" s="1455" t="s">
        <v>367</v>
      </c>
      <c r="D423" s="1455"/>
      <c r="E423" s="263"/>
      <c r="F423" s="263"/>
      <c r="G423" s="263"/>
      <c r="H423" s="263"/>
      <c r="I423" s="262"/>
      <c r="J423" s="264"/>
      <c r="K423" s="62"/>
      <c r="L423" s="62"/>
      <c r="M423" s="129"/>
      <c r="N423" s="62"/>
      <c r="O423" s="62"/>
      <c r="P423" s="62"/>
      <c r="Q423" s="62"/>
      <c r="R423" s="62"/>
      <c r="S423" s="62"/>
      <c r="T423" s="62"/>
    </row>
    <row r="424" spans="2:20" s="5" customFormat="1" ht="15.75" hidden="1" x14ac:dyDescent="0.25">
      <c r="B424" s="1455"/>
      <c r="C424" s="1474" t="s">
        <v>1504</v>
      </c>
      <c r="D424" s="1455"/>
      <c r="E424" s="263"/>
      <c r="F424" s="263"/>
      <c r="G424" s="263"/>
      <c r="H424" s="263"/>
      <c r="I424" s="262"/>
      <c r="J424" s="264"/>
      <c r="K424" s="62"/>
      <c r="L424" s="62"/>
      <c r="M424" s="129"/>
      <c r="N424" s="62"/>
      <c r="O424" s="62"/>
      <c r="P424" s="62"/>
      <c r="Q424" s="62"/>
      <c r="R424" s="62"/>
      <c r="S424" s="62"/>
      <c r="T424" s="62"/>
    </row>
    <row r="425" spans="2:20" s="5" customFormat="1" ht="15.75" hidden="1" x14ac:dyDescent="0.25">
      <c r="B425" s="1474"/>
      <c r="C425" s="1474" t="s">
        <v>1478</v>
      </c>
      <c r="D425" s="1455"/>
      <c r="E425" s="263"/>
      <c r="F425" s="263"/>
      <c r="G425" s="263"/>
      <c r="H425" s="263"/>
      <c r="I425" s="262"/>
      <c r="J425" s="275"/>
      <c r="K425" s="130"/>
      <c r="L425" s="130"/>
      <c r="M425" s="131"/>
      <c r="N425" s="62"/>
      <c r="O425" s="62"/>
      <c r="P425" s="62"/>
      <c r="Q425" s="62"/>
      <c r="R425" s="62"/>
      <c r="S425" s="62"/>
      <c r="T425" s="62"/>
    </row>
    <row r="426" spans="2:20" s="5" customFormat="1" ht="15.75" hidden="1" x14ac:dyDescent="0.25">
      <c r="B426" s="1474"/>
      <c r="C426" s="1474" t="s">
        <v>1479</v>
      </c>
      <c r="D426" s="1455"/>
      <c r="E426" s="267"/>
      <c r="F426" s="262"/>
      <c r="G426" s="262"/>
      <c r="H426" s="262"/>
      <c r="I426" s="262"/>
      <c r="J426" s="264"/>
      <c r="K426" s="130"/>
      <c r="L426" s="130"/>
      <c r="M426" s="130"/>
      <c r="N426" s="62"/>
      <c r="O426" s="62"/>
      <c r="P426" s="62"/>
      <c r="Q426" s="62"/>
      <c r="R426" s="62"/>
      <c r="S426" s="62"/>
      <c r="T426" s="62"/>
    </row>
    <row r="427" spans="2:20" s="5" customFormat="1" ht="15.75" hidden="1" x14ac:dyDescent="0.25">
      <c r="B427" s="1474"/>
      <c r="C427" s="1455"/>
      <c r="D427" s="1455"/>
      <c r="E427" s="267"/>
      <c r="F427" s="262"/>
      <c r="G427" s="262"/>
      <c r="H427" s="262"/>
      <c r="I427" s="262"/>
      <c r="J427" s="264"/>
      <c r="K427" s="130"/>
      <c r="L427" s="130"/>
      <c r="M427" s="131"/>
      <c r="N427" s="61"/>
      <c r="O427" s="61"/>
      <c r="P427" s="61"/>
      <c r="Q427" s="61"/>
      <c r="R427" s="61"/>
      <c r="S427" s="61"/>
      <c r="T427" s="61"/>
    </row>
    <row r="428" spans="2:20" s="5" customFormat="1" ht="15.75" hidden="1" x14ac:dyDescent="0.25">
      <c r="B428" s="1473"/>
      <c r="C428" s="1474"/>
      <c r="D428" s="117"/>
      <c r="E428" s="268"/>
      <c r="F428" s="268"/>
      <c r="G428" s="268"/>
      <c r="H428" s="268"/>
      <c r="I428" s="262"/>
      <c r="J428" s="264"/>
      <c r="K428" s="130"/>
      <c r="L428" s="130"/>
      <c r="M428" s="131"/>
      <c r="N428" s="61"/>
      <c r="O428" s="61"/>
      <c r="P428" s="61"/>
      <c r="Q428" s="61"/>
      <c r="R428" s="61"/>
      <c r="S428" s="128"/>
      <c r="T428" s="61"/>
    </row>
    <row r="429" spans="2:20" s="5" customFormat="1" ht="15.75" hidden="1" x14ac:dyDescent="0.25">
      <c r="B429" s="1473" t="s">
        <v>1525</v>
      </c>
      <c r="C429" s="1475" t="s">
        <v>478</v>
      </c>
      <c r="D429" s="1512" t="e">
        <f>(($D$373*'Baseline farm'!$C$73%)*(1-$G380-$G396))-0</f>
        <v>#DIV/0!</v>
      </c>
      <c r="E429" s="270"/>
      <c r="F429" s="270"/>
      <c r="G429" s="270"/>
      <c r="H429" s="270"/>
      <c r="I429" s="262"/>
      <c r="J429" s="275"/>
      <c r="K429" s="130"/>
      <c r="L429" s="130"/>
      <c r="M429" s="131"/>
      <c r="N429" s="61"/>
      <c r="O429" s="132"/>
      <c r="P429" s="132"/>
      <c r="Q429" s="61"/>
      <c r="R429" s="61"/>
      <c r="S429" s="128"/>
      <c r="T429" s="61"/>
    </row>
    <row r="430" spans="2:20" s="5" customFormat="1" ht="15.75" hidden="1" x14ac:dyDescent="0.25">
      <c r="B430" s="1474"/>
      <c r="C430" s="1474"/>
      <c r="D430" s="1512"/>
      <c r="E430" s="262"/>
      <c r="F430" s="262"/>
      <c r="G430" s="262"/>
      <c r="H430" s="262"/>
      <c r="I430" s="262"/>
      <c r="J430" s="275"/>
      <c r="K430" s="62"/>
      <c r="L430" s="62"/>
      <c r="M430" s="62"/>
      <c r="N430" s="62"/>
      <c r="O430" s="62"/>
      <c r="P430" s="62"/>
      <c r="Q430" s="62"/>
      <c r="R430" s="62"/>
      <c r="S430" s="62"/>
      <c r="T430" s="62"/>
    </row>
    <row r="431" spans="2:20" s="5" customFormat="1" ht="15.75" hidden="1" x14ac:dyDescent="0.25">
      <c r="B431" s="1473" t="s">
        <v>1526</v>
      </c>
      <c r="C431" s="1475" t="s">
        <v>478</v>
      </c>
      <c r="D431" s="1512" t="e">
        <f>(($D$373*'Baseline farm'!$D$73%)*(1-$G382-$G398))-0</f>
        <v>#DIV/0!</v>
      </c>
      <c r="E431" s="270"/>
      <c r="F431" s="270"/>
      <c r="G431" s="270"/>
      <c r="H431" s="270"/>
      <c r="I431" s="262"/>
      <c r="J431" s="275"/>
      <c r="K431" s="62"/>
      <c r="L431" s="62"/>
      <c r="M431" s="62"/>
      <c r="N431" s="62"/>
      <c r="O431" s="62"/>
      <c r="P431" s="62"/>
      <c r="Q431" s="62"/>
      <c r="R431" s="62"/>
      <c r="S431" s="62"/>
      <c r="T431" s="62"/>
    </row>
    <row r="432" spans="2:20" s="5" customFormat="1" ht="15.75" hidden="1" x14ac:dyDescent="0.25">
      <c r="B432" s="1474"/>
      <c r="C432" s="1474"/>
      <c r="D432" s="1512"/>
      <c r="E432" s="274"/>
      <c r="F432" s="274"/>
      <c r="G432" s="274"/>
      <c r="H432" s="274"/>
      <c r="I432" s="262"/>
      <c r="J432" s="264"/>
      <c r="K432" s="62"/>
      <c r="L432" s="62"/>
      <c r="M432" s="62"/>
      <c r="N432" s="62"/>
      <c r="O432" s="62"/>
      <c r="P432" s="62"/>
      <c r="Q432" s="62"/>
      <c r="R432" s="62"/>
      <c r="S432" s="62"/>
      <c r="T432" s="62"/>
    </row>
    <row r="433" spans="2:20" s="5" customFormat="1" ht="15.75" hidden="1" x14ac:dyDescent="0.25">
      <c r="B433" s="1473" t="s">
        <v>1527</v>
      </c>
      <c r="C433" s="1475" t="s">
        <v>478</v>
      </c>
      <c r="D433" s="1512" t="e">
        <f>(($D$373*'Baseline farm'!$E$73%)*(1-$G384-$G400))-0</f>
        <v>#DIV/0!</v>
      </c>
      <c r="E433" s="277"/>
      <c r="F433" s="277"/>
      <c r="G433" s="277"/>
      <c r="H433" s="277"/>
      <c r="I433" s="262"/>
      <c r="J433" s="275"/>
      <c r="K433" s="62"/>
      <c r="L433" s="62"/>
      <c r="M433" s="62"/>
      <c r="N433" s="62"/>
      <c r="O433" s="62"/>
      <c r="P433" s="62"/>
      <c r="Q433" s="62"/>
      <c r="R433" s="62"/>
      <c r="S433" s="62"/>
      <c r="T433" s="62"/>
    </row>
    <row r="434" spans="2:20" s="5" customFormat="1" ht="15.75" hidden="1" x14ac:dyDescent="0.25">
      <c r="B434" s="1474"/>
      <c r="C434" s="1475"/>
      <c r="D434" s="1512"/>
      <c r="E434" s="278"/>
      <c r="F434" s="278"/>
      <c r="G434" s="278"/>
      <c r="H434" s="278"/>
      <c r="I434" s="262"/>
      <c r="J434" s="275"/>
      <c r="K434" s="62"/>
      <c r="L434" s="62"/>
      <c r="M434" s="62"/>
      <c r="N434" s="61"/>
      <c r="O434" s="61"/>
      <c r="P434" s="61"/>
      <c r="Q434" s="61"/>
      <c r="R434" s="61"/>
      <c r="S434" s="61"/>
      <c r="T434" s="61"/>
    </row>
    <row r="435" spans="2:20" s="5" customFormat="1" ht="15.75" hidden="1" x14ac:dyDescent="0.25">
      <c r="B435" s="1473" t="s">
        <v>1528</v>
      </c>
      <c r="C435" s="1475" t="s">
        <v>478</v>
      </c>
      <c r="D435" s="1512" t="e">
        <f>(($D$373*'Baseline farm'!$F$73%)*(1-$G386-$G402))-D413</f>
        <v>#DIV/0!</v>
      </c>
      <c r="E435" s="270"/>
      <c r="F435" s="270"/>
      <c r="G435" s="270"/>
      <c r="H435" s="270"/>
      <c r="I435" s="262"/>
      <c r="J435" s="275"/>
      <c r="K435" s="62"/>
      <c r="L435" s="134"/>
      <c r="M435" s="62"/>
      <c r="N435" s="61"/>
      <c r="O435" s="61"/>
      <c r="P435" s="61"/>
      <c r="Q435" s="61"/>
      <c r="R435" s="61"/>
      <c r="S435" s="61"/>
      <c r="T435" s="61"/>
    </row>
    <row r="436" spans="2:20" s="5" customFormat="1" ht="15.75" hidden="1" x14ac:dyDescent="0.25">
      <c r="B436" s="1474"/>
      <c r="C436" s="1475"/>
      <c r="D436" s="1512"/>
      <c r="E436" s="262"/>
      <c r="F436" s="262"/>
      <c r="G436" s="262"/>
      <c r="H436" s="262"/>
      <c r="I436" s="269"/>
      <c r="J436" s="275"/>
      <c r="K436" s="62"/>
      <c r="L436" s="62"/>
      <c r="M436" s="62"/>
      <c r="N436" s="62"/>
      <c r="O436" s="62"/>
      <c r="P436" s="62"/>
      <c r="Q436" s="62"/>
      <c r="R436" s="62"/>
      <c r="S436" s="62"/>
      <c r="T436" s="62"/>
    </row>
    <row r="437" spans="2:20" s="5" customFormat="1" ht="15.75" hidden="1" x14ac:dyDescent="0.25">
      <c r="B437" s="1473" t="s">
        <v>1529</v>
      </c>
      <c r="C437" s="1475" t="s">
        <v>478</v>
      </c>
      <c r="D437" s="1512" t="e">
        <f>SUM(D429:D435)</f>
        <v>#DIV/0!</v>
      </c>
      <c r="E437" s="262"/>
      <c r="F437" s="262"/>
      <c r="G437" s="262"/>
      <c r="H437" s="262"/>
      <c r="I437" s="262"/>
      <c r="J437" s="275"/>
      <c r="K437" s="62"/>
      <c r="L437" s="62"/>
      <c r="M437" s="62"/>
      <c r="N437" s="62"/>
      <c r="O437" s="62"/>
      <c r="P437" s="62"/>
      <c r="Q437" s="62"/>
      <c r="R437" s="62"/>
      <c r="S437" s="62"/>
      <c r="T437" s="62"/>
    </row>
    <row r="438" spans="2:20" s="5" customFormat="1" ht="15.75" hidden="1" x14ac:dyDescent="0.25">
      <c r="B438" s="1474"/>
      <c r="C438" s="1474"/>
      <c r="D438" s="1474"/>
      <c r="E438" s="262"/>
      <c r="F438" s="262"/>
      <c r="G438" s="262"/>
      <c r="H438" s="262"/>
      <c r="I438" s="262"/>
      <c r="J438" s="275"/>
      <c r="N438" s="62"/>
      <c r="O438" s="62"/>
      <c r="P438" s="62"/>
      <c r="Q438" s="62"/>
      <c r="R438" s="62"/>
      <c r="S438" s="62"/>
      <c r="T438" s="62"/>
    </row>
    <row r="439" spans="2:20" s="5" customFormat="1" ht="15.75" hidden="1" x14ac:dyDescent="0.25">
      <c r="B439" s="1473" t="s">
        <v>1554</v>
      </c>
      <c r="C439" s="1473" t="s">
        <v>369</v>
      </c>
      <c r="D439" s="1478"/>
      <c r="E439" s="281"/>
      <c r="F439" s="281"/>
      <c r="G439" s="281"/>
      <c r="H439" s="281"/>
      <c r="I439" s="269"/>
      <c r="J439" s="275"/>
      <c r="N439" s="62"/>
      <c r="O439" s="62"/>
      <c r="P439" s="62"/>
      <c r="Q439" s="62"/>
      <c r="R439" s="62"/>
      <c r="S439" s="62"/>
      <c r="T439" s="62"/>
    </row>
    <row r="440" spans="2:20" s="5" customFormat="1" ht="15.75" hidden="1" x14ac:dyDescent="0.25">
      <c r="B440" s="1474"/>
      <c r="C440" s="1474" t="s">
        <v>371</v>
      </c>
      <c r="D440" s="1513">
        <v>0.01</v>
      </c>
      <c r="E440" s="262"/>
      <c r="F440" s="262"/>
      <c r="G440" s="262"/>
      <c r="H440" s="262"/>
      <c r="I440" s="269"/>
      <c r="J440" s="290"/>
      <c r="K440" s="138"/>
      <c r="L440" s="138"/>
      <c r="M440" s="138"/>
      <c r="N440" s="62"/>
      <c r="O440" s="62"/>
      <c r="P440" s="62"/>
      <c r="Q440" s="62"/>
      <c r="R440" s="62"/>
      <c r="S440" s="62"/>
      <c r="T440" s="62"/>
    </row>
    <row r="441" spans="2:20" s="5" customFormat="1" ht="15.75" hidden="1" x14ac:dyDescent="0.25">
      <c r="B441" s="1474"/>
      <c r="C441" s="1475" t="s">
        <v>478</v>
      </c>
      <c r="D441" s="1514" t="e">
        <f>D437*D440*44/28</f>
        <v>#DIV/0!</v>
      </c>
      <c r="E441" s="262"/>
      <c r="F441" s="262"/>
      <c r="G441" s="262"/>
      <c r="H441" s="262"/>
      <c r="I441" s="269"/>
      <c r="J441" s="290"/>
      <c r="K441" s="138"/>
      <c r="L441" s="138"/>
      <c r="M441" s="138"/>
      <c r="N441" s="62"/>
      <c r="O441" s="62"/>
      <c r="P441" s="62"/>
      <c r="Q441" s="62"/>
      <c r="R441" s="62"/>
      <c r="S441" s="62"/>
      <c r="T441" s="62"/>
    </row>
    <row r="442" spans="2:20" s="5" customFormat="1" ht="15.75" hidden="1" x14ac:dyDescent="0.25">
      <c r="B442" s="265" t="s">
        <v>405</v>
      </c>
      <c r="C442" s="262"/>
      <c r="D442" s="262"/>
      <c r="E442" s="262"/>
      <c r="F442" s="262"/>
      <c r="G442" s="262"/>
      <c r="H442" s="262"/>
      <c r="I442" s="269"/>
      <c r="J442" s="290"/>
      <c r="K442" s="138"/>
      <c r="L442" s="138"/>
      <c r="M442" s="138"/>
      <c r="N442" s="62"/>
      <c r="O442" s="62"/>
      <c r="P442" s="62"/>
      <c r="Q442" s="62"/>
      <c r="R442" s="62"/>
      <c r="S442" s="62"/>
      <c r="T442" s="62"/>
    </row>
    <row r="443" spans="2:20" s="5" customFormat="1" ht="15.75" hidden="1" x14ac:dyDescent="0.25">
      <c r="B443" s="262"/>
      <c r="C443" s="265" t="s">
        <v>407</v>
      </c>
      <c r="D443" s="262"/>
      <c r="E443" s="262"/>
      <c r="F443" s="262"/>
      <c r="G443" s="262"/>
      <c r="H443" s="262"/>
      <c r="I443" s="269"/>
      <c r="J443" s="290"/>
      <c r="K443" s="138"/>
      <c r="L443" s="138"/>
      <c r="M443" s="138"/>
      <c r="N443" s="140"/>
      <c r="O443" s="140"/>
      <c r="P443" s="140"/>
      <c r="Q443" s="140"/>
      <c r="R443" s="140"/>
      <c r="S443" s="140"/>
      <c r="T443" s="62"/>
    </row>
    <row r="444" spans="2:20" s="5" customFormat="1" ht="15.75" hidden="1" x14ac:dyDescent="0.25">
      <c r="B444" s="262"/>
      <c r="C444" s="262"/>
      <c r="D444" s="262"/>
      <c r="E444" s="262"/>
      <c r="F444" s="262"/>
      <c r="G444" s="262"/>
      <c r="H444" s="262"/>
      <c r="I444" s="262"/>
      <c r="J444" s="290"/>
      <c r="K444" s="105"/>
      <c r="L444" s="138"/>
      <c r="M444" s="138"/>
      <c r="N444" s="62"/>
      <c r="O444" s="62"/>
      <c r="P444" s="62"/>
      <c r="Q444" s="62"/>
      <c r="R444" s="62"/>
      <c r="S444" s="62"/>
      <c r="T444" s="62"/>
    </row>
    <row r="445" spans="2:20" s="5" customFormat="1" ht="15.75" hidden="1" x14ac:dyDescent="0.25">
      <c r="B445" s="284"/>
      <c r="C445" s="269" t="s">
        <v>478</v>
      </c>
      <c r="D445" s="1515" t="e">
        <f>D365*'Baseline farm'!G73%</f>
        <v>#DIV/0!</v>
      </c>
      <c r="E445" s="274"/>
      <c r="F445" s="274"/>
      <c r="G445" s="274"/>
      <c r="H445" s="274"/>
      <c r="I445" s="262"/>
      <c r="J445" s="264"/>
      <c r="K445" s="62"/>
      <c r="L445" s="138"/>
      <c r="M445" s="138"/>
      <c r="N445" s="62"/>
      <c r="O445" s="62"/>
      <c r="P445" s="62"/>
      <c r="Q445" s="62"/>
      <c r="R445" s="62"/>
      <c r="S445" s="62"/>
      <c r="T445" s="62"/>
    </row>
    <row r="446" spans="2:20" s="5" customFormat="1" ht="15.75" hidden="1" x14ac:dyDescent="0.25">
      <c r="B446" s="262"/>
      <c r="C446" s="262"/>
      <c r="D446" s="1515"/>
      <c r="E446" s="274"/>
      <c r="F446" s="274"/>
      <c r="G446" s="274"/>
      <c r="H446" s="274"/>
      <c r="I446" s="262"/>
      <c r="J446" s="264"/>
      <c r="K446" s="62"/>
      <c r="L446" s="138"/>
      <c r="M446" s="138"/>
      <c r="N446" s="62"/>
      <c r="O446" s="62"/>
      <c r="P446" s="62"/>
      <c r="Q446" s="62"/>
      <c r="R446" s="62"/>
      <c r="S446" s="62"/>
      <c r="T446" s="62"/>
    </row>
    <row r="447" spans="2:20" s="5" customFormat="1" ht="15.75" hidden="1" x14ac:dyDescent="0.25">
      <c r="B447" s="262"/>
      <c r="C447" s="265" t="s">
        <v>409</v>
      </c>
      <c r="D447" s="1515"/>
      <c r="E447" s="274"/>
      <c r="F447" s="274"/>
      <c r="G447" s="274"/>
      <c r="H447" s="274"/>
      <c r="I447" s="293"/>
      <c r="J447" s="264"/>
      <c r="K447" s="62"/>
      <c r="L447" s="138"/>
      <c r="M447" s="138"/>
      <c r="N447" s="62"/>
      <c r="O447" s="62"/>
      <c r="P447" s="62"/>
      <c r="Q447" s="62"/>
      <c r="R447" s="62"/>
      <c r="S447" s="62"/>
      <c r="T447" s="62"/>
    </row>
    <row r="448" spans="2:20" s="5" customFormat="1" ht="15.75" hidden="1" x14ac:dyDescent="0.25">
      <c r="B448" s="262"/>
      <c r="C448" s="262"/>
      <c r="D448" s="1515"/>
      <c r="E448" s="274"/>
      <c r="F448" s="274"/>
      <c r="G448" s="274"/>
      <c r="H448" s="274"/>
      <c r="I448" s="293"/>
      <c r="J448" s="264"/>
      <c r="K448" s="62"/>
      <c r="L448" s="62"/>
      <c r="M448" s="62"/>
      <c r="N448" s="62"/>
      <c r="O448" s="62"/>
      <c r="P448" s="62"/>
      <c r="Q448" s="62"/>
      <c r="R448" s="62"/>
      <c r="S448" s="62"/>
      <c r="T448" s="62"/>
    </row>
    <row r="449" spans="2:20" s="5" customFormat="1" ht="15.75" hidden="1" x14ac:dyDescent="0.25">
      <c r="B449" s="262"/>
      <c r="C449" s="269" t="s">
        <v>478</v>
      </c>
      <c r="D449" s="1515" t="e">
        <f>D369*'Baseline farm'!G73%</f>
        <v>#DIV/0!</v>
      </c>
      <c r="E449" s="274"/>
      <c r="F449" s="274"/>
      <c r="G449" s="274"/>
      <c r="H449" s="274"/>
      <c r="I449" s="293"/>
      <c r="J449" s="264"/>
      <c r="K449" s="62"/>
      <c r="L449" s="1472"/>
      <c r="M449" s="1472"/>
      <c r="N449" s="1472"/>
      <c r="O449" s="1472"/>
      <c r="P449" s="1472"/>
      <c r="Q449" s="1472"/>
      <c r="R449" s="1472"/>
      <c r="S449" s="1472"/>
      <c r="T449" s="1472"/>
    </row>
    <row r="450" spans="2:20" s="5" customFormat="1" ht="15.75" hidden="1" x14ac:dyDescent="0.25">
      <c r="B450" s="262"/>
      <c r="C450" s="262"/>
      <c r="D450" s="262"/>
      <c r="E450" s="262"/>
      <c r="F450" s="262"/>
      <c r="G450" s="262"/>
      <c r="H450" s="262"/>
      <c r="I450" s="293"/>
      <c r="J450" s="264"/>
      <c r="K450" s="62"/>
      <c r="L450" s="1472"/>
      <c r="M450" s="1472"/>
      <c r="N450" s="1472"/>
      <c r="O450" s="1472"/>
      <c r="P450" s="1472"/>
      <c r="Q450" s="1472"/>
      <c r="R450" s="1472"/>
      <c r="S450" s="1472"/>
      <c r="T450" s="1472"/>
    </row>
    <row r="451" spans="2:20" s="5" customFormat="1" ht="15.75" hidden="1" x14ac:dyDescent="0.25">
      <c r="B451" s="265" t="s">
        <v>411</v>
      </c>
      <c r="C451" s="265" t="s">
        <v>412</v>
      </c>
      <c r="D451" s="262"/>
      <c r="E451" s="262"/>
      <c r="F451" s="262"/>
      <c r="G451" s="262"/>
      <c r="H451" s="262"/>
      <c r="I451" s="262"/>
      <c r="J451" s="264"/>
      <c r="K451" s="62"/>
      <c r="L451" s="1472"/>
      <c r="M451" s="1472"/>
      <c r="N451" s="1472"/>
      <c r="O451" s="1472"/>
      <c r="P451" s="1472"/>
      <c r="Q451" s="1472"/>
      <c r="R451" s="1472"/>
      <c r="S451" s="1472"/>
      <c r="T451" s="1472"/>
    </row>
    <row r="452" spans="2:20" s="5" customFormat="1" ht="15.75" hidden="1" x14ac:dyDescent="0.25">
      <c r="B452" s="262"/>
      <c r="C452" s="262" t="s">
        <v>414</v>
      </c>
      <c r="D452" s="294">
        <v>4.0000000000000001E-3</v>
      </c>
      <c r="E452" s="262"/>
      <c r="F452" s="262"/>
      <c r="G452" s="262"/>
      <c r="H452" s="262"/>
      <c r="I452" s="262"/>
      <c r="J452" s="264"/>
      <c r="K452" s="62"/>
      <c r="L452" s="1472"/>
      <c r="M452" s="1472"/>
      <c r="N452" s="1472"/>
      <c r="O452" s="1472"/>
      <c r="P452" s="1472"/>
      <c r="Q452" s="1472"/>
      <c r="R452" s="1472"/>
      <c r="S452" s="1472"/>
      <c r="T452" s="1472"/>
    </row>
    <row r="453" spans="2:20" s="5" customFormat="1" ht="15.75" hidden="1" x14ac:dyDescent="0.25">
      <c r="B453" s="262"/>
      <c r="C453" s="262" t="s">
        <v>415</v>
      </c>
      <c r="D453" s="294">
        <v>4.0000000000000001E-3</v>
      </c>
      <c r="E453" s="262"/>
      <c r="F453" s="262"/>
      <c r="G453" s="262"/>
      <c r="H453" s="262"/>
      <c r="I453" s="262"/>
      <c r="J453" s="275"/>
      <c r="K453" s="62"/>
      <c r="L453" s="1472"/>
      <c r="M453" s="1472"/>
      <c r="N453" s="1472"/>
      <c r="O453" s="1472"/>
      <c r="P453" s="1472"/>
      <c r="Q453" s="1472"/>
      <c r="R453" s="1472"/>
      <c r="S453" s="1472"/>
      <c r="T453" s="1472"/>
    </row>
    <row r="454" spans="2:20" s="5" customFormat="1" ht="15.75" hidden="1" x14ac:dyDescent="0.25">
      <c r="B454" s="262"/>
      <c r="C454" s="262"/>
      <c r="D454" s="262"/>
      <c r="E454" s="262"/>
      <c r="F454" s="262"/>
      <c r="G454" s="262"/>
      <c r="H454" s="262"/>
      <c r="I454" s="293"/>
      <c r="J454" s="264"/>
      <c r="K454" s="62"/>
      <c r="L454" s="1472"/>
      <c r="M454" s="1472"/>
      <c r="N454" s="1472"/>
      <c r="O454" s="1472"/>
      <c r="P454" s="1472"/>
      <c r="Q454" s="1472"/>
      <c r="R454" s="1472"/>
      <c r="S454" s="1472"/>
      <c r="T454" s="1472"/>
    </row>
    <row r="455" spans="2:20" s="5" customFormat="1" ht="15.75" hidden="1" x14ac:dyDescent="0.25">
      <c r="B455" s="262"/>
      <c r="C455" s="269" t="s">
        <v>478</v>
      </c>
      <c r="D455" s="1516" t="e">
        <f>(D445+D449)*D452*44/28</f>
        <v>#DIV/0!</v>
      </c>
      <c r="E455" s="288"/>
      <c r="F455" s="288"/>
      <c r="G455" s="288"/>
      <c r="H455" s="288"/>
      <c r="I455" s="262"/>
      <c r="J455" s="275"/>
      <c r="K455" s="62"/>
      <c r="L455" s="1472"/>
      <c r="M455" s="1472"/>
      <c r="N455" s="1472"/>
      <c r="O455" s="1472"/>
      <c r="P455" s="1472"/>
      <c r="Q455" s="1472"/>
      <c r="R455" s="1472"/>
      <c r="S455" s="1472"/>
      <c r="T455" s="1472"/>
    </row>
    <row r="456" spans="2:20" s="5" customFormat="1" ht="15.75" hidden="1" x14ac:dyDescent="0.25">
      <c r="B456" s="262"/>
      <c r="C456" s="262"/>
      <c r="D456" s="1517"/>
      <c r="E456" s="262"/>
      <c r="F456" s="262"/>
      <c r="G456" s="262"/>
      <c r="H456" s="262"/>
      <c r="I456" s="262"/>
      <c r="J456" s="275"/>
      <c r="K456" s="62"/>
      <c r="L456" s="62"/>
      <c r="M456" s="62"/>
    </row>
    <row r="457" spans="2:20" s="5" customFormat="1" ht="15.75" hidden="1" x14ac:dyDescent="0.25">
      <c r="B457" s="265" t="s">
        <v>416</v>
      </c>
      <c r="C457" s="262"/>
      <c r="D457" s="1518"/>
      <c r="E457" s="262"/>
      <c r="F457" s="262"/>
      <c r="G457" s="262"/>
      <c r="H457" s="262"/>
      <c r="I457" s="262"/>
      <c r="J457" s="264"/>
      <c r="K457" s="62"/>
      <c r="L457" s="62"/>
      <c r="M457" s="62"/>
    </row>
    <row r="458" spans="2:20" s="5" customFormat="1" ht="15.75" hidden="1" x14ac:dyDescent="0.25">
      <c r="B458" s="262"/>
      <c r="C458" s="269" t="s">
        <v>478</v>
      </c>
      <c r="D458" s="1519" t="e">
        <f>D441+D455</f>
        <v>#DIV/0!</v>
      </c>
      <c r="E458" s="284"/>
      <c r="F458" s="284"/>
      <c r="G458" s="284"/>
      <c r="H458" s="284"/>
      <c r="I458" s="262"/>
      <c r="J458" s="264"/>
      <c r="K458" s="62"/>
      <c r="L458" s="62"/>
      <c r="M458" s="62"/>
    </row>
    <row r="459" spans="2:20" s="5" customFormat="1" ht="15.75" hidden="1" x14ac:dyDescent="0.25">
      <c r="B459" s="262"/>
      <c r="C459" s="269"/>
      <c r="D459" s="284"/>
      <c r="E459" s="284"/>
      <c r="F459" s="284"/>
      <c r="G459" s="284"/>
      <c r="H459" s="284"/>
      <c r="I459" s="262"/>
      <c r="J459" s="264"/>
      <c r="K459" s="62"/>
      <c r="L459" s="62"/>
      <c r="M459" s="62"/>
    </row>
    <row r="460" spans="2:20" s="5" customFormat="1" ht="15.75" hidden="1" x14ac:dyDescent="0.25">
      <c r="B460" s="262"/>
      <c r="C460" s="269"/>
      <c r="D460" s="281"/>
      <c r="E460" s="267"/>
      <c r="F460" s="262"/>
      <c r="G460" s="262"/>
      <c r="H460" s="262"/>
      <c r="I460" s="262"/>
      <c r="J460" s="264"/>
      <c r="K460" s="62"/>
      <c r="L460" s="62"/>
      <c r="M460" s="62"/>
    </row>
    <row r="461" spans="2:20" s="5" customFormat="1" ht="15.75" hidden="1" x14ac:dyDescent="0.25">
      <c r="B461" s="1473" t="s">
        <v>423</v>
      </c>
      <c r="C461" s="1473" t="s">
        <v>1484</v>
      </c>
      <c r="D461" s="1474"/>
      <c r="E461" s="262"/>
      <c r="F461" s="262"/>
      <c r="G461" s="262"/>
      <c r="H461" s="262"/>
      <c r="I461" s="262"/>
      <c r="J461" s="264"/>
      <c r="K461" s="62"/>
      <c r="L461" s="62"/>
      <c r="M461" s="62"/>
    </row>
    <row r="462" spans="2:20" s="5" customFormat="1" ht="15.75" hidden="1" x14ac:dyDescent="0.25">
      <c r="B462" s="1474"/>
      <c r="C462" s="1474" t="s">
        <v>1485</v>
      </c>
      <c r="D462" s="1520">
        <v>0.2</v>
      </c>
      <c r="E462" s="262"/>
      <c r="F462" s="262"/>
      <c r="G462" s="262"/>
      <c r="H462" s="262"/>
      <c r="I462" s="293"/>
      <c r="J462" s="264"/>
      <c r="K462" s="62"/>
      <c r="L462" s="62"/>
      <c r="M462" s="62"/>
    </row>
    <row r="463" spans="2:20" s="5" customFormat="1" ht="15.75" hidden="1" x14ac:dyDescent="0.25">
      <c r="B463" s="1474"/>
      <c r="C463" s="1474"/>
      <c r="D463" s="1474"/>
      <c r="E463" s="262"/>
      <c r="F463" s="262"/>
      <c r="G463" s="262"/>
      <c r="H463" s="262"/>
      <c r="I463" s="262"/>
      <c r="J463" s="264"/>
      <c r="K463" s="62"/>
      <c r="L463" s="62"/>
      <c r="M463" s="62"/>
    </row>
    <row r="464" spans="2:20" s="5" customFormat="1" ht="15.75" hidden="1" x14ac:dyDescent="0.25">
      <c r="B464" s="1474" t="s">
        <v>427</v>
      </c>
      <c r="C464" s="1475" t="s">
        <v>478</v>
      </c>
      <c r="D464" s="1521" t="e">
        <f>(D437+D445+D449)*D462</f>
        <v>#DIV/0!</v>
      </c>
      <c r="E464" s="267"/>
      <c r="F464" s="295"/>
      <c r="G464" s="295"/>
      <c r="H464" s="295"/>
      <c r="I464" s="293"/>
      <c r="J464" s="275"/>
      <c r="K464" s="62"/>
      <c r="L464" s="62"/>
      <c r="M464" s="62"/>
    </row>
    <row r="465" spans="2:23" s="5" customFormat="1" ht="15.75" hidden="1" x14ac:dyDescent="0.25">
      <c r="B465" s="262"/>
      <c r="C465" s="262"/>
      <c r="D465" s="262"/>
      <c r="E465" s="267"/>
      <c r="F465" s="262"/>
      <c r="G465" s="262"/>
      <c r="H465" s="262"/>
      <c r="I465" s="293"/>
      <c r="J465" s="264"/>
      <c r="K465" s="62"/>
      <c r="L465" s="62"/>
      <c r="M465" s="62"/>
    </row>
    <row r="466" spans="2:23" s="5" customFormat="1" ht="15.75" hidden="1" x14ac:dyDescent="0.25">
      <c r="B466" s="1474"/>
      <c r="C466" s="1473" t="s">
        <v>386</v>
      </c>
      <c r="D466" s="1474"/>
      <c r="E466" s="262"/>
      <c r="F466" s="262"/>
      <c r="G466" s="262"/>
      <c r="H466" s="262"/>
      <c r="I466" s="293"/>
      <c r="J466" s="264"/>
      <c r="K466" s="62"/>
      <c r="L466" s="62"/>
      <c r="M466" s="62"/>
    </row>
    <row r="467" spans="2:23" s="5" customFormat="1" ht="15.75" hidden="1" x14ac:dyDescent="0.25">
      <c r="B467" s="1474"/>
      <c r="C467" s="1474" t="s">
        <v>436</v>
      </c>
      <c r="D467" s="1474"/>
      <c r="E467" s="262"/>
      <c r="F467" s="262"/>
      <c r="G467" s="262"/>
      <c r="H467" s="262"/>
      <c r="I467" s="293"/>
      <c r="J467" s="264"/>
      <c r="K467" s="62"/>
      <c r="L467" s="134"/>
      <c r="M467" s="134"/>
    </row>
    <row r="468" spans="2:23" s="5" customFormat="1" ht="15.75" hidden="1" x14ac:dyDescent="0.25">
      <c r="B468" s="1474"/>
      <c r="C468" s="1474" t="s">
        <v>1474</v>
      </c>
      <c r="D468" s="1520">
        <v>4.0000000000000001E-3</v>
      </c>
      <c r="E468" s="262"/>
      <c r="F468" s="262"/>
      <c r="G468" s="262"/>
      <c r="H468" s="262"/>
      <c r="I468" s="262"/>
      <c r="J468" s="264"/>
      <c r="K468" s="62"/>
      <c r="L468" s="134"/>
      <c r="M468" s="134"/>
      <c r="U468" s="143"/>
      <c r="V468" s="143"/>
      <c r="W468" s="143"/>
    </row>
    <row r="469" spans="2:23" s="5" customFormat="1" ht="15.75" hidden="1" x14ac:dyDescent="0.25">
      <c r="B469" s="262"/>
      <c r="C469" s="262"/>
      <c r="D469" s="262"/>
      <c r="E469" s="262"/>
      <c r="F469" s="262"/>
      <c r="G469" s="262"/>
      <c r="H469" s="262"/>
      <c r="I469" s="262"/>
      <c r="J469" s="264"/>
      <c r="K469" s="62"/>
      <c r="L469" s="62"/>
      <c r="M469" s="62"/>
      <c r="U469" s="143"/>
    </row>
    <row r="470" spans="2:23" s="5" customFormat="1" ht="15.75" hidden="1" x14ac:dyDescent="0.25">
      <c r="B470" s="1473" t="s">
        <v>434</v>
      </c>
      <c r="C470" s="1475" t="s">
        <v>478</v>
      </c>
      <c r="D470" s="1517" t="e">
        <f>D464*D468*44/28</f>
        <v>#DIV/0!</v>
      </c>
      <c r="E470" s="262"/>
      <c r="F470" s="262"/>
      <c r="G470" s="141" t="s">
        <v>336</v>
      </c>
      <c r="H470" s="262"/>
      <c r="I470" s="262"/>
      <c r="J470" s="264"/>
      <c r="K470" s="62"/>
      <c r="L470" s="62"/>
      <c r="M470" s="62"/>
      <c r="U470" s="143"/>
    </row>
    <row r="471" spans="2:23" s="5" customFormat="1" ht="15.75" hidden="1" x14ac:dyDescent="0.25">
      <c r="B471" s="265" t="s">
        <v>1540</v>
      </c>
      <c r="C471" s="1475" t="s">
        <v>478</v>
      </c>
      <c r="D471" s="1517" t="e">
        <f>D470*298</f>
        <v>#DIV/0!</v>
      </c>
      <c r="E471" s="262"/>
      <c r="F471" s="262"/>
      <c r="G471" s="141" t="s">
        <v>302</v>
      </c>
      <c r="H471" s="262"/>
      <c r="I471" s="262"/>
      <c r="J471" s="264"/>
      <c r="K471" s="62"/>
      <c r="L471" s="62"/>
      <c r="M471" s="62"/>
      <c r="U471" s="143"/>
    </row>
    <row r="472" spans="2:23" s="5" customFormat="1" ht="15.75" hidden="1" x14ac:dyDescent="0.25">
      <c r="B472" s="262"/>
      <c r="C472" s="269"/>
      <c r="D472" s="284"/>
      <c r="E472" s="284"/>
      <c r="F472" s="284"/>
      <c r="G472" s="284"/>
      <c r="H472" s="284"/>
      <c r="I472" s="262"/>
      <c r="J472" s="264"/>
      <c r="K472" s="105"/>
      <c r="L472" s="62"/>
      <c r="M472" s="62"/>
    </row>
    <row r="473" spans="2:23" s="5" customFormat="1" ht="15.75" hidden="1" x14ac:dyDescent="0.25">
      <c r="B473" s="1473" t="s">
        <v>446</v>
      </c>
      <c r="C473" s="1473" t="s">
        <v>447</v>
      </c>
      <c r="D473" s="1474"/>
      <c r="E473" s="262"/>
      <c r="F473" s="262"/>
      <c r="G473" s="1474" t="s">
        <v>443</v>
      </c>
      <c r="H473" s="1474">
        <v>1</v>
      </c>
      <c r="I473" s="262"/>
      <c r="J473" s="264"/>
      <c r="K473" s="62"/>
      <c r="L473" s="62"/>
      <c r="M473" s="62"/>
    </row>
    <row r="474" spans="2:23" s="5" customFormat="1" ht="15.75" hidden="1" x14ac:dyDescent="0.25">
      <c r="B474" s="1474"/>
      <c r="C474" s="1474" t="s">
        <v>449</v>
      </c>
      <c r="D474" s="1474"/>
      <c r="E474" s="284"/>
      <c r="F474" s="284"/>
      <c r="G474" s="1474" t="s">
        <v>445</v>
      </c>
      <c r="H474" s="1475">
        <v>0.3</v>
      </c>
      <c r="I474" s="262"/>
      <c r="J474" s="264"/>
      <c r="K474" s="62"/>
    </row>
    <row r="475" spans="2:23" s="5" customFormat="1" ht="15.75" hidden="1" x14ac:dyDescent="0.25">
      <c r="B475" s="1474"/>
      <c r="C475" s="1474" t="s">
        <v>450</v>
      </c>
      <c r="D475" s="1474"/>
      <c r="E475" s="262"/>
      <c r="F475" s="262"/>
      <c r="G475" s="262"/>
      <c r="H475" s="262"/>
      <c r="I475" s="262"/>
      <c r="J475" s="264"/>
      <c r="K475" s="62"/>
    </row>
    <row r="476" spans="2:23" s="5" customFormat="1" ht="15.75" hidden="1" x14ac:dyDescent="0.25">
      <c r="B476" s="1474"/>
      <c r="C476" s="1474" t="s">
        <v>451</v>
      </c>
      <c r="D476" s="1474"/>
      <c r="E476" s="262"/>
      <c r="F476" s="262"/>
      <c r="G476" s="269"/>
      <c r="H476" s="269"/>
      <c r="I476" s="262"/>
      <c r="J476" s="264"/>
      <c r="K476" s="62"/>
    </row>
    <row r="477" spans="2:23" s="5" customFormat="1" ht="15.75" hidden="1" x14ac:dyDescent="0.25">
      <c r="B477" s="265"/>
      <c r="C477" s="270"/>
      <c r="D477" s="262"/>
      <c r="E477" s="262"/>
      <c r="F477" s="262"/>
      <c r="G477" s="262"/>
      <c r="H477" s="262"/>
      <c r="I477" s="262"/>
      <c r="J477" s="264"/>
      <c r="K477" s="62"/>
    </row>
    <row r="478" spans="2:23" s="5" customFormat="1" ht="15.75" hidden="1" x14ac:dyDescent="0.25">
      <c r="B478" s="265"/>
      <c r="C478" s="1475" t="s">
        <v>478</v>
      </c>
      <c r="D478" s="1522" t="e">
        <f>SUM(D437,D449,D445)*H473*H474</f>
        <v>#DIV/0!</v>
      </c>
      <c r="E478" s="262"/>
      <c r="F478" s="262"/>
      <c r="G478" s="262"/>
      <c r="H478" s="262"/>
      <c r="I478" s="262"/>
      <c r="J478" s="264"/>
      <c r="K478" s="62"/>
    </row>
    <row r="479" spans="2:23" s="5" customFormat="1" ht="15.75" hidden="1" x14ac:dyDescent="0.25">
      <c r="B479" s="265"/>
      <c r="C479" s="262"/>
      <c r="D479" s="262"/>
      <c r="E479" s="262"/>
      <c r="F479" s="262"/>
      <c r="G479" s="262"/>
      <c r="H479" s="262"/>
      <c r="I479" s="262"/>
      <c r="J479" s="264"/>
      <c r="K479" s="62"/>
    </row>
    <row r="480" spans="2:23" s="5" customFormat="1" ht="15.75" hidden="1" x14ac:dyDescent="0.25">
      <c r="B480" s="1473" t="s">
        <v>452</v>
      </c>
      <c r="C480" s="1473" t="s">
        <v>386</v>
      </c>
      <c r="D480" s="1474"/>
      <c r="E480" s="262"/>
      <c r="F480" s="262"/>
      <c r="G480" s="262"/>
      <c r="H480" s="262"/>
      <c r="I480" s="262"/>
      <c r="J480" s="264"/>
      <c r="K480" s="62"/>
    </row>
    <row r="481" spans="2:20" s="5" customFormat="1" ht="15.75" hidden="1" x14ac:dyDescent="0.25">
      <c r="B481" s="1474"/>
      <c r="C481" s="1474" t="s">
        <v>454</v>
      </c>
      <c r="D481" s="1474"/>
      <c r="E481" s="262"/>
      <c r="F481" s="262"/>
      <c r="G481" s="262"/>
      <c r="H481" s="262"/>
      <c r="I481" s="262"/>
      <c r="J481" s="264"/>
      <c r="K481" s="62"/>
    </row>
    <row r="482" spans="2:20" s="5" customFormat="1" ht="15.75" hidden="1" x14ac:dyDescent="0.25">
      <c r="B482" s="1474"/>
      <c r="C482" s="1474" t="s">
        <v>1475</v>
      </c>
      <c r="D482" s="1520">
        <v>7.4999999999999997E-3</v>
      </c>
      <c r="E482" s="262"/>
      <c r="F482" s="262"/>
      <c r="G482" s="262"/>
      <c r="H482" s="262"/>
      <c r="I482" s="262"/>
      <c r="J482" s="264"/>
      <c r="K482" s="62"/>
    </row>
    <row r="483" spans="2:20" s="5" customFormat="1" ht="15.75" hidden="1" x14ac:dyDescent="0.25">
      <c r="B483" s="262"/>
      <c r="C483" s="262"/>
      <c r="D483" s="293"/>
      <c r="E483" s="262"/>
      <c r="F483" s="262"/>
      <c r="G483" s="262"/>
      <c r="H483" s="262"/>
      <c r="I483" s="262"/>
      <c r="J483" s="264"/>
      <c r="K483" s="62"/>
    </row>
    <row r="484" spans="2:20" s="5" customFormat="1" ht="15.75" hidden="1" x14ac:dyDescent="0.25">
      <c r="B484" s="1474" t="s">
        <v>427</v>
      </c>
      <c r="C484" s="1475" t="s">
        <v>478</v>
      </c>
      <c r="D484" s="1522" t="e">
        <f>D478*D482*44/28</f>
        <v>#DIV/0!</v>
      </c>
      <c r="E484" s="262"/>
      <c r="F484" s="262"/>
      <c r="G484" s="141" t="s">
        <v>336</v>
      </c>
      <c r="H484" s="262"/>
      <c r="I484" s="262"/>
      <c r="J484" s="264"/>
      <c r="K484" s="62"/>
    </row>
    <row r="485" spans="2:20" s="5" customFormat="1" ht="15.75" hidden="1" x14ac:dyDescent="0.25">
      <c r="B485" s="262"/>
      <c r="C485" s="262"/>
      <c r="D485" s="262"/>
      <c r="E485" s="262"/>
      <c r="F485" s="262"/>
      <c r="G485" s="262"/>
      <c r="H485" s="262"/>
      <c r="I485" s="262"/>
      <c r="J485" s="264"/>
      <c r="K485" s="62"/>
      <c r="L485" s="9"/>
      <c r="M485" s="9"/>
      <c r="N485" s="9"/>
      <c r="O485" s="9"/>
      <c r="P485" s="9"/>
      <c r="Q485" s="9"/>
      <c r="R485" s="9"/>
      <c r="S485" s="9"/>
      <c r="T485" s="9"/>
    </row>
    <row r="486" spans="2:20" s="5" customFormat="1" ht="15.75" hidden="1" x14ac:dyDescent="0.25">
      <c r="B486" s="1480" t="s">
        <v>455</v>
      </c>
      <c r="C486" s="1345" t="e">
        <f>D484*298</f>
        <v>#DIV/0!</v>
      </c>
      <c r="D486" s="1523"/>
      <c r="E486" s="1523"/>
      <c r="F486" s="1523"/>
      <c r="G486" s="1523" t="s">
        <v>302</v>
      </c>
      <c r="H486" s="1523"/>
      <c r="I486" s="1532"/>
      <c r="J486" s="1533"/>
      <c r="K486" s="62"/>
      <c r="L486" s="9"/>
      <c r="M486" s="9"/>
      <c r="N486" s="9"/>
      <c r="O486" s="9"/>
      <c r="P486" s="9"/>
      <c r="Q486" s="9"/>
      <c r="R486" s="9"/>
      <c r="S486" s="9"/>
      <c r="T486" s="9"/>
    </row>
    <row r="487" spans="2:20" s="5" customFormat="1" ht="15.75" hidden="1" x14ac:dyDescent="0.25">
      <c r="K487" s="62"/>
      <c r="L487" s="9"/>
      <c r="M487" s="9"/>
      <c r="N487" s="9"/>
      <c r="O487" s="9"/>
      <c r="P487" s="9"/>
      <c r="Q487" s="9"/>
      <c r="R487" s="9"/>
      <c r="S487" s="9"/>
      <c r="T487" s="9"/>
    </row>
    <row r="488" spans="2:20" s="5" customFormat="1" ht="15.75" hidden="1" x14ac:dyDescent="0.25">
      <c r="B488" s="9"/>
      <c r="C488" s="9"/>
      <c r="D488" s="9"/>
      <c r="E488" s="9"/>
      <c r="F488" s="9"/>
      <c r="G488" s="9"/>
      <c r="H488" s="9"/>
      <c r="I488" s="9"/>
      <c r="J488" s="9"/>
      <c r="K488" s="62"/>
      <c r="L488" s="9"/>
      <c r="M488" s="9"/>
      <c r="N488" s="9"/>
      <c r="O488" s="9"/>
      <c r="P488" s="9"/>
      <c r="Q488" s="9"/>
      <c r="R488" s="9"/>
      <c r="S488" s="9"/>
      <c r="T488" s="9"/>
    </row>
    <row r="489" spans="2:20" s="5" customFormat="1" ht="15.75" hidden="1" x14ac:dyDescent="0.25">
      <c r="B489" s="9"/>
      <c r="C489" s="9"/>
      <c r="D489" s="9"/>
      <c r="E489" s="9"/>
      <c r="F489" s="9"/>
      <c r="G489" s="9"/>
      <c r="H489" s="9"/>
      <c r="I489" s="9"/>
      <c r="J489" s="9"/>
      <c r="K489" s="62"/>
      <c r="L489" s="9"/>
      <c r="M489" s="9"/>
      <c r="N489" s="9"/>
      <c r="O489" s="9"/>
      <c r="P489" s="9"/>
      <c r="Q489" s="9"/>
      <c r="R489" s="9"/>
      <c r="S489" s="9"/>
      <c r="T489" s="9"/>
    </row>
    <row r="490" spans="2:20" s="5" customFormat="1" ht="15.75" hidden="1" x14ac:dyDescent="0.25">
      <c r="B490" s="151" t="s">
        <v>464</v>
      </c>
      <c r="C490" s="9"/>
      <c r="D490" s="9"/>
      <c r="E490" s="9"/>
      <c r="F490" s="9"/>
      <c r="G490" s="9"/>
      <c r="H490" s="9"/>
      <c r="I490" s="9"/>
      <c r="J490" s="9"/>
      <c r="K490" s="62"/>
      <c r="L490" s="9"/>
      <c r="M490" s="9"/>
      <c r="N490" s="9"/>
      <c r="O490" s="9"/>
      <c r="P490" s="9"/>
      <c r="Q490" s="9"/>
      <c r="R490" s="9"/>
      <c r="S490" s="9"/>
      <c r="T490" s="9"/>
    </row>
    <row r="491" spans="2:20" s="5" customFormat="1" ht="15.75" hidden="1" x14ac:dyDescent="0.25">
      <c r="B491" s="9" t="s">
        <v>490</v>
      </c>
      <c r="C491" s="152" t="e">
        <f>D455*10^6</f>
        <v>#DIV/0!</v>
      </c>
      <c r="D491" s="9"/>
      <c r="E491" s="9"/>
      <c r="F491" s="9"/>
      <c r="G491" s="9"/>
      <c r="H491" s="9"/>
      <c r="I491" s="9"/>
      <c r="J491" s="9"/>
      <c r="K491" s="62"/>
      <c r="L491" s="9"/>
      <c r="M491" s="9"/>
      <c r="N491" s="9"/>
      <c r="O491" s="9"/>
      <c r="P491" s="9"/>
      <c r="Q491" s="9"/>
      <c r="R491" s="9"/>
      <c r="S491" s="9"/>
      <c r="T491" s="9"/>
    </row>
    <row r="492" spans="2:20" s="5" customFormat="1" ht="15.75" hidden="1" x14ac:dyDescent="0.25">
      <c r="B492" s="9"/>
      <c r="C492" s="9"/>
      <c r="D492" s="9"/>
      <c r="E492" s="9"/>
      <c r="F492" s="9"/>
      <c r="G492" s="9"/>
      <c r="H492" s="9"/>
      <c r="I492" s="9"/>
      <c r="J492" s="9"/>
      <c r="K492" s="62"/>
      <c r="L492" s="9"/>
      <c r="M492" s="9"/>
      <c r="N492" s="9"/>
      <c r="O492" s="9"/>
      <c r="P492" s="9"/>
      <c r="Q492" s="9"/>
      <c r="R492" s="9"/>
      <c r="S492" s="9"/>
      <c r="T492" s="9"/>
    </row>
    <row r="493" spans="2:20" s="5" customFormat="1" ht="15.75" hidden="1" x14ac:dyDescent="0.25">
      <c r="B493" s="151" t="s">
        <v>1523</v>
      </c>
      <c r="C493" s="9"/>
      <c r="D493" s="9"/>
      <c r="E493" s="9"/>
      <c r="F493" s="9"/>
      <c r="G493" s="9"/>
      <c r="H493" s="9"/>
      <c r="I493" s="9"/>
      <c r="J493" s="9"/>
      <c r="K493" s="62"/>
      <c r="L493" s="9"/>
      <c r="M493" s="9"/>
      <c r="N493" s="9"/>
      <c r="O493" s="9"/>
      <c r="P493" s="9"/>
      <c r="Q493" s="9"/>
      <c r="R493" s="9"/>
      <c r="S493" s="9"/>
      <c r="T493" s="9"/>
    </row>
    <row r="494" spans="2:20" s="5" customFormat="1" ht="15.75" hidden="1" x14ac:dyDescent="0.25">
      <c r="B494" s="9" t="s">
        <v>490</v>
      </c>
      <c r="C494" s="152" t="e">
        <f>(D441+D392)*10^6</f>
        <v>#DIV/0!</v>
      </c>
      <c r="D494" s="9"/>
      <c r="E494" s="9"/>
      <c r="F494" s="9"/>
      <c r="G494" s="9"/>
      <c r="H494" s="9"/>
      <c r="I494" s="9"/>
      <c r="J494" s="9"/>
      <c r="K494" s="62"/>
      <c r="L494" s="9"/>
      <c r="M494" s="9"/>
      <c r="N494" s="9"/>
      <c r="O494" s="9"/>
      <c r="P494" s="9"/>
      <c r="Q494" s="9"/>
      <c r="R494" s="9"/>
      <c r="S494" s="9"/>
      <c r="T494" s="9"/>
    </row>
    <row r="495" spans="2:20" s="5" customFormat="1" ht="15.75" hidden="1" x14ac:dyDescent="0.25">
      <c r="B495" s="6"/>
      <c r="C495" s="9"/>
      <c r="D495" s="9"/>
      <c r="E495" s="9"/>
      <c r="F495" s="9"/>
      <c r="G495" s="9"/>
      <c r="H495" s="9"/>
      <c r="I495" s="9"/>
      <c r="J495" s="9"/>
      <c r="K495" s="62"/>
      <c r="L495" s="9"/>
      <c r="M495" s="9"/>
      <c r="N495" s="9"/>
      <c r="O495" s="9"/>
      <c r="P495" s="9"/>
      <c r="Q495" s="9"/>
      <c r="R495" s="9"/>
      <c r="S495" s="9"/>
      <c r="T495" s="9"/>
    </row>
    <row r="496" spans="2:20" s="9" customFormat="1" ht="15.75" hidden="1" x14ac:dyDescent="0.25">
      <c r="B496" s="151" t="s">
        <v>461</v>
      </c>
    </row>
    <row r="497" spans="2:4" s="9" customFormat="1" hidden="1" x14ac:dyDescent="0.25">
      <c r="B497" s="9" t="s">
        <v>490</v>
      </c>
      <c r="C497" s="152" t="e">
        <f>(D407+D416+D484+D470)*10^6</f>
        <v>#DIV/0!</v>
      </c>
    </row>
    <row r="498" spans="2:4" s="9" customFormat="1" hidden="1" x14ac:dyDescent="0.25"/>
    <row r="499" spans="2:4" s="9" customFormat="1" hidden="1" x14ac:dyDescent="0.25">
      <c r="B499" s="153" t="s">
        <v>485</v>
      </c>
    </row>
    <row r="500" spans="2:4" s="9" customFormat="1" hidden="1" x14ac:dyDescent="0.25">
      <c r="B500" s="9" t="s">
        <v>490</v>
      </c>
      <c r="C500" s="152" t="e">
        <f>C491+C494+C497</f>
        <v>#DIV/0!</v>
      </c>
    </row>
    <row r="501" spans="2:4" s="9" customFormat="1" hidden="1" x14ac:dyDescent="0.25"/>
    <row r="502" spans="2:4" s="9" customFormat="1" hidden="1" x14ac:dyDescent="0.25">
      <c r="B502" s="12" t="s">
        <v>487</v>
      </c>
      <c r="C502" s="15" t="e">
        <f>C500*310/1000</f>
        <v>#DIV/0!</v>
      </c>
      <c r="D502" s="13"/>
    </row>
    <row r="503" spans="2:4" s="9" customFormat="1" hidden="1" x14ac:dyDescent="0.25"/>
    <row r="504" spans="2:4" s="9" customFormat="1" hidden="1" x14ac:dyDescent="0.25">
      <c r="B504" s="299" t="s">
        <v>851</v>
      </c>
      <c r="C504" s="154" t="e">
        <f>C330-C502</f>
        <v>#DIV/0!</v>
      </c>
    </row>
    <row r="505" spans="2:4" s="9" customFormat="1" hidden="1" x14ac:dyDescent="0.25"/>
    <row r="506" spans="2:4" s="9" customFormat="1" hidden="1" x14ac:dyDescent="0.25"/>
    <row r="507" spans="2:4" s="9" customFormat="1" hidden="1" x14ac:dyDescent="0.25">
      <c r="B507" s="339" t="s">
        <v>492</v>
      </c>
      <c r="D507" s="20" t="s">
        <v>855</v>
      </c>
    </row>
    <row r="508" spans="2:4" s="9" customFormat="1" hidden="1" x14ac:dyDescent="0.25">
      <c r="B508" s="339" t="s">
        <v>844</v>
      </c>
      <c r="C508" s="154" t="e">
        <f>C103</f>
        <v>#DIV/0!</v>
      </c>
      <c r="D508" s="516" t="e">
        <f>C508/365</f>
        <v>#DIV/0!</v>
      </c>
    </row>
    <row r="509" spans="2:4" s="9" customFormat="1" hidden="1" x14ac:dyDescent="0.25">
      <c r="B509" s="339" t="s">
        <v>845</v>
      </c>
      <c r="C509" s="154" t="e">
        <f>C301</f>
        <v>#DIV/0!</v>
      </c>
      <c r="D509" s="516" t="e">
        <f>C509/365</f>
        <v>#DIV/0!</v>
      </c>
    </row>
    <row r="510" spans="2:4" s="9" customFormat="1" hidden="1" x14ac:dyDescent="0.25">
      <c r="B510" s="339" t="s">
        <v>846</v>
      </c>
      <c r="C510" s="154" t="e">
        <f>C330</f>
        <v>#DIV/0!</v>
      </c>
      <c r="D510" s="516" t="e">
        <f>C510/365</f>
        <v>#DIV/0!</v>
      </c>
    </row>
    <row r="511" spans="2:4" s="9" customFormat="1" hidden="1" x14ac:dyDescent="0.25">
      <c r="B511" s="339" t="s">
        <v>847</v>
      </c>
      <c r="C511" s="155">
        <v>0</v>
      </c>
      <c r="D511" s="516">
        <f>C511/365</f>
        <v>0</v>
      </c>
    </row>
    <row r="512" spans="2:4" s="9" customFormat="1" hidden="1" x14ac:dyDescent="0.25">
      <c r="B512" s="339" t="s">
        <v>848</v>
      </c>
      <c r="C512" s="154" t="e">
        <f>SUM(C508:C511)</f>
        <v>#DIV/0!</v>
      </c>
      <c r="D512" s="516" t="e">
        <f>C512/365</f>
        <v>#DIV/0!</v>
      </c>
    </row>
    <row r="513" spans="2:20" s="9" customFormat="1" hidden="1" x14ac:dyDescent="0.25">
      <c r="B513" s="339"/>
      <c r="C513" s="155"/>
      <c r="D513" s="20"/>
    </row>
    <row r="514" spans="2:20" s="9" customFormat="1" hidden="1" x14ac:dyDescent="0.25">
      <c r="B514" s="339" t="s">
        <v>493</v>
      </c>
      <c r="C514" s="155"/>
      <c r="D514" s="20"/>
    </row>
    <row r="515" spans="2:20" s="9" customFormat="1" hidden="1" x14ac:dyDescent="0.25">
      <c r="B515" s="339" t="s">
        <v>844</v>
      </c>
      <c r="C515" s="154" t="e">
        <f>C148</f>
        <v>#DIV/0!</v>
      </c>
      <c r="D515" s="516" t="e">
        <f>C515/365</f>
        <v>#DIV/0!</v>
      </c>
    </row>
    <row r="516" spans="2:20" s="9" customFormat="1" hidden="1" x14ac:dyDescent="0.25">
      <c r="B516" s="339" t="s">
        <v>845</v>
      </c>
      <c r="C516" s="154" t="e">
        <f>C313</f>
        <v>#DIV/0!</v>
      </c>
      <c r="D516" s="516" t="e">
        <f>C516/365</f>
        <v>#DIV/0!</v>
      </c>
    </row>
    <row r="517" spans="2:20" s="9" customFormat="1" hidden="1" x14ac:dyDescent="0.25">
      <c r="B517" s="339" t="s">
        <v>846</v>
      </c>
      <c r="C517" s="154" t="e">
        <f>C502</f>
        <v>#DIV/0!</v>
      </c>
      <c r="D517" s="516" t="e">
        <f>C517/365</f>
        <v>#DIV/0!</v>
      </c>
    </row>
    <row r="518" spans="2:20" s="9" customFormat="1" hidden="1" x14ac:dyDescent="0.25">
      <c r="B518" s="339" t="s">
        <v>847</v>
      </c>
      <c r="C518" s="155">
        <v>0</v>
      </c>
      <c r="D518" s="516">
        <f>C518/365</f>
        <v>0</v>
      </c>
    </row>
    <row r="519" spans="2:20" s="9" customFormat="1" hidden="1" x14ac:dyDescent="0.25">
      <c r="B519" s="339" t="s">
        <v>848</v>
      </c>
      <c r="C519" s="154" t="e">
        <f>SUM(C515:C518)</f>
        <v>#DIV/0!</v>
      </c>
      <c r="D519" s="516" t="e">
        <f>C519/365</f>
        <v>#DIV/0!</v>
      </c>
    </row>
    <row r="520" spans="2:20" s="9" customFormat="1" hidden="1" x14ac:dyDescent="0.25">
      <c r="B520" s="339"/>
      <c r="C520" s="155"/>
      <c r="D520" s="20"/>
    </row>
    <row r="521" spans="2:20" s="9" customFormat="1" hidden="1" x14ac:dyDescent="0.25">
      <c r="B521" s="339" t="s">
        <v>849</v>
      </c>
      <c r="C521" s="155"/>
      <c r="D521" s="20" t="s">
        <v>856</v>
      </c>
    </row>
    <row r="522" spans="2:20" s="9" customFormat="1" hidden="1" x14ac:dyDescent="0.25">
      <c r="B522" s="339" t="s">
        <v>844</v>
      </c>
      <c r="C522" s="154" t="e">
        <f>C508-C515</f>
        <v>#DIV/0!</v>
      </c>
      <c r="D522" s="516" t="e">
        <f>(C522/365)*$C$22</f>
        <v>#DIV/0!</v>
      </c>
    </row>
    <row r="523" spans="2:20" s="9" customFormat="1" hidden="1" x14ac:dyDescent="0.25">
      <c r="B523" s="339" t="s">
        <v>845</v>
      </c>
      <c r="C523" s="154" t="e">
        <f>C509-C516</f>
        <v>#DIV/0!</v>
      </c>
      <c r="D523" s="516" t="e">
        <f>(C523/365)*$C$22</f>
        <v>#DIV/0!</v>
      </c>
    </row>
    <row r="524" spans="2:20" s="9" customFormat="1" hidden="1" x14ac:dyDescent="0.25">
      <c r="B524" s="339" t="s">
        <v>846</v>
      </c>
      <c r="C524" s="154" t="e">
        <f>C510-C517</f>
        <v>#DIV/0!</v>
      </c>
      <c r="D524" s="516" t="e">
        <f>(C524/365)*$C$22</f>
        <v>#DIV/0!</v>
      </c>
    </row>
    <row r="525" spans="2:20" s="9" customFormat="1" hidden="1" x14ac:dyDescent="0.25">
      <c r="B525" s="339" t="s">
        <v>847</v>
      </c>
      <c r="C525" s="155">
        <f>C511-C518</f>
        <v>0</v>
      </c>
      <c r="D525" s="516">
        <f>(C525/365)*$C$22</f>
        <v>0</v>
      </c>
    </row>
    <row r="526" spans="2:20" s="9" customFormat="1" hidden="1" x14ac:dyDescent="0.25">
      <c r="B526" s="339" t="s">
        <v>848</v>
      </c>
      <c r="C526" s="154" t="e">
        <f>SUM(C522:C525)</f>
        <v>#DIV/0!</v>
      </c>
      <c r="D526" s="516" t="e">
        <f>(C526/365)*$C$22</f>
        <v>#DIV/0!</v>
      </c>
      <c r="L526" s="6"/>
      <c r="M526" s="6"/>
      <c r="N526" s="6"/>
      <c r="O526" s="6"/>
      <c r="P526" s="6"/>
      <c r="Q526" s="6"/>
      <c r="R526" s="6"/>
      <c r="S526" s="6"/>
      <c r="T526" s="6"/>
    </row>
    <row r="527" spans="2:20" s="9" customFormat="1" hidden="1" x14ac:dyDescent="0.25"/>
    <row r="528" spans="2:20" s="9" customFormat="1" hidden="1" x14ac:dyDescent="0.25">
      <c r="B528" s="6"/>
      <c r="C528" s="6"/>
      <c r="D528" s="6"/>
      <c r="E528" s="6"/>
      <c r="F528" s="6"/>
      <c r="G528" s="6"/>
      <c r="H528" s="6"/>
      <c r="I528" s="6"/>
      <c r="J528" s="6"/>
      <c r="L528" s="6"/>
      <c r="M528" s="6"/>
      <c r="N528" s="6"/>
      <c r="O528" s="6"/>
      <c r="P528" s="6"/>
      <c r="Q528" s="6"/>
      <c r="R528" s="6"/>
      <c r="S528" s="6"/>
      <c r="T528" s="6"/>
    </row>
    <row r="529" spans="2:20" s="9" customFormat="1" hidden="1" x14ac:dyDescent="0.25">
      <c r="B529" s="559"/>
      <c r="C529" s="559"/>
      <c r="D529" s="559"/>
      <c r="E529" s="559"/>
      <c r="F529" s="559"/>
      <c r="G529" s="559"/>
      <c r="H529" s="559"/>
      <c r="I529" s="559"/>
      <c r="J529" s="559"/>
      <c r="L529" s="6"/>
      <c r="M529" s="6"/>
      <c r="N529" s="6"/>
      <c r="O529" s="6"/>
      <c r="P529" s="6"/>
      <c r="Q529" s="6"/>
      <c r="R529" s="6"/>
      <c r="S529" s="6"/>
      <c r="T529" s="6"/>
    </row>
    <row r="530" spans="2:20" s="9" customFormat="1" hidden="1" x14ac:dyDescent="0.25">
      <c r="B530" s="559"/>
      <c r="C530" s="559"/>
      <c r="D530" s="559"/>
      <c r="E530" s="559"/>
      <c r="F530" s="559"/>
      <c r="G530" s="559"/>
      <c r="H530" s="559"/>
      <c r="I530" s="559"/>
      <c r="J530" s="559"/>
      <c r="L530" s="6"/>
      <c r="M530" s="6"/>
      <c r="N530" s="6"/>
      <c r="O530" s="6"/>
      <c r="P530" s="6"/>
      <c r="Q530" s="6"/>
      <c r="R530" s="6"/>
      <c r="S530" s="6"/>
      <c r="T530" s="6"/>
    </row>
    <row r="531" spans="2:20" s="9" customFormat="1" hidden="1" x14ac:dyDescent="0.25">
      <c r="B531" s="559"/>
      <c r="C531" s="559"/>
      <c r="D531" s="559"/>
      <c r="E531" s="559"/>
      <c r="F531" s="559"/>
      <c r="G531" s="559"/>
      <c r="H531" s="559"/>
      <c r="I531" s="559"/>
      <c r="J531" s="559"/>
      <c r="L531" s="6"/>
      <c r="M531" s="6"/>
      <c r="N531" s="6"/>
      <c r="O531" s="6"/>
      <c r="P531" s="6"/>
      <c r="Q531" s="6"/>
      <c r="R531" s="6"/>
      <c r="S531" s="6"/>
      <c r="T531" s="6"/>
    </row>
    <row r="532" spans="2:20" s="9" customFormat="1" hidden="1" x14ac:dyDescent="0.25">
      <c r="B532" s="559"/>
      <c r="C532" s="559"/>
      <c r="D532" s="559"/>
      <c r="E532" s="559"/>
      <c r="F532" s="559"/>
      <c r="G532" s="559"/>
      <c r="H532" s="559"/>
      <c r="I532" s="559"/>
      <c r="J532" s="559"/>
      <c r="L532" s="6"/>
      <c r="M532" s="6"/>
      <c r="N532" s="6"/>
      <c r="O532" s="6"/>
      <c r="P532" s="6"/>
      <c r="Q532" s="6"/>
      <c r="R532" s="6"/>
      <c r="S532" s="6"/>
      <c r="T532" s="6"/>
    </row>
    <row r="533" spans="2:20" s="9" customFormat="1" hidden="1" x14ac:dyDescent="0.25">
      <c r="B533" s="559"/>
      <c r="C533" s="559"/>
      <c r="D533" s="559"/>
      <c r="E533" s="559"/>
      <c r="F533" s="559"/>
      <c r="G533" s="559"/>
      <c r="H533" s="559"/>
      <c r="I533" s="559"/>
      <c r="J533" s="559"/>
      <c r="L533" s="6"/>
      <c r="M533" s="6"/>
      <c r="N533" s="6"/>
      <c r="O533" s="6"/>
      <c r="P533" s="6"/>
      <c r="Q533" s="6"/>
      <c r="R533" s="6"/>
      <c r="S533" s="6"/>
      <c r="T533" s="6"/>
    </row>
    <row r="534" spans="2:20" s="9" customFormat="1" hidden="1" x14ac:dyDescent="0.25">
      <c r="B534" s="559"/>
      <c r="C534" s="559"/>
      <c r="D534" s="559"/>
      <c r="E534" s="559"/>
      <c r="F534" s="559"/>
      <c r="G534" s="559"/>
      <c r="H534" s="559"/>
      <c r="I534" s="559"/>
      <c r="J534" s="559"/>
    </row>
    <row r="535" spans="2:20" s="9" customFormat="1" hidden="1" x14ac:dyDescent="0.25">
      <c r="B535" s="559"/>
      <c r="C535" s="559"/>
      <c r="D535" s="559"/>
      <c r="E535" s="559"/>
      <c r="F535" s="559"/>
      <c r="G535" s="559"/>
      <c r="H535" s="559"/>
      <c r="I535" s="559"/>
      <c r="J535" s="559"/>
      <c r="L535" s="6"/>
      <c r="M535" s="6"/>
      <c r="N535" s="6"/>
      <c r="O535" s="6"/>
      <c r="P535" s="6"/>
      <c r="Q535" s="6"/>
      <c r="R535" s="6"/>
      <c r="S535" s="6"/>
      <c r="T535" s="6"/>
    </row>
    <row r="536" spans="2:20" s="9" customFormat="1" hidden="1" x14ac:dyDescent="0.25">
      <c r="B536" s="559"/>
      <c r="C536" s="559"/>
      <c r="D536" s="559"/>
      <c r="E536" s="559"/>
      <c r="F536" s="559"/>
      <c r="G536" s="559"/>
      <c r="H536" s="559"/>
      <c r="I536" s="559"/>
      <c r="J536" s="559"/>
      <c r="L536" s="6"/>
      <c r="M536" s="6"/>
      <c r="N536" s="6"/>
      <c r="O536" s="6"/>
      <c r="P536" s="6"/>
      <c r="Q536" s="6"/>
      <c r="R536" s="6"/>
      <c r="S536" s="6"/>
      <c r="T536" s="6"/>
    </row>
    <row r="537" spans="2:20" s="6" customFormat="1" hidden="1" x14ac:dyDescent="0.25">
      <c r="B537" s="559"/>
      <c r="C537" s="559"/>
      <c r="D537" s="559"/>
      <c r="E537" s="559"/>
      <c r="F537" s="559"/>
      <c r="G537" s="559"/>
      <c r="H537" s="559"/>
      <c r="I537" s="559"/>
      <c r="J537" s="559"/>
    </row>
    <row r="538" spans="2:20" hidden="1" x14ac:dyDescent="0.25"/>
  </sheetData>
  <sheetProtection algorithmName="SHA-512" hashValue="vTpDgdSjFNHtm5axyulUD7nLR+Hs09LWzdhQshGdkn2UwqlIQXioDsm+MlKZx62ScXdXusZN7tW2CtWET8YpFQ==" saltValue="Ir/i9V+a1rVtiVslAtVFRQ=="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3" r:id="rId4" name="Spinner 103">
              <controlPr defaultSize="0" autoPict="0">
                <anchor moveWithCells="1" sizeWithCells="1">
                  <from>
                    <xdr:col>2</xdr:col>
                    <xdr:colOff>1495425</xdr:colOff>
                    <xdr:row>17</xdr:row>
                    <xdr:rowOff>57150</xdr:rowOff>
                  </from>
                  <to>
                    <xdr:col>2</xdr:col>
                    <xdr:colOff>1838325</xdr:colOff>
                    <xdr:row>18</xdr:row>
                    <xdr:rowOff>0</xdr:rowOff>
                  </to>
                </anchor>
              </controlPr>
            </control>
          </mc:Choice>
        </mc:AlternateContent>
        <mc:AlternateContent xmlns:mc="http://schemas.openxmlformats.org/markup-compatibility/2006">
          <mc:Choice Requires="x14">
            <control shapeId="5224" r:id="rId5" name="Spinner 104">
              <controlPr defaultSize="0" autoPict="0">
                <anchor moveWithCells="1" sizeWithCells="1">
                  <from>
                    <xdr:col>2</xdr:col>
                    <xdr:colOff>1485900</xdr:colOff>
                    <xdr:row>21</xdr:row>
                    <xdr:rowOff>57150</xdr:rowOff>
                  </from>
                  <to>
                    <xdr:col>2</xdr:col>
                    <xdr:colOff>1828800</xdr:colOff>
                    <xdr:row>21</xdr:row>
                    <xdr:rowOff>238125</xdr:rowOff>
                  </to>
                </anchor>
              </controlPr>
            </control>
          </mc:Choice>
        </mc:AlternateContent>
        <mc:AlternateContent xmlns:mc="http://schemas.openxmlformats.org/markup-compatibility/2006">
          <mc:Choice Requires="x14">
            <control shapeId="5225" r:id="rId6" name="Spinner 105">
              <controlPr defaultSize="0" autoPict="0">
                <anchor moveWithCells="1" sizeWithCells="1">
                  <from>
                    <xdr:col>2</xdr:col>
                    <xdr:colOff>1485900</xdr:colOff>
                    <xdr:row>23</xdr:row>
                    <xdr:rowOff>57150</xdr:rowOff>
                  </from>
                  <to>
                    <xdr:col>2</xdr:col>
                    <xdr:colOff>1828800</xdr:colOff>
                    <xdr:row>23</xdr:row>
                    <xdr:rowOff>238125</xdr:rowOff>
                  </to>
                </anchor>
              </controlPr>
            </control>
          </mc:Choice>
        </mc:AlternateContent>
        <mc:AlternateContent xmlns:mc="http://schemas.openxmlformats.org/markup-compatibility/2006">
          <mc:Choice Requires="x14">
            <control shapeId="5226" r:id="rId7" name="Spinner 106">
              <controlPr defaultSize="0" autoPict="0">
                <anchor moveWithCells="1" sizeWithCells="1">
                  <from>
                    <xdr:col>2</xdr:col>
                    <xdr:colOff>1485900</xdr:colOff>
                    <xdr:row>25</xdr:row>
                    <xdr:rowOff>57150</xdr:rowOff>
                  </from>
                  <to>
                    <xdr:col>2</xdr:col>
                    <xdr:colOff>1828800</xdr:colOff>
                    <xdr:row>25</xdr:row>
                    <xdr:rowOff>238125</xdr:rowOff>
                  </to>
                </anchor>
              </controlPr>
            </control>
          </mc:Choice>
        </mc:AlternateContent>
        <mc:AlternateContent xmlns:mc="http://schemas.openxmlformats.org/markup-compatibility/2006">
          <mc:Choice Requires="x14">
            <control shapeId="5228" r:id="rId8" name="Spinner 108">
              <controlPr defaultSize="0" autoPict="0">
                <anchor moveWithCells="1" sizeWithCells="1">
                  <from>
                    <xdr:col>2</xdr:col>
                    <xdr:colOff>1485900</xdr:colOff>
                    <xdr:row>29</xdr:row>
                    <xdr:rowOff>57150</xdr:rowOff>
                  </from>
                  <to>
                    <xdr:col>2</xdr:col>
                    <xdr:colOff>1828800</xdr:colOff>
                    <xdr:row>29</xdr:row>
                    <xdr:rowOff>238125</xdr:rowOff>
                  </to>
                </anchor>
              </controlPr>
            </control>
          </mc:Choice>
        </mc:AlternateContent>
        <mc:AlternateContent xmlns:mc="http://schemas.openxmlformats.org/markup-compatibility/2006">
          <mc:Choice Requires="x14">
            <control shapeId="5233" r:id="rId9" name="Spinner 113">
              <controlPr defaultSize="0" autoPict="0">
                <anchor moveWithCells="1" sizeWithCells="1">
                  <from>
                    <xdr:col>2</xdr:col>
                    <xdr:colOff>1485900</xdr:colOff>
                    <xdr:row>27</xdr:row>
                    <xdr:rowOff>57150</xdr:rowOff>
                  </from>
                  <to>
                    <xdr:col>2</xdr:col>
                    <xdr:colOff>1828800</xdr:colOff>
                    <xdr:row>27</xdr:row>
                    <xdr:rowOff>238125</xdr:rowOff>
                  </to>
                </anchor>
              </controlPr>
            </control>
          </mc:Choice>
        </mc:AlternateContent>
        <mc:AlternateContent xmlns:mc="http://schemas.openxmlformats.org/markup-compatibility/2006">
          <mc:Choice Requires="x14">
            <control shapeId="5242" r:id="rId10" name="Spinner 122">
              <controlPr defaultSize="0" autoPict="0">
                <anchor moveWithCells="1" sizeWithCells="1">
                  <from>
                    <xdr:col>2</xdr:col>
                    <xdr:colOff>1485900</xdr:colOff>
                    <xdr:row>19</xdr:row>
                    <xdr:rowOff>57150</xdr:rowOff>
                  </from>
                  <to>
                    <xdr:col>2</xdr:col>
                    <xdr:colOff>1828800</xdr:colOff>
                    <xdr:row>20</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BC809"/>
  <sheetViews>
    <sheetView zoomScale="70" zoomScaleNormal="70" workbookViewId="0"/>
  </sheetViews>
  <sheetFormatPr defaultColWidth="16.7109375" defaultRowHeight="12.75" x14ac:dyDescent="0.2"/>
  <cols>
    <col min="1" max="1" width="3.28515625" style="29" customWidth="1"/>
    <col min="2" max="2" width="82.7109375" style="29" customWidth="1"/>
    <col min="3" max="3" width="25.5703125" style="29" customWidth="1"/>
    <col min="4" max="4" width="46" style="29" customWidth="1"/>
    <col min="5" max="16384" width="16.7109375" style="29"/>
  </cols>
  <sheetData>
    <row r="1" spans="1:55" x14ac:dyDescent="0.2">
      <c r="A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row>
    <row r="2" spans="1:55" x14ac:dyDescent="0.2">
      <c r="A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row>
    <row r="3" spans="1:55" x14ac:dyDescent="0.2">
      <c r="A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row>
    <row r="4" spans="1:55" x14ac:dyDescent="0.2">
      <c r="A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row>
    <row r="5" spans="1:55" x14ac:dyDescent="0.2">
      <c r="A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row>
    <row r="6" spans="1:55" ht="13.15" customHeight="1" x14ac:dyDescent="0.2">
      <c r="A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row>
    <row r="7" spans="1:55" ht="13.15" customHeight="1" x14ac:dyDescent="0.2">
      <c r="A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row>
    <row r="8" spans="1:55" ht="13.15" customHeight="1" x14ac:dyDescent="0.2">
      <c r="A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row>
    <row r="9" spans="1:55" ht="20.100000000000001" customHeight="1" x14ac:dyDescent="0.25">
      <c r="A9" s="173"/>
      <c r="B9" s="670" t="s">
        <v>1049</v>
      </c>
      <c r="C9" s="669"/>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row>
    <row r="10" spans="1:55" ht="20.100000000000001" customHeight="1" x14ac:dyDescent="0.25">
      <c r="A10" s="173"/>
      <c r="B10" s="203" t="s">
        <v>744</v>
      </c>
      <c r="C10" s="171">
        <f>'Baseline farm'!D17</f>
        <v>0</v>
      </c>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row>
    <row r="11" spans="1:55" ht="20.100000000000001" customHeight="1" x14ac:dyDescent="0.25">
      <c r="A11" s="173"/>
      <c r="B11" s="203" t="s">
        <v>465</v>
      </c>
      <c r="C11" s="171">
        <f>'Baseline farm'!D19</f>
        <v>0</v>
      </c>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row>
    <row r="12" spans="1:55" ht="20.100000000000001" hidden="1" customHeight="1" x14ac:dyDescent="0.25">
      <c r="A12" s="173"/>
      <c r="B12" s="203" t="s">
        <v>15</v>
      </c>
      <c r="C12" s="8">
        <v>0</v>
      </c>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row>
    <row r="13" spans="1:55" ht="20.100000000000001" customHeight="1" x14ac:dyDescent="0.25">
      <c r="A13" s="173"/>
      <c r="B13" s="203" t="s">
        <v>496</v>
      </c>
      <c r="C13" s="8" t="e">
        <f>'Baseline farm'!H28</f>
        <v>#DIV/0!</v>
      </c>
      <c r="D13" s="178">
        <f>C10+C11</f>
        <v>0</v>
      </c>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row>
    <row r="14" spans="1:55" ht="20.100000000000001" customHeight="1" x14ac:dyDescent="0.25">
      <c r="A14" s="173"/>
      <c r="B14" s="203" t="s">
        <v>804</v>
      </c>
      <c r="C14" s="7">
        <f>'Baseline farm'!D28</f>
        <v>0</v>
      </c>
      <c r="D14" s="178"/>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row>
    <row r="15" spans="1:55" ht="20.100000000000001" customHeight="1" x14ac:dyDescent="0.25">
      <c r="A15" s="173"/>
      <c r="B15" s="303" t="s">
        <v>507</v>
      </c>
      <c r="C15" s="313" t="e">
        <f>'Baseline farm'!F36</f>
        <v>#DIV/0!</v>
      </c>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row>
    <row r="16" spans="1:55" ht="20.100000000000001" customHeight="1" x14ac:dyDescent="0.25">
      <c r="A16" s="173"/>
      <c r="B16" s="304" t="s">
        <v>508</v>
      </c>
      <c r="C16" s="314" t="e">
        <f>'Baseline farm'!H36</f>
        <v>#DIV/0!</v>
      </c>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row>
    <row r="17" spans="1:55" ht="20.100000000000001" customHeight="1" x14ac:dyDescent="0.25">
      <c r="A17" s="173"/>
      <c r="B17" s="671" t="s">
        <v>1050</v>
      </c>
      <c r="C17" s="315"/>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row>
    <row r="18" spans="1:55" ht="20.100000000000001" customHeight="1" x14ac:dyDescent="0.25">
      <c r="A18" s="173"/>
      <c r="B18" s="305" t="s">
        <v>90</v>
      </c>
      <c r="C18" s="856">
        <f>C63/1</f>
        <v>92</v>
      </c>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row>
    <row r="19" spans="1:55" ht="5.0999999999999996" customHeight="1" x14ac:dyDescent="0.25">
      <c r="A19" s="173"/>
      <c r="B19" s="305"/>
      <c r="C19" s="351"/>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row>
    <row r="20" spans="1:55" ht="20.100000000000001" customHeight="1" x14ac:dyDescent="0.25">
      <c r="A20" s="173"/>
      <c r="B20" s="305" t="s">
        <v>106</v>
      </c>
      <c r="C20" s="856">
        <f>C64/1</f>
        <v>90</v>
      </c>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row>
    <row r="21" spans="1:55" ht="5.0999999999999996" customHeight="1" x14ac:dyDescent="0.25">
      <c r="A21" s="173"/>
      <c r="B21" s="305"/>
      <c r="C21" s="351"/>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c r="AY21" s="173"/>
      <c r="AZ21" s="173"/>
      <c r="BA21" s="173"/>
      <c r="BB21" s="173"/>
      <c r="BC21" s="173"/>
    </row>
    <row r="22" spans="1:55" ht="20.100000000000001" customHeight="1" x14ac:dyDescent="0.25">
      <c r="A22" s="173"/>
      <c r="B22" s="305" t="s">
        <v>91</v>
      </c>
      <c r="C22" s="856">
        <f>C65/1</f>
        <v>50</v>
      </c>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row>
    <row r="23" spans="1:55" ht="5.0999999999999996" customHeight="1" x14ac:dyDescent="0.25">
      <c r="A23" s="173"/>
      <c r="B23" s="305"/>
      <c r="C23" s="351"/>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row>
    <row r="24" spans="1:55" ht="20.100000000000001" customHeight="1" x14ac:dyDescent="0.25">
      <c r="A24" s="173"/>
      <c r="B24" s="205" t="s">
        <v>1058</v>
      </c>
      <c r="C24" s="845">
        <f>C66/10</f>
        <v>40</v>
      </c>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row>
    <row r="25" spans="1:55" ht="5.0999999999999996" customHeight="1" x14ac:dyDescent="0.25">
      <c r="A25" s="173"/>
      <c r="B25" s="205"/>
      <c r="C25" s="350"/>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row>
    <row r="26" spans="1:55" ht="20.100000000000001" customHeight="1" x14ac:dyDescent="0.25">
      <c r="A26" s="173"/>
      <c r="B26" s="205" t="s">
        <v>128</v>
      </c>
      <c r="C26" s="855">
        <f>C67/1000</f>
        <v>0.4</v>
      </c>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row>
    <row r="27" spans="1:55" ht="5.0999999999999996" customHeight="1" x14ac:dyDescent="0.25">
      <c r="A27" s="173"/>
      <c r="B27" s="205"/>
      <c r="C27" s="350"/>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row>
    <row r="28" spans="1:55" ht="20.100000000000001" customHeight="1" x14ac:dyDescent="0.25">
      <c r="A28" s="173"/>
      <c r="B28" s="205" t="s">
        <v>72</v>
      </c>
      <c r="C28" s="845">
        <f>C68/100</f>
        <v>6</v>
      </c>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row>
    <row r="29" spans="1:55" ht="5.0999999999999996" customHeight="1" x14ac:dyDescent="0.25">
      <c r="A29" s="173"/>
      <c r="B29" s="309"/>
      <c r="C29" s="311"/>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row>
    <row r="30" spans="1:55" ht="20.100000000000001" customHeight="1" x14ac:dyDescent="0.25">
      <c r="A30" s="173"/>
      <c r="B30" s="672" t="s">
        <v>1051</v>
      </c>
      <c r="C30" s="6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row>
    <row r="31" spans="1:55" ht="20.100000000000001" customHeight="1" x14ac:dyDescent="0.25">
      <c r="A31" s="173"/>
      <c r="B31" s="207" t="s">
        <v>17</v>
      </c>
      <c r="C31" s="519">
        <v>0</v>
      </c>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row>
    <row r="32" spans="1:55" ht="20.100000000000001" customHeight="1" x14ac:dyDescent="0.25">
      <c r="A32" s="173"/>
      <c r="B32" s="208" t="s">
        <v>1052</v>
      </c>
      <c r="C32" s="11"/>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row>
    <row r="33" spans="1:55" s="18" customFormat="1" ht="20.100000000000001" customHeight="1" x14ac:dyDescent="0.25">
      <c r="A33" s="17"/>
      <c r="B33" s="523" t="s">
        <v>89</v>
      </c>
      <c r="C33" s="535">
        <v>0</v>
      </c>
      <c r="I33" s="17"/>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row>
    <row r="34" spans="1:55" s="18" customFormat="1" ht="20.100000000000001" customHeight="1" x14ac:dyDescent="0.25">
      <c r="A34" s="17"/>
      <c r="B34" s="523" t="s">
        <v>494</v>
      </c>
      <c r="C34" s="535">
        <v>0</v>
      </c>
      <c r="I34" s="17"/>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row>
    <row r="35" spans="1:55" s="18" customFormat="1" ht="20.100000000000001" customHeight="1" x14ac:dyDescent="0.25">
      <c r="A35" s="17"/>
      <c r="B35" s="523" t="s">
        <v>495</v>
      </c>
      <c r="C35" s="524" t="e">
        <f>C143</f>
        <v>#DIV/0!</v>
      </c>
      <c r="I35" s="17"/>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row>
    <row r="36" spans="1:55" s="18" customFormat="1" ht="20.100000000000001" customHeight="1" x14ac:dyDescent="0.25">
      <c r="A36" s="17"/>
      <c r="B36" s="523" t="s">
        <v>217</v>
      </c>
      <c r="C36" s="524">
        <v>0</v>
      </c>
      <c r="I36" s="17"/>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row>
    <row r="37" spans="1:55" s="18" customFormat="1" ht="20.100000000000001" customHeight="1" x14ac:dyDescent="0.25">
      <c r="A37" s="17"/>
      <c r="B37" s="523" t="s">
        <v>218</v>
      </c>
      <c r="C37" s="524" t="e">
        <f>SUM(C33:C36)</f>
        <v>#DIV/0!</v>
      </c>
      <c r="I37" s="17"/>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row>
    <row r="38" spans="1:55" ht="20.100000000000001" customHeight="1" x14ac:dyDescent="0.25">
      <c r="A38" s="173"/>
      <c r="B38" s="525" t="s">
        <v>1047</v>
      </c>
      <c r="C38" s="526" t="e">
        <f>(C37*C28)</f>
        <v>#DIV/0!</v>
      </c>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row>
    <row r="39" spans="1:55" ht="20.100000000000001" customHeight="1" x14ac:dyDescent="0.25">
      <c r="A39" s="173"/>
      <c r="B39" s="525" t="s">
        <v>1048</v>
      </c>
      <c r="C39" s="536">
        <f>(C24*C10)</f>
        <v>0</v>
      </c>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row>
    <row r="40" spans="1:55" ht="20.100000000000001" customHeight="1" x14ac:dyDescent="0.25">
      <c r="A40" s="173"/>
      <c r="B40" s="525" t="s">
        <v>20</v>
      </c>
      <c r="C40" s="527" t="e">
        <f>IF(C38&gt;1,C38-C39,C39*-1)</f>
        <v>#DIV/0!</v>
      </c>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row>
    <row r="41" spans="1:55" ht="20.100000000000001" customHeight="1" x14ac:dyDescent="0.25">
      <c r="A41" s="173"/>
      <c r="B41" s="525" t="s">
        <v>95</v>
      </c>
      <c r="C41" s="526">
        <f>C31*C26</f>
        <v>0</v>
      </c>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row>
    <row r="42" spans="1:55" ht="20.100000000000001" customHeight="1" x14ac:dyDescent="0.25">
      <c r="A42" s="173"/>
      <c r="B42" s="525" t="s">
        <v>18</v>
      </c>
      <c r="C42" s="526" t="e">
        <f>IF(C38&gt;1,C38-C39+C41,C41-C39)</f>
        <v>#DIV/0!</v>
      </c>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row>
    <row r="43" spans="1:55" ht="20.100000000000001" customHeight="1" x14ac:dyDescent="0.25">
      <c r="A43" s="173"/>
      <c r="B43" s="525" t="s">
        <v>1053</v>
      </c>
      <c r="C43" s="528" t="e">
        <f>C42/C78</f>
        <v>#DIV/0!</v>
      </c>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row>
    <row r="44" spans="1:55" ht="20.100000000000001" customHeight="1" x14ac:dyDescent="0.25">
      <c r="A44" s="173"/>
      <c r="B44" s="529" t="s">
        <v>1237</v>
      </c>
      <c r="C44" s="537" t="e">
        <f>C156</f>
        <v>#DIV/0!</v>
      </c>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row>
    <row r="45" spans="1:55" ht="20.100000000000001" customHeight="1" x14ac:dyDescent="0.25">
      <c r="A45" s="173"/>
      <c r="B45" s="525" t="s">
        <v>1054</v>
      </c>
      <c r="C45" s="531" t="e">
        <f>C167</f>
        <v>#DIV/0!</v>
      </c>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row>
    <row r="46" spans="1:55" ht="20.100000000000001" customHeight="1" x14ac:dyDescent="0.25">
      <c r="A46" s="173"/>
      <c r="B46" s="532" t="s">
        <v>235</v>
      </c>
      <c r="C46" s="533" t="e">
        <f>C45-C39+C41</f>
        <v>#DIV/0!</v>
      </c>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row>
    <row r="47" spans="1:55" s="173" customFormat="1" x14ac:dyDescent="0.2"/>
    <row r="48" spans="1:55" s="173" customFormat="1" x14ac:dyDescent="0.2"/>
    <row r="49" spans="2:4" s="173" customFormat="1" x14ac:dyDescent="0.2">
      <c r="B49" s="169"/>
      <c r="C49" s="677"/>
    </row>
    <row r="50" spans="2:4" s="173" customFormat="1" x14ac:dyDescent="0.2">
      <c r="B50" s="169"/>
      <c r="C50" s="677"/>
    </row>
    <row r="51" spans="2:4" s="173" customFormat="1" x14ac:dyDescent="0.2">
      <c r="B51" s="169"/>
      <c r="C51" s="677"/>
    </row>
    <row r="52" spans="2:4" s="173" customFormat="1" x14ac:dyDescent="0.2">
      <c r="B52" s="169"/>
      <c r="C52" s="677"/>
    </row>
    <row r="53" spans="2:4" s="173" customFormat="1" x14ac:dyDescent="0.2">
      <c r="B53" s="169"/>
      <c r="C53" s="677"/>
    </row>
    <row r="54" spans="2:4" s="173" customFormat="1" x14ac:dyDescent="0.2">
      <c r="B54" s="169"/>
      <c r="C54" s="677"/>
    </row>
    <row r="55" spans="2:4" s="173" customFormat="1" x14ac:dyDescent="0.2">
      <c r="B55" s="169"/>
      <c r="C55" s="677"/>
    </row>
    <row r="56" spans="2:4" s="173" customFormat="1" x14ac:dyDescent="0.2">
      <c r="B56" s="169"/>
      <c r="C56" s="677"/>
    </row>
    <row r="57" spans="2:4" s="173" customFormat="1" x14ac:dyDescent="0.2">
      <c r="B57" s="169"/>
      <c r="C57" s="677"/>
    </row>
    <row r="58" spans="2:4" s="173" customFormat="1" x14ac:dyDescent="0.2">
      <c r="B58" s="169"/>
      <c r="C58" s="677"/>
    </row>
    <row r="59" spans="2:4" s="173" customFormat="1" x14ac:dyDescent="0.2">
      <c r="B59" s="169"/>
      <c r="C59" s="677"/>
    </row>
    <row r="60" spans="2:4" s="173" customFormat="1" x14ac:dyDescent="0.2">
      <c r="B60" s="169"/>
      <c r="C60" s="677"/>
      <c r="D60" s="789"/>
    </row>
    <row r="61" spans="2:4" hidden="1" x14ac:dyDescent="0.2">
      <c r="B61" s="24"/>
      <c r="C61" s="28"/>
    </row>
    <row r="62" spans="2:4" hidden="1" x14ac:dyDescent="0.2">
      <c r="B62" s="27" t="s">
        <v>166</v>
      </c>
      <c r="C62" s="28"/>
    </row>
    <row r="63" spans="2:4" hidden="1" x14ac:dyDescent="0.2">
      <c r="B63" s="24" t="s">
        <v>756</v>
      </c>
      <c r="C63" s="28">
        <v>92</v>
      </c>
    </row>
    <row r="64" spans="2:4" hidden="1" x14ac:dyDescent="0.2">
      <c r="B64" s="24" t="s">
        <v>757</v>
      </c>
      <c r="C64" s="28">
        <v>90</v>
      </c>
    </row>
    <row r="65" spans="2:4" hidden="1" x14ac:dyDescent="0.2">
      <c r="B65" s="24" t="s">
        <v>758</v>
      </c>
      <c r="C65" s="28">
        <v>50</v>
      </c>
    </row>
    <row r="66" spans="2:4" hidden="1" x14ac:dyDescent="0.2">
      <c r="B66" s="24" t="s">
        <v>92</v>
      </c>
      <c r="C66" s="28">
        <v>400</v>
      </c>
    </row>
    <row r="67" spans="2:4" hidden="1" x14ac:dyDescent="0.2">
      <c r="B67" s="24" t="s">
        <v>88</v>
      </c>
      <c r="C67" s="491">
        <v>400</v>
      </c>
    </row>
    <row r="68" spans="2:4" hidden="1" x14ac:dyDescent="0.2">
      <c r="B68" s="24" t="s">
        <v>72</v>
      </c>
      <c r="C68" s="28">
        <v>600</v>
      </c>
    </row>
    <row r="69" spans="2:4" hidden="1" x14ac:dyDescent="0.2">
      <c r="B69" s="24"/>
      <c r="C69" s="28"/>
    </row>
    <row r="70" spans="2:4" hidden="1" x14ac:dyDescent="0.2">
      <c r="B70" s="24"/>
      <c r="C70" s="28"/>
    </row>
    <row r="71" spans="2:4" ht="15.75" hidden="1" x14ac:dyDescent="0.25">
      <c r="B71" s="27" t="s">
        <v>152</v>
      </c>
      <c r="C71" s="198" t="s">
        <v>702</v>
      </c>
      <c r="D71" s="199" t="s">
        <v>703</v>
      </c>
    </row>
    <row r="72" spans="2:4" hidden="1" x14ac:dyDescent="0.2">
      <c r="B72" s="24" t="s">
        <v>21</v>
      </c>
      <c r="C72" s="156" t="e">
        <f>C37*C28</f>
        <v>#DIV/0!</v>
      </c>
      <c r="D72" s="54" t="e">
        <f>C45</f>
        <v>#DIV/0!</v>
      </c>
    </row>
    <row r="73" spans="2:4" hidden="1" x14ac:dyDescent="0.2">
      <c r="B73" s="24" t="s">
        <v>22</v>
      </c>
      <c r="C73" s="156">
        <f>(C24*C10)</f>
        <v>0</v>
      </c>
      <c r="D73" s="54">
        <f>C73</f>
        <v>0</v>
      </c>
    </row>
    <row r="74" spans="2:4" hidden="1" x14ac:dyDescent="0.2">
      <c r="B74" s="24" t="s">
        <v>23</v>
      </c>
      <c r="C74" s="156">
        <f>C41</f>
        <v>0</v>
      </c>
      <c r="D74" s="54">
        <f>C74</f>
        <v>0</v>
      </c>
    </row>
    <row r="75" spans="2:4" hidden="1" x14ac:dyDescent="0.2">
      <c r="B75" s="24" t="s">
        <v>24</v>
      </c>
      <c r="C75" s="156" t="e">
        <f>C42</f>
        <v>#DIV/0!</v>
      </c>
      <c r="D75" s="54" t="e">
        <f>C46</f>
        <v>#DIV/0!</v>
      </c>
    </row>
    <row r="76" spans="2:4" hidden="1" x14ac:dyDescent="0.2">
      <c r="B76" s="24"/>
      <c r="C76" s="156"/>
      <c r="D76" s="54"/>
    </row>
    <row r="77" spans="2:4" hidden="1" x14ac:dyDescent="0.2">
      <c r="B77" s="24"/>
      <c r="C77" s="156"/>
      <c r="D77" s="54"/>
    </row>
    <row r="78" spans="2:4" hidden="1" x14ac:dyDescent="0.2">
      <c r="B78" s="24" t="s">
        <v>109</v>
      </c>
      <c r="C78" s="30" t="e">
        <f>C10*C13*C14*C26</f>
        <v>#DIV/0!</v>
      </c>
      <c r="D78" s="37"/>
    </row>
    <row r="79" spans="2:4" hidden="1" x14ac:dyDescent="0.2">
      <c r="B79" s="24" t="s">
        <v>110</v>
      </c>
      <c r="C79" s="179" t="e">
        <f>C75/C78</f>
        <v>#DIV/0!</v>
      </c>
      <c r="D79" s="37"/>
    </row>
    <row r="80" spans="2:4" hidden="1" x14ac:dyDescent="0.2">
      <c r="B80" s="24"/>
      <c r="C80" s="30"/>
      <c r="D80" s="37"/>
    </row>
    <row r="81" spans="2:4" hidden="1" x14ac:dyDescent="0.2">
      <c r="B81" s="24"/>
      <c r="C81" s="28"/>
      <c r="D81" s="180"/>
    </row>
    <row r="82" spans="2:4" hidden="1" x14ac:dyDescent="0.2">
      <c r="B82" s="52"/>
      <c r="C82" s="158"/>
    </row>
    <row r="83" spans="2:4" hidden="1" x14ac:dyDescent="0.2">
      <c r="B83" s="52"/>
    </row>
    <row r="84" spans="2:4" hidden="1" x14ac:dyDescent="0.2">
      <c r="B84" s="48"/>
      <c r="C84" s="37"/>
    </row>
    <row r="85" spans="2:4" hidden="1" x14ac:dyDescent="0.2">
      <c r="B85" s="27" t="s">
        <v>94</v>
      </c>
      <c r="C85" s="37"/>
    </row>
    <row r="86" spans="2:4" ht="14.25" hidden="1" x14ac:dyDescent="0.2">
      <c r="B86" s="24" t="s">
        <v>1</v>
      </c>
      <c r="C86" s="39" t="s">
        <v>167</v>
      </c>
    </row>
    <row r="87" spans="2:4" hidden="1" x14ac:dyDescent="0.2">
      <c r="B87" s="24" t="s">
        <v>1</v>
      </c>
      <c r="C87" s="40" t="e">
        <f>(1.185+(0.00454*$C$11)-(0.0000026*($C$11)^2)+((0.315*$C$12)))^2*1.1+C91</f>
        <v>#DIV/0!</v>
      </c>
    </row>
    <row r="88" spans="2:4" hidden="1" x14ac:dyDescent="0.2">
      <c r="B88" s="24"/>
      <c r="C88" s="38"/>
    </row>
    <row r="89" spans="2:4" ht="14.25" hidden="1" x14ac:dyDescent="0.25">
      <c r="B89" s="24" t="s">
        <v>2</v>
      </c>
      <c r="C89" s="39" t="s">
        <v>168</v>
      </c>
    </row>
    <row r="90" spans="2:4" hidden="1" x14ac:dyDescent="0.2">
      <c r="B90" s="41" t="s">
        <v>1557</v>
      </c>
      <c r="C90" s="38"/>
    </row>
    <row r="91" spans="2:4" hidden="1" x14ac:dyDescent="0.2">
      <c r="B91" s="24"/>
      <c r="C91" s="42" t="e">
        <f>((C13*1.03*C14/365)*3.054)/0.6/((0.00795*C15)-0.0014)/18.4</f>
        <v>#DIV/0!</v>
      </c>
    </row>
    <row r="92" spans="2:4" hidden="1" x14ac:dyDescent="0.2">
      <c r="B92" s="24"/>
      <c r="C92" s="38"/>
    </row>
    <row r="93" spans="2:4" hidden="1" x14ac:dyDescent="0.2">
      <c r="B93" s="24" t="s">
        <v>4</v>
      </c>
      <c r="C93" s="39" t="s">
        <v>5</v>
      </c>
    </row>
    <row r="94" spans="2:4" hidden="1" x14ac:dyDescent="0.2">
      <c r="B94" s="24"/>
      <c r="C94" s="38"/>
    </row>
    <row r="95" spans="2:4" hidden="1" x14ac:dyDescent="0.2">
      <c r="B95" s="24"/>
      <c r="C95" s="42" t="e">
        <f>(C87*18.4)</f>
        <v>#DIV/0!</v>
      </c>
    </row>
    <row r="96" spans="2:4" hidden="1" x14ac:dyDescent="0.2">
      <c r="B96" s="24"/>
      <c r="C96" s="38"/>
    </row>
    <row r="97" spans="2:7" hidden="1" x14ac:dyDescent="0.2">
      <c r="B97" s="24" t="s">
        <v>6</v>
      </c>
      <c r="C97" s="39" t="s">
        <v>7</v>
      </c>
    </row>
    <row r="98" spans="2:7" hidden="1" x14ac:dyDescent="0.2">
      <c r="B98" s="24"/>
      <c r="C98" s="40" t="e">
        <f>C87/(1.185+(0.00454*C11)-(0.0000026*(C11)^2)+(0.315*0))^2</f>
        <v>#DIV/0!</v>
      </c>
    </row>
    <row r="99" spans="2:7" hidden="1" x14ac:dyDescent="0.2">
      <c r="B99" s="24"/>
      <c r="C99" s="38"/>
    </row>
    <row r="100" spans="2:7" hidden="1" x14ac:dyDescent="0.2">
      <c r="B100" s="24" t="s">
        <v>8</v>
      </c>
      <c r="C100" s="39" t="s">
        <v>9</v>
      </c>
    </row>
    <row r="101" spans="2:7" hidden="1" x14ac:dyDescent="0.2">
      <c r="B101" s="24" t="s">
        <v>169</v>
      </c>
      <c r="C101" s="38"/>
    </row>
    <row r="102" spans="2:7" hidden="1" x14ac:dyDescent="0.2">
      <c r="B102" s="24"/>
      <c r="C102" s="42" t="e">
        <f>1.3+(0.112*C15)+C98*(2.37-(0.05*C15))</f>
        <v>#DIV/0!</v>
      </c>
    </row>
    <row r="103" spans="2:7" hidden="1" x14ac:dyDescent="0.2">
      <c r="B103" s="24"/>
      <c r="C103" s="38"/>
    </row>
    <row r="104" spans="2:7" hidden="1" x14ac:dyDescent="0.2">
      <c r="B104" s="24" t="s">
        <v>10</v>
      </c>
      <c r="C104" s="39" t="s">
        <v>1558</v>
      </c>
    </row>
    <row r="105" spans="2:7" hidden="1" x14ac:dyDescent="0.2">
      <c r="B105" s="24"/>
      <c r="C105" s="163"/>
    </row>
    <row r="106" spans="2:7" hidden="1" x14ac:dyDescent="0.2">
      <c r="B106" s="27" t="s">
        <v>11</v>
      </c>
      <c r="C106" s="43" t="e">
        <f>21.5*C87/1000</f>
        <v>#DIV/0!</v>
      </c>
    </row>
    <row r="107" spans="2:7" hidden="1" x14ac:dyDescent="0.2">
      <c r="B107" s="27"/>
      <c r="C107" s="43"/>
    </row>
    <row r="108" spans="2:7" hidden="1" x14ac:dyDescent="0.2">
      <c r="B108" s="27"/>
      <c r="C108" s="43"/>
    </row>
    <row r="109" spans="2:7" hidden="1" x14ac:dyDescent="0.2">
      <c r="B109" s="27"/>
      <c r="C109" s="43"/>
      <c r="F109" s="24"/>
      <c r="G109" s="159"/>
    </row>
    <row r="110" spans="2:7" hidden="1" x14ac:dyDescent="0.2">
      <c r="B110" s="27" t="s">
        <v>188</v>
      </c>
      <c r="C110" s="159"/>
      <c r="F110" s="24"/>
      <c r="G110" s="159"/>
    </row>
    <row r="111" spans="2:7" hidden="1" x14ac:dyDescent="0.2">
      <c r="B111" s="24" t="s">
        <v>46</v>
      </c>
      <c r="C111" s="181" t="s">
        <v>189</v>
      </c>
      <c r="F111" s="46"/>
      <c r="G111" s="159"/>
    </row>
    <row r="112" spans="2:7" hidden="1" x14ac:dyDescent="0.2">
      <c r="B112" s="24"/>
      <c r="C112" s="159" t="e">
        <f>C87*C16/100</f>
        <v>#DIV/0!</v>
      </c>
      <c r="F112" s="46"/>
      <c r="G112" s="159"/>
    </row>
    <row r="113" spans="2:7" hidden="1" x14ac:dyDescent="0.2">
      <c r="B113" s="24"/>
      <c r="C113" s="159"/>
      <c r="F113" s="46"/>
      <c r="G113" s="159"/>
    </row>
    <row r="114" spans="2:7" hidden="1" x14ac:dyDescent="0.2">
      <c r="B114" s="24" t="s">
        <v>190</v>
      </c>
      <c r="C114" s="182" t="s">
        <v>191</v>
      </c>
      <c r="F114" s="46"/>
      <c r="G114" s="159"/>
    </row>
    <row r="115" spans="2:7" hidden="1" x14ac:dyDescent="0.2">
      <c r="B115" s="46"/>
      <c r="C115" s="159" t="e">
        <f>((0.3*(C112*(1-((C15+10)/100))))+(0.105*(C118*C87*0.008))+((0.0152*C87)))/6.25*1000</f>
        <v>#DIV/0!</v>
      </c>
      <c r="F115" s="46"/>
      <c r="G115" s="159"/>
    </row>
    <row r="116" spans="2:7" hidden="1" x14ac:dyDescent="0.2">
      <c r="B116" s="46"/>
      <c r="C116" s="159"/>
      <c r="F116" s="46"/>
      <c r="G116" s="159"/>
    </row>
    <row r="117" spans="2:7" hidden="1" x14ac:dyDescent="0.2">
      <c r="B117" s="46" t="s">
        <v>47</v>
      </c>
      <c r="C117" s="183" t="s">
        <v>193</v>
      </c>
      <c r="F117" s="46"/>
      <c r="G117" s="159"/>
    </row>
    <row r="118" spans="2:7" hidden="1" x14ac:dyDescent="0.2">
      <c r="B118" s="46"/>
      <c r="C118" s="159" t="e">
        <f>(0.1604*C15)-1.037</f>
        <v>#DIV/0!</v>
      </c>
      <c r="F118" s="46"/>
      <c r="G118" s="159"/>
    </row>
    <row r="119" spans="2:7" hidden="1" x14ac:dyDescent="0.2">
      <c r="B119" s="46"/>
      <c r="C119" s="159"/>
      <c r="F119" s="46"/>
      <c r="G119" s="159"/>
    </row>
    <row r="120" spans="2:7" hidden="1" x14ac:dyDescent="0.2">
      <c r="B120" s="46" t="s">
        <v>48</v>
      </c>
      <c r="C120" s="184" t="s">
        <v>1559</v>
      </c>
      <c r="F120" s="46"/>
      <c r="G120" s="159"/>
    </row>
    <row r="121" spans="2:7" hidden="1" x14ac:dyDescent="0.2">
      <c r="C121" s="159" t="e">
        <f>((0.032*C13*1.03/6.38)+((0.212-0.008*(C98-2)-((0.14-0.008*(C98-2))/(1+EXP(-6*(C123-0.4)))))*(C12*0.92))/6.25*1000)</f>
        <v>#DIV/0!</v>
      </c>
    </row>
    <row r="122" spans="2:7" hidden="1" x14ac:dyDescent="0.2">
      <c r="B122" s="46"/>
      <c r="C122" s="159"/>
    </row>
    <row r="123" spans="2:7" hidden="1" x14ac:dyDescent="0.2">
      <c r="B123" s="46" t="s">
        <v>49</v>
      </c>
      <c r="C123" s="159">
        <f>C11/590</f>
        <v>0</v>
      </c>
    </row>
    <row r="124" spans="2:7" hidden="1" x14ac:dyDescent="0.2">
      <c r="C124" s="159"/>
    </row>
    <row r="125" spans="2:7" hidden="1" x14ac:dyDescent="0.2">
      <c r="B125" s="46"/>
      <c r="C125" s="159"/>
    </row>
    <row r="126" spans="2:7" hidden="1" x14ac:dyDescent="0.2">
      <c r="B126" s="46" t="s">
        <v>51</v>
      </c>
      <c r="C126" s="184" t="s">
        <v>50</v>
      </c>
    </row>
    <row r="127" spans="2:7" s="164" customFormat="1" hidden="1" x14ac:dyDescent="0.2">
      <c r="B127" s="29"/>
      <c r="C127" s="185" t="e">
        <f>(C112/6.25*1000)-C121-C115-((1.1*10^-4*C11^0.75)/6.25*1000)</f>
        <v>#DIV/0!</v>
      </c>
      <c r="D127" s="29"/>
      <c r="F127" s="186"/>
      <c r="G127" s="186"/>
    </row>
    <row r="128" spans="2:7" s="164" customFormat="1" hidden="1" x14ac:dyDescent="0.2">
      <c r="B128" s="46"/>
      <c r="C128" s="159"/>
      <c r="D128" s="29"/>
    </row>
    <row r="129" spans="2:9" s="164" customFormat="1" hidden="1" x14ac:dyDescent="0.2">
      <c r="B129" s="46"/>
      <c r="C129" s="29"/>
    </row>
    <row r="130" spans="2:9" hidden="1" x14ac:dyDescent="0.2">
      <c r="B130" s="166" t="s">
        <v>144</v>
      </c>
      <c r="C130" s="159"/>
      <c r="D130" s="164"/>
    </row>
    <row r="131" spans="2:9" hidden="1" x14ac:dyDescent="0.2">
      <c r="B131" s="46" t="s">
        <v>863</v>
      </c>
      <c r="C131" s="187" t="e">
        <f>C127*C10*365*10^-9</f>
        <v>#DIV/0!</v>
      </c>
      <c r="D131" s="164" t="s">
        <v>192</v>
      </c>
    </row>
    <row r="132" spans="2:9" hidden="1" x14ac:dyDescent="0.2">
      <c r="B132" s="24" t="s">
        <v>866</v>
      </c>
      <c r="C132" s="40" t="e">
        <f>C131*C18/100*0.4/100*1.57*298*1000</f>
        <v>#DIV/0!</v>
      </c>
      <c r="D132" s="29" t="s">
        <v>1560</v>
      </c>
      <c r="E132" s="52"/>
    </row>
    <row r="133" spans="2:9" hidden="1" x14ac:dyDescent="0.2">
      <c r="B133" s="24" t="s">
        <v>865</v>
      </c>
      <c r="C133" s="40" t="e">
        <f>C132*(100-C22)%</f>
        <v>#DIV/0!</v>
      </c>
      <c r="E133" s="52"/>
    </row>
    <row r="134" spans="2:9" hidden="1" x14ac:dyDescent="0.2">
      <c r="B134" s="24" t="s">
        <v>859</v>
      </c>
      <c r="C134" s="40" t="e">
        <f>C132-C133</f>
        <v>#DIV/0!</v>
      </c>
      <c r="D134" s="29" t="s">
        <v>857</v>
      </c>
      <c r="E134" s="52"/>
    </row>
    <row r="135" spans="2:9" hidden="1" x14ac:dyDescent="0.2">
      <c r="B135" s="24" t="s">
        <v>858</v>
      </c>
      <c r="C135" s="43" t="e">
        <f>C134/365*C20</f>
        <v>#DIV/0!</v>
      </c>
      <c r="E135" s="52"/>
    </row>
    <row r="136" spans="2:9" hidden="1" x14ac:dyDescent="0.2">
      <c r="B136" s="24"/>
      <c r="C136" s="40"/>
    </row>
    <row r="137" spans="2:9" hidden="1" x14ac:dyDescent="0.2">
      <c r="B137" s="165" t="s">
        <v>143</v>
      </c>
      <c r="C137" s="40"/>
      <c r="D137" s="52"/>
    </row>
    <row r="138" spans="2:9" hidden="1" x14ac:dyDescent="0.2">
      <c r="B138" s="164" t="s">
        <v>241</v>
      </c>
      <c r="C138" s="188" t="e">
        <f>C131*C18/100*0.3*0.075*1.57*298*1000</f>
        <v>#DIV/0!</v>
      </c>
      <c r="D138" s="29" t="s">
        <v>1561</v>
      </c>
    </row>
    <row r="139" spans="2:9" hidden="1" x14ac:dyDescent="0.2">
      <c r="B139" s="164" t="s">
        <v>867</v>
      </c>
      <c r="C139" s="188" t="e">
        <f>C138*(100-C22)%</f>
        <v>#DIV/0!</v>
      </c>
    </row>
    <row r="140" spans="2:9" hidden="1" x14ac:dyDescent="0.2">
      <c r="B140" s="164" t="s">
        <v>860</v>
      </c>
      <c r="C140" s="188" t="e">
        <f>C138-C139</f>
        <v>#DIV/0!</v>
      </c>
      <c r="D140" s="29" t="s">
        <v>861</v>
      </c>
    </row>
    <row r="141" spans="2:9" hidden="1" x14ac:dyDescent="0.2">
      <c r="B141" s="29" t="s">
        <v>862</v>
      </c>
      <c r="C141" s="188" t="e">
        <f>C140/365*C20</f>
        <v>#DIV/0!</v>
      </c>
    </row>
    <row r="142" spans="2:9" hidden="1" x14ac:dyDescent="0.2">
      <c r="C142" s="186"/>
    </row>
    <row r="143" spans="2:9" hidden="1" x14ac:dyDescent="0.2">
      <c r="B143" s="48" t="s">
        <v>864</v>
      </c>
      <c r="C143" s="189" t="e">
        <f>C141+C135</f>
        <v>#DIV/0!</v>
      </c>
    </row>
    <row r="144" spans="2:9" hidden="1" x14ac:dyDescent="0.2">
      <c r="B144" s="24"/>
      <c r="C144" s="31"/>
      <c r="E144" s="180"/>
      <c r="I144" s="190"/>
    </row>
    <row r="145" spans="2:6" hidden="1" x14ac:dyDescent="0.2">
      <c r="B145" s="24" t="s">
        <v>238</v>
      </c>
      <c r="C145" s="31" t="e">
        <f>C132+C138</f>
        <v>#DIV/0!</v>
      </c>
      <c r="D145" s="29" t="s">
        <v>195</v>
      </c>
    </row>
    <row r="146" spans="2:6" hidden="1" x14ac:dyDescent="0.2">
      <c r="B146" s="24" t="s">
        <v>239</v>
      </c>
      <c r="C146" s="31" t="e">
        <f>C133+C139</f>
        <v>#DIV/0!</v>
      </c>
      <c r="D146" s="191" t="s">
        <v>1080</v>
      </c>
    </row>
    <row r="147" spans="2:6" hidden="1" x14ac:dyDescent="0.2">
      <c r="B147" s="29" t="s">
        <v>240</v>
      </c>
      <c r="C147" s="49" t="e">
        <f>C145-C146</f>
        <v>#DIV/0!</v>
      </c>
      <c r="D147" s="192" t="s">
        <v>868</v>
      </c>
    </row>
    <row r="148" spans="2:6" hidden="1" x14ac:dyDescent="0.2">
      <c r="B148" s="27" t="s">
        <v>145</v>
      </c>
      <c r="C148" s="193" t="e">
        <f>C147/C145</f>
        <v>#DIV/0!</v>
      </c>
      <c r="D148" s="194" t="s">
        <v>194</v>
      </c>
    </row>
    <row r="149" spans="2:6" hidden="1" x14ac:dyDescent="0.2">
      <c r="B149" s="24"/>
      <c r="C149" s="31"/>
      <c r="D149" s="37"/>
    </row>
    <row r="150" spans="2:6" hidden="1" x14ac:dyDescent="0.2">
      <c r="B150" s="24" t="s">
        <v>1243</v>
      </c>
      <c r="C150" s="51" t="e">
        <f>(C10*C13*C20)*(0.2534+(0.1226*'Baseline farm'!P172)+(0.0776*'Baseline farm'!P173))</f>
        <v>#DIV/0!</v>
      </c>
      <c r="D150" s="195" t="s">
        <v>869</v>
      </c>
      <c r="F150" s="37"/>
    </row>
    <row r="151" spans="2:6" hidden="1" x14ac:dyDescent="0.2">
      <c r="B151" s="24" t="s">
        <v>213</v>
      </c>
      <c r="C151" s="50" t="e">
        <f>C145</f>
        <v>#DIV/0!</v>
      </c>
      <c r="D151" s="195"/>
      <c r="F151" s="37"/>
    </row>
    <row r="152" spans="2:6" hidden="1" x14ac:dyDescent="0.2">
      <c r="B152" s="24" t="s">
        <v>214</v>
      </c>
      <c r="C152" s="31" t="e">
        <f>C151*1000/C150</f>
        <v>#DIV/0!</v>
      </c>
      <c r="D152" s="195"/>
      <c r="F152" s="37"/>
    </row>
    <row r="153" spans="2:6" hidden="1" x14ac:dyDescent="0.2">
      <c r="B153" s="24" t="s">
        <v>1244</v>
      </c>
      <c r="C153" s="51" t="e">
        <f>(C13*C10*C20)*(0.2534+(0.1226*'Baseline farm'!P172)+(0.0776*'Baseline farm'!P173))</f>
        <v>#DIV/0!</v>
      </c>
      <c r="D153" s="195" t="s">
        <v>869</v>
      </c>
      <c r="F153" s="37"/>
    </row>
    <row r="154" spans="2:6" hidden="1" x14ac:dyDescent="0.2">
      <c r="B154" s="24" t="s">
        <v>215</v>
      </c>
      <c r="C154" s="50" t="e">
        <f>C146</f>
        <v>#DIV/0!</v>
      </c>
      <c r="D154" s="195"/>
      <c r="F154" s="37"/>
    </row>
    <row r="155" spans="2:6" hidden="1" x14ac:dyDescent="0.2">
      <c r="B155" s="24" t="s">
        <v>839</v>
      </c>
      <c r="C155" s="31" t="e">
        <f>C154*1000/C153</f>
        <v>#DIV/0!</v>
      </c>
      <c r="D155" s="195"/>
      <c r="F155" s="37"/>
    </row>
    <row r="156" spans="2:6" hidden="1" x14ac:dyDescent="0.2">
      <c r="B156" s="24" t="s">
        <v>1245</v>
      </c>
      <c r="C156" s="49" t="e">
        <f>C152-C155</f>
        <v>#DIV/0!</v>
      </c>
      <c r="D156" s="163" t="s">
        <v>196</v>
      </c>
      <c r="F156" s="37"/>
    </row>
    <row r="157" spans="2:6" hidden="1" x14ac:dyDescent="0.2">
      <c r="B157" s="24"/>
      <c r="C157" s="49"/>
      <c r="D157" s="163"/>
      <c r="F157" s="37"/>
    </row>
    <row r="158" spans="2:6" hidden="1" x14ac:dyDescent="0.2">
      <c r="B158" s="24"/>
      <c r="C158" s="49"/>
      <c r="D158" s="163"/>
      <c r="F158" s="37"/>
    </row>
    <row r="159" spans="2:6" hidden="1" x14ac:dyDescent="0.2">
      <c r="B159" s="12" t="s">
        <v>219</v>
      </c>
      <c r="C159" s="13"/>
      <c r="D159" s="163"/>
      <c r="F159" s="37"/>
    </row>
    <row r="160" spans="2:6" hidden="1" x14ac:dyDescent="0.2">
      <c r="B160" s="24" t="s">
        <v>1246</v>
      </c>
      <c r="C160" s="16" t="e">
        <f>C156</f>
        <v>#DIV/0!</v>
      </c>
      <c r="D160" s="163"/>
      <c r="F160" s="37"/>
    </row>
    <row r="161" spans="2:6" hidden="1" x14ac:dyDescent="0.2">
      <c r="B161" s="29" t="s">
        <v>841</v>
      </c>
      <c r="C161" s="14" t="e">
        <f>C153</f>
        <v>#DIV/0!</v>
      </c>
      <c r="D161" s="163"/>
      <c r="F161" s="37"/>
    </row>
    <row r="162" spans="2:6" s="18" customFormat="1" ht="15" hidden="1" x14ac:dyDescent="0.25">
      <c r="B162" s="29" t="s">
        <v>878</v>
      </c>
      <c r="C162" s="515" t="e">
        <f>C161*C160</f>
        <v>#DIV/0!</v>
      </c>
      <c r="D162" s="515"/>
      <c r="E162" s="29"/>
    </row>
    <row r="163" spans="2:6" s="18" customFormat="1" ht="15" hidden="1" x14ac:dyDescent="0.25">
      <c r="B163" s="29" t="s">
        <v>879</v>
      </c>
      <c r="C163" s="515" t="e">
        <f>C162/365</f>
        <v>#DIV/0!</v>
      </c>
      <c r="D163" s="515"/>
      <c r="E163" s="29"/>
    </row>
    <row r="164" spans="2:6" s="18" customFormat="1" ht="15" hidden="1" x14ac:dyDescent="0.25">
      <c r="B164" s="29" t="s">
        <v>880</v>
      </c>
      <c r="C164" s="515">
        <f>C20</f>
        <v>90</v>
      </c>
      <c r="D164" s="515"/>
      <c r="E164" s="29"/>
    </row>
    <row r="165" spans="2:6" s="18" customFormat="1" ht="15" hidden="1" x14ac:dyDescent="0.25">
      <c r="B165" s="29" t="s">
        <v>881</v>
      </c>
      <c r="C165" s="515" t="e">
        <f>C164*C163</f>
        <v>#DIV/0!</v>
      </c>
      <c r="D165" s="515"/>
      <c r="E165" s="29"/>
    </row>
    <row r="166" spans="2:6" s="18" customFormat="1" ht="15" hidden="1" x14ac:dyDescent="0.25">
      <c r="B166" s="29" t="s">
        <v>226</v>
      </c>
      <c r="C166" s="53">
        <f>C28</f>
        <v>6</v>
      </c>
      <c r="D166" s="53"/>
      <c r="E166" s="29"/>
    </row>
    <row r="167" spans="2:6" s="18" customFormat="1" ht="15" hidden="1" x14ac:dyDescent="0.25">
      <c r="B167" s="29" t="s">
        <v>228</v>
      </c>
      <c r="C167" s="54" t="e">
        <f>C165/1000*C166</f>
        <v>#DIV/0!</v>
      </c>
      <c r="D167" s="54"/>
      <c r="E167" s="29"/>
    </row>
    <row r="168" spans="2:6" ht="13.5" hidden="1" x14ac:dyDescent="0.25">
      <c r="B168" s="52"/>
      <c r="D168" s="196"/>
      <c r="F168" s="37"/>
    </row>
    <row r="169" spans="2:6" hidden="1" x14ac:dyDescent="0.2">
      <c r="B169" s="48"/>
      <c r="C169" s="31"/>
      <c r="D169" s="38"/>
      <c r="F169" s="37"/>
    </row>
    <row r="170" spans="2:6" s="173" customFormat="1" hidden="1" x14ac:dyDescent="0.2">
      <c r="B170" s="678"/>
      <c r="C170" s="721"/>
      <c r="D170" s="722"/>
      <c r="F170" s="723"/>
    </row>
    <row r="171" spans="2:6" s="173" customFormat="1" ht="13.5" x14ac:dyDescent="0.25">
      <c r="B171" s="169"/>
      <c r="C171" s="724"/>
      <c r="D171" s="725"/>
      <c r="F171" s="723"/>
    </row>
    <row r="172" spans="2:6" s="173" customFormat="1" ht="13.5" x14ac:dyDescent="0.25">
      <c r="B172" s="169"/>
      <c r="C172" s="642"/>
      <c r="D172" s="726"/>
      <c r="F172" s="723"/>
    </row>
    <row r="173" spans="2:6" s="173" customFormat="1" x14ac:dyDescent="0.2">
      <c r="B173" s="169"/>
      <c r="C173" s="642"/>
      <c r="D173" s="725"/>
      <c r="F173" s="723"/>
    </row>
    <row r="174" spans="2:6" s="173" customFormat="1" x14ac:dyDescent="0.2">
      <c r="B174" s="169"/>
      <c r="C174" s="642"/>
      <c r="D174" s="727"/>
      <c r="F174" s="723"/>
    </row>
    <row r="175" spans="2:6" s="173" customFormat="1" x14ac:dyDescent="0.2">
      <c r="B175" s="169"/>
      <c r="C175" s="642"/>
      <c r="D175" s="728"/>
      <c r="F175" s="723"/>
    </row>
    <row r="176" spans="2:6" s="173" customFormat="1" x14ac:dyDescent="0.2">
      <c r="B176" s="169"/>
      <c r="C176" s="722"/>
      <c r="D176" s="725"/>
      <c r="F176" s="723"/>
    </row>
    <row r="177" spans="2:13" s="173" customFormat="1" x14ac:dyDescent="0.2">
      <c r="B177" s="169"/>
      <c r="C177" s="725"/>
      <c r="D177" s="725"/>
      <c r="F177" s="723"/>
    </row>
    <row r="178" spans="2:13" s="173" customFormat="1" ht="13.5" x14ac:dyDescent="0.25">
      <c r="B178" s="169"/>
      <c r="C178" s="726"/>
      <c r="D178" s="729"/>
      <c r="F178" s="723"/>
    </row>
    <row r="179" spans="2:13" s="173" customFormat="1" x14ac:dyDescent="0.2">
      <c r="B179" s="169"/>
      <c r="C179" s="725"/>
      <c r="D179" s="730"/>
      <c r="F179" s="723"/>
    </row>
    <row r="180" spans="2:13" s="173" customFormat="1" x14ac:dyDescent="0.2">
      <c r="B180" s="169"/>
      <c r="C180" s="722"/>
      <c r="D180" s="731"/>
      <c r="F180" s="723"/>
    </row>
    <row r="181" spans="2:13" s="173" customFormat="1" x14ac:dyDescent="0.2">
      <c r="B181" s="169"/>
      <c r="C181" s="725"/>
      <c r="D181" s="732"/>
      <c r="F181" s="723"/>
    </row>
    <row r="182" spans="2:13" s="173" customFormat="1" ht="13.5" x14ac:dyDescent="0.25">
      <c r="B182" s="169"/>
      <c r="C182" s="726"/>
      <c r="D182" s="732"/>
      <c r="F182" s="723"/>
    </row>
    <row r="183" spans="2:13" s="173" customFormat="1" x14ac:dyDescent="0.2">
      <c r="B183" s="169"/>
      <c r="C183" s="642"/>
      <c r="D183" s="679"/>
      <c r="F183" s="733"/>
    </row>
    <row r="184" spans="2:13" s="173" customFormat="1" x14ac:dyDescent="0.2">
      <c r="B184" s="169"/>
      <c r="C184" s="725"/>
      <c r="F184" s="723"/>
      <c r="K184" s="643"/>
      <c r="L184" s="643"/>
      <c r="M184" s="643"/>
    </row>
    <row r="185" spans="2:13" s="173" customFormat="1" ht="13.5" x14ac:dyDescent="0.25">
      <c r="B185" s="169"/>
      <c r="C185" s="726"/>
      <c r="D185" s="723"/>
      <c r="F185" s="723"/>
      <c r="K185" s="643"/>
      <c r="L185" s="643"/>
      <c r="M185" s="643"/>
    </row>
    <row r="186" spans="2:13" s="173" customFormat="1" x14ac:dyDescent="0.2">
      <c r="B186" s="169"/>
      <c r="C186" s="725"/>
      <c r="D186" s="169"/>
      <c r="F186" s="723"/>
      <c r="K186" s="643"/>
      <c r="L186" s="643"/>
      <c r="M186" s="643"/>
    </row>
    <row r="187" spans="2:13" s="173" customFormat="1" ht="13.5" x14ac:dyDescent="0.25">
      <c r="B187" s="169"/>
      <c r="C187" s="722"/>
      <c r="D187" s="734"/>
      <c r="F187" s="723"/>
      <c r="K187" s="643"/>
      <c r="L187" s="643"/>
      <c r="M187" s="643"/>
    </row>
    <row r="188" spans="2:13" s="173" customFormat="1" x14ac:dyDescent="0.2">
      <c r="B188" s="169"/>
      <c r="C188" s="725"/>
      <c r="D188" s="642"/>
      <c r="F188" s="723"/>
      <c r="K188" s="643"/>
      <c r="L188" s="643"/>
      <c r="M188" s="643"/>
    </row>
    <row r="189" spans="2:13" s="173" customFormat="1" ht="13.5" x14ac:dyDescent="0.25">
      <c r="B189" s="169"/>
      <c r="C189" s="726"/>
      <c r="D189" s="725"/>
      <c r="F189" s="723"/>
      <c r="K189" s="643"/>
      <c r="L189" s="643"/>
      <c r="M189" s="643"/>
    </row>
    <row r="190" spans="2:13" s="173" customFormat="1" x14ac:dyDescent="0.2">
      <c r="B190" s="169"/>
      <c r="C190" s="725"/>
      <c r="D190" s="725"/>
      <c r="F190" s="723"/>
    </row>
    <row r="191" spans="2:13" s="173" customFormat="1" x14ac:dyDescent="0.2">
      <c r="B191" s="678"/>
      <c r="C191" s="727"/>
      <c r="D191" s="725"/>
      <c r="F191" s="723"/>
    </row>
    <row r="192" spans="2:13" s="173" customFormat="1" x14ac:dyDescent="0.2">
      <c r="B192" s="679"/>
      <c r="C192" s="728"/>
      <c r="D192" s="725"/>
      <c r="F192" s="723"/>
    </row>
    <row r="193" spans="1:6" s="173" customFormat="1" x14ac:dyDescent="0.2">
      <c r="B193" s="678"/>
      <c r="C193" s="725"/>
      <c r="D193" s="725"/>
      <c r="F193" s="723"/>
    </row>
    <row r="194" spans="1:6" s="173" customFormat="1" x14ac:dyDescent="0.2">
      <c r="B194" s="169"/>
      <c r="C194" s="725"/>
      <c r="D194" s="735"/>
      <c r="F194" s="723"/>
    </row>
    <row r="195" spans="1:6" s="173" customFormat="1" x14ac:dyDescent="0.2">
      <c r="B195" s="169"/>
      <c r="C195" s="729"/>
      <c r="D195" s="735"/>
      <c r="F195" s="723"/>
    </row>
    <row r="196" spans="1:6" s="173" customFormat="1" x14ac:dyDescent="0.2">
      <c r="B196" s="169"/>
      <c r="C196" s="730"/>
      <c r="D196" s="725"/>
      <c r="F196" s="723"/>
    </row>
    <row r="197" spans="1:6" s="173" customFormat="1" ht="13.5" x14ac:dyDescent="0.25">
      <c r="B197" s="678"/>
      <c r="C197" s="731"/>
      <c r="D197" s="726"/>
      <c r="F197" s="723"/>
    </row>
    <row r="198" spans="1:6" s="173" customFormat="1" x14ac:dyDescent="0.2">
      <c r="A198" s="679"/>
      <c r="B198" s="169"/>
      <c r="C198" s="169"/>
      <c r="D198" s="725"/>
      <c r="F198" s="723"/>
    </row>
    <row r="199" spans="1:6" s="173" customFormat="1" x14ac:dyDescent="0.2">
      <c r="A199" s="679"/>
      <c r="B199" s="169"/>
      <c r="C199" s="169"/>
      <c r="D199" s="722"/>
      <c r="F199" s="723"/>
    </row>
    <row r="200" spans="1:6" s="173" customFormat="1" x14ac:dyDescent="0.2">
      <c r="A200" s="679"/>
      <c r="B200" s="169"/>
      <c r="C200" s="169"/>
      <c r="D200" s="725"/>
      <c r="F200" s="723"/>
    </row>
    <row r="201" spans="1:6" s="173" customFormat="1" ht="13.5" x14ac:dyDescent="0.25">
      <c r="A201" s="679"/>
      <c r="B201" s="169"/>
      <c r="C201" s="169"/>
      <c r="D201" s="726"/>
      <c r="F201" s="723"/>
    </row>
    <row r="202" spans="1:6" s="173" customFormat="1" x14ac:dyDescent="0.2">
      <c r="A202" s="679"/>
      <c r="B202" s="169"/>
      <c r="C202" s="169"/>
      <c r="D202" s="725"/>
      <c r="F202" s="723"/>
    </row>
    <row r="203" spans="1:6" s="173" customFormat="1" x14ac:dyDescent="0.2">
      <c r="A203" s="679"/>
      <c r="B203" s="169"/>
      <c r="C203" s="169"/>
      <c r="D203" s="722"/>
      <c r="F203" s="723"/>
    </row>
    <row r="204" spans="1:6" s="173" customFormat="1" x14ac:dyDescent="0.2">
      <c r="A204" s="679"/>
      <c r="B204" s="169"/>
      <c r="C204" s="169"/>
      <c r="D204" s="725"/>
      <c r="F204" s="723"/>
    </row>
    <row r="205" spans="1:6" s="173" customFormat="1" ht="13.5" x14ac:dyDescent="0.25">
      <c r="A205" s="679"/>
      <c r="B205" s="169"/>
      <c r="C205" s="736"/>
      <c r="D205" s="726"/>
      <c r="F205" s="723"/>
    </row>
    <row r="206" spans="1:6" s="173" customFormat="1" x14ac:dyDescent="0.2">
      <c r="A206" s="679"/>
      <c r="B206" s="169"/>
      <c r="C206" s="169"/>
      <c r="D206" s="642"/>
      <c r="F206" s="723"/>
    </row>
    <row r="207" spans="1:6" s="173" customFormat="1" x14ac:dyDescent="0.2">
      <c r="A207" s="679"/>
      <c r="B207" s="169"/>
      <c r="C207" s="169"/>
      <c r="D207" s="725"/>
      <c r="F207" s="723"/>
    </row>
    <row r="208" spans="1:6" s="173" customFormat="1" ht="13.5" x14ac:dyDescent="0.25">
      <c r="A208" s="679"/>
      <c r="B208" s="169"/>
      <c r="C208" s="169"/>
      <c r="D208" s="726"/>
      <c r="F208" s="723"/>
    </row>
    <row r="209" spans="1:6" s="173" customFormat="1" x14ac:dyDescent="0.2">
      <c r="A209" s="679"/>
      <c r="B209" s="169"/>
      <c r="C209" s="169"/>
      <c r="D209" s="725"/>
      <c r="F209" s="723"/>
    </row>
    <row r="210" spans="1:6" s="173" customFormat="1" x14ac:dyDescent="0.2">
      <c r="A210" s="679"/>
      <c r="B210" s="169"/>
      <c r="C210" s="169"/>
      <c r="D210" s="722"/>
      <c r="F210" s="723"/>
    </row>
    <row r="211" spans="1:6" s="173" customFormat="1" x14ac:dyDescent="0.2">
      <c r="A211" s="679"/>
      <c r="B211" s="169"/>
      <c r="C211" s="169"/>
      <c r="D211" s="725"/>
      <c r="F211" s="723"/>
    </row>
    <row r="212" spans="1:6" s="173" customFormat="1" ht="13.5" x14ac:dyDescent="0.25">
      <c r="A212" s="679"/>
      <c r="B212" s="169"/>
      <c r="C212" s="169"/>
      <c r="D212" s="726"/>
      <c r="F212" s="723"/>
    </row>
    <row r="213" spans="1:6" s="173" customFormat="1" x14ac:dyDescent="0.2">
      <c r="A213" s="679"/>
      <c r="B213" s="169"/>
      <c r="C213" s="169"/>
      <c r="D213" s="725"/>
      <c r="F213" s="723"/>
    </row>
    <row r="214" spans="1:6" s="173" customFormat="1" x14ac:dyDescent="0.2">
      <c r="A214" s="679"/>
      <c r="B214" s="169"/>
      <c r="C214" s="169"/>
      <c r="D214" s="727"/>
      <c r="F214" s="723"/>
    </row>
    <row r="215" spans="1:6" s="173" customFormat="1" x14ac:dyDescent="0.2">
      <c r="A215" s="679"/>
      <c r="B215" s="169"/>
      <c r="C215" s="169"/>
      <c r="D215" s="728"/>
      <c r="F215" s="723"/>
    </row>
    <row r="216" spans="1:6" s="173" customFormat="1" x14ac:dyDescent="0.2">
      <c r="A216" s="679"/>
      <c r="B216" s="169"/>
      <c r="C216" s="169"/>
      <c r="D216" s="725"/>
      <c r="F216" s="723"/>
    </row>
    <row r="217" spans="1:6" s="173" customFormat="1" x14ac:dyDescent="0.2">
      <c r="A217" s="679"/>
      <c r="B217" s="169"/>
      <c r="C217" s="169"/>
      <c r="D217" s="725"/>
      <c r="F217" s="723"/>
    </row>
    <row r="218" spans="1:6" s="173" customFormat="1" x14ac:dyDescent="0.2">
      <c r="A218" s="679"/>
      <c r="B218" s="169"/>
      <c r="C218" s="169"/>
      <c r="D218" s="722"/>
      <c r="F218" s="723"/>
    </row>
    <row r="219" spans="1:6" s="173" customFormat="1" x14ac:dyDescent="0.2">
      <c r="A219" s="679"/>
      <c r="B219" s="679"/>
      <c r="C219" s="169"/>
      <c r="D219" s="722"/>
    </row>
    <row r="220" spans="1:6" s="173" customFormat="1" x14ac:dyDescent="0.2">
      <c r="A220" s="679"/>
      <c r="B220" s="679"/>
      <c r="C220" s="169"/>
      <c r="D220" s="731"/>
    </row>
    <row r="221" spans="1:6" s="173" customFormat="1" x14ac:dyDescent="0.2">
      <c r="A221" s="679"/>
      <c r="B221" s="679"/>
      <c r="C221" s="678"/>
      <c r="D221" s="679"/>
    </row>
    <row r="222" spans="1:6" s="173" customFormat="1" x14ac:dyDescent="0.2">
      <c r="A222" s="679"/>
      <c r="B222" s="679"/>
      <c r="C222" s="679"/>
      <c r="D222" s="737"/>
    </row>
    <row r="223" spans="1:6" s="173" customFormat="1" x14ac:dyDescent="0.2">
      <c r="A223" s="679"/>
      <c r="B223" s="679"/>
      <c r="C223" s="678"/>
    </row>
    <row r="224" spans="1:6" s="173" customFormat="1" x14ac:dyDescent="0.2">
      <c r="A224" s="679"/>
      <c r="B224" s="679"/>
      <c r="C224" s="169"/>
    </row>
    <row r="225" spans="1:3" s="173" customFormat="1" x14ac:dyDescent="0.2">
      <c r="A225" s="679"/>
      <c r="B225" s="679"/>
      <c r="C225" s="169"/>
    </row>
    <row r="226" spans="1:3" s="173" customFormat="1" x14ac:dyDescent="0.2">
      <c r="A226" s="679"/>
      <c r="B226" s="679"/>
      <c r="C226" s="169"/>
    </row>
    <row r="227" spans="1:3" s="173" customFormat="1" x14ac:dyDescent="0.2">
      <c r="A227" s="679"/>
      <c r="B227" s="679"/>
      <c r="C227" s="678"/>
    </row>
    <row r="228" spans="1:3" s="173" customFormat="1" x14ac:dyDescent="0.2">
      <c r="A228" s="679"/>
      <c r="B228" s="679"/>
      <c r="C228" s="679"/>
    </row>
    <row r="229" spans="1:3" s="173" customFormat="1" x14ac:dyDescent="0.2">
      <c r="A229" s="679"/>
      <c r="C229" s="678"/>
    </row>
    <row r="230" spans="1:3" s="173" customFormat="1" x14ac:dyDescent="0.2">
      <c r="A230" s="679"/>
      <c r="C230" s="169"/>
    </row>
    <row r="231" spans="1:3" s="173" customFormat="1" x14ac:dyDescent="0.2">
      <c r="A231" s="679"/>
      <c r="C231" s="169"/>
    </row>
    <row r="232" spans="1:3" s="173" customFormat="1" x14ac:dyDescent="0.2">
      <c r="A232" s="679"/>
    </row>
    <row r="233" spans="1:3" s="173" customFormat="1" x14ac:dyDescent="0.2">
      <c r="A233" s="679"/>
    </row>
    <row r="234" spans="1:3" s="173" customFormat="1" x14ac:dyDescent="0.2">
      <c r="A234" s="679"/>
    </row>
    <row r="235" spans="1:3" s="173" customFormat="1" x14ac:dyDescent="0.2">
      <c r="A235" s="679"/>
    </row>
    <row r="236" spans="1:3" s="173" customFormat="1" x14ac:dyDescent="0.2">
      <c r="A236" s="679"/>
    </row>
    <row r="237" spans="1:3" s="173" customFormat="1" x14ac:dyDescent="0.2">
      <c r="A237" s="679"/>
    </row>
    <row r="238" spans="1:3" s="173" customFormat="1" x14ac:dyDescent="0.2">
      <c r="A238" s="679"/>
    </row>
    <row r="239" spans="1:3" s="173" customFormat="1" x14ac:dyDescent="0.2">
      <c r="A239" s="679"/>
    </row>
    <row r="240" spans="1:3" s="173" customFormat="1" x14ac:dyDescent="0.2">
      <c r="A240" s="679"/>
    </row>
    <row r="241" spans="1:1" s="173" customFormat="1" x14ac:dyDescent="0.2">
      <c r="A241" s="679"/>
    </row>
    <row r="242" spans="1:1" s="173" customFormat="1" x14ac:dyDescent="0.2">
      <c r="A242" s="679"/>
    </row>
    <row r="243" spans="1:1" s="173" customFormat="1" x14ac:dyDescent="0.2">
      <c r="A243" s="679"/>
    </row>
    <row r="244" spans="1:1" s="173" customFormat="1" x14ac:dyDescent="0.2">
      <c r="A244" s="679"/>
    </row>
    <row r="245" spans="1:1" s="173" customFormat="1" x14ac:dyDescent="0.2">
      <c r="A245" s="679"/>
    </row>
    <row r="246" spans="1:1" s="173" customFormat="1" x14ac:dyDescent="0.2">
      <c r="A246" s="679"/>
    </row>
    <row r="247" spans="1:1" s="173" customFormat="1" x14ac:dyDescent="0.2">
      <c r="A247" s="679"/>
    </row>
    <row r="248" spans="1:1" s="173" customFormat="1" x14ac:dyDescent="0.2">
      <c r="A248" s="679"/>
    </row>
    <row r="249" spans="1:1" s="173" customFormat="1" x14ac:dyDescent="0.2">
      <c r="A249" s="679"/>
    </row>
    <row r="250" spans="1:1" s="173" customFormat="1" x14ac:dyDescent="0.2">
      <c r="A250" s="679"/>
    </row>
    <row r="251" spans="1:1" s="173" customFormat="1" x14ac:dyDescent="0.2">
      <c r="A251" s="679"/>
    </row>
    <row r="252" spans="1:1" s="173" customFormat="1" x14ac:dyDescent="0.2">
      <c r="A252" s="679"/>
    </row>
    <row r="253" spans="1:1" s="173" customFormat="1" x14ac:dyDescent="0.2">
      <c r="A253" s="679"/>
    </row>
    <row r="254" spans="1:1" s="173" customFormat="1" x14ac:dyDescent="0.2">
      <c r="A254" s="679"/>
    </row>
    <row r="255" spans="1:1" s="173" customFormat="1" x14ac:dyDescent="0.2">
      <c r="A255" s="679"/>
    </row>
    <row r="256" spans="1:1" s="173" customFormat="1" x14ac:dyDescent="0.2">
      <c r="A256" s="679"/>
    </row>
    <row r="257" spans="1:1" s="173" customFormat="1" x14ac:dyDescent="0.2">
      <c r="A257" s="679"/>
    </row>
    <row r="258" spans="1:1" s="173" customFormat="1" x14ac:dyDescent="0.2"/>
    <row r="259" spans="1:1" s="173" customFormat="1" x14ac:dyDescent="0.2"/>
    <row r="260" spans="1:1" s="173" customFormat="1" x14ac:dyDescent="0.2"/>
    <row r="261" spans="1:1" s="173" customFormat="1" x14ac:dyDescent="0.2"/>
    <row r="262" spans="1:1" s="173" customFormat="1" x14ac:dyDescent="0.2"/>
    <row r="263" spans="1:1" s="173" customFormat="1" x14ac:dyDescent="0.2"/>
    <row r="264" spans="1:1" s="173" customFormat="1" x14ac:dyDescent="0.2"/>
    <row r="265" spans="1:1" s="173" customFormat="1" x14ac:dyDescent="0.2"/>
    <row r="266" spans="1:1" s="173" customFormat="1" x14ac:dyDescent="0.2"/>
    <row r="267" spans="1:1" s="173" customFormat="1" x14ac:dyDescent="0.2"/>
    <row r="268" spans="1:1" s="173" customFormat="1" x14ac:dyDescent="0.2"/>
    <row r="269" spans="1:1" s="173" customFormat="1" x14ac:dyDescent="0.2"/>
    <row r="270" spans="1:1" s="173" customFormat="1" x14ac:dyDescent="0.2"/>
    <row r="271" spans="1:1" s="173" customFormat="1" x14ac:dyDescent="0.2"/>
    <row r="272" spans="1:1" s="173" customFormat="1" x14ac:dyDescent="0.2"/>
    <row r="273" s="173" customFormat="1" x14ac:dyDescent="0.2"/>
    <row r="274" s="173" customFormat="1" x14ac:dyDescent="0.2"/>
    <row r="275" s="173" customFormat="1" x14ac:dyDescent="0.2"/>
    <row r="276" s="173" customFormat="1" x14ac:dyDescent="0.2"/>
    <row r="277" s="173" customFormat="1" x14ac:dyDescent="0.2"/>
    <row r="278" s="173" customFormat="1" x14ac:dyDescent="0.2"/>
    <row r="279" s="173" customFormat="1" x14ac:dyDescent="0.2"/>
    <row r="280" s="173" customFormat="1" x14ac:dyDescent="0.2"/>
    <row r="281" s="173" customFormat="1" x14ac:dyDescent="0.2"/>
    <row r="282" s="173" customFormat="1" x14ac:dyDescent="0.2"/>
    <row r="283" s="173" customFormat="1" x14ac:dyDescent="0.2"/>
    <row r="284" s="173" customFormat="1" x14ac:dyDescent="0.2"/>
    <row r="285" s="173" customFormat="1" x14ac:dyDescent="0.2"/>
    <row r="286" s="173" customFormat="1" x14ac:dyDescent="0.2"/>
    <row r="287" s="173" customFormat="1" x14ac:dyDescent="0.2"/>
    <row r="288" s="173" customFormat="1" x14ac:dyDescent="0.2"/>
    <row r="289" s="173" customFormat="1" x14ac:dyDescent="0.2"/>
    <row r="290" s="173" customFormat="1" x14ac:dyDescent="0.2"/>
    <row r="291" s="173" customFormat="1" x14ac:dyDescent="0.2"/>
    <row r="292" s="173" customFormat="1" x14ac:dyDescent="0.2"/>
    <row r="293" s="173" customFormat="1" x14ac:dyDescent="0.2"/>
    <row r="294" s="173" customFormat="1" x14ac:dyDescent="0.2"/>
    <row r="295" s="173" customFormat="1" x14ac:dyDescent="0.2"/>
    <row r="296" s="173" customFormat="1" x14ac:dyDescent="0.2"/>
    <row r="297" s="173" customFormat="1" x14ac:dyDescent="0.2"/>
    <row r="298" s="173" customFormat="1" x14ac:dyDescent="0.2"/>
    <row r="299" s="173" customFormat="1" x14ac:dyDescent="0.2"/>
    <row r="300" s="173" customFormat="1" x14ac:dyDescent="0.2"/>
    <row r="301" s="173" customFormat="1" x14ac:dyDescent="0.2"/>
    <row r="302" s="173" customFormat="1" x14ac:dyDescent="0.2"/>
    <row r="303" s="173" customFormat="1" x14ac:dyDescent="0.2"/>
    <row r="304" s="173" customFormat="1" x14ac:dyDescent="0.2"/>
    <row r="305" s="173" customFormat="1" x14ac:dyDescent="0.2"/>
    <row r="306" s="173" customFormat="1" x14ac:dyDescent="0.2"/>
    <row r="307" s="173" customFormat="1" x14ac:dyDescent="0.2"/>
    <row r="308" s="173" customFormat="1" x14ac:dyDescent="0.2"/>
    <row r="309" s="173" customFormat="1" x14ac:dyDescent="0.2"/>
    <row r="310" s="173" customFormat="1" x14ac:dyDescent="0.2"/>
    <row r="311" s="173" customFormat="1" x14ac:dyDescent="0.2"/>
    <row r="312" s="173" customFormat="1" x14ac:dyDescent="0.2"/>
    <row r="313" s="173" customFormat="1" x14ac:dyDescent="0.2"/>
    <row r="314" s="173" customFormat="1" x14ac:dyDescent="0.2"/>
    <row r="315" s="173" customFormat="1" x14ac:dyDescent="0.2"/>
    <row r="316" s="173" customFormat="1" x14ac:dyDescent="0.2"/>
    <row r="317" s="173" customFormat="1" x14ac:dyDescent="0.2"/>
    <row r="318" s="173" customFormat="1" x14ac:dyDescent="0.2"/>
    <row r="319" s="173" customFormat="1" x14ac:dyDescent="0.2"/>
    <row r="320" s="173" customFormat="1" x14ac:dyDescent="0.2"/>
    <row r="321" s="173" customFormat="1" x14ac:dyDescent="0.2"/>
    <row r="322" s="173" customFormat="1" x14ac:dyDescent="0.2"/>
    <row r="323" s="173" customFormat="1" x14ac:dyDescent="0.2"/>
    <row r="324" s="173" customFormat="1" x14ac:dyDescent="0.2"/>
    <row r="325" s="173" customFormat="1" x14ac:dyDescent="0.2"/>
    <row r="326" s="173" customFormat="1" x14ac:dyDescent="0.2"/>
    <row r="327" s="173" customFormat="1" x14ac:dyDescent="0.2"/>
    <row r="328" s="173" customFormat="1" x14ac:dyDescent="0.2"/>
    <row r="329" s="173" customFormat="1" x14ac:dyDescent="0.2"/>
    <row r="330" s="173" customFormat="1" x14ac:dyDescent="0.2"/>
    <row r="331" s="173" customFormat="1" x14ac:dyDescent="0.2"/>
    <row r="332" s="173" customFormat="1" x14ac:dyDescent="0.2"/>
    <row r="333" s="173" customFormat="1" x14ac:dyDescent="0.2"/>
    <row r="334" s="173" customFormat="1" x14ac:dyDescent="0.2"/>
    <row r="335" s="173" customFormat="1" x14ac:dyDescent="0.2"/>
    <row r="336" s="173" customFormat="1" x14ac:dyDescent="0.2"/>
    <row r="337" s="173" customFormat="1" x14ac:dyDescent="0.2"/>
    <row r="338" s="173" customFormat="1" x14ac:dyDescent="0.2"/>
    <row r="339" s="173" customFormat="1" x14ac:dyDescent="0.2"/>
    <row r="340" s="173" customFormat="1" x14ac:dyDescent="0.2"/>
    <row r="341" s="173" customFormat="1" x14ac:dyDescent="0.2"/>
    <row r="342" s="173" customFormat="1" x14ac:dyDescent="0.2"/>
    <row r="343" s="173" customFormat="1" x14ac:dyDescent="0.2"/>
    <row r="344" s="173" customFormat="1" x14ac:dyDescent="0.2"/>
    <row r="345" s="173" customFormat="1" x14ac:dyDescent="0.2"/>
    <row r="346" s="173" customFormat="1" x14ac:dyDescent="0.2"/>
    <row r="347" s="173" customFormat="1" x14ac:dyDescent="0.2"/>
    <row r="348" s="173" customFormat="1" x14ac:dyDescent="0.2"/>
    <row r="349" s="173" customFormat="1" x14ac:dyDescent="0.2"/>
    <row r="350" s="173" customFormat="1" x14ac:dyDescent="0.2"/>
    <row r="351" s="173" customFormat="1" x14ac:dyDescent="0.2"/>
    <row r="352" s="173" customFormat="1" x14ac:dyDescent="0.2"/>
    <row r="353" s="173" customFormat="1" x14ac:dyDescent="0.2"/>
    <row r="354" s="173" customFormat="1" x14ac:dyDescent="0.2"/>
    <row r="355" s="173" customFormat="1" x14ac:dyDescent="0.2"/>
    <row r="356" s="173" customFormat="1" x14ac:dyDescent="0.2"/>
    <row r="357" s="173" customFormat="1" x14ac:dyDescent="0.2"/>
    <row r="358" s="173" customFormat="1" x14ac:dyDescent="0.2"/>
    <row r="359" s="173" customFormat="1" x14ac:dyDescent="0.2"/>
    <row r="360" s="173" customFormat="1" x14ac:dyDescent="0.2"/>
    <row r="361" s="173" customFormat="1" x14ac:dyDescent="0.2"/>
    <row r="362" s="173" customFormat="1" x14ac:dyDescent="0.2"/>
    <row r="363" s="173" customFormat="1" x14ac:dyDescent="0.2"/>
    <row r="364" s="173" customFormat="1" x14ac:dyDescent="0.2"/>
    <row r="365" s="173" customFormat="1" x14ac:dyDescent="0.2"/>
    <row r="366" s="173" customFormat="1" x14ac:dyDescent="0.2"/>
    <row r="367" s="173" customFormat="1" x14ac:dyDescent="0.2"/>
    <row r="368" s="173" customFormat="1" x14ac:dyDescent="0.2"/>
    <row r="369" s="173" customFormat="1" x14ac:dyDescent="0.2"/>
    <row r="370" s="173" customFormat="1" x14ac:dyDescent="0.2"/>
    <row r="371" s="173" customFormat="1" x14ac:dyDescent="0.2"/>
    <row r="372" s="173" customFormat="1" x14ac:dyDescent="0.2"/>
    <row r="373" s="173" customFormat="1" x14ac:dyDescent="0.2"/>
    <row r="374" s="173" customFormat="1" x14ac:dyDescent="0.2"/>
    <row r="375" s="173" customFormat="1" x14ac:dyDescent="0.2"/>
    <row r="376" s="173" customFormat="1" x14ac:dyDescent="0.2"/>
    <row r="377" s="173" customFormat="1" x14ac:dyDescent="0.2"/>
    <row r="378" s="173" customFormat="1" x14ac:dyDescent="0.2"/>
    <row r="379" s="173" customFormat="1" x14ac:dyDescent="0.2"/>
    <row r="380" s="173" customFormat="1" x14ac:dyDescent="0.2"/>
    <row r="381" s="173" customFormat="1" x14ac:dyDescent="0.2"/>
    <row r="382" s="173" customFormat="1" x14ac:dyDescent="0.2"/>
    <row r="383" s="173" customFormat="1" x14ac:dyDescent="0.2"/>
    <row r="384" s="173" customFormat="1" x14ac:dyDescent="0.2"/>
    <row r="385" s="173" customFormat="1" x14ac:dyDescent="0.2"/>
    <row r="386" s="173" customFormat="1" x14ac:dyDescent="0.2"/>
    <row r="387" s="173" customFormat="1" x14ac:dyDescent="0.2"/>
    <row r="388" s="173" customFormat="1" x14ac:dyDescent="0.2"/>
    <row r="389" s="173" customFormat="1" x14ac:dyDescent="0.2"/>
    <row r="390" s="173" customFormat="1" x14ac:dyDescent="0.2"/>
    <row r="391" s="173" customFormat="1" x14ac:dyDescent="0.2"/>
    <row r="392" s="173" customFormat="1" x14ac:dyDescent="0.2"/>
    <row r="393" s="173" customFormat="1" x14ac:dyDescent="0.2"/>
    <row r="394" s="173" customFormat="1" x14ac:dyDescent="0.2"/>
    <row r="395" s="173" customFormat="1" x14ac:dyDescent="0.2"/>
    <row r="396" s="173" customFormat="1" x14ac:dyDescent="0.2"/>
    <row r="397" s="173" customFormat="1" x14ac:dyDescent="0.2"/>
    <row r="398" s="173" customFormat="1" x14ac:dyDescent="0.2"/>
    <row r="399" s="173" customFormat="1" x14ac:dyDescent="0.2"/>
    <row r="400" s="173" customFormat="1" x14ac:dyDescent="0.2"/>
    <row r="401" s="173" customFormat="1" x14ac:dyDescent="0.2"/>
    <row r="402" s="173" customFormat="1" x14ac:dyDescent="0.2"/>
    <row r="403" s="173" customFormat="1" x14ac:dyDescent="0.2"/>
    <row r="404" s="173" customFormat="1" x14ac:dyDescent="0.2"/>
    <row r="405" s="173" customFormat="1" x14ac:dyDescent="0.2"/>
    <row r="406" s="173" customFormat="1" x14ac:dyDescent="0.2"/>
    <row r="407" s="173" customFormat="1" x14ac:dyDescent="0.2"/>
    <row r="408" s="173" customFormat="1" x14ac:dyDescent="0.2"/>
    <row r="409" s="173" customFormat="1" x14ac:dyDescent="0.2"/>
    <row r="410" s="173" customFormat="1" x14ac:dyDescent="0.2"/>
    <row r="411" s="173" customFormat="1" x14ac:dyDescent="0.2"/>
    <row r="412" s="173" customFormat="1" x14ac:dyDescent="0.2"/>
    <row r="413" s="173" customFormat="1" x14ac:dyDescent="0.2"/>
    <row r="414" s="173" customFormat="1" x14ac:dyDescent="0.2"/>
    <row r="415" s="173" customFormat="1" x14ac:dyDescent="0.2"/>
    <row r="416" s="173" customFormat="1" x14ac:dyDescent="0.2"/>
    <row r="417" s="173" customFormat="1" x14ac:dyDescent="0.2"/>
    <row r="418" s="173" customFormat="1" x14ac:dyDescent="0.2"/>
    <row r="419" s="173" customFormat="1" x14ac:dyDescent="0.2"/>
    <row r="420" s="173" customFormat="1" x14ac:dyDescent="0.2"/>
    <row r="421" s="173" customFormat="1" x14ac:dyDescent="0.2"/>
    <row r="422" s="173" customFormat="1" x14ac:dyDescent="0.2"/>
    <row r="423" s="173" customFormat="1" x14ac:dyDescent="0.2"/>
    <row r="424" s="173" customFormat="1" x14ac:dyDescent="0.2"/>
    <row r="425" s="173" customFormat="1" x14ac:dyDescent="0.2"/>
    <row r="426" s="173" customFormat="1" x14ac:dyDescent="0.2"/>
    <row r="427" s="173" customFormat="1" x14ac:dyDescent="0.2"/>
    <row r="428" s="173" customFormat="1" x14ac:dyDescent="0.2"/>
    <row r="429" s="173" customFormat="1" x14ac:dyDescent="0.2"/>
    <row r="430" s="173" customFormat="1" x14ac:dyDescent="0.2"/>
    <row r="431" s="173" customFormat="1" x14ac:dyDescent="0.2"/>
    <row r="432" s="173" customFormat="1" x14ac:dyDescent="0.2"/>
    <row r="433" s="173" customFormat="1" x14ac:dyDescent="0.2"/>
    <row r="434" s="173" customFormat="1" x14ac:dyDescent="0.2"/>
    <row r="435" s="173" customFormat="1" x14ac:dyDescent="0.2"/>
    <row r="436" s="173" customFormat="1" x14ac:dyDescent="0.2"/>
    <row r="437" s="173" customFormat="1" x14ac:dyDescent="0.2"/>
    <row r="438" s="173" customFormat="1" x14ac:dyDescent="0.2"/>
    <row r="439" s="173" customFormat="1" x14ac:dyDescent="0.2"/>
    <row r="440" s="173" customFormat="1" x14ac:dyDescent="0.2"/>
    <row r="441" s="173" customFormat="1" x14ac:dyDescent="0.2"/>
    <row r="442" s="173" customFormat="1" x14ac:dyDescent="0.2"/>
    <row r="443" s="173" customFormat="1" x14ac:dyDescent="0.2"/>
    <row r="444" s="173" customFormat="1" x14ac:dyDescent="0.2"/>
    <row r="445" s="173" customFormat="1" x14ac:dyDescent="0.2"/>
    <row r="446" s="173" customFormat="1" x14ac:dyDescent="0.2"/>
    <row r="447" s="173" customFormat="1" x14ac:dyDescent="0.2"/>
    <row r="448" s="173" customFormat="1" x14ac:dyDescent="0.2"/>
    <row r="449" s="173" customFormat="1" x14ac:dyDescent="0.2"/>
    <row r="450" s="173" customFormat="1" x14ac:dyDescent="0.2"/>
    <row r="451" s="173" customFormat="1" x14ac:dyDescent="0.2"/>
    <row r="452" s="173" customFormat="1" x14ac:dyDescent="0.2"/>
    <row r="453" s="173" customFormat="1" x14ac:dyDescent="0.2"/>
    <row r="454" s="173" customFormat="1" x14ac:dyDescent="0.2"/>
    <row r="455" s="173" customFormat="1" x14ac:dyDescent="0.2"/>
    <row r="456" s="173" customFormat="1" x14ac:dyDescent="0.2"/>
    <row r="457" s="173" customFormat="1" x14ac:dyDescent="0.2"/>
    <row r="458" s="173" customFormat="1" x14ac:dyDescent="0.2"/>
    <row r="459" s="173" customFormat="1" x14ac:dyDescent="0.2"/>
    <row r="460" s="173" customFormat="1" x14ac:dyDescent="0.2"/>
    <row r="461" s="173" customFormat="1" x14ac:dyDescent="0.2"/>
    <row r="462" s="173" customFormat="1" x14ac:dyDescent="0.2"/>
    <row r="463" s="173" customFormat="1" x14ac:dyDescent="0.2"/>
    <row r="464" s="173" customFormat="1" x14ac:dyDescent="0.2"/>
    <row r="465" s="173" customFormat="1" x14ac:dyDescent="0.2"/>
    <row r="466" s="173" customFormat="1" x14ac:dyDescent="0.2"/>
    <row r="467" s="173" customFormat="1" x14ac:dyDescent="0.2"/>
    <row r="468" s="173" customFormat="1" x14ac:dyDescent="0.2"/>
    <row r="469" s="173" customFormat="1" x14ac:dyDescent="0.2"/>
    <row r="470" s="173" customFormat="1" x14ac:dyDescent="0.2"/>
    <row r="471" s="173" customFormat="1" x14ac:dyDescent="0.2"/>
    <row r="472" s="173" customFormat="1" x14ac:dyDescent="0.2"/>
    <row r="473" s="173" customFormat="1" x14ac:dyDescent="0.2"/>
    <row r="474" s="173" customFormat="1" x14ac:dyDescent="0.2"/>
    <row r="475" s="173" customFormat="1" x14ac:dyDescent="0.2"/>
    <row r="476" s="173" customFormat="1" x14ac:dyDescent="0.2"/>
    <row r="477" s="173" customFormat="1" x14ac:dyDescent="0.2"/>
    <row r="478" s="173" customFormat="1" x14ac:dyDescent="0.2"/>
    <row r="479" s="173" customFormat="1" x14ac:dyDescent="0.2"/>
    <row r="480" s="173" customFormat="1" x14ac:dyDescent="0.2"/>
    <row r="481" s="173" customFormat="1" x14ac:dyDescent="0.2"/>
    <row r="482" s="173" customFormat="1" x14ac:dyDescent="0.2"/>
    <row r="483" s="173" customFormat="1" x14ac:dyDescent="0.2"/>
    <row r="484" s="173" customFormat="1" x14ac:dyDescent="0.2"/>
    <row r="485" s="173" customFormat="1" x14ac:dyDescent="0.2"/>
    <row r="486" s="173" customFormat="1" x14ac:dyDescent="0.2"/>
    <row r="487" s="173" customFormat="1" x14ac:dyDescent="0.2"/>
    <row r="488" s="173" customFormat="1" x14ac:dyDescent="0.2"/>
    <row r="489" s="173" customFormat="1" x14ac:dyDescent="0.2"/>
    <row r="490" s="173" customFormat="1" x14ac:dyDescent="0.2"/>
    <row r="491" s="173" customFormat="1" x14ac:dyDescent="0.2"/>
    <row r="492" s="173" customFormat="1" x14ac:dyDescent="0.2"/>
    <row r="493" s="173" customFormat="1" x14ac:dyDescent="0.2"/>
    <row r="494" s="173" customFormat="1" x14ac:dyDescent="0.2"/>
    <row r="495" s="173" customFormat="1" x14ac:dyDescent="0.2"/>
    <row r="496" s="173" customFormat="1" x14ac:dyDescent="0.2"/>
    <row r="497" s="173" customFormat="1" x14ac:dyDescent="0.2"/>
    <row r="498" s="173" customFormat="1" x14ac:dyDescent="0.2"/>
    <row r="499" s="173" customFormat="1" x14ac:dyDescent="0.2"/>
    <row r="500" s="173" customFormat="1" x14ac:dyDescent="0.2"/>
    <row r="501" s="173" customFormat="1" x14ac:dyDescent="0.2"/>
    <row r="502" s="173" customFormat="1" x14ac:dyDescent="0.2"/>
    <row r="503" s="173" customFormat="1" x14ac:dyDescent="0.2"/>
    <row r="504" s="173" customFormat="1" x14ac:dyDescent="0.2"/>
    <row r="505" s="173" customFormat="1" x14ac:dyDescent="0.2"/>
    <row r="506" s="173" customFormat="1" x14ac:dyDescent="0.2"/>
    <row r="507" s="173" customFormat="1" x14ac:dyDescent="0.2"/>
    <row r="508" s="173" customFormat="1" x14ac:dyDescent="0.2"/>
    <row r="509" s="173" customFormat="1" x14ac:dyDescent="0.2"/>
    <row r="510" s="173" customFormat="1" x14ac:dyDescent="0.2"/>
    <row r="511" s="173" customFormat="1" x14ac:dyDescent="0.2"/>
    <row r="512" s="173" customFormat="1" x14ac:dyDescent="0.2"/>
    <row r="513" s="173" customFormat="1" x14ac:dyDescent="0.2"/>
    <row r="514" s="173" customFormat="1" x14ac:dyDescent="0.2"/>
    <row r="515" s="173" customFormat="1" x14ac:dyDescent="0.2"/>
    <row r="516" s="173" customFormat="1" x14ac:dyDescent="0.2"/>
    <row r="517" s="173" customFormat="1" x14ac:dyDescent="0.2"/>
    <row r="518" s="173" customFormat="1" x14ac:dyDescent="0.2"/>
    <row r="519" s="173" customFormat="1" x14ac:dyDescent="0.2"/>
    <row r="520" s="173" customFormat="1" x14ac:dyDescent="0.2"/>
    <row r="521" s="173" customFormat="1" x14ac:dyDescent="0.2"/>
    <row r="522" s="173" customFormat="1" x14ac:dyDescent="0.2"/>
    <row r="523" s="173" customFormat="1" x14ac:dyDescent="0.2"/>
    <row r="524" s="173" customFormat="1" x14ac:dyDescent="0.2"/>
    <row r="525" s="173" customFormat="1" x14ac:dyDescent="0.2"/>
    <row r="526" s="173" customFormat="1" x14ac:dyDescent="0.2"/>
    <row r="527" s="173" customFormat="1" x14ac:dyDescent="0.2"/>
    <row r="528" s="173" customFormat="1" x14ac:dyDescent="0.2"/>
    <row r="529" s="173" customFormat="1" x14ac:dyDescent="0.2"/>
    <row r="530" s="173" customFormat="1" x14ac:dyDescent="0.2"/>
    <row r="531" s="173" customFormat="1" x14ac:dyDescent="0.2"/>
    <row r="532" s="173" customFormat="1" x14ac:dyDescent="0.2"/>
    <row r="533" s="173" customFormat="1" x14ac:dyDescent="0.2"/>
    <row r="534" s="173" customFormat="1" x14ac:dyDescent="0.2"/>
    <row r="535" s="173" customFormat="1" x14ac:dyDescent="0.2"/>
    <row r="536" s="173" customFormat="1" x14ac:dyDescent="0.2"/>
    <row r="537" s="173" customFormat="1" x14ac:dyDescent="0.2"/>
    <row r="538" s="173" customFormat="1" x14ac:dyDescent="0.2"/>
    <row r="539" s="173" customFormat="1" x14ac:dyDescent="0.2"/>
    <row r="540" s="173" customFormat="1" x14ac:dyDescent="0.2"/>
    <row r="541" s="173" customFormat="1" x14ac:dyDescent="0.2"/>
    <row r="542" s="173" customFormat="1" x14ac:dyDescent="0.2"/>
    <row r="543" s="173" customFormat="1" x14ac:dyDescent="0.2"/>
    <row r="544" s="173" customFormat="1" x14ac:dyDescent="0.2"/>
    <row r="545" s="173" customFormat="1" x14ac:dyDescent="0.2"/>
    <row r="546" s="173" customFormat="1" x14ac:dyDescent="0.2"/>
    <row r="547" s="173" customFormat="1" x14ac:dyDescent="0.2"/>
    <row r="548" s="173" customFormat="1" x14ac:dyDescent="0.2"/>
    <row r="549" s="173" customFormat="1" x14ac:dyDescent="0.2"/>
    <row r="550" s="173" customFormat="1" x14ac:dyDescent="0.2"/>
    <row r="551" s="173" customFormat="1" x14ac:dyDescent="0.2"/>
    <row r="552" s="173" customFormat="1" x14ac:dyDescent="0.2"/>
    <row r="553" s="173" customFormat="1" x14ac:dyDescent="0.2"/>
    <row r="554" s="173" customFormat="1" x14ac:dyDescent="0.2"/>
    <row r="555" s="173" customFormat="1" x14ac:dyDescent="0.2"/>
    <row r="556" s="173" customFormat="1" x14ac:dyDescent="0.2"/>
    <row r="557" s="173" customFormat="1" x14ac:dyDescent="0.2"/>
    <row r="558" s="173" customFormat="1" x14ac:dyDescent="0.2"/>
    <row r="559" s="173" customFormat="1" x14ac:dyDescent="0.2"/>
    <row r="560" s="173" customFormat="1" x14ac:dyDescent="0.2"/>
    <row r="561" s="173" customFormat="1" x14ac:dyDescent="0.2"/>
    <row r="562" s="173" customFormat="1" x14ac:dyDescent="0.2"/>
    <row r="563" s="173" customFormat="1" x14ac:dyDescent="0.2"/>
    <row r="564" s="173" customFormat="1" x14ac:dyDescent="0.2"/>
    <row r="565" s="173" customFormat="1" x14ac:dyDescent="0.2"/>
    <row r="566" s="173" customFormat="1" x14ac:dyDescent="0.2"/>
    <row r="567" s="173" customFormat="1" x14ac:dyDescent="0.2"/>
    <row r="568" s="173" customFormat="1" x14ac:dyDescent="0.2"/>
    <row r="569" s="173" customFormat="1" x14ac:dyDescent="0.2"/>
    <row r="570" s="173" customFormat="1" x14ac:dyDescent="0.2"/>
    <row r="571" s="173" customFormat="1" x14ac:dyDescent="0.2"/>
    <row r="572" s="173" customFormat="1" x14ac:dyDescent="0.2"/>
    <row r="573" s="173" customFormat="1" x14ac:dyDescent="0.2"/>
    <row r="574" s="173" customFormat="1" x14ac:dyDescent="0.2"/>
    <row r="575" s="173" customFormat="1" x14ac:dyDescent="0.2"/>
    <row r="576" s="173" customFormat="1" x14ac:dyDescent="0.2"/>
    <row r="577" s="173" customFormat="1" x14ac:dyDescent="0.2"/>
    <row r="578" s="173" customFormat="1" x14ac:dyDescent="0.2"/>
    <row r="579" s="173" customFormat="1" x14ac:dyDescent="0.2"/>
    <row r="580" s="173" customFormat="1" x14ac:dyDescent="0.2"/>
    <row r="581" s="173" customFormat="1" x14ac:dyDescent="0.2"/>
    <row r="582" s="173" customFormat="1" x14ac:dyDescent="0.2"/>
    <row r="583" s="173" customFormat="1" x14ac:dyDescent="0.2"/>
    <row r="584" s="173" customFormat="1" x14ac:dyDescent="0.2"/>
    <row r="585" s="173" customFormat="1" x14ac:dyDescent="0.2"/>
    <row r="586" s="173" customFormat="1" x14ac:dyDescent="0.2"/>
    <row r="587" s="173" customFormat="1" x14ac:dyDescent="0.2"/>
    <row r="588" s="173" customFormat="1" x14ac:dyDescent="0.2"/>
    <row r="589" s="173" customFormat="1" x14ac:dyDescent="0.2"/>
    <row r="590" s="173" customFormat="1" x14ac:dyDescent="0.2"/>
    <row r="591" s="173" customFormat="1" x14ac:dyDescent="0.2"/>
    <row r="592" s="173" customFormat="1" x14ac:dyDescent="0.2"/>
    <row r="593" s="173" customFormat="1" x14ac:dyDescent="0.2"/>
    <row r="594" s="173" customFormat="1" x14ac:dyDescent="0.2"/>
    <row r="595" s="173" customFormat="1" x14ac:dyDescent="0.2"/>
    <row r="596" s="173" customFormat="1" x14ac:dyDescent="0.2"/>
    <row r="597" s="173" customFormat="1" x14ac:dyDescent="0.2"/>
    <row r="598" s="173" customFormat="1" x14ac:dyDescent="0.2"/>
    <row r="599" s="173" customFormat="1" x14ac:dyDescent="0.2"/>
    <row r="600" s="173" customFormat="1" x14ac:dyDescent="0.2"/>
    <row r="601" s="173" customFormat="1" x14ac:dyDescent="0.2"/>
    <row r="602" s="173" customFormat="1" x14ac:dyDescent="0.2"/>
    <row r="603" s="173" customFormat="1" x14ac:dyDescent="0.2"/>
    <row r="604" s="173" customFormat="1" x14ac:dyDescent="0.2"/>
    <row r="605" s="173" customFormat="1" x14ac:dyDescent="0.2"/>
    <row r="606" s="173" customFormat="1" x14ac:dyDescent="0.2"/>
    <row r="607" s="173" customFormat="1" x14ac:dyDescent="0.2"/>
    <row r="608" s="173" customFormat="1" x14ac:dyDescent="0.2"/>
    <row r="609" s="173" customFormat="1" x14ac:dyDescent="0.2"/>
    <row r="610" s="173" customFormat="1" x14ac:dyDescent="0.2"/>
    <row r="611" s="173" customFormat="1" x14ac:dyDescent="0.2"/>
    <row r="612" s="173" customFormat="1" x14ac:dyDescent="0.2"/>
    <row r="613" s="173" customFormat="1" x14ac:dyDescent="0.2"/>
    <row r="614" s="173" customFormat="1" x14ac:dyDescent="0.2"/>
    <row r="615" s="173" customFormat="1" x14ac:dyDescent="0.2"/>
    <row r="616" s="173" customFormat="1" x14ac:dyDescent="0.2"/>
    <row r="617" s="173" customFormat="1" x14ac:dyDescent="0.2"/>
    <row r="618" s="173" customFormat="1" x14ac:dyDescent="0.2"/>
    <row r="619" s="173" customFormat="1" x14ac:dyDescent="0.2"/>
    <row r="620" s="173" customFormat="1" x14ac:dyDescent="0.2"/>
    <row r="621" s="173" customFormat="1" x14ac:dyDescent="0.2"/>
    <row r="622" s="173" customFormat="1" x14ac:dyDescent="0.2"/>
    <row r="623" s="173" customFormat="1" x14ac:dyDescent="0.2"/>
    <row r="624" s="173" customFormat="1" x14ac:dyDescent="0.2"/>
    <row r="625" s="173" customFormat="1" x14ac:dyDescent="0.2"/>
    <row r="626" s="173" customFormat="1" x14ac:dyDescent="0.2"/>
    <row r="627" s="173" customFormat="1" x14ac:dyDescent="0.2"/>
    <row r="628" s="173" customFormat="1" x14ac:dyDescent="0.2"/>
    <row r="629" s="173" customFormat="1" x14ac:dyDescent="0.2"/>
    <row r="630" s="173" customFormat="1" x14ac:dyDescent="0.2"/>
    <row r="631" s="173" customFormat="1" x14ac:dyDescent="0.2"/>
    <row r="632" s="173" customFormat="1" x14ac:dyDescent="0.2"/>
    <row r="633" s="173" customFormat="1" x14ac:dyDescent="0.2"/>
    <row r="634" s="173" customFormat="1" x14ac:dyDescent="0.2"/>
    <row r="635" s="173" customFormat="1" x14ac:dyDescent="0.2"/>
    <row r="636" s="173" customFormat="1" x14ac:dyDescent="0.2"/>
    <row r="637" s="173" customFormat="1" x14ac:dyDescent="0.2"/>
    <row r="638" s="173" customFormat="1" x14ac:dyDescent="0.2"/>
    <row r="639" s="173" customFormat="1" x14ac:dyDescent="0.2"/>
    <row r="640" s="173" customFormat="1" x14ac:dyDescent="0.2"/>
    <row r="641" s="173" customFormat="1" x14ac:dyDescent="0.2"/>
    <row r="642" s="173" customFormat="1" x14ac:dyDescent="0.2"/>
    <row r="643" s="173" customFormat="1" x14ac:dyDescent="0.2"/>
    <row r="644" s="173" customFormat="1" x14ac:dyDescent="0.2"/>
    <row r="645" s="173" customFormat="1" x14ac:dyDescent="0.2"/>
    <row r="646" s="173" customFormat="1" x14ac:dyDescent="0.2"/>
    <row r="647" s="173" customFormat="1" x14ac:dyDescent="0.2"/>
    <row r="648" s="173" customFormat="1" x14ac:dyDescent="0.2"/>
    <row r="649" s="173" customFormat="1" x14ac:dyDescent="0.2"/>
    <row r="650" s="173" customFormat="1" x14ac:dyDescent="0.2"/>
    <row r="651" s="173" customFormat="1" x14ac:dyDescent="0.2"/>
    <row r="652" s="173" customFormat="1" x14ac:dyDescent="0.2"/>
    <row r="653" s="173" customFormat="1" x14ac:dyDescent="0.2"/>
    <row r="654" s="173" customFormat="1" x14ac:dyDescent="0.2"/>
    <row r="655" s="173" customFormat="1" x14ac:dyDescent="0.2"/>
    <row r="656" s="173" customFormat="1" x14ac:dyDescent="0.2"/>
    <row r="657" s="173" customFormat="1" x14ac:dyDescent="0.2"/>
    <row r="658" s="173" customFormat="1" x14ac:dyDescent="0.2"/>
    <row r="659" s="173" customFormat="1" x14ac:dyDescent="0.2"/>
    <row r="660" s="173" customFormat="1" x14ac:dyDescent="0.2"/>
    <row r="661" s="173" customFormat="1" x14ac:dyDescent="0.2"/>
    <row r="662" s="173" customFormat="1" x14ac:dyDescent="0.2"/>
    <row r="663" s="173" customFormat="1" x14ac:dyDescent="0.2"/>
    <row r="664" s="173" customFormat="1" x14ac:dyDescent="0.2"/>
    <row r="665" s="173" customFormat="1" x14ac:dyDescent="0.2"/>
    <row r="666" s="173" customFormat="1" x14ac:dyDescent="0.2"/>
    <row r="667" s="173" customFormat="1" x14ac:dyDescent="0.2"/>
    <row r="668" s="173" customFormat="1" x14ac:dyDescent="0.2"/>
    <row r="669" s="173" customFormat="1" x14ac:dyDescent="0.2"/>
    <row r="670" s="173" customFormat="1" x14ac:dyDescent="0.2"/>
    <row r="671" s="173" customFormat="1" x14ac:dyDescent="0.2"/>
    <row r="672" s="173" customFormat="1" x14ac:dyDescent="0.2"/>
    <row r="673" s="173" customFormat="1" x14ac:dyDescent="0.2"/>
    <row r="674" s="173" customFormat="1" x14ac:dyDescent="0.2"/>
    <row r="675" s="173" customFormat="1" x14ac:dyDescent="0.2"/>
    <row r="676" s="173" customFormat="1" x14ac:dyDescent="0.2"/>
    <row r="677" s="173" customFormat="1" x14ac:dyDescent="0.2"/>
    <row r="678" s="173" customFormat="1" x14ac:dyDescent="0.2"/>
    <row r="679" s="173" customFormat="1" x14ac:dyDescent="0.2"/>
    <row r="680" s="173" customFormat="1" x14ac:dyDescent="0.2"/>
    <row r="681" s="173" customFormat="1" x14ac:dyDescent="0.2"/>
    <row r="682" s="173" customFormat="1" x14ac:dyDescent="0.2"/>
    <row r="683" s="173" customFormat="1" x14ac:dyDescent="0.2"/>
    <row r="684" s="173" customFormat="1" x14ac:dyDescent="0.2"/>
    <row r="685" s="173" customFormat="1" x14ac:dyDescent="0.2"/>
    <row r="686" s="173" customFormat="1" x14ac:dyDescent="0.2"/>
    <row r="687" s="173" customFormat="1" x14ac:dyDescent="0.2"/>
    <row r="688" s="173" customFormat="1" x14ac:dyDescent="0.2"/>
    <row r="689" s="173" customFormat="1" x14ac:dyDescent="0.2"/>
    <row r="690" s="173" customFormat="1" x14ac:dyDescent="0.2"/>
    <row r="691" s="173" customFormat="1" x14ac:dyDescent="0.2"/>
    <row r="692" s="173" customFormat="1" x14ac:dyDescent="0.2"/>
    <row r="693" s="173" customFormat="1" x14ac:dyDescent="0.2"/>
    <row r="694" s="173" customFormat="1" x14ac:dyDescent="0.2"/>
    <row r="695" s="173" customFormat="1" x14ac:dyDescent="0.2"/>
    <row r="696" s="173" customFormat="1" x14ac:dyDescent="0.2"/>
    <row r="697" s="173" customFormat="1" x14ac:dyDescent="0.2"/>
    <row r="698" s="173" customFormat="1" x14ac:dyDescent="0.2"/>
    <row r="699" s="173" customFormat="1" x14ac:dyDescent="0.2"/>
    <row r="700" s="173" customFormat="1" x14ac:dyDescent="0.2"/>
    <row r="701" s="173" customFormat="1" x14ac:dyDescent="0.2"/>
    <row r="702" s="173" customFormat="1" x14ac:dyDescent="0.2"/>
    <row r="703" s="173" customFormat="1" x14ac:dyDescent="0.2"/>
    <row r="704" s="173" customFormat="1" x14ac:dyDescent="0.2"/>
    <row r="705" s="173" customFormat="1" x14ac:dyDescent="0.2"/>
    <row r="706" s="173" customFormat="1" x14ac:dyDescent="0.2"/>
    <row r="707" s="173" customFormat="1" x14ac:dyDescent="0.2"/>
    <row r="708" s="173" customFormat="1" x14ac:dyDescent="0.2"/>
    <row r="709" s="173" customFormat="1" x14ac:dyDescent="0.2"/>
    <row r="710" s="173" customFormat="1" x14ac:dyDescent="0.2"/>
    <row r="711" s="173" customFormat="1" x14ac:dyDescent="0.2"/>
    <row r="712" s="173" customFormat="1" x14ac:dyDescent="0.2"/>
    <row r="713" s="173" customFormat="1" x14ac:dyDescent="0.2"/>
    <row r="714" s="173" customFormat="1" x14ac:dyDescent="0.2"/>
    <row r="715" s="173" customFormat="1" x14ac:dyDescent="0.2"/>
    <row r="716" s="173" customFormat="1" x14ac:dyDescent="0.2"/>
    <row r="717" s="173" customFormat="1" x14ac:dyDescent="0.2"/>
    <row r="718" s="173" customFormat="1" x14ac:dyDescent="0.2"/>
    <row r="719" s="173" customFormat="1" x14ac:dyDescent="0.2"/>
    <row r="720" s="173" customFormat="1" x14ac:dyDescent="0.2"/>
    <row r="721" s="173" customFormat="1" x14ac:dyDescent="0.2"/>
    <row r="722" s="173" customFormat="1" x14ac:dyDescent="0.2"/>
    <row r="723" s="173" customFormat="1" x14ac:dyDescent="0.2"/>
    <row r="724" s="173" customFormat="1" x14ac:dyDescent="0.2"/>
    <row r="725" s="173" customFormat="1" x14ac:dyDescent="0.2"/>
    <row r="726" s="173" customFormat="1" x14ac:dyDescent="0.2"/>
    <row r="727" s="173" customFormat="1" x14ac:dyDescent="0.2"/>
    <row r="728" s="173" customFormat="1" x14ac:dyDescent="0.2"/>
    <row r="729" s="173" customFormat="1" x14ac:dyDescent="0.2"/>
    <row r="730" s="173" customFormat="1" x14ac:dyDescent="0.2"/>
    <row r="731" s="173" customFormat="1" x14ac:dyDescent="0.2"/>
    <row r="732" s="173" customFormat="1" x14ac:dyDescent="0.2"/>
    <row r="733" s="173" customFormat="1" x14ac:dyDescent="0.2"/>
    <row r="734" s="173" customFormat="1" x14ac:dyDescent="0.2"/>
    <row r="735" s="173" customFormat="1" x14ac:dyDescent="0.2"/>
    <row r="736" s="173" customFormat="1" x14ac:dyDescent="0.2"/>
    <row r="737" s="173" customFormat="1" x14ac:dyDescent="0.2"/>
    <row r="738" s="173" customFormat="1" x14ac:dyDescent="0.2"/>
    <row r="739" s="173" customFormat="1" x14ac:dyDescent="0.2"/>
    <row r="740" s="173" customFormat="1" x14ac:dyDescent="0.2"/>
    <row r="741" s="173" customFormat="1" x14ac:dyDescent="0.2"/>
    <row r="742" s="173" customFormat="1" x14ac:dyDescent="0.2"/>
    <row r="743" s="173" customFormat="1" x14ac:dyDescent="0.2"/>
    <row r="744" s="173" customFormat="1" x14ac:dyDescent="0.2"/>
    <row r="745" s="173" customFormat="1" x14ac:dyDescent="0.2"/>
    <row r="746" s="173" customFormat="1" x14ac:dyDescent="0.2"/>
    <row r="747" s="173" customFormat="1" x14ac:dyDescent="0.2"/>
    <row r="748" s="173" customFormat="1" x14ac:dyDescent="0.2"/>
    <row r="749" s="173" customFormat="1" x14ac:dyDescent="0.2"/>
    <row r="750" s="173" customFormat="1" x14ac:dyDescent="0.2"/>
    <row r="751" s="173" customFormat="1" x14ac:dyDescent="0.2"/>
    <row r="752" s="173" customFormat="1" x14ac:dyDescent="0.2"/>
    <row r="753" s="173" customFormat="1" x14ac:dyDescent="0.2"/>
    <row r="754" s="173" customFormat="1" x14ac:dyDescent="0.2"/>
    <row r="755" s="173" customFormat="1" x14ac:dyDescent="0.2"/>
    <row r="756" s="173" customFormat="1" x14ac:dyDescent="0.2"/>
    <row r="757" s="173" customFormat="1" x14ac:dyDescent="0.2"/>
    <row r="758" s="173" customFormat="1" x14ac:dyDescent="0.2"/>
    <row r="759" s="173" customFormat="1" x14ac:dyDescent="0.2"/>
    <row r="760" s="173" customFormat="1" x14ac:dyDescent="0.2"/>
    <row r="761" s="173" customFormat="1" x14ac:dyDescent="0.2"/>
    <row r="762" s="173" customFormat="1" x14ac:dyDescent="0.2"/>
    <row r="763" s="173" customFormat="1" x14ac:dyDescent="0.2"/>
    <row r="764" s="173" customFormat="1" x14ac:dyDescent="0.2"/>
    <row r="765" s="173" customFormat="1" x14ac:dyDescent="0.2"/>
    <row r="766" s="173" customFormat="1" x14ac:dyDescent="0.2"/>
    <row r="767" s="173" customFormat="1" x14ac:dyDescent="0.2"/>
    <row r="768" s="173" customFormat="1" x14ac:dyDescent="0.2"/>
    <row r="769" s="173" customFormat="1" x14ac:dyDescent="0.2"/>
    <row r="770" s="173" customFormat="1" x14ac:dyDescent="0.2"/>
    <row r="771" s="173" customFormat="1" x14ac:dyDescent="0.2"/>
    <row r="772" s="173" customFormat="1" x14ac:dyDescent="0.2"/>
    <row r="773" s="173" customFormat="1" x14ac:dyDescent="0.2"/>
    <row r="774" s="173" customFormat="1" x14ac:dyDescent="0.2"/>
    <row r="775" s="173" customFormat="1" x14ac:dyDescent="0.2"/>
    <row r="776" s="173" customFormat="1" x14ac:dyDescent="0.2"/>
    <row r="777" s="173" customFormat="1" x14ac:dyDescent="0.2"/>
    <row r="778" s="173" customFormat="1" x14ac:dyDescent="0.2"/>
    <row r="779" s="173" customFormat="1" x14ac:dyDescent="0.2"/>
    <row r="780" s="173" customFormat="1" x14ac:dyDescent="0.2"/>
    <row r="781" s="173" customFormat="1" x14ac:dyDescent="0.2"/>
    <row r="782" s="173" customFormat="1" x14ac:dyDescent="0.2"/>
    <row r="783" s="173" customFormat="1" x14ac:dyDescent="0.2"/>
    <row r="784" s="173" customFormat="1" x14ac:dyDescent="0.2"/>
    <row r="785" s="173" customFormat="1" x14ac:dyDescent="0.2"/>
    <row r="786" s="173" customFormat="1" x14ac:dyDescent="0.2"/>
    <row r="787" s="173" customFormat="1" x14ac:dyDescent="0.2"/>
    <row r="788" s="173" customFormat="1" x14ac:dyDescent="0.2"/>
    <row r="789" s="173" customFormat="1" x14ac:dyDescent="0.2"/>
    <row r="790" s="173" customFormat="1" x14ac:dyDescent="0.2"/>
    <row r="791" s="173" customFormat="1" x14ac:dyDescent="0.2"/>
    <row r="792" s="173" customFormat="1" x14ac:dyDescent="0.2"/>
    <row r="793" s="173" customFormat="1" x14ac:dyDescent="0.2"/>
    <row r="794" s="173" customFormat="1" x14ac:dyDescent="0.2"/>
    <row r="795" s="173" customFormat="1" x14ac:dyDescent="0.2"/>
    <row r="796" s="173" customFormat="1" x14ac:dyDescent="0.2"/>
    <row r="797" s="173" customFormat="1" x14ac:dyDescent="0.2"/>
    <row r="798" s="173" customFormat="1" x14ac:dyDescent="0.2"/>
    <row r="799" s="173" customFormat="1" x14ac:dyDescent="0.2"/>
    <row r="800" s="173" customFormat="1" x14ac:dyDescent="0.2"/>
    <row r="801" s="173" customFormat="1" x14ac:dyDescent="0.2"/>
    <row r="802" s="173" customFormat="1" x14ac:dyDescent="0.2"/>
    <row r="803" s="173" customFormat="1" x14ac:dyDescent="0.2"/>
    <row r="804" s="173" customFormat="1" x14ac:dyDescent="0.2"/>
    <row r="805" s="173" customFormat="1" x14ac:dyDescent="0.2"/>
    <row r="806" s="173" customFormat="1" x14ac:dyDescent="0.2"/>
    <row r="807" s="173" customFormat="1" x14ac:dyDescent="0.2"/>
    <row r="808" s="173" customFormat="1" x14ac:dyDescent="0.2"/>
    <row r="809" s="173" customFormat="1" x14ac:dyDescent="0.2"/>
  </sheetData>
  <sheetProtection algorithmName="SHA-512" hashValue="J0d9qWsE/9sdOqYQDBPLwRIUDbNz673D9WiICmou4kam9W04GoWSu35CVm39awJgtM67bPCcUq9yut93rBeIaA==" saltValue="WBDbrfk2x8tye3P5JE1WTQ=="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18" r:id="rId4" name="Spinner 50">
              <controlPr defaultSize="0" autoPict="0">
                <anchor moveWithCells="1" sizeWithCells="1">
                  <from>
                    <xdr:col>2</xdr:col>
                    <xdr:colOff>1200150</xdr:colOff>
                    <xdr:row>17</xdr:row>
                    <xdr:rowOff>66675</xdr:rowOff>
                  </from>
                  <to>
                    <xdr:col>2</xdr:col>
                    <xdr:colOff>1543050</xdr:colOff>
                    <xdr:row>18</xdr:row>
                    <xdr:rowOff>19050</xdr:rowOff>
                  </to>
                </anchor>
              </controlPr>
            </control>
          </mc:Choice>
        </mc:AlternateContent>
        <mc:AlternateContent xmlns:mc="http://schemas.openxmlformats.org/markup-compatibility/2006">
          <mc:Choice Requires="x14">
            <control shapeId="7219" r:id="rId5" name="Spinner 51">
              <controlPr defaultSize="0" autoPict="0">
                <anchor moveWithCells="1" sizeWithCells="1">
                  <from>
                    <xdr:col>2</xdr:col>
                    <xdr:colOff>1200150</xdr:colOff>
                    <xdr:row>19</xdr:row>
                    <xdr:rowOff>28575</xdr:rowOff>
                  </from>
                  <to>
                    <xdr:col>2</xdr:col>
                    <xdr:colOff>1543050</xdr:colOff>
                    <xdr:row>19</xdr:row>
                    <xdr:rowOff>228600</xdr:rowOff>
                  </to>
                </anchor>
              </controlPr>
            </control>
          </mc:Choice>
        </mc:AlternateContent>
        <mc:AlternateContent xmlns:mc="http://schemas.openxmlformats.org/markup-compatibility/2006">
          <mc:Choice Requires="x14">
            <control shapeId="7220" r:id="rId6" name="Spinner 52">
              <controlPr defaultSize="0" autoPict="0">
                <anchor moveWithCells="1" sizeWithCells="1">
                  <from>
                    <xdr:col>2</xdr:col>
                    <xdr:colOff>1200150</xdr:colOff>
                    <xdr:row>21</xdr:row>
                    <xdr:rowOff>28575</xdr:rowOff>
                  </from>
                  <to>
                    <xdr:col>2</xdr:col>
                    <xdr:colOff>1543050</xdr:colOff>
                    <xdr:row>21</xdr:row>
                    <xdr:rowOff>228600</xdr:rowOff>
                  </to>
                </anchor>
              </controlPr>
            </control>
          </mc:Choice>
        </mc:AlternateContent>
        <mc:AlternateContent xmlns:mc="http://schemas.openxmlformats.org/markup-compatibility/2006">
          <mc:Choice Requires="x14">
            <control shapeId="7222" r:id="rId7" name="Spinner 54">
              <controlPr defaultSize="0" autoPict="0">
                <anchor moveWithCells="1" sizeWithCells="1">
                  <from>
                    <xdr:col>2</xdr:col>
                    <xdr:colOff>1200150</xdr:colOff>
                    <xdr:row>23</xdr:row>
                    <xdr:rowOff>38100</xdr:rowOff>
                  </from>
                  <to>
                    <xdr:col>2</xdr:col>
                    <xdr:colOff>1543050</xdr:colOff>
                    <xdr:row>24</xdr:row>
                    <xdr:rowOff>9525</xdr:rowOff>
                  </to>
                </anchor>
              </controlPr>
            </control>
          </mc:Choice>
        </mc:AlternateContent>
        <mc:AlternateContent xmlns:mc="http://schemas.openxmlformats.org/markup-compatibility/2006">
          <mc:Choice Requires="x14">
            <control shapeId="7223" r:id="rId8" name="Spinner 55">
              <controlPr defaultSize="0" autoPict="0">
                <anchor moveWithCells="1" sizeWithCells="1">
                  <from>
                    <xdr:col>2</xdr:col>
                    <xdr:colOff>1200150</xdr:colOff>
                    <xdr:row>27</xdr:row>
                    <xdr:rowOff>47625</xdr:rowOff>
                  </from>
                  <to>
                    <xdr:col>2</xdr:col>
                    <xdr:colOff>1543050</xdr:colOff>
                    <xdr:row>27</xdr:row>
                    <xdr:rowOff>247650</xdr:rowOff>
                  </to>
                </anchor>
              </controlPr>
            </control>
          </mc:Choice>
        </mc:AlternateContent>
        <mc:AlternateContent xmlns:mc="http://schemas.openxmlformats.org/markup-compatibility/2006">
          <mc:Choice Requires="x14">
            <control shapeId="7238" r:id="rId9" name="Spinner 70">
              <controlPr defaultSize="0" autoPict="0">
                <anchor moveWithCells="1" sizeWithCells="1">
                  <from>
                    <xdr:col>2</xdr:col>
                    <xdr:colOff>1200150</xdr:colOff>
                    <xdr:row>25</xdr:row>
                    <xdr:rowOff>38100</xdr:rowOff>
                  </from>
                  <to>
                    <xdr:col>2</xdr:col>
                    <xdr:colOff>1543050</xdr:colOff>
                    <xdr:row>25</xdr:row>
                    <xdr:rowOff>238125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T474"/>
  <sheetViews>
    <sheetView zoomScale="70" zoomScaleNormal="70" workbookViewId="0"/>
  </sheetViews>
  <sheetFormatPr defaultColWidth="16.7109375" defaultRowHeight="15" x14ac:dyDescent="0.25"/>
  <cols>
    <col min="1" max="1" width="3.28515625" style="18" customWidth="1"/>
    <col min="2" max="2" width="82.5703125" style="18" customWidth="1"/>
    <col min="3" max="9" width="25.7109375" style="18" customWidth="1"/>
    <col min="10" max="16384" width="16.7109375" style="18"/>
  </cols>
  <sheetData>
    <row r="1" spans="1:176" x14ac:dyDescent="0.25">
      <c r="A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c r="CO1" s="559"/>
      <c r="CP1" s="559"/>
      <c r="CQ1" s="559"/>
      <c r="CR1" s="559"/>
      <c r="CS1" s="559"/>
      <c r="CT1" s="559"/>
      <c r="CU1" s="559"/>
      <c r="CV1" s="559"/>
      <c r="CW1" s="559"/>
      <c r="CX1" s="559"/>
      <c r="CY1" s="559"/>
      <c r="CZ1" s="559"/>
      <c r="DA1" s="559"/>
      <c r="DB1" s="559"/>
      <c r="DC1" s="559"/>
      <c r="DD1" s="559"/>
      <c r="DE1" s="559"/>
      <c r="DF1" s="559"/>
      <c r="DG1" s="559"/>
      <c r="DH1" s="559"/>
      <c r="DI1" s="559"/>
      <c r="DJ1" s="559"/>
      <c r="DK1" s="559"/>
      <c r="DL1" s="559"/>
      <c r="DM1" s="559"/>
      <c r="DN1" s="559"/>
      <c r="DO1" s="559"/>
      <c r="DP1" s="559"/>
      <c r="DQ1" s="559"/>
      <c r="DR1" s="559"/>
      <c r="DS1" s="559"/>
      <c r="DT1" s="559"/>
      <c r="DU1" s="559"/>
      <c r="DV1" s="559"/>
      <c r="DW1" s="559"/>
      <c r="DX1" s="559"/>
      <c r="DY1" s="559"/>
      <c r="DZ1" s="559"/>
      <c r="EA1" s="559"/>
      <c r="EB1" s="559"/>
      <c r="EC1" s="559"/>
      <c r="ED1" s="559"/>
      <c r="EE1" s="559"/>
      <c r="EF1" s="559"/>
      <c r="EG1" s="559"/>
      <c r="EH1" s="559"/>
      <c r="EI1" s="559"/>
      <c r="EJ1" s="559"/>
      <c r="EK1" s="559"/>
      <c r="EL1" s="559"/>
      <c r="EM1" s="559"/>
      <c r="EN1" s="559"/>
      <c r="EO1" s="559"/>
      <c r="EP1" s="559"/>
      <c r="EQ1" s="559"/>
      <c r="ER1" s="559"/>
      <c r="ES1" s="559"/>
      <c r="ET1" s="559"/>
      <c r="EU1" s="559"/>
      <c r="EV1" s="559"/>
      <c r="EW1" s="559"/>
      <c r="EX1" s="559"/>
      <c r="EY1" s="559"/>
      <c r="EZ1" s="559"/>
      <c r="FA1" s="559"/>
      <c r="FB1" s="559"/>
      <c r="FC1" s="559"/>
      <c r="FD1" s="559"/>
      <c r="FE1" s="559"/>
      <c r="FF1" s="559"/>
      <c r="FG1" s="559"/>
      <c r="FH1" s="559"/>
      <c r="FI1" s="559"/>
      <c r="FJ1" s="559"/>
      <c r="FK1" s="559"/>
      <c r="FL1" s="559"/>
      <c r="FM1" s="559"/>
      <c r="FN1" s="559"/>
      <c r="FO1" s="559"/>
      <c r="FP1" s="559"/>
      <c r="FQ1" s="559"/>
      <c r="FR1" s="559"/>
      <c r="FS1" s="559"/>
      <c r="FT1" s="559"/>
    </row>
    <row r="2" spans="1:176" x14ac:dyDescent="0.25">
      <c r="A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c r="CQ2" s="559"/>
      <c r="CR2" s="559"/>
      <c r="CS2" s="559"/>
      <c r="CT2" s="559"/>
      <c r="CU2" s="559"/>
      <c r="CV2" s="559"/>
      <c r="CW2" s="559"/>
      <c r="CX2" s="559"/>
      <c r="CY2" s="559"/>
      <c r="CZ2" s="559"/>
      <c r="DA2" s="559"/>
      <c r="DB2" s="559"/>
      <c r="DC2" s="559"/>
      <c r="DD2" s="559"/>
      <c r="DE2" s="559"/>
      <c r="DF2" s="559"/>
      <c r="DG2" s="559"/>
      <c r="DH2" s="559"/>
      <c r="DI2" s="559"/>
      <c r="DJ2" s="559"/>
      <c r="DK2" s="559"/>
      <c r="DL2" s="559"/>
      <c r="DM2" s="559"/>
      <c r="DN2" s="559"/>
      <c r="DO2" s="559"/>
      <c r="DP2" s="559"/>
      <c r="DQ2" s="559"/>
      <c r="DR2" s="559"/>
      <c r="DS2" s="559"/>
      <c r="DT2" s="559"/>
      <c r="DU2" s="559"/>
      <c r="DV2" s="559"/>
      <c r="DW2" s="559"/>
      <c r="DX2" s="559"/>
      <c r="DY2" s="559"/>
      <c r="DZ2" s="559"/>
      <c r="EA2" s="559"/>
      <c r="EB2" s="559"/>
      <c r="EC2" s="559"/>
      <c r="ED2" s="559"/>
      <c r="EE2" s="559"/>
      <c r="EF2" s="559"/>
      <c r="EG2" s="559"/>
      <c r="EH2" s="559"/>
      <c r="EI2" s="559"/>
      <c r="EJ2" s="559"/>
      <c r="EK2" s="559"/>
      <c r="EL2" s="559"/>
      <c r="EM2" s="559"/>
      <c r="EN2" s="559"/>
      <c r="EO2" s="559"/>
      <c r="EP2" s="559"/>
      <c r="EQ2" s="559"/>
      <c r="ER2" s="559"/>
      <c r="ES2" s="559"/>
      <c r="ET2" s="559"/>
      <c r="EU2" s="559"/>
      <c r="EV2" s="559"/>
      <c r="EW2" s="559"/>
      <c r="EX2" s="559"/>
      <c r="EY2" s="559"/>
      <c r="EZ2" s="559"/>
      <c r="FA2" s="559"/>
      <c r="FB2" s="559"/>
      <c r="FC2" s="559"/>
      <c r="FD2" s="559"/>
      <c r="FE2" s="559"/>
      <c r="FF2" s="559"/>
      <c r="FG2" s="559"/>
      <c r="FH2" s="559"/>
      <c r="FI2" s="559"/>
      <c r="FJ2" s="559"/>
      <c r="FK2" s="559"/>
      <c r="FL2" s="559"/>
      <c r="FM2" s="559"/>
      <c r="FN2" s="559"/>
      <c r="FO2" s="559"/>
      <c r="FP2" s="559"/>
      <c r="FQ2" s="559"/>
      <c r="FR2" s="559"/>
      <c r="FS2" s="559"/>
      <c r="FT2" s="559"/>
    </row>
    <row r="3" spans="1:176" x14ac:dyDescent="0.25">
      <c r="A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59"/>
      <c r="CA3" s="559"/>
      <c r="CB3" s="559"/>
      <c r="CC3" s="559"/>
      <c r="CD3" s="559"/>
      <c r="CE3" s="559"/>
      <c r="CF3" s="559"/>
      <c r="CG3" s="559"/>
      <c r="CH3" s="559"/>
      <c r="CI3" s="559"/>
      <c r="CJ3" s="559"/>
      <c r="CK3" s="559"/>
      <c r="CL3" s="559"/>
      <c r="CM3" s="559"/>
      <c r="CN3" s="559"/>
      <c r="CO3" s="559"/>
      <c r="CP3" s="559"/>
      <c r="CQ3" s="559"/>
      <c r="CR3" s="559"/>
      <c r="CS3" s="559"/>
      <c r="CT3" s="559"/>
      <c r="CU3" s="559"/>
      <c r="CV3" s="559"/>
      <c r="CW3" s="559"/>
      <c r="CX3" s="559"/>
      <c r="CY3" s="559"/>
      <c r="CZ3" s="559"/>
      <c r="DA3" s="559"/>
      <c r="DB3" s="559"/>
      <c r="DC3" s="559"/>
      <c r="DD3" s="559"/>
      <c r="DE3" s="559"/>
      <c r="DF3" s="559"/>
      <c r="DG3" s="559"/>
      <c r="DH3" s="559"/>
      <c r="DI3" s="559"/>
      <c r="DJ3" s="559"/>
      <c r="DK3" s="559"/>
      <c r="DL3" s="559"/>
      <c r="DM3" s="559"/>
      <c r="DN3" s="559"/>
      <c r="DO3" s="559"/>
      <c r="DP3" s="559"/>
      <c r="DQ3" s="559"/>
      <c r="DR3" s="559"/>
      <c r="DS3" s="559"/>
      <c r="DT3" s="559"/>
      <c r="DU3" s="559"/>
      <c r="DV3" s="559"/>
      <c r="DW3" s="559"/>
      <c r="DX3" s="559"/>
      <c r="DY3" s="559"/>
      <c r="DZ3" s="559"/>
      <c r="EA3" s="559"/>
      <c r="EB3" s="559"/>
      <c r="EC3" s="559"/>
      <c r="ED3" s="559"/>
      <c r="EE3" s="559"/>
      <c r="EF3" s="559"/>
      <c r="EG3" s="559"/>
      <c r="EH3" s="559"/>
      <c r="EI3" s="559"/>
      <c r="EJ3" s="559"/>
      <c r="EK3" s="559"/>
      <c r="EL3" s="559"/>
      <c r="EM3" s="559"/>
      <c r="EN3" s="559"/>
      <c r="EO3" s="559"/>
      <c r="EP3" s="559"/>
      <c r="EQ3" s="559"/>
      <c r="ER3" s="559"/>
      <c r="ES3" s="559"/>
      <c r="ET3" s="559"/>
      <c r="EU3" s="559"/>
      <c r="EV3" s="559"/>
      <c r="EW3" s="559"/>
      <c r="EX3" s="559"/>
      <c r="EY3" s="559"/>
      <c r="EZ3" s="559"/>
      <c r="FA3" s="559"/>
      <c r="FB3" s="559"/>
      <c r="FC3" s="559"/>
      <c r="FD3" s="559"/>
      <c r="FE3" s="559"/>
      <c r="FF3" s="559"/>
      <c r="FG3" s="559"/>
      <c r="FH3" s="559"/>
      <c r="FI3" s="559"/>
      <c r="FJ3" s="559"/>
      <c r="FK3" s="559"/>
      <c r="FL3" s="559"/>
      <c r="FM3" s="559"/>
      <c r="FN3" s="559"/>
      <c r="FO3" s="559"/>
      <c r="FP3" s="559"/>
      <c r="FQ3" s="559"/>
      <c r="FR3" s="559"/>
      <c r="FS3" s="559"/>
      <c r="FT3" s="559"/>
    </row>
    <row r="4" spans="1:176" x14ac:dyDescent="0.25">
      <c r="A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59"/>
      <c r="BF4" s="559"/>
      <c r="BG4" s="559"/>
      <c r="BH4" s="559"/>
      <c r="BI4" s="559"/>
      <c r="BJ4" s="559"/>
      <c r="BK4" s="559"/>
      <c r="BL4" s="559"/>
      <c r="BM4" s="559"/>
      <c r="BN4" s="559"/>
      <c r="BO4" s="559"/>
      <c r="BP4" s="559"/>
      <c r="BQ4" s="559"/>
      <c r="BR4" s="559"/>
      <c r="BS4" s="559"/>
      <c r="BT4" s="559"/>
      <c r="BU4" s="559"/>
      <c r="BV4" s="559"/>
      <c r="BW4" s="559"/>
      <c r="BX4" s="559"/>
      <c r="BY4" s="559"/>
      <c r="BZ4" s="559"/>
      <c r="CA4" s="559"/>
      <c r="CB4" s="559"/>
      <c r="CC4" s="559"/>
      <c r="CD4" s="559"/>
      <c r="CE4" s="559"/>
      <c r="CF4" s="559"/>
      <c r="CG4" s="559"/>
      <c r="CH4" s="559"/>
      <c r="CI4" s="559"/>
      <c r="CJ4" s="559"/>
      <c r="CK4" s="559"/>
      <c r="CL4" s="559"/>
      <c r="CM4" s="559"/>
      <c r="CN4" s="559"/>
      <c r="CO4" s="559"/>
      <c r="CP4" s="559"/>
      <c r="CQ4" s="559"/>
      <c r="CR4" s="559"/>
      <c r="CS4" s="559"/>
      <c r="CT4" s="559"/>
      <c r="CU4" s="559"/>
      <c r="CV4" s="559"/>
      <c r="CW4" s="559"/>
      <c r="CX4" s="559"/>
      <c r="CY4" s="559"/>
      <c r="CZ4" s="559"/>
      <c r="DA4" s="559"/>
      <c r="DB4" s="559"/>
      <c r="DC4" s="559"/>
      <c r="DD4" s="559"/>
      <c r="DE4" s="559"/>
      <c r="DF4" s="559"/>
      <c r="DG4" s="559"/>
      <c r="DH4" s="559"/>
      <c r="DI4" s="559"/>
      <c r="DJ4" s="559"/>
      <c r="DK4" s="559"/>
      <c r="DL4" s="559"/>
      <c r="DM4" s="559"/>
      <c r="DN4" s="559"/>
      <c r="DO4" s="559"/>
      <c r="DP4" s="559"/>
      <c r="DQ4" s="559"/>
      <c r="DR4" s="559"/>
      <c r="DS4" s="559"/>
      <c r="DT4" s="559"/>
      <c r="DU4" s="559"/>
      <c r="DV4" s="559"/>
      <c r="DW4" s="559"/>
      <c r="DX4" s="559"/>
      <c r="DY4" s="559"/>
      <c r="DZ4" s="559"/>
      <c r="EA4" s="559"/>
      <c r="EB4" s="559"/>
      <c r="EC4" s="559"/>
      <c r="ED4" s="559"/>
      <c r="EE4" s="559"/>
      <c r="EF4" s="559"/>
      <c r="EG4" s="559"/>
      <c r="EH4" s="559"/>
      <c r="EI4" s="559"/>
      <c r="EJ4" s="559"/>
      <c r="EK4" s="559"/>
      <c r="EL4" s="559"/>
      <c r="EM4" s="559"/>
      <c r="EN4" s="559"/>
      <c r="EO4" s="559"/>
      <c r="EP4" s="559"/>
      <c r="EQ4" s="559"/>
      <c r="ER4" s="559"/>
      <c r="ES4" s="559"/>
      <c r="ET4" s="559"/>
      <c r="EU4" s="559"/>
      <c r="EV4" s="559"/>
      <c r="EW4" s="559"/>
      <c r="EX4" s="559"/>
      <c r="EY4" s="559"/>
      <c r="EZ4" s="559"/>
      <c r="FA4" s="559"/>
      <c r="FB4" s="559"/>
      <c r="FC4" s="559"/>
      <c r="FD4" s="559"/>
      <c r="FE4" s="559"/>
      <c r="FF4" s="559"/>
      <c r="FG4" s="559"/>
      <c r="FH4" s="559"/>
      <c r="FI4" s="559"/>
      <c r="FJ4" s="559"/>
      <c r="FK4" s="559"/>
      <c r="FL4" s="559"/>
      <c r="FM4" s="559"/>
      <c r="FN4" s="559"/>
      <c r="FO4" s="559"/>
      <c r="FP4" s="559"/>
      <c r="FQ4" s="559"/>
      <c r="FR4" s="559"/>
      <c r="FS4" s="559"/>
      <c r="FT4" s="559"/>
    </row>
    <row r="5" spans="1:176" x14ac:dyDescent="0.25">
      <c r="A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59"/>
      <c r="CC5" s="559"/>
      <c r="CD5" s="559"/>
      <c r="CE5" s="559"/>
      <c r="CF5" s="559"/>
      <c r="CG5" s="559"/>
      <c r="CH5" s="559"/>
      <c r="CI5" s="559"/>
      <c r="CJ5" s="559"/>
      <c r="CK5" s="559"/>
      <c r="CL5" s="559"/>
      <c r="CM5" s="559"/>
      <c r="CN5" s="559"/>
      <c r="CO5" s="559"/>
      <c r="CP5" s="559"/>
      <c r="CQ5" s="559"/>
      <c r="CR5" s="559"/>
      <c r="CS5" s="559"/>
      <c r="CT5" s="559"/>
      <c r="CU5" s="559"/>
      <c r="CV5" s="559"/>
      <c r="CW5" s="559"/>
      <c r="CX5" s="559"/>
      <c r="CY5" s="559"/>
      <c r="CZ5" s="559"/>
      <c r="DA5" s="559"/>
      <c r="DB5" s="559"/>
      <c r="DC5" s="559"/>
      <c r="DD5" s="559"/>
      <c r="DE5" s="559"/>
      <c r="DF5" s="559"/>
      <c r="DG5" s="559"/>
      <c r="DH5" s="559"/>
      <c r="DI5" s="559"/>
      <c r="DJ5" s="559"/>
      <c r="DK5" s="559"/>
      <c r="DL5" s="559"/>
      <c r="DM5" s="559"/>
      <c r="DN5" s="559"/>
      <c r="DO5" s="559"/>
      <c r="DP5" s="559"/>
      <c r="DQ5" s="559"/>
      <c r="DR5" s="559"/>
      <c r="DS5" s="559"/>
      <c r="DT5" s="559"/>
      <c r="DU5" s="559"/>
      <c r="DV5" s="559"/>
      <c r="DW5" s="559"/>
      <c r="DX5" s="559"/>
      <c r="DY5" s="559"/>
      <c r="DZ5" s="559"/>
      <c r="EA5" s="559"/>
      <c r="EB5" s="559"/>
      <c r="EC5" s="559"/>
      <c r="ED5" s="559"/>
      <c r="EE5" s="559"/>
      <c r="EF5" s="559"/>
      <c r="EG5" s="559"/>
      <c r="EH5" s="559"/>
      <c r="EI5" s="559"/>
      <c r="EJ5" s="559"/>
      <c r="EK5" s="559"/>
      <c r="EL5" s="559"/>
      <c r="EM5" s="559"/>
      <c r="EN5" s="559"/>
      <c r="EO5" s="559"/>
      <c r="EP5" s="559"/>
      <c r="EQ5" s="559"/>
      <c r="ER5" s="559"/>
      <c r="ES5" s="559"/>
      <c r="ET5" s="559"/>
      <c r="EU5" s="559"/>
      <c r="EV5" s="559"/>
      <c r="EW5" s="559"/>
      <c r="EX5" s="559"/>
      <c r="EY5" s="559"/>
      <c r="EZ5" s="559"/>
      <c r="FA5" s="559"/>
      <c r="FB5" s="559"/>
      <c r="FC5" s="559"/>
      <c r="FD5" s="559"/>
      <c r="FE5" s="559"/>
      <c r="FF5" s="559"/>
      <c r="FG5" s="559"/>
      <c r="FH5" s="559"/>
      <c r="FI5" s="559"/>
      <c r="FJ5" s="559"/>
      <c r="FK5" s="559"/>
      <c r="FL5" s="559"/>
      <c r="FM5" s="559"/>
      <c r="FN5" s="559"/>
      <c r="FO5" s="559"/>
      <c r="FP5" s="559"/>
      <c r="FQ5" s="559"/>
      <c r="FR5" s="559"/>
      <c r="FS5" s="559"/>
      <c r="FT5" s="559"/>
    </row>
    <row r="6" spans="1:176" x14ac:dyDescent="0.25">
      <c r="A6" s="559"/>
      <c r="I6" s="559"/>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c r="CQ6" s="559"/>
      <c r="CR6" s="559"/>
      <c r="CS6" s="559"/>
      <c r="CT6" s="559"/>
      <c r="CU6" s="559"/>
      <c r="CV6" s="559"/>
      <c r="CW6" s="559"/>
      <c r="CX6" s="559"/>
      <c r="CY6" s="559"/>
      <c r="CZ6" s="559"/>
      <c r="DA6" s="559"/>
      <c r="DB6" s="559"/>
      <c r="DC6" s="559"/>
      <c r="DD6" s="559"/>
      <c r="DE6" s="559"/>
      <c r="DF6" s="559"/>
      <c r="DG6" s="559"/>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c r="EQ6" s="559"/>
      <c r="ER6" s="559"/>
      <c r="ES6" s="559"/>
      <c r="ET6" s="559"/>
      <c r="EU6" s="559"/>
      <c r="EV6" s="559"/>
      <c r="EW6" s="559"/>
      <c r="EX6" s="559"/>
      <c r="EY6" s="559"/>
      <c r="EZ6" s="559"/>
      <c r="FA6" s="559"/>
      <c r="FB6" s="559"/>
      <c r="FC6" s="559"/>
      <c r="FD6" s="559"/>
      <c r="FE6" s="559"/>
      <c r="FF6" s="559"/>
      <c r="FG6" s="559"/>
      <c r="FH6" s="559"/>
      <c r="FI6" s="559"/>
      <c r="FJ6" s="559"/>
      <c r="FK6" s="559"/>
      <c r="FL6" s="559"/>
      <c r="FM6" s="559"/>
      <c r="FN6" s="559"/>
      <c r="FO6" s="559"/>
      <c r="FP6" s="559"/>
      <c r="FQ6" s="559"/>
      <c r="FR6" s="559"/>
      <c r="FS6" s="559"/>
      <c r="FT6" s="559"/>
    </row>
    <row r="7" spans="1:176" x14ac:dyDescent="0.25">
      <c r="A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row>
    <row r="8" spans="1:176" x14ac:dyDescent="0.25">
      <c r="A8" s="559"/>
      <c r="I8" s="559"/>
      <c r="J8" s="559"/>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9"/>
      <c r="BQ8" s="559"/>
      <c r="BR8" s="559"/>
      <c r="BS8" s="559"/>
      <c r="BT8" s="559"/>
      <c r="BU8" s="559"/>
      <c r="BV8" s="559"/>
      <c r="BW8" s="559"/>
      <c r="BX8" s="559"/>
      <c r="BY8" s="559"/>
      <c r="BZ8" s="559"/>
      <c r="CA8" s="559"/>
      <c r="CB8" s="559"/>
      <c r="CC8" s="559"/>
      <c r="CD8" s="559"/>
      <c r="CE8" s="559"/>
      <c r="CF8" s="559"/>
      <c r="CG8" s="559"/>
      <c r="CH8" s="559"/>
      <c r="CI8" s="559"/>
      <c r="CJ8" s="559"/>
      <c r="CK8" s="559"/>
      <c r="CL8" s="559"/>
      <c r="CM8" s="559"/>
      <c r="CN8" s="559"/>
      <c r="CO8" s="559"/>
      <c r="CP8" s="559"/>
      <c r="CQ8" s="559"/>
      <c r="CR8" s="559"/>
      <c r="CS8" s="559"/>
      <c r="CT8" s="559"/>
      <c r="CU8" s="559"/>
      <c r="CV8" s="559"/>
      <c r="CW8" s="559"/>
      <c r="CX8" s="559"/>
      <c r="CY8" s="559"/>
      <c r="CZ8" s="559"/>
      <c r="DA8" s="559"/>
      <c r="DB8" s="559"/>
      <c r="DC8" s="559"/>
      <c r="DD8" s="559"/>
      <c r="DE8" s="559"/>
      <c r="DF8" s="559"/>
      <c r="DG8" s="559"/>
      <c r="DH8" s="559"/>
      <c r="DI8" s="559"/>
      <c r="DJ8" s="559"/>
      <c r="DK8" s="559"/>
      <c r="DL8" s="559"/>
      <c r="DM8" s="559"/>
      <c r="DN8" s="559"/>
      <c r="DO8" s="559"/>
      <c r="DP8" s="559"/>
      <c r="DQ8" s="559"/>
      <c r="DR8" s="559"/>
      <c r="DS8" s="559"/>
      <c r="DT8" s="559"/>
      <c r="DU8" s="559"/>
      <c r="DV8" s="559"/>
      <c r="DW8" s="559"/>
      <c r="DX8" s="559"/>
      <c r="DY8" s="559"/>
      <c r="DZ8" s="559"/>
      <c r="EA8" s="559"/>
      <c r="EB8" s="559"/>
      <c r="EC8" s="559"/>
      <c r="ED8" s="559"/>
      <c r="EE8" s="559"/>
      <c r="EF8" s="559"/>
      <c r="EG8" s="559"/>
      <c r="EH8" s="559"/>
      <c r="EI8" s="559"/>
      <c r="EJ8" s="559"/>
      <c r="EK8" s="559"/>
      <c r="EL8" s="559"/>
      <c r="EM8" s="559"/>
      <c r="EN8" s="559"/>
      <c r="EO8" s="559"/>
      <c r="EP8" s="559"/>
      <c r="EQ8" s="559"/>
      <c r="ER8" s="559"/>
      <c r="ES8" s="559"/>
      <c r="ET8" s="559"/>
      <c r="EU8" s="559"/>
      <c r="EV8" s="559"/>
      <c r="EW8" s="559"/>
      <c r="EX8" s="559"/>
      <c r="EY8" s="559"/>
      <c r="EZ8" s="559"/>
      <c r="FA8" s="559"/>
      <c r="FB8" s="559"/>
      <c r="FC8" s="559"/>
      <c r="FD8" s="559"/>
      <c r="FE8" s="559"/>
      <c r="FF8" s="559"/>
      <c r="FG8" s="559"/>
      <c r="FH8" s="559"/>
      <c r="FI8" s="559"/>
      <c r="FJ8" s="559"/>
      <c r="FK8" s="559"/>
      <c r="FL8" s="559"/>
      <c r="FM8" s="559"/>
      <c r="FN8" s="559"/>
      <c r="FO8" s="559"/>
      <c r="FP8" s="559"/>
      <c r="FQ8" s="559"/>
      <c r="FR8" s="559"/>
      <c r="FS8" s="559"/>
      <c r="FT8" s="559"/>
    </row>
    <row r="9" spans="1:176" ht="20.100000000000001" customHeight="1" x14ac:dyDescent="0.25">
      <c r="A9" s="559"/>
      <c r="B9" s="670" t="s">
        <v>1049</v>
      </c>
      <c r="C9" s="66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59"/>
      <c r="CC9" s="559"/>
      <c r="CD9" s="559"/>
      <c r="CE9" s="559"/>
      <c r="CF9" s="559"/>
      <c r="CG9" s="559"/>
      <c r="CH9" s="559"/>
      <c r="CI9" s="559"/>
      <c r="CJ9" s="559"/>
      <c r="CK9" s="559"/>
      <c r="CL9" s="559"/>
      <c r="CM9" s="559"/>
      <c r="CN9" s="559"/>
      <c r="CO9" s="559"/>
      <c r="CP9" s="559"/>
      <c r="CQ9" s="559"/>
      <c r="CR9" s="559"/>
      <c r="CS9" s="559"/>
      <c r="CT9" s="559"/>
      <c r="CU9" s="559"/>
      <c r="CV9" s="559"/>
      <c r="CW9" s="559"/>
      <c r="CX9" s="559"/>
      <c r="CY9" s="559"/>
      <c r="CZ9" s="559"/>
      <c r="DA9" s="559"/>
      <c r="DB9" s="559"/>
      <c r="DC9" s="559"/>
      <c r="DD9" s="559"/>
      <c r="DE9" s="559"/>
      <c r="DF9" s="559"/>
      <c r="DG9" s="559"/>
      <c r="DH9" s="559"/>
      <c r="DI9" s="559"/>
      <c r="DJ9" s="559"/>
      <c r="DK9" s="559"/>
      <c r="DL9" s="559"/>
      <c r="DM9" s="559"/>
      <c r="DN9" s="559"/>
      <c r="DO9" s="559"/>
      <c r="DP9" s="559"/>
      <c r="DQ9" s="559"/>
      <c r="DR9" s="559"/>
      <c r="DS9" s="559"/>
      <c r="DT9" s="559"/>
      <c r="DU9" s="559"/>
      <c r="DV9" s="559"/>
      <c r="DW9" s="559"/>
      <c r="DX9" s="559"/>
      <c r="DY9" s="559"/>
      <c r="DZ9" s="559"/>
      <c r="EA9" s="559"/>
      <c r="EB9" s="559"/>
      <c r="EC9" s="559"/>
      <c r="ED9" s="559"/>
      <c r="EE9" s="559"/>
      <c r="EF9" s="559"/>
      <c r="EG9" s="559"/>
      <c r="EH9" s="559"/>
      <c r="EI9" s="559"/>
      <c r="EJ9" s="559"/>
      <c r="EK9" s="559"/>
      <c r="EL9" s="559"/>
      <c r="EM9" s="559"/>
      <c r="EN9" s="559"/>
      <c r="EO9" s="559"/>
      <c r="EP9" s="559"/>
      <c r="EQ9" s="559"/>
      <c r="ER9" s="559"/>
      <c r="ES9" s="559"/>
      <c r="ET9" s="559"/>
      <c r="EU9" s="559"/>
      <c r="EV9" s="559"/>
      <c r="EW9" s="559"/>
      <c r="EX9" s="559"/>
      <c r="EY9" s="559"/>
      <c r="EZ9" s="559"/>
      <c r="FA9" s="559"/>
      <c r="FB9" s="559"/>
      <c r="FC9" s="559"/>
      <c r="FD9" s="559"/>
      <c r="FE9" s="559"/>
      <c r="FF9" s="559"/>
      <c r="FG9" s="559"/>
      <c r="FH9" s="559"/>
      <c r="FI9" s="559"/>
      <c r="FJ9" s="559"/>
      <c r="FK9" s="559"/>
      <c r="FL9" s="559"/>
      <c r="FM9" s="559"/>
      <c r="FN9" s="559"/>
      <c r="FO9" s="559"/>
      <c r="FP9" s="559"/>
      <c r="FQ9" s="559"/>
      <c r="FR9" s="559"/>
      <c r="FS9" s="559"/>
      <c r="FT9" s="559"/>
    </row>
    <row r="10" spans="1:176" ht="20.100000000000001" customHeight="1" x14ac:dyDescent="0.25">
      <c r="A10" s="559"/>
      <c r="B10" s="203" t="s">
        <v>744</v>
      </c>
      <c r="C10" s="171">
        <f>'Baseline farm'!D17</f>
        <v>0</v>
      </c>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59"/>
      <c r="CC10" s="559"/>
      <c r="CD10" s="559"/>
      <c r="CE10" s="559"/>
      <c r="CF10" s="559"/>
      <c r="CG10" s="559"/>
      <c r="CH10" s="559"/>
      <c r="CI10" s="559"/>
      <c r="CJ10" s="559"/>
      <c r="CK10" s="559"/>
      <c r="CL10" s="559"/>
      <c r="CM10" s="559"/>
      <c r="CN10" s="559"/>
      <c r="CO10" s="559"/>
      <c r="CP10" s="559"/>
      <c r="CQ10" s="559"/>
      <c r="CR10" s="559"/>
      <c r="CS10" s="559"/>
      <c r="CT10" s="559"/>
      <c r="CU10" s="559"/>
      <c r="CV10" s="559"/>
      <c r="CW10" s="559"/>
      <c r="CX10" s="559"/>
      <c r="CY10" s="559"/>
      <c r="CZ10" s="559"/>
      <c r="DA10" s="559"/>
      <c r="DB10" s="559"/>
      <c r="DC10" s="559"/>
      <c r="DD10" s="559"/>
      <c r="DE10" s="559"/>
      <c r="DF10" s="559"/>
      <c r="DG10" s="559"/>
      <c r="DH10" s="559"/>
      <c r="DI10" s="559"/>
      <c r="DJ10" s="559"/>
      <c r="DK10" s="559"/>
      <c r="DL10" s="559"/>
      <c r="DM10" s="559"/>
      <c r="DN10" s="559"/>
      <c r="DO10" s="559"/>
      <c r="DP10" s="559"/>
      <c r="DQ10" s="559"/>
      <c r="DR10" s="559"/>
      <c r="DS10" s="559"/>
      <c r="DT10" s="559"/>
      <c r="DU10" s="559"/>
      <c r="DV10" s="559"/>
      <c r="DW10" s="559"/>
      <c r="DX10" s="559"/>
      <c r="DY10" s="559"/>
      <c r="DZ10" s="559"/>
      <c r="EA10" s="559"/>
      <c r="EB10" s="559"/>
      <c r="EC10" s="559"/>
      <c r="ED10" s="559"/>
      <c r="EE10" s="559"/>
      <c r="EF10" s="559"/>
      <c r="EG10" s="559"/>
      <c r="EH10" s="559"/>
      <c r="EI10" s="559"/>
      <c r="EJ10" s="559"/>
      <c r="EK10" s="559"/>
      <c r="EL10" s="559"/>
      <c r="EM10" s="559"/>
      <c r="EN10" s="559"/>
      <c r="EO10" s="559"/>
      <c r="EP10" s="559"/>
      <c r="EQ10" s="559"/>
      <c r="ER10" s="559"/>
      <c r="ES10" s="559"/>
      <c r="ET10" s="559"/>
      <c r="EU10" s="559"/>
      <c r="EV10" s="559"/>
      <c r="EW10" s="559"/>
      <c r="EX10" s="559"/>
      <c r="EY10" s="559"/>
      <c r="EZ10" s="559"/>
      <c r="FA10" s="559"/>
      <c r="FB10" s="559"/>
      <c r="FC10" s="559"/>
      <c r="FD10" s="559"/>
      <c r="FE10" s="559"/>
      <c r="FF10" s="559"/>
      <c r="FG10" s="559"/>
      <c r="FH10" s="559"/>
      <c r="FI10" s="559"/>
      <c r="FJ10" s="559"/>
      <c r="FK10" s="559"/>
      <c r="FL10" s="559"/>
      <c r="FM10" s="559"/>
      <c r="FN10" s="559"/>
      <c r="FO10" s="559"/>
      <c r="FP10" s="559"/>
      <c r="FQ10" s="559"/>
      <c r="FR10" s="559"/>
      <c r="FS10" s="559"/>
      <c r="FT10" s="559"/>
    </row>
    <row r="11" spans="1:176" ht="20.100000000000001" hidden="1" customHeight="1" x14ac:dyDescent="0.25">
      <c r="A11" s="559"/>
      <c r="B11" s="203" t="s">
        <v>15</v>
      </c>
      <c r="C11" s="8">
        <v>0</v>
      </c>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c r="CH11" s="559"/>
      <c r="CI11" s="559"/>
      <c r="CJ11" s="559"/>
      <c r="CK11" s="559"/>
      <c r="CL11" s="559"/>
      <c r="CM11" s="559"/>
      <c r="CN11" s="559"/>
      <c r="CO11" s="559"/>
      <c r="CP11" s="559"/>
      <c r="CQ11" s="559"/>
      <c r="CR11" s="559"/>
      <c r="CS11" s="559"/>
      <c r="CT11" s="559"/>
      <c r="CU11" s="559"/>
      <c r="CV11" s="559"/>
      <c r="CW11" s="559"/>
      <c r="CX11" s="559"/>
      <c r="CY11" s="559"/>
      <c r="CZ11" s="559"/>
      <c r="DA11" s="559"/>
      <c r="DB11" s="559"/>
      <c r="DC11" s="559"/>
      <c r="DD11" s="559"/>
      <c r="DE11" s="559"/>
      <c r="DF11" s="559"/>
      <c r="DG11" s="559"/>
      <c r="DH11" s="559"/>
      <c r="DI11" s="559"/>
      <c r="DJ11" s="559"/>
      <c r="DK11" s="559"/>
      <c r="DL11" s="559"/>
      <c r="DM11" s="559"/>
      <c r="DN11" s="559"/>
      <c r="DO11" s="559"/>
      <c r="DP11" s="559"/>
      <c r="DQ11" s="559"/>
      <c r="DR11" s="559"/>
      <c r="DS11" s="559"/>
      <c r="DT11" s="559"/>
      <c r="DU11" s="559"/>
      <c r="DV11" s="559"/>
      <c r="DW11" s="559"/>
      <c r="DX11" s="559"/>
      <c r="DY11" s="559"/>
      <c r="DZ11" s="559"/>
      <c r="EA11" s="559"/>
      <c r="EB11" s="559"/>
      <c r="EC11" s="559"/>
      <c r="ED11" s="559"/>
      <c r="EE11" s="559"/>
      <c r="EF11" s="559"/>
      <c r="EG11" s="559"/>
      <c r="EH11" s="559"/>
      <c r="EI11" s="559"/>
      <c r="EJ11" s="559"/>
      <c r="EK11" s="559"/>
      <c r="EL11" s="559"/>
      <c r="EM11" s="559"/>
      <c r="EN11" s="559"/>
      <c r="EO11" s="559"/>
      <c r="EP11" s="559"/>
      <c r="EQ11" s="559"/>
      <c r="ER11" s="559"/>
      <c r="ES11" s="559"/>
      <c r="ET11" s="559"/>
      <c r="EU11" s="559"/>
      <c r="EV11" s="559"/>
      <c r="EW11" s="559"/>
      <c r="EX11" s="559"/>
      <c r="EY11" s="559"/>
      <c r="EZ11" s="559"/>
      <c r="FA11" s="559"/>
      <c r="FB11" s="559"/>
      <c r="FC11" s="559"/>
      <c r="FD11" s="559"/>
      <c r="FE11" s="559"/>
      <c r="FF11" s="559"/>
      <c r="FG11" s="559"/>
      <c r="FH11" s="559"/>
      <c r="FI11" s="559"/>
      <c r="FJ11" s="559"/>
      <c r="FK11" s="559"/>
      <c r="FL11" s="559"/>
      <c r="FM11" s="559"/>
      <c r="FN11" s="559"/>
      <c r="FO11" s="559"/>
      <c r="FP11" s="559"/>
      <c r="FQ11" s="559"/>
      <c r="FR11" s="559"/>
      <c r="FS11" s="559"/>
      <c r="FT11" s="559"/>
    </row>
    <row r="12" spans="1:176" ht="20.100000000000001" customHeight="1" x14ac:dyDescent="0.25">
      <c r="A12" s="559"/>
      <c r="B12" s="203" t="s">
        <v>496</v>
      </c>
      <c r="C12" s="8" t="e">
        <f>'Baseline farm'!H28</f>
        <v>#DIV/0!</v>
      </c>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c r="CQ12" s="559"/>
      <c r="CR12" s="559"/>
      <c r="CS12" s="559"/>
      <c r="CT12" s="559"/>
      <c r="CU12" s="559"/>
      <c r="CV12" s="559"/>
      <c r="CW12" s="559"/>
      <c r="CX12" s="559"/>
      <c r="CY12" s="559"/>
      <c r="CZ12" s="559"/>
      <c r="DA12" s="559"/>
      <c r="DB12" s="559"/>
      <c r="DC12" s="559"/>
      <c r="DD12" s="559"/>
      <c r="DE12" s="559"/>
      <c r="DF12" s="559"/>
      <c r="DG12" s="559"/>
      <c r="DH12" s="559"/>
      <c r="DI12" s="559"/>
      <c r="DJ12" s="559"/>
      <c r="DK12" s="559"/>
      <c r="DL12" s="559"/>
      <c r="DM12" s="559"/>
      <c r="DN12" s="559"/>
      <c r="DO12" s="559"/>
      <c r="DP12" s="559"/>
      <c r="DQ12" s="559"/>
      <c r="DR12" s="559"/>
      <c r="DS12" s="559"/>
      <c r="DT12" s="559"/>
      <c r="DU12" s="559"/>
      <c r="DV12" s="559"/>
      <c r="DW12" s="559"/>
      <c r="DX12" s="559"/>
      <c r="DY12" s="559"/>
      <c r="DZ12" s="559"/>
      <c r="EA12" s="559"/>
      <c r="EB12" s="559"/>
      <c r="EC12" s="559"/>
      <c r="ED12" s="559"/>
      <c r="EE12" s="559"/>
      <c r="EF12" s="559"/>
      <c r="EG12" s="559"/>
      <c r="EH12" s="559"/>
      <c r="EI12" s="559"/>
      <c r="EJ12" s="559"/>
      <c r="EK12" s="559"/>
      <c r="EL12" s="559"/>
      <c r="EM12" s="559"/>
      <c r="EN12" s="559"/>
      <c r="EO12" s="559"/>
      <c r="EP12" s="559"/>
      <c r="EQ12" s="559"/>
      <c r="ER12" s="559"/>
      <c r="ES12" s="559"/>
      <c r="ET12" s="559"/>
      <c r="EU12" s="559"/>
      <c r="EV12" s="559"/>
      <c r="EW12" s="559"/>
      <c r="EX12" s="559"/>
      <c r="EY12" s="559"/>
      <c r="EZ12" s="559"/>
      <c r="FA12" s="559"/>
      <c r="FB12" s="559"/>
      <c r="FC12" s="559"/>
      <c r="FD12" s="559"/>
      <c r="FE12" s="559"/>
      <c r="FF12" s="559"/>
      <c r="FG12" s="559"/>
      <c r="FH12" s="559"/>
      <c r="FI12" s="559"/>
      <c r="FJ12" s="559"/>
      <c r="FK12" s="559"/>
      <c r="FL12" s="559"/>
      <c r="FM12" s="559"/>
      <c r="FN12" s="559"/>
      <c r="FO12" s="559"/>
      <c r="FP12" s="559"/>
      <c r="FQ12" s="559"/>
      <c r="FR12" s="559"/>
      <c r="FS12" s="559"/>
      <c r="FT12" s="559"/>
    </row>
    <row r="13" spans="1:176" ht="20.100000000000001" customHeight="1" x14ac:dyDescent="0.25">
      <c r="A13" s="559"/>
      <c r="B13" s="203" t="s">
        <v>804</v>
      </c>
      <c r="C13" s="7">
        <f>'Baseline farm'!D28</f>
        <v>0</v>
      </c>
      <c r="I13" s="559"/>
      <c r="J13" s="559"/>
      <c r="K13" s="559"/>
      <c r="L13" s="559"/>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c r="CB13" s="559"/>
      <c r="CC13" s="559"/>
      <c r="CD13" s="559"/>
      <c r="CE13" s="559"/>
      <c r="CF13" s="559"/>
      <c r="CG13" s="559"/>
      <c r="CH13" s="559"/>
      <c r="CI13" s="559"/>
      <c r="CJ13" s="559"/>
      <c r="CK13" s="559"/>
      <c r="CL13" s="559"/>
      <c r="CM13" s="559"/>
      <c r="CN13" s="559"/>
      <c r="CO13" s="559"/>
      <c r="CP13" s="559"/>
      <c r="CQ13" s="559"/>
      <c r="CR13" s="559"/>
      <c r="CS13" s="559"/>
      <c r="CT13" s="559"/>
      <c r="CU13" s="559"/>
      <c r="CV13" s="559"/>
      <c r="CW13" s="559"/>
      <c r="CX13" s="559"/>
      <c r="CY13" s="559"/>
      <c r="CZ13" s="559"/>
      <c r="DA13" s="559"/>
      <c r="DB13" s="559"/>
      <c r="DC13" s="559"/>
      <c r="DD13" s="559"/>
      <c r="DE13" s="559"/>
      <c r="DF13" s="559"/>
      <c r="DG13" s="559"/>
      <c r="DH13" s="559"/>
      <c r="DI13" s="559"/>
      <c r="DJ13" s="559"/>
      <c r="DK13" s="559"/>
      <c r="DL13" s="559"/>
      <c r="DM13" s="559"/>
      <c r="DN13" s="559"/>
      <c r="DO13" s="559"/>
      <c r="DP13" s="559"/>
      <c r="DQ13" s="559"/>
      <c r="DR13" s="559"/>
      <c r="DS13" s="559"/>
      <c r="DT13" s="559"/>
      <c r="DU13" s="559"/>
      <c r="DV13" s="559"/>
      <c r="DW13" s="559"/>
      <c r="DX13" s="559"/>
      <c r="DY13" s="559"/>
      <c r="DZ13" s="559"/>
      <c r="EA13" s="559"/>
      <c r="EB13" s="559"/>
      <c r="EC13" s="559"/>
      <c r="ED13" s="559"/>
      <c r="EE13" s="559"/>
      <c r="EF13" s="559"/>
      <c r="EG13" s="559"/>
      <c r="EH13" s="559"/>
      <c r="EI13" s="559"/>
      <c r="EJ13" s="559"/>
      <c r="EK13" s="559"/>
      <c r="EL13" s="559"/>
      <c r="EM13" s="559"/>
      <c r="EN13" s="559"/>
      <c r="EO13" s="559"/>
      <c r="EP13" s="559"/>
      <c r="EQ13" s="559"/>
      <c r="ER13" s="559"/>
      <c r="ES13" s="559"/>
      <c r="ET13" s="559"/>
      <c r="EU13" s="559"/>
      <c r="EV13" s="559"/>
      <c r="EW13" s="559"/>
      <c r="EX13" s="559"/>
      <c r="EY13" s="559"/>
      <c r="EZ13" s="559"/>
      <c r="FA13" s="559"/>
      <c r="FB13" s="559"/>
      <c r="FC13" s="559"/>
      <c r="FD13" s="559"/>
      <c r="FE13" s="559"/>
      <c r="FF13" s="559"/>
      <c r="FG13" s="559"/>
      <c r="FH13" s="559"/>
      <c r="FI13" s="559"/>
      <c r="FJ13" s="559"/>
      <c r="FK13" s="559"/>
      <c r="FL13" s="559"/>
      <c r="FM13" s="559"/>
      <c r="FN13" s="559"/>
      <c r="FO13" s="559"/>
      <c r="FP13" s="559"/>
      <c r="FQ13" s="559"/>
      <c r="FR13" s="559"/>
      <c r="FS13" s="559"/>
      <c r="FT13" s="559"/>
    </row>
    <row r="14" spans="1:176" ht="20.100000000000001" customHeight="1" x14ac:dyDescent="0.25">
      <c r="A14" s="559"/>
      <c r="B14" s="316" t="s">
        <v>82</v>
      </c>
      <c r="C14" s="317">
        <f>'Baseline farm'!D321*1000</f>
        <v>0</v>
      </c>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c r="CB14" s="559"/>
      <c r="CC14" s="559"/>
      <c r="CD14" s="559"/>
      <c r="CE14" s="559"/>
      <c r="CF14" s="559"/>
      <c r="CG14" s="559"/>
      <c r="CH14" s="559"/>
      <c r="CI14" s="559"/>
      <c r="CJ14" s="559"/>
      <c r="CK14" s="559"/>
      <c r="CL14" s="559"/>
      <c r="CM14" s="559"/>
      <c r="CN14" s="559"/>
      <c r="CO14" s="559"/>
      <c r="CP14" s="559"/>
      <c r="CQ14" s="559"/>
      <c r="CR14" s="559"/>
      <c r="CS14" s="559"/>
      <c r="CT14" s="559"/>
      <c r="CU14" s="559"/>
      <c r="CV14" s="559"/>
      <c r="CW14" s="559"/>
      <c r="CX14" s="559"/>
      <c r="CY14" s="559"/>
      <c r="CZ14" s="559"/>
      <c r="DA14" s="559"/>
      <c r="DB14" s="559"/>
      <c r="DC14" s="559"/>
      <c r="DD14" s="559"/>
      <c r="DE14" s="559"/>
      <c r="DF14" s="559"/>
      <c r="DG14" s="559"/>
      <c r="DH14" s="559"/>
      <c r="DI14" s="559"/>
      <c r="DJ14" s="559"/>
      <c r="DK14" s="559"/>
      <c r="DL14" s="559"/>
      <c r="DM14" s="559"/>
      <c r="DN14" s="559"/>
      <c r="DO14" s="559"/>
      <c r="DP14" s="559"/>
      <c r="DQ14" s="559"/>
      <c r="DR14" s="559"/>
      <c r="DS14" s="559"/>
      <c r="DT14" s="559"/>
      <c r="DU14" s="559"/>
      <c r="DV14" s="559"/>
      <c r="DW14" s="559"/>
      <c r="DX14" s="559"/>
      <c r="DY14" s="559"/>
      <c r="DZ14" s="559"/>
      <c r="EA14" s="559"/>
      <c r="EB14" s="559"/>
      <c r="EC14" s="559"/>
      <c r="ED14" s="559"/>
      <c r="EE14" s="559"/>
      <c r="EF14" s="559"/>
      <c r="EG14" s="559"/>
      <c r="EH14" s="559"/>
      <c r="EI14" s="559"/>
      <c r="EJ14" s="559"/>
      <c r="EK14" s="559"/>
      <c r="EL14" s="559"/>
      <c r="EM14" s="559"/>
      <c r="EN14" s="559"/>
      <c r="EO14" s="559"/>
      <c r="EP14" s="559"/>
      <c r="EQ14" s="559"/>
      <c r="ER14" s="559"/>
      <c r="ES14" s="559"/>
      <c r="ET14" s="559"/>
      <c r="EU14" s="559"/>
      <c r="EV14" s="559"/>
      <c r="EW14" s="559"/>
      <c r="EX14" s="559"/>
      <c r="EY14" s="559"/>
      <c r="EZ14" s="559"/>
      <c r="FA14" s="559"/>
      <c r="FB14" s="559"/>
      <c r="FC14" s="559"/>
      <c r="FD14" s="559"/>
      <c r="FE14" s="559"/>
      <c r="FF14" s="559"/>
      <c r="FG14" s="559"/>
      <c r="FH14" s="559"/>
      <c r="FI14" s="559"/>
      <c r="FJ14" s="559"/>
      <c r="FK14" s="559"/>
      <c r="FL14" s="559"/>
      <c r="FM14" s="559"/>
      <c r="FN14" s="559"/>
      <c r="FO14" s="559"/>
      <c r="FP14" s="559"/>
      <c r="FQ14" s="559"/>
      <c r="FR14" s="559"/>
      <c r="FS14" s="559"/>
      <c r="FT14" s="559"/>
    </row>
    <row r="15" spans="1:176" ht="20.100000000000001" customHeight="1" x14ac:dyDescent="0.25">
      <c r="A15" s="559"/>
      <c r="B15" s="671" t="s">
        <v>1050</v>
      </c>
      <c r="C15" s="318"/>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c r="CB15" s="559"/>
      <c r="CC15" s="559"/>
      <c r="CD15" s="559"/>
      <c r="CE15" s="559"/>
      <c r="CF15" s="559"/>
      <c r="CG15" s="559"/>
      <c r="CH15" s="559"/>
      <c r="CI15" s="559"/>
      <c r="CJ15" s="559"/>
      <c r="CK15" s="559"/>
      <c r="CL15" s="559"/>
      <c r="CM15" s="559"/>
      <c r="CN15" s="559"/>
      <c r="CO15" s="559"/>
      <c r="CP15" s="559"/>
      <c r="CQ15" s="559"/>
      <c r="CR15" s="559"/>
      <c r="CS15" s="559"/>
      <c r="CT15" s="559"/>
      <c r="CU15" s="559"/>
      <c r="CV15" s="559"/>
      <c r="CW15" s="559"/>
      <c r="CX15" s="559"/>
      <c r="CY15" s="559"/>
      <c r="CZ15" s="559"/>
      <c r="DA15" s="559"/>
      <c r="DB15" s="559"/>
      <c r="DC15" s="559"/>
      <c r="DD15" s="559"/>
      <c r="DE15" s="559"/>
      <c r="DF15" s="559"/>
      <c r="DG15" s="559"/>
      <c r="DH15" s="559"/>
      <c r="DI15" s="559"/>
      <c r="DJ15" s="559"/>
      <c r="DK15" s="559"/>
      <c r="DL15" s="559"/>
      <c r="DM15" s="559"/>
      <c r="DN15" s="559"/>
      <c r="DO15" s="559"/>
      <c r="DP15" s="559"/>
      <c r="DQ15" s="559"/>
      <c r="DR15" s="559"/>
      <c r="DS15" s="559"/>
      <c r="DT15" s="559"/>
      <c r="DU15" s="559"/>
      <c r="DV15" s="559"/>
      <c r="DW15" s="559"/>
      <c r="DX15" s="559"/>
      <c r="DY15" s="559"/>
      <c r="DZ15" s="559"/>
      <c r="EA15" s="559"/>
      <c r="EB15" s="559"/>
      <c r="EC15" s="559"/>
      <c r="ED15" s="559"/>
      <c r="EE15" s="559"/>
      <c r="EF15" s="559"/>
      <c r="EG15" s="559"/>
      <c r="EH15" s="559"/>
      <c r="EI15" s="559"/>
      <c r="EJ15" s="559"/>
      <c r="EK15" s="559"/>
      <c r="EL15" s="559"/>
      <c r="EM15" s="559"/>
      <c r="EN15" s="559"/>
      <c r="EO15" s="559"/>
      <c r="EP15" s="559"/>
      <c r="EQ15" s="559"/>
      <c r="ER15" s="559"/>
      <c r="ES15" s="559"/>
      <c r="ET15" s="559"/>
      <c r="EU15" s="559"/>
      <c r="EV15" s="559"/>
      <c r="EW15" s="559"/>
      <c r="EX15" s="559"/>
      <c r="EY15" s="559"/>
      <c r="EZ15" s="559"/>
      <c r="FA15" s="559"/>
      <c r="FB15" s="559"/>
      <c r="FC15" s="559"/>
      <c r="FD15" s="559"/>
      <c r="FE15" s="559"/>
      <c r="FF15" s="559"/>
      <c r="FG15" s="559"/>
      <c r="FH15" s="559"/>
      <c r="FI15" s="559"/>
      <c r="FJ15" s="559"/>
      <c r="FK15" s="559"/>
      <c r="FL15" s="559"/>
      <c r="FM15" s="559"/>
      <c r="FN15" s="559"/>
      <c r="FO15" s="559"/>
      <c r="FP15" s="559"/>
      <c r="FQ15" s="559"/>
      <c r="FR15" s="559"/>
      <c r="FS15" s="559"/>
      <c r="FT15" s="559"/>
    </row>
    <row r="16" spans="1:176" ht="19.5" customHeight="1" x14ac:dyDescent="0.25">
      <c r="A16" s="559"/>
      <c r="B16" s="305" t="s">
        <v>197</v>
      </c>
      <c r="C16" s="857">
        <f>C72/100</f>
        <v>0.7</v>
      </c>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c r="BZ16" s="559"/>
      <c r="CA16" s="559"/>
      <c r="CB16" s="559"/>
      <c r="CC16" s="559"/>
      <c r="CD16" s="559"/>
      <c r="CE16" s="559"/>
      <c r="CF16" s="559"/>
      <c r="CG16" s="559"/>
      <c r="CH16" s="559"/>
      <c r="CI16" s="559"/>
      <c r="CJ16" s="559"/>
      <c r="CK16" s="559"/>
      <c r="CL16" s="559"/>
      <c r="CM16" s="559"/>
      <c r="CN16" s="559"/>
      <c r="CO16" s="559"/>
      <c r="CP16" s="559"/>
      <c r="CQ16" s="559"/>
      <c r="CR16" s="559"/>
      <c r="CS16" s="559"/>
      <c r="CT16" s="559"/>
      <c r="CU16" s="559"/>
      <c r="CV16" s="559"/>
      <c r="CW16" s="559"/>
      <c r="CX16" s="559"/>
      <c r="CY16" s="559"/>
      <c r="CZ16" s="559"/>
      <c r="DA16" s="559"/>
      <c r="DB16" s="559"/>
      <c r="DC16" s="559"/>
      <c r="DD16" s="559"/>
      <c r="DE16" s="559"/>
      <c r="DF16" s="559"/>
      <c r="DG16" s="559"/>
      <c r="DH16" s="559"/>
      <c r="DI16" s="559"/>
      <c r="DJ16" s="559"/>
      <c r="DK16" s="559"/>
      <c r="DL16" s="559"/>
      <c r="DM16" s="559"/>
      <c r="DN16" s="559"/>
      <c r="DO16" s="559"/>
      <c r="DP16" s="559"/>
      <c r="DQ16" s="559"/>
      <c r="DR16" s="559"/>
      <c r="DS16" s="559"/>
      <c r="DT16" s="559"/>
      <c r="DU16" s="559"/>
      <c r="DV16" s="559"/>
      <c r="DW16" s="559"/>
      <c r="DX16" s="559"/>
      <c r="DY16" s="559"/>
      <c r="DZ16" s="559"/>
      <c r="EA16" s="559"/>
      <c r="EB16" s="559"/>
      <c r="EC16" s="559"/>
      <c r="ED16" s="559"/>
      <c r="EE16" s="559"/>
      <c r="EF16" s="559"/>
      <c r="EG16" s="559"/>
      <c r="EH16" s="559"/>
      <c r="EI16" s="559"/>
      <c r="EJ16" s="559"/>
      <c r="EK16" s="559"/>
      <c r="EL16" s="559"/>
      <c r="EM16" s="559"/>
      <c r="EN16" s="559"/>
      <c r="EO16" s="559"/>
      <c r="EP16" s="559"/>
      <c r="EQ16" s="559"/>
      <c r="ER16" s="559"/>
      <c r="ES16" s="559"/>
      <c r="ET16" s="559"/>
      <c r="EU16" s="559"/>
      <c r="EV16" s="559"/>
      <c r="EW16" s="559"/>
      <c r="EX16" s="559"/>
      <c r="EY16" s="559"/>
      <c r="EZ16" s="559"/>
      <c r="FA16" s="559"/>
      <c r="FB16" s="559"/>
      <c r="FC16" s="559"/>
      <c r="FD16" s="559"/>
      <c r="FE16" s="559"/>
      <c r="FF16" s="559"/>
      <c r="FG16" s="559"/>
      <c r="FH16" s="559"/>
      <c r="FI16" s="559"/>
      <c r="FJ16" s="559"/>
      <c r="FK16" s="559"/>
      <c r="FL16" s="559"/>
      <c r="FM16" s="559"/>
      <c r="FN16" s="559"/>
      <c r="FO16" s="559"/>
      <c r="FP16" s="559"/>
      <c r="FQ16" s="559"/>
      <c r="FR16" s="559"/>
      <c r="FS16" s="559"/>
      <c r="FT16" s="559"/>
    </row>
    <row r="17" spans="1:176" ht="5.0999999999999996" customHeight="1" x14ac:dyDescent="0.25">
      <c r="A17" s="559"/>
      <c r="B17" s="305"/>
      <c r="C17" s="352"/>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c r="CB17" s="559"/>
      <c r="CC17" s="559"/>
      <c r="CD17" s="559"/>
      <c r="CE17" s="559"/>
      <c r="CF17" s="559"/>
      <c r="CG17" s="559"/>
      <c r="CH17" s="559"/>
      <c r="CI17" s="559"/>
      <c r="CJ17" s="559"/>
      <c r="CK17" s="559"/>
      <c r="CL17" s="559"/>
      <c r="CM17" s="559"/>
      <c r="CN17" s="559"/>
      <c r="CO17" s="559"/>
      <c r="CP17" s="559"/>
      <c r="CQ17" s="559"/>
      <c r="CR17" s="559"/>
      <c r="CS17" s="559"/>
      <c r="CT17" s="559"/>
      <c r="CU17" s="559"/>
      <c r="CV17" s="559"/>
      <c r="CW17" s="559"/>
      <c r="CX17" s="559"/>
      <c r="CY17" s="559"/>
      <c r="CZ17" s="559"/>
      <c r="DA17" s="559"/>
      <c r="DB17" s="559"/>
      <c r="DC17" s="559"/>
      <c r="DD17" s="559"/>
      <c r="DE17" s="559"/>
      <c r="DF17" s="559"/>
      <c r="DG17" s="559"/>
      <c r="DH17" s="559"/>
      <c r="DI17" s="559"/>
      <c r="DJ17" s="559"/>
      <c r="DK17" s="559"/>
      <c r="DL17" s="559"/>
      <c r="DM17" s="559"/>
      <c r="DN17" s="559"/>
      <c r="DO17" s="559"/>
      <c r="DP17" s="559"/>
      <c r="DQ17" s="559"/>
      <c r="DR17" s="559"/>
      <c r="DS17" s="559"/>
      <c r="DT17" s="559"/>
      <c r="DU17" s="559"/>
      <c r="DV17" s="559"/>
      <c r="DW17" s="559"/>
      <c r="DX17" s="559"/>
      <c r="DY17" s="559"/>
      <c r="DZ17" s="559"/>
      <c r="EA17" s="559"/>
      <c r="EB17" s="559"/>
      <c r="EC17" s="559"/>
      <c r="ED17" s="559"/>
      <c r="EE17" s="559"/>
      <c r="EF17" s="559"/>
      <c r="EG17" s="559"/>
      <c r="EH17" s="559"/>
      <c r="EI17" s="559"/>
      <c r="EJ17" s="559"/>
      <c r="EK17" s="559"/>
      <c r="EL17" s="559"/>
      <c r="EM17" s="559"/>
      <c r="EN17" s="559"/>
      <c r="EO17" s="559"/>
      <c r="EP17" s="559"/>
      <c r="EQ17" s="559"/>
      <c r="ER17" s="559"/>
      <c r="ES17" s="559"/>
      <c r="ET17" s="559"/>
      <c r="EU17" s="559"/>
      <c r="EV17" s="559"/>
      <c r="EW17" s="559"/>
      <c r="EX17" s="559"/>
      <c r="EY17" s="559"/>
      <c r="EZ17" s="559"/>
      <c r="FA17" s="559"/>
      <c r="FB17" s="559"/>
      <c r="FC17" s="559"/>
      <c r="FD17" s="559"/>
      <c r="FE17" s="559"/>
      <c r="FF17" s="559"/>
      <c r="FG17" s="559"/>
      <c r="FH17" s="559"/>
      <c r="FI17" s="559"/>
      <c r="FJ17" s="559"/>
      <c r="FK17" s="559"/>
      <c r="FL17" s="559"/>
      <c r="FM17" s="559"/>
      <c r="FN17" s="559"/>
      <c r="FO17" s="559"/>
      <c r="FP17" s="559"/>
      <c r="FQ17" s="559"/>
      <c r="FR17" s="559"/>
      <c r="FS17" s="559"/>
      <c r="FT17" s="559"/>
    </row>
    <row r="18" spans="1:176" ht="20.100000000000001" customHeight="1" x14ac:dyDescent="0.25">
      <c r="A18" s="559"/>
      <c r="B18" s="305" t="s">
        <v>877</v>
      </c>
      <c r="C18" s="857">
        <f>C74/100</f>
        <v>1</v>
      </c>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c r="BZ18" s="559"/>
      <c r="CA18" s="559"/>
      <c r="CB18" s="559"/>
      <c r="CC18" s="559"/>
      <c r="CD18" s="559"/>
      <c r="CE18" s="559"/>
      <c r="CF18" s="559"/>
      <c r="CG18" s="559"/>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59"/>
      <c r="DH18" s="559"/>
      <c r="DI18" s="559"/>
      <c r="DJ18" s="559"/>
      <c r="DK18" s="559"/>
      <c r="DL18" s="559"/>
      <c r="DM18" s="559"/>
      <c r="DN18" s="559"/>
      <c r="DO18" s="559"/>
      <c r="DP18" s="559"/>
      <c r="DQ18" s="559"/>
      <c r="DR18" s="559"/>
      <c r="DS18" s="559"/>
      <c r="DT18" s="559"/>
      <c r="DU18" s="559"/>
      <c r="DV18" s="559"/>
      <c r="DW18" s="559"/>
      <c r="DX18" s="559"/>
      <c r="DY18" s="559"/>
      <c r="DZ18" s="559"/>
      <c r="EA18" s="559"/>
      <c r="EB18" s="559"/>
      <c r="EC18" s="559"/>
      <c r="ED18" s="559"/>
      <c r="EE18" s="559"/>
      <c r="EF18" s="559"/>
      <c r="EG18" s="559"/>
      <c r="EH18" s="559"/>
      <c r="EI18" s="559"/>
      <c r="EJ18" s="559"/>
      <c r="EK18" s="559"/>
      <c r="EL18" s="559"/>
      <c r="EM18" s="559"/>
      <c r="EN18" s="559"/>
      <c r="EO18" s="559"/>
      <c r="EP18" s="559"/>
      <c r="EQ18" s="559"/>
      <c r="ER18" s="559"/>
      <c r="ES18" s="559"/>
      <c r="ET18" s="559"/>
      <c r="EU18" s="559"/>
      <c r="EV18" s="559"/>
      <c r="EW18" s="559"/>
      <c r="EX18" s="559"/>
      <c r="EY18" s="559"/>
      <c r="EZ18" s="559"/>
      <c r="FA18" s="559"/>
      <c r="FB18" s="559"/>
      <c r="FC18" s="559"/>
      <c r="FD18" s="559"/>
      <c r="FE18" s="559"/>
      <c r="FF18" s="559"/>
      <c r="FG18" s="559"/>
      <c r="FH18" s="559"/>
      <c r="FI18" s="559"/>
      <c r="FJ18" s="559"/>
      <c r="FK18" s="559"/>
      <c r="FL18" s="559"/>
      <c r="FM18" s="559"/>
      <c r="FN18" s="559"/>
      <c r="FO18" s="559"/>
      <c r="FP18" s="559"/>
      <c r="FQ18" s="559"/>
      <c r="FR18" s="559"/>
      <c r="FS18" s="559"/>
      <c r="FT18" s="559"/>
    </row>
    <row r="19" spans="1:176" ht="5.0999999999999996" customHeight="1" x14ac:dyDescent="0.25">
      <c r="A19" s="559"/>
      <c r="B19" s="305"/>
      <c r="C19" s="352"/>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59"/>
      <c r="BT19" s="559"/>
      <c r="BU19" s="559"/>
      <c r="BV19" s="559"/>
      <c r="BW19" s="559"/>
      <c r="BX19" s="559"/>
      <c r="BY19" s="559"/>
      <c r="BZ19" s="559"/>
      <c r="CA19" s="559"/>
      <c r="CB19" s="559"/>
      <c r="CC19" s="559"/>
      <c r="CD19" s="559"/>
      <c r="CE19" s="559"/>
      <c r="CF19" s="559"/>
      <c r="CG19" s="559"/>
      <c r="CH19" s="559"/>
      <c r="CI19" s="559"/>
      <c r="CJ19" s="559"/>
      <c r="CK19" s="559"/>
      <c r="CL19" s="559"/>
      <c r="CM19" s="559"/>
      <c r="CN19" s="559"/>
      <c r="CO19" s="559"/>
      <c r="CP19" s="559"/>
      <c r="CQ19" s="559"/>
      <c r="CR19" s="559"/>
      <c r="CS19" s="559"/>
      <c r="CT19" s="559"/>
      <c r="CU19" s="559"/>
      <c r="CV19" s="559"/>
      <c r="CW19" s="559"/>
      <c r="CX19" s="559"/>
      <c r="CY19" s="559"/>
      <c r="CZ19" s="559"/>
      <c r="DA19" s="559"/>
      <c r="DB19" s="559"/>
      <c r="DC19" s="559"/>
      <c r="DD19" s="559"/>
      <c r="DE19" s="559"/>
      <c r="DF19" s="559"/>
      <c r="DG19" s="559"/>
      <c r="DH19" s="559"/>
      <c r="DI19" s="559"/>
      <c r="DJ19" s="559"/>
      <c r="DK19" s="559"/>
      <c r="DL19" s="559"/>
      <c r="DM19" s="559"/>
      <c r="DN19" s="559"/>
      <c r="DO19" s="559"/>
      <c r="DP19" s="559"/>
      <c r="DQ19" s="559"/>
      <c r="DR19" s="559"/>
      <c r="DS19" s="559"/>
      <c r="DT19" s="559"/>
      <c r="DU19" s="559"/>
      <c r="DV19" s="559"/>
      <c r="DW19" s="559"/>
      <c r="DX19" s="559"/>
      <c r="DY19" s="559"/>
      <c r="DZ19" s="559"/>
      <c r="EA19" s="559"/>
      <c r="EB19" s="559"/>
      <c r="EC19" s="559"/>
      <c r="ED19" s="559"/>
      <c r="EE19" s="559"/>
      <c r="EF19" s="559"/>
      <c r="EG19" s="559"/>
      <c r="EH19" s="559"/>
      <c r="EI19" s="559"/>
      <c r="EJ19" s="559"/>
      <c r="EK19" s="559"/>
      <c r="EL19" s="559"/>
      <c r="EM19" s="559"/>
      <c r="EN19" s="559"/>
      <c r="EO19" s="559"/>
      <c r="EP19" s="559"/>
      <c r="EQ19" s="559"/>
      <c r="ER19" s="559"/>
      <c r="ES19" s="559"/>
      <c r="ET19" s="559"/>
      <c r="EU19" s="559"/>
      <c r="EV19" s="559"/>
      <c r="EW19" s="559"/>
      <c r="EX19" s="559"/>
      <c r="EY19" s="559"/>
      <c r="EZ19" s="559"/>
      <c r="FA19" s="559"/>
      <c r="FB19" s="559"/>
      <c r="FC19" s="559"/>
      <c r="FD19" s="559"/>
      <c r="FE19" s="559"/>
      <c r="FF19" s="559"/>
      <c r="FG19" s="559"/>
      <c r="FH19" s="559"/>
      <c r="FI19" s="559"/>
      <c r="FJ19" s="559"/>
      <c r="FK19" s="559"/>
      <c r="FL19" s="559"/>
      <c r="FM19" s="559"/>
      <c r="FN19" s="559"/>
      <c r="FO19" s="559"/>
      <c r="FP19" s="559"/>
      <c r="FQ19" s="559"/>
      <c r="FR19" s="559"/>
      <c r="FS19" s="559"/>
      <c r="FT19" s="559"/>
    </row>
    <row r="20" spans="1:176" ht="20.100000000000001" customHeight="1" x14ac:dyDescent="0.25">
      <c r="A20" s="559"/>
      <c r="B20" s="305" t="s">
        <v>198</v>
      </c>
      <c r="C20" s="857">
        <f>C75/100</f>
        <v>0.4</v>
      </c>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c r="CQ20" s="559"/>
      <c r="CR20" s="559"/>
      <c r="CS20" s="559"/>
      <c r="CT20" s="559"/>
      <c r="CU20" s="559"/>
      <c r="CV20" s="559"/>
      <c r="CW20" s="559"/>
      <c r="CX20" s="559"/>
      <c r="CY20" s="559"/>
      <c r="CZ20" s="559"/>
      <c r="DA20" s="559"/>
      <c r="DB20" s="559"/>
      <c r="DC20" s="559"/>
      <c r="DD20" s="559"/>
      <c r="DE20" s="559"/>
      <c r="DF20" s="559"/>
      <c r="DG20" s="559"/>
      <c r="DH20" s="559"/>
      <c r="DI20" s="559"/>
      <c r="DJ20" s="559"/>
      <c r="DK20" s="559"/>
      <c r="DL20" s="559"/>
      <c r="DM20" s="559"/>
      <c r="DN20" s="559"/>
      <c r="DO20" s="559"/>
      <c r="DP20" s="559"/>
      <c r="DQ20" s="559"/>
      <c r="DR20" s="559"/>
      <c r="DS20" s="559"/>
      <c r="DT20" s="559"/>
      <c r="DU20" s="559"/>
      <c r="DV20" s="559"/>
      <c r="DW20" s="559"/>
      <c r="DX20" s="559"/>
      <c r="DY20" s="559"/>
      <c r="DZ20" s="559"/>
      <c r="EA20" s="559"/>
      <c r="EB20" s="559"/>
      <c r="EC20" s="559"/>
      <c r="ED20" s="559"/>
      <c r="EE20" s="559"/>
      <c r="EF20" s="559"/>
      <c r="EG20" s="559"/>
      <c r="EH20" s="559"/>
      <c r="EI20" s="559"/>
      <c r="EJ20" s="559"/>
      <c r="EK20" s="559"/>
      <c r="EL20" s="559"/>
      <c r="EM20" s="559"/>
      <c r="EN20" s="559"/>
      <c r="EO20" s="559"/>
      <c r="EP20" s="559"/>
      <c r="EQ20" s="559"/>
      <c r="ER20" s="559"/>
      <c r="ES20" s="559"/>
      <c r="ET20" s="559"/>
      <c r="EU20" s="559"/>
      <c r="EV20" s="559"/>
      <c r="EW20" s="559"/>
      <c r="EX20" s="559"/>
      <c r="EY20" s="559"/>
      <c r="EZ20" s="559"/>
      <c r="FA20" s="559"/>
      <c r="FB20" s="559"/>
      <c r="FC20" s="559"/>
      <c r="FD20" s="559"/>
      <c r="FE20" s="559"/>
      <c r="FF20" s="559"/>
      <c r="FG20" s="559"/>
      <c r="FH20" s="559"/>
      <c r="FI20" s="559"/>
      <c r="FJ20" s="559"/>
      <c r="FK20" s="559"/>
      <c r="FL20" s="559"/>
      <c r="FM20" s="559"/>
      <c r="FN20" s="559"/>
      <c r="FO20" s="559"/>
      <c r="FP20" s="559"/>
      <c r="FQ20" s="559"/>
      <c r="FR20" s="559"/>
      <c r="FS20" s="559"/>
      <c r="FT20" s="559"/>
    </row>
    <row r="21" spans="1:176" ht="5.0999999999999996" customHeight="1" x14ac:dyDescent="0.25">
      <c r="A21" s="559"/>
      <c r="B21" s="305"/>
      <c r="C21" s="352"/>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59"/>
      <c r="DH21" s="559"/>
      <c r="DI21" s="559"/>
      <c r="DJ21" s="559"/>
      <c r="DK21" s="559"/>
      <c r="DL21" s="559"/>
      <c r="DM21" s="559"/>
      <c r="DN21" s="559"/>
      <c r="DO21" s="559"/>
      <c r="DP21" s="559"/>
      <c r="DQ21" s="559"/>
      <c r="DR21" s="559"/>
      <c r="DS21" s="559"/>
      <c r="DT21" s="559"/>
      <c r="DU21" s="559"/>
      <c r="DV21" s="559"/>
      <c r="DW21" s="559"/>
      <c r="DX21" s="559"/>
      <c r="DY21" s="559"/>
      <c r="DZ21" s="559"/>
      <c r="EA21" s="559"/>
      <c r="EB21" s="559"/>
      <c r="EC21" s="559"/>
      <c r="ED21" s="559"/>
      <c r="EE21" s="559"/>
      <c r="EF21" s="559"/>
      <c r="EG21" s="559"/>
      <c r="EH21" s="559"/>
      <c r="EI21" s="559"/>
      <c r="EJ21" s="559"/>
      <c r="EK21" s="559"/>
      <c r="EL21" s="559"/>
      <c r="EM21" s="559"/>
      <c r="EN21" s="559"/>
      <c r="EO21" s="559"/>
      <c r="EP21" s="559"/>
      <c r="EQ21" s="559"/>
      <c r="ER21" s="559"/>
      <c r="ES21" s="559"/>
      <c r="ET21" s="559"/>
      <c r="EU21" s="559"/>
      <c r="EV21" s="559"/>
      <c r="EW21" s="559"/>
      <c r="EX21" s="559"/>
      <c r="EY21" s="559"/>
      <c r="EZ21" s="559"/>
      <c r="FA21" s="559"/>
      <c r="FB21" s="559"/>
      <c r="FC21" s="559"/>
      <c r="FD21" s="559"/>
      <c r="FE21" s="559"/>
      <c r="FF21" s="559"/>
      <c r="FG21" s="559"/>
      <c r="FH21" s="559"/>
      <c r="FI21" s="559"/>
      <c r="FJ21" s="559"/>
      <c r="FK21" s="559"/>
      <c r="FL21" s="559"/>
      <c r="FM21" s="559"/>
      <c r="FN21" s="559"/>
      <c r="FO21" s="559"/>
      <c r="FP21" s="559"/>
      <c r="FQ21" s="559"/>
      <c r="FR21" s="559"/>
      <c r="FS21" s="559"/>
      <c r="FT21" s="559"/>
    </row>
    <row r="22" spans="1:176" ht="20.100000000000001" customHeight="1" x14ac:dyDescent="0.25">
      <c r="A22" s="559"/>
      <c r="B22" s="205" t="s">
        <v>85</v>
      </c>
      <c r="C22" s="854">
        <f>C76/1</f>
        <v>750</v>
      </c>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59"/>
      <c r="CM22" s="559"/>
      <c r="CN22" s="559"/>
      <c r="CO22" s="559"/>
      <c r="CP22" s="559"/>
      <c r="CQ22" s="559"/>
      <c r="CR22" s="559"/>
      <c r="CS22" s="559"/>
      <c r="CT22" s="559"/>
      <c r="CU22" s="559"/>
      <c r="CV22" s="559"/>
      <c r="CW22" s="559"/>
      <c r="CX22" s="559"/>
      <c r="CY22" s="559"/>
      <c r="CZ22" s="559"/>
      <c r="DA22" s="559"/>
      <c r="DB22" s="559"/>
      <c r="DC22" s="559"/>
      <c r="DD22" s="559"/>
      <c r="DE22" s="559"/>
      <c r="DF22" s="559"/>
      <c r="DG22" s="559"/>
      <c r="DH22" s="559"/>
      <c r="DI22" s="559"/>
      <c r="DJ22" s="559"/>
      <c r="DK22" s="559"/>
      <c r="DL22" s="559"/>
      <c r="DM22" s="559"/>
      <c r="DN22" s="559"/>
      <c r="DO22" s="559"/>
      <c r="DP22" s="559"/>
      <c r="DQ22" s="559"/>
      <c r="DR22" s="559"/>
      <c r="DS22" s="559"/>
      <c r="DT22" s="559"/>
      <c r="DU22" s="559"/>
      <c r="DV22" s="559"/>
      <c r="DW22" s="559"/>
      <c r="DX22" s="559"/>
      <c r="DY22" s="559"/>
      <c r="DZ22" s="559"/>
      <c r="EA22" s="559"/>
      <c r="EB22" s="559"/>
      <c r="EC22" s="559"/>
      <c r="ED22" s="559"/>
      <c r="EE22" s="559"/>
      <c r="EF22" s="559"/>
      <c r="EG22" s="559"/>
      <c r="EH22" s="559"/>
      <c r="EI22" s="559"/>
      <c r="EJ22" s="559"/>
      <c r="EK22" s="559"/>
      <c r="EL22" s="559"/>
      <c r="EM22" s="559"/>
      <c r="EN22" s="559"/>
      <c r="EO22" s="559"/>
      <c r="EP22" s="559"/>
      <c r="EQ22" s="559"/>
      <c r="ER22" s="559"/>
      <c r="ES22" s="559"/>
      <c r="ET22" s="559"/>
      <c r="EU22" s="559"/>
      <c r="EV22" s="559"/>
      <c r="EW22" s="559"/>
      <c r="EX22" s="559"/>
      <c r="EY22" s="559"/>
      <c r="EZ22" s="559"/>
      <c r="FA22" s="559"/>
      <c r="FB22" s="559"/>
      <c r="FC22" s="559"/>
      <c r="FD22" s="559"/>
      <c r="FE22" s="559"/>
      <c r="FF22" s="559"/>
      <c r="FG22" s="559"/>
      <c r="FH22" s="559"/>
      <c r="FI22" s="559"/>
      <c r="FJ22" s="559"/>
      <c r="FK22" s="559"/>
      <c r="FL22" s="559"/>
      <c r="FM22" s="559"/>
      <c r="FN22" s="559"/>
      <c r="FO22" s="559"/>
      <c r="FP22" s="559"/>
      <c r="FQ22" s="559"/>
      <c r="FR22" s="559"/>
      <c r="FS22" s="559"/>
      <c r="FT22" s="559"/>
    </row>
    <row r="23" spans="1:176" ht="5.0999999999999996" customHeight="1" x14ac:dyDescent="0.25">
      <c r="A23" s="559"/>
      <c r="B23" s="205"/>
      <c r="C23" s="350"/>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c r="CB23" s="559"/>
      <c r="CC23" s="559"/>
      <c r="CD23" s="559"/>
      <c r="CE23" s="559"/>
      <c r="CF23" s="559"/>
      <c r="CG23" s="559"/>
      <c r="CH23" s="559"/>
      <c r="CI23" s="559"/>
      <c r="CJ23" s="559"/>
      <c r="CK23" s="559"/>
      <c r="CL23" s="559"/>
      <c r="CM23" s="559"/>
      <c r="CN23" s="559"/>
      <c r="CO23" s="559"/>
      <c r="CP23" s="559"/>
      <c r="CQ23" s="559"/>
      <c r="CR23" s="559"/>
      <c r="CS23" s="559"/>
      <c r="CT23" s="559"/>
      <c r="CU23" s="559"/>
      <c r="CV23" s="559"/>
      <c r="CW23" s="559"/>
      <c r="CX23" s="559"/>
      <c r="CY23" s="559"/>
      <c r="CZ23" s="559"/>
      <c r="DA23" s="559"/>
      <c r="DB23" s="559"/>
      <c r="DC23" s="559"/>
      <c r="DD23" s="559"/>
      <c r="DE23" s="559"/>
      <c r="DF23" s="559"/>
      <c r="DG23" s="559"/>
      <c r="DH23" s="559"/>
      <c r="DI23" s="559"/>
      <c r="DJ23" s="559"/>
      <c r="DK23" s="559"/>
      <c r="DL23" s="559"/>
      <c r="DM23" s="559"/>
      <c r="DN23" s="559"/>
      <c r="DO23" s="559"/>
      <c r="DP23" s="559"/>
      <c r="DQ23" s="559"/>
      <c r="DR23" s="559"/>
      <c r="DS23" s="559"/>
      <c r="DT23" s="559"/>
      <c r="DU23" s="559"/>
      <c r="DV23" s="559"/>
      <c r="DW23" s="559"/>
      <c r="DX23" s="559"/>
      <c r="DY23" s="559"/>
      <c r="DZ23" s="559"/>
      <c r="EA23" s="559"/>
      <c r="EB23" s="559"/>
      <c r="EC23" s="559"/>
      <c r="ED23" s="559"/>
      <c r="EE23" s="559"/>
      <c r="EF23" s="559"/>
      <c r="EG23" s="559"/>
      <c r="EH23" s="559"/>
      <c r="EI23" s="559"/>
      <c r="EJ23" s="559"/>
      <c r="EK23" s="559"/>
      <c r="EL23" s="559"/>
      <c r="EM23" s="559"/>
      <c r="EN23" s="559"/>
      <c r="EO23" s="559"/>
      <c r="EP23" s="559"/>
      <c r="EQ23" s="559"/>
      <c r="ER23" s="559"/>
      <c r="ES23" s="559"/>
      <c r="ET23" s="559"/>
      <c r="EU23" s="559"/>
      <c r="EV23" s="559"/>
      <c r="EW23" s="559"/>
      <c r="EX23" s="559"/>
      <c r="EY23" s="559"/>
      <c r="EZ23" s="559"/>
      <c r="FA23" s="559"/>
      <c r="FB23" s="559"/>
      <c r="FC23" s="559"/>
      <c r="FD23" s="559"/>
      <c r="FE23" s="559"/>
      <c r="FF23" s="559"/>
      <c r="FG23" s="559"/>
      <c r="FH23" s="559"/>
      <c r="FI23" s="559"/>
      <c r="FJ23" s="559"/>
      <c r="FK23" s="559"/>
      <c r="FL23" s="559"/>
      <c r="FM23" s="559"/>
      <c r="FN23" s="559"/>
      <c r="FO23" s="559"/>
      <c r="FP23" s="559"/>
      <c r="FQ23" s="559"/>
      <c r="FR23" s="559"/>
      <c r="FS23" s="559"/>
      <c r="FT23" s="559"/>
    </row>
    <row r="24" spans="1:176" ht="20.100000000000001" customHeight="1" x14ac:dyDescent="0.25">
      <c r="A24" s="559"/>
      <c r="B24" s="205" t="s">
        <v>86</v>
      </c>
      <c r="C24" s="854">
        <f>C77/1</f>
        <v>850</v>
      </c>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row>
    <row r="25" spans="1:176" ht="5.0999999999999996" customHeight="1" x14ac:dyDescent="0.25">
      <c r="A25" s="559"/>
      <c r="B25" s="205"/>
      <c r="C25" s="350"/>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row>
    <row r="26" spans="1:176" ht="20.100000000000001" customHeight="1" x14ac:dyDescent="0.25">
      <c r="A26" s="559"/>
      <c r="B26" s="305" t="s">
        <v>873</v>
      </c>
      <c r="C26" s="849">
        <f>C78/1</f>
        <v>90</v>
      </c>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row>
    <row r="27" spans="1:176" ht="5.0999999999999996" customHeight="1" x14ac:dyDescent="0.25">
      <c r="A27" s="559"/>
      <c r="B27" s="305"/>
      <c r="C27" s="344"/>
      <c r="I27" s="559"/>
      <c r="J27" s="559"/>
      <c r="K27" s="559"/>
      <c r="L27" s="559"/>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row>
    <row r="28" spans="1:176" ht="20.100000000000001" customHeight="1" x14ac:dyDescent="0.25">
      <c r="A28" s="559"/>
      <c r="B28" s="305" t="s">
        <v>87</v>
      </c>
      <c r="C28" s="849">
        <f>C79/1</f>
        <v>115</v>
      </c>
      <c r="I28" s="559"/>
      <c r="J28" s="559"/>
      <c r="K28" s="559"/>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c r="CQ28" s="559"/>
      <c r="CR28" s="559"/>
      <c r="CS28" s="559"/>
      <c r="CT28" s="559"/>
      <c r="CU28" s="559"/>
      <c r="CV28" s="559"/>
      <c r="CW28" s="559"/>
      <c r="CX28" s="559"/>
      <c r="CY28" s="559"/>
      <c r="CZ28" s="559"/>
      <c r="DA28" s="559"/>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row>
    <row r="29" spans="1:176" ht="5.0999999999999996" customHeight="1" x14ac:dyDescent="0.25">
      <c r="A29" s="559"/>
      <c r="B29" s="305"/>
      <c r="C29" s="344"/>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c r="CQ29" s="559"/>
      <c r="CR29" s="559"/>
      <c r="CS29" s="559"/>
      <c r="CT29" s="559"/>
      <c r="CU29" s="559"/>
      <c r="CV29" s="559"/>
      <c r="CW29" s="559"/>
      <c r="CX29" s="559"/>
      <c r="CY29" s="559"/>
      <c r="CZ29" s="559"/>
      <c r="DA29" s="559"/>
      <c r="DB29" s="559"/>
      <c r="DC29" s="559"/>
      <c r="DD29" s="559"/>
      <c r="DE29" s="559"/>
      <c r="DF29" s="559"/>
      <c r="DG29" s="559"/>
      <c r="DH29" s="559"/>
      <c r="DI29" s="559"/>
      <c r="DJ29" s="559"/>
      <c r="DK29" s="559"/>
      <c r="DL29" s="559"/>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row>
    <row r="30" spans="1:176" ht="20.100000000000001" customHeight="1" x14ac:dyDescent="0.25">
      <c r="A30" s="559"/>
      <c r="B30" s="305" t="s">
        <v>1062</v>
      </c>
      <c r="C30" s="849">
        <f>C80/10</f>
        <v>10.9</v>
      </c>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row>
    <row r="31" spans="1:176" ht="5.0999999999999996" customHeight="1" x14ac:dyDescent="0.25">
      <c r="A31" s="559"/>
      <c r="B31" s="305"/>
      <c r="C31" s="344"/>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row>
    <row r="32" spans="1:176" ht="20.100000000000001" customHeight="1" x14ac:dyDescent="0.25">
      <c r="A32" s="559"/>
      <c r="B32" s="305" t="s">
        <v>100</v>
      </c>
      <c r="C32" s="849">
        <f>C81/1</f>
        <v>44</v>
      </c>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c r="DB32" s="559"/>
      <c r="DC32" s="559"/>
      <c r="DD32" s="559"/>
      <c r="DE32" s="559"/>
      <c r="DF32" s="559"/>
      <c r="DG32" s="559"/>
      <c r="DH32" s="559"/>
      <c r="DI32" s="559"/>
      <c r="DJ32" s="559"/>
      <c r="DK32" s="559"/>
      <c r="DL32" s="559"/>
      <c r="DM32" s="559"/>
      <c r="DN32" s="559"/>
      <c r="DO32" s="559"/>
      <c r="DP32" s="559"/>
      <c r="DQ32" s="559"/>
      <c r="DR32" s="559"/>
      <c r="DS32" s="559"/>
      <c r="DT32" s="559"/>
      <c r="DU32" s="559"/>
      <c r="DV32" s="559"/>
      <c r="DW32" s="559"/>
      <c r="DX32" s="559"/>
      <c r="DY32" s="559"/>
      <c r="DZ32" s="559"/>
      <c r="EA32" s="559"/>
      <c r="EB32" s="559"/>
      <c r="EC32" s="559"/>
      <c r="ED32" s="559"/>
      <c r="EE32" s="559"/>
      <c r="EF32" s="559"/>
      <c r="EG32" s="559"/>
      <c r="EH32" s="559"/>
      <c r="EI32" s="559"/>
      <c r="EJ32" s="559"/>
      <c r="EK32" s="559"/>
      <c r="EL32" s="559"/>
      <c r="EM32" s="559"/>
      <c r="EN32" s="559"/>
      <c r="EO32" s="559"/>
      <c r="EP32" s="559"/>
      <c r="EQ32" s="559"/>
      <c r="ER32" s="559"/>
      <c r="ES32" s="559"/>
      <c r="ET32" s="559"/>
      <c r="EU32" s="559"/>
      <c r="EV32" s="559"/>
      <c r="EW32" s="559"/>
      <c r="EX32" s="559"/>
      <c r="EY32" s="559"/>
      <c r="EZ32" s="559"/>
      <c r="FA32" s="559"/>
      <c r="FB32" s="559"/>
      <c r="FC32" s="559"/>
      <c r="FD32" s="559"/>
      <c r="FE32" s="559"/>
      <c r="FF32" s="559"/>
      <c r="FG32" s="559"/>
      <c r="FH32" s="559"/>
      <c r="FI32" s="559"/>
      <c r="FJ32" s="559"/>
      <c r="FK32" s="559"/>
      <c r="FL32" s="559"/>
      <c r="FM32" s="559"/>
      <c r="FN32" s="559"/>
      <c r="FO32" s="559"/>
      <c r="FP32" s="559"/>
      <c r="FQ32" s="559"/>
      <c r="FR32" s="559"/>
      <c r="FS32" s="559"/>
      <c r="FT32" s="559"/>
    </row>
    <row r="33" spans="1:176" ht="5.0999999999999996" customHeight="1" x14ac:dyDescent="0.25">
      <c r="A33" s="559"/>
      <c r="B33" s="305"/>
      <c r="C33" s="344"/>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c r="CB33" s="559"/>
      <c r="CC33" s="559"/>
      <c r="CD33" s="559"/>
      <c r="CE33" s="559"/>
      <c r="CF33" s="559"/>
      <c r="CG33" s="559"/>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59"/>
      <c r="DH33" s="559"/>
      <c r="DI33" s="559"/>
      <c r="DJ33" s="559"/>
      <c r="DK33" s="559"/>
      <c r="DL33" s="559"/>
      <c r="DM33" s="559"/>
      <c r="DN33" s="559"/>
      <c r="DO33" s="559"/>
      <c r="DP33" s="559"/>
      <c r="DQ33" s="559"/>
      <c r="DR33" s="559"/>
      <c r="DS33" s="559"/>
      <c r="DT33" s="559"/>
      <c r="DU33" s="559"/>
      <c r="DV33" s="559"/>
      <c r="DW33" s="559"/>
      <c r="DX33" s="559"/>
      <c r="DY33" s="559"/>
      <c r="DZ33" s="559"/>
      <c r="EA33" s="559"/>
      <c r="EB33" s="559"/>
      <c r="EC33" s="559"/>
      <c r="ED33" s="559"/>
      <c r="EE33" s="559"/>
      <c r="EF33" s="559"/>
      <c r="EG33" s="559"/>
      <c r="EH33" s="559"/>
      <c r="EI33" s="559"/>
      <c r="EJ33" s="559"/>
      <c r="EK33" s="559"/>
      <c r="EL33" s="559"/>
      <c r="EM33" s="559"/>
      <c r="EN33" s="559"/>
      <c r="EO33" s="559"/>
      <c r="EP33" s="559"/>
      <c r="EQ33" s="559"/>
      <c r="ER33" s="559"/>
      <c r="ES33" s="559"/>
      <c r="ET33" s="559"/>
      <c r="EU33" s="559"/>
      <c r="EV33" s="559"/>
      <c r="EW33" s="559"/>
      <c r="EX33" s="559"/>
      <c r="EY33" s="559"/>
      <c r="EZ33" s="559"/>
      <c r="FA33" s="559"/>
      <c r="FB33" s="559"/>
      <c r="FC33" s="559"/>
      <c r="FD33" s="559"/>
      <c r="FE33" s="559"/>
      <c r="FF33" s="559"/>
      <c r="FG33" s="559"/>
      <c r="FH33" s="559"/>
      <c r="FI33" s="559"/>
      <c r="FJ33" s="559"/>
      <c r="FK33" s="559"/>
      <c r="FL33" s="559"/>
      <c r="FM33" s="559"/>
      <c r="FN33" s="559"/>
      <c r="FO33" s="559"/>
      <c r="FP33" s="559"/>
      <c r="FQ33" s="559"/>
      <c r="FR33" s="559"/>
      <c r="FS33" s="559"/>
      <c r="FT33" s="559"/>
    </row>
    <row r="34" spans="1:176" ht="20.100000000000001" customHeight="1" x14ac:dyDescent="0.25">
      <c r="A34" s="559"/>
      <c r="B34" s="205" t="s">
        <v>128</v>
      </c>
      <c r="C34" s="855">
        <f>C82/1000</f>
        <v>0.4</v>
      </c>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c r="EE34" s="559"/>
      <c r="EF34" s="559"/>
      <c r="EG34" s="559"/>
      <c r="EH34" s="559"/>
      <c r="EI34" s="559"/>
      <c r="EJ34" s="559"/>
      <c r="EK34" s="559"/>
      <c r="EL34" s="559"/>
      <c r="EM34" s="559"/>
      <c r="EN34" s="559"/>
      <c r="EO34" s="559"/>
      <c r="EP34" s="559"/>
      <c r="EQ34" s="559"/>
      <c r="ER34" s="559"/>
      <c r="ES34" s="559"/>
      <c r="ET34" s="559"/>
      <c r="EU34" s="559"/>
      <c r="EV34" s="559"/>
      <c r="EW34" s="559"/>
      <c r="EX34" s="559"/>
      <c r="EY34" s="559"/>
      <c r="EZ34" s="559"/>
      <c r="FA34" s="559"/>
      <c r="FB34" s="559"/>
      <c r="FC34" s="559"/>
      <c r="FD34" s="559"/>
      <c r="FE34" s="559"/>
      <c r="FF34" s="559"/>
      <c r="FG34" s="559"/>
      <c r="FH34" s="559"/>
      <c r="FI34" s="559"/>
      <c r="FJ34" s="559"/>
      <c r="FK34" s="559"/>
      <c r="FL34" s="559"/>
      <c r="FM34" s="559"/>
      <c r="FN34" s="559"/>
      <c r="FO34" s="559"/>
      <c r="FP34" s="559"/>
      <c r="FQ34" s="559"/>
      <c r="FR34" s="559"/>
      <c r="FS34" s="559"/>
      <c r="FT34" s="559"/>
    </row>
    <row r="35" spans="1:176" ht="5.0999999999999996" customHeight="1" x14ac:dyDescent="0.25">
      <c r="A35" s="559"/>
      <c r="B35" s="305"/>
      <c r="C35" s="344"/>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c r="CB35" s="559"/>
      <c r="CC35" s="559"/>
      <c r="CD35" s="559"/>
      <c r="CE35" s="559"/>
      <c r="CF35" s="559"/>
      <c r="CG35" s="559"/>
      <c r="CH35" s="559"/>
      <c r="CI35" s="559"/>
      <c r="CJ35" s="559"/>
      <c r="CK35" s="559"/>
      <c r="CL35" s="559"/>
      <c r="CM35" s="559"/>
      <c r="CN35" s="559"/>
      <c r="CO35" s="559"/>
      <c r="CP35" s="559"/>
      <c r="CQ35" s="559"/>
      <c r="CR35" s="559"/>
      <c r="CS35" s="559"/>
      <c r="CT35" s="559"/>
      <c r="CU35" s="559"/>
      <c r="CV35" s="559"/>
      <c r="CW35" s="559"/>
      <c r="CX35" s="559"/>
      <c r="CY35" s="559"/>
      <c r="CZ35" s="559"/>
      <c r="DA35" s="559"/>
      <c r="DB35" s="559"/>
      <c r="DC35" s="559"/>
      <c r="DD35" s="559"/>
      <c r="DE35" s="559"/>
      <c r="DF35" s="559"/>
      <c r="DG35" s="559"/>
      <c r="DH35" s="559"/>
      <c r="DI35" s="559"/>
      <c r="DJ35" s="559"/>
      <c r="DK35" s="559"/>
      <c r="DL35" s="559"/>
      <c r="DM35" s="559"/>
      <c r="DN35" s="559"/>
      <c r="DO35" s="559"/>
      <c r="DP35" s="559"/>
      <c r="DQ35" s="559"/>
      <c r="DR35" s="559"/>
      <c r="DS35" s="559"/>
      <c r="DT35" s="559"/>
      <c r="DU35" s="559"/>
      <c r="DV35" s="559"/>
      <c r="DW35" s="559"/>
      <c r="DX35" s="559"/>
      <c r="DY35" s="559"/>
      <c r="DZ35" s="559"/>
      <c r="EA35" s="559"/>
      <c r="EB35" s="559"/>
      <c r="EC35" s="559"/>
      <c r="ED35" s="559"/>
      <c r="EE35" s="559"/>
      <c r="EF35" s="559"/>
      <c r="EG35" s="559"/>
      <c r="EH35" s="559"/>
      <c r="EI35" s="559"/>
      <c r="EJ35" s="559"/>
      <c r="EK35" s="559"/>
      <c r="EL35" s="559"/>
      <c r="EM35" s="559"/>
      <c r="EN35" s="559"/>
      <c r="EO35" s="559"/>
      <c r="EP35" s="559"/>
      <c r="EQ35" s="559"/>
      <c r="ER35" s="559"/>
      <c r="ES35" s="559"/>
      <c r="ET35" s="559"/>
      <c r="EU35" s="559"/>
      <c r="EV35" s="559"/>
      <c r="EW35" s="559"/>
      <c r="EX35" s="559"/>
      <c r="EY35" s="559"/>
      <c r="EZ35" s="559"/>
      <c r="FA35" s="559"/>
      <c r="FB35" s="559"/>
      <c r="FC35" s="559"/>
      <c r="FD35" s="559"/>
      <c r="FE35" s="559"/>
      <c r="FF35" s="559"/>
      <c r="FG35" s="559"/>
      <c r="FH35" s="559"/>
      <c r="FI35" s="559"/>
      <c r="FJ35" s="559"/>
      <c r="FK35" s="559"/>
      <c r="FL35" s="559"/>
      <c r="FM35" s="559"/>
      <c r="FN35" s="559"/>
      <c r="FO35" s="559"/>
      <c r="FP35" s="559"/>
      <c r="FQ35" s="559"/>
      <c r="FR35" s="559"/>
      <c r="FS35" s="559"/>
      <c r="FT35" s="559"/>
    </row>
    <row r="36" spans="1:176" ht="20.100000000000001" customHeight="1" x14ac:dyDescent="0.25">
      <c r="A36" s="559"/>
      <c r="B36" s="205" t="s">
        <v>1079</v>
      </c>
      <c r="C36" s="850">
        <f>C83/1000</f>
        <v>0.42499999999999999</v>
      </c>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59"/>
      <c r="DH36" s="559"/>
      <c r="DI36" s="559"/>
      <c r="DJ36" s="559"/>
      <c r="DK36" s="559"/>
      <c r="DL36" s="559"/>
      <c r="DM36" s="559"/>
      <c r="DN36" s="559"/>
      <c r="DO36" s="559"/>
      <c r="DP36" s="559"/>
      <c r="DQ36" s="559"/>
      <c r="DR36" s="559"/>
      <c r="DS36" s="559"/>
      <c r="DT36" s="559"/>
      <c r="DU36" s="559"/>
      <c r="DV36" s="559"/>
      <c r="DW36" s="559"/>
      <c r="DX36" s="559"/>
      <c r="DY36" s="559"/>
      <c r="DZ36" s="559"/>
      <c r="EA36" s="559"/>
      <c r="EB36" s="559"/>
      <c r="EC36" s="559"/>
      <c r="ED36" s="559"/>
      <c r="EE36" s="559"/>
      <c r="EF36" s="559"/>
      <c r="EG36" s="559"/>
      <c r="EH36" s="559"/>
      <c r="EI36" s="559"/>
      <c r="EJ36" s="559"/>
      <c r="EK36" s="559"/>
      <c r="EL36" s="559"/>
      <c r="EM36" s="559"/>
      <c r="EN36" s="559"/>
      <c r="EO36" s="559"/>
      <c r="EP36" s="559"/>
      <c r="EQ36" s="559"/>
      <c r="ER36" s="559"/>
      <c r="ES36" s="559"/>
      <c r="ET36" s="559"/>
      <c r="EU36" s="559"/>
      <c r="EV36" s="559"/>
      <c r="EW36" s="559"/>
      <c r="EX36" s="559"/>
      <c r="EY36" s="559"/>
      <c r="EZ36" s="559"/>
      <c r="FA36" s="559"/>
      <c r="FB36" s="559"/>
      <c r="FC36" s="559"/>
      <c r="FD36" s="559"/>
      <c r="FE36" s="559"/>
      <c r="FF36" s="559"/>
      <c r="FG36" s="559"/>
      <c r="FH36" s="559"/>
      <c r="FI36" s="559"/>
      <c r="FJ36" s="559"/>
      <c r="FK36" s="559"/>
      <c r="FL36" s="559"/>
      <c r="FM36" s="559"/>
      <c r="FN36" s="559"/>
      <c r="FO36" s="559"/>
      <c r="FP36" s="559"/>
      <c r="FQ36" s="559"/>
      <c r="FR36" s="559"/>
      <c r="FS36" s="559"/>
      <c r="FT36" s="559"/>
    </row>
    <row r="37" spans="1:176" ht="5.0999999999999996" customHeight="1" x14ac:dyDescent="0.25">
      <c r="A37" s="559"/>
      <c r="B37" s="205"/>
      <c r="C37" s="206"/>
      <c r="I37" s="559"/>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c r="CQ37" s="559"/>
      <c r="CR37" s="559"/>
      <c r="CS37" s="559"/>
      <c r="CT37" s="559"/>
      <c r="CU37" s="559"/>
      <c r="CV37" s="559"/>
      <c r="CW37" s="559"/>
      <c r="CX37" s="559"/>
      <c r="CY37" s="559"/>
      <c r="CZ37" s="559"/>
      <c r="DA37" s="559"/>
      <c r="DB37" s="559"/>
      <c r="DC37" s="559"/>
      <c r="DD37" s="559"/>
      <c r="DE37" s="559"/>
      <c r="DF37" s="559"/>
      <c r="DG37" s="559"/>
      <c r="DH37" s="559"/>
      <c r="DI37" s="559"/>
      <c r="DJ37" s="559"/>
      <c r="DK37" s="559"/>
      <c r="DL37" s="559"/>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c r="FD37" s="559"/>
      <c r="FE37" s="559"/>
      <c r="FF37" s="559"/>
      <c r="FG37" s="559"/>
      <c r="FH37" s="559"/>
      <c r="FI37" s="559"/>
      <c r="FJ37" s="559"/>
      <c r="FK37" s="559"/>
      <c r="FL37" s="559"/>
      <c r="FM37" s="559"/>
      <c r="FN37" s="559"/>
      <c r="FO37" s="559"/>
      <c r="FP37" s="559"/>
      <c r="FQ37" s="559"/>
      <c r="FR37" s="559"/>
      <c r="FS37" s="559"/>
      <c r="FT37" s="559"/>
    </row>
    <row r="38" spans="1:176" ht="20.100000000000001" customHeight="1" x14ac:dyDescent="0.25">
      <c r="A38" s="559"/>
      <c r="B38" s="205" t="s">
        <v>72</v>
      </c>
      <c r="C38" s="845">
        <f>C84/100</f>
        <v>6</v>
      </c>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c r="CB38" s="559"/>
      <c r="CC38" s="559"/>
      <c r="CD38" s="559"/>
      <c r="CE38" s="559"/>
      <c r="CF38" s="559"/>
      <c r="CG38" s="559"/>
      <c r="CH38" s="559"/>
      <c r="CI38" s="559"/>
      <c r="CJ38" s="559"/>
      <c r="CK38" s="559"/>
      <c r="CL38" s="559"/>
      <c r="CM38" s="559"/>
      <c r="CN38" s="559"/>
      <c r="CO38" s="559"/>
      <c r="CP38" s="559"/>
      <c r="CQ38" s="559"/>
      <c r="CR38" s="559"/>
      <c r="CS38" s="559"/>
      <c r="CT38" s="559"/>
      <c r="CU38" s="559"/>
      <c r="CV38" s="559"/>
      <c r="CW38" s="559"/>
      <c r="CX38" s="559"/>
      <c r="CY38" s="559"/>
      <c r="CZ38" s="559"/>
      <c r="DA38" s="559"/>
      <c r="DB38" s="559"/>
      <c r="DC38" s="559"/>
      <c r="DD38" s="559"/>
      <c r="DE38" s="559"/>
      <c r="DF38" s="559"/>
      <c r="DG38" s="559"/>
      <c r="DH38" s="559"/>
      <c r="DI38" s="559"/>
      <c r="DJ38" s="559"/>
      <c r="DK38" s="559"/>
      <c r="DL38" s="559"/>
      <c r="DM38" s="559"/>
      <c r="DN38" s="559"/>
      <c r="DO38" s="559"/>
      <c r="DP38" s="559"/>
      <c r="DQ38" s="559"/>
      <c r="DR38" s="559"/>
      <c r="DS38" s="559"/>
      <c r="DT38" s="559"/>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559"/>
      <c r="ES38" s="559"/>
      <c r="ET38" s="559"/>
      <c r="EU38" s="559"/>
      <c r="EV38" s="559"/>
      <c r="EW38" s="559"/>
      <c r="EX38" s="559"/>
      <c r="EY38" s="559"/>
      <c r="EZ38" s="559"/>
      <c r="FA38" s="559"/>
      <c r="FB38" s="559"/>
      <c r="FC38" s="559"/>
      <c r="FD38" s="559"/>
      <c r="FE38" s="559"/>
      <c r="FF38" s="559"/>
      <c r="FG38" s="559"/>
      <c r="FH38" s="559"/>
      <c r="FI38" s="559"/>
      <c r="FJ38" s="559"/>
      <c r="FK38" s="559"/>
      <c r="FL38" s="559"/>
      <c r="FM38" s="559"/>
      <c r="FN38" s="559"/>
      <c r="FO38" s="559"/>
      <c r="FP38" s="559"/>
      <c r="FQ38" s="559"/>
      <c r="FR38" s="559"/>
      <c r="FS38" s="559"/>
      <c r="FT38" s="559"/>
    </row>
    <row r="39" spans="1:176" ht="5.0999999999999996" customHeight="1" x14ac:dyDescent="0.25">
      <c r="A39" s="559"/>
      <c r="B39" s="309"/>
      <c r="C39" s="311"/>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c r="CB39" s="559"/>
      <c r="CC39" s="559"/>
      <c r="CD39" s="559"/>
      <c r="CE39" s="559"/>
      <c r="CF39" s="559"/>
      <c r="CG39" s="559"/>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59"/>
      <c r="DH39" s="559"/>
      <c r="DI39" s="559"/>
      <c r="DJ39" s="559"/>
      <c r="DK39" s="559"/>
      <c r="DL39" s="559"/>
      <c r="DM39" s="559"/>
      <c r="DN39" s="559"/>
      <c r="DO39" s="559"/>
      <c r="DP39" s="559"/>
      <c r="DQ39" s="559"/>
      <c r="DR39" s="559"/>
      <c r="DS39" s="559"/>
      <c r="DT39" s="559"/>
      <c r="DU39" s="559"/>
      <c r="DV39" s="559"/>
      <c r="DW39" s="559"/>
      <c r="DX39" s="559"/>
      <c r="DY39" s="559"/>
      <c r="DZ39" s="559"/>
      <c r="EA39" s="559"/>
      <c r="EB39" s="559"/>
      <c r="EC39" s="559"/>
      <c r="ED39" s="559"/>
      <c r="EE39" s="559"/>
      <c r="EF39" s="559"/>
      <c r="EG39" s="559"/>
      <c r="EH39" s="559"/>
      <c r="EI39" s="559"/>
      <c r="EJ39" s="559"/>
      <c r="EK39" s="559"/>
      <c r="EL39" s="559"/>
      <c r="EM39" s="559"/>
      <c r="EN39" s="559"/>
      <c r="EO39" s="559"/>
      <c r="EP39" s="559"/>
      <c r="EQ39" s="559"/>
      <c r="ER39" s="559"/>
      <c r="ES39" s="559"/>
      <c r="ET39" s="559"/>
      <c r="EU39" s="559"/>
      <c r="EV39" s="559"/>
      <c r="EW39" s="559"/>
      <c r="EX39" s="559"/>
      <c r="EY39" s="559"/>
      <c r="EZ39" s="559"/>
      <c r="FA39" s="559"/>
      <c r="FB39" s="559"/>
      <c r="FC39" s="559"/>
      <c r="FD39" s="559"/>
      <c r="FE39" s="559"/>
      <c r="FF39" s="559"/>
      <c r="FG39" s="559"/>
      <c r="FH39" s="559"/>
      <c r="FI39" s="559"/>
      <c r="FJ39" s="559"/>
      <c r="FK39" s="559"/>
      <c r="FL39" s="559"/>
      <c r="FM39" s="559"/>
      <c r="FN39" s="559"/>
      <c r="FO39" s="559"/>
      <c r="FP39" s="559"/>
      <c r="FQ39" s="559"/>
      <c r="FR39" s="559"/>
      <c r="FS39" s="559"/>
      <c r="FT39" s="559"/>
    </row>
    <row r="40" spans="1:176" ht="20.100000000000001" customHeight="1" x14ac:dyDescent="0.25">
      <c r="A40" s="559"/>
      <c r="B40" s="672" t="s">
        <v>1051</v>
      </c>
      <c r="C40" s="673"/>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c r="CB40" s="559"/>
      <c r="CC40" s="559"/>
      <c r="CD40" s="559"/>
      <c r="CE40" s="559"/>
      <c r="CF40" s="559"/>
      <c r="CG40" s="559"/>
      <c r="CH40" s="559"/>
      <c r="CI40" s="559"/>
      <c r="CJ40" s="559"/>
      <c r="CK40" s="559"/>
      <c r="CL40" s="559"/>
      <c r="CM40" s="559"/>
      <c r="CN40" s="559"/>
      <c r="CO40" s="559"/>
      <c r="CP40" s="559"/>
      <c r="CQ40" s="559"/>
      <c r="CR40" s="559"/>
      <c r="CS40" s="559"/>
      <c r="CT40" s="559"/>
      <c r="CU40" s="559"/>
      <c r="CV40" s="559"/>
      <c r="CW40" s="559"/>
      <c r="CX40" s="559"/>
      <c r="CY40" s="559"/>
      <c r="CZ40" s="559"/>
      <c r="DA40" s="559"/>
      <c r="DB40" s="559"/>
      <c r="DC40" s="559"/>
      <c r="DD40" s="559"/>
      <c r="DE40" s="559"/>
      <c r="DF40" s="559"/>
      <c r="DG40" s="559"/>
      <c r="DH40" s="559"/>
      <c r="DI40" s="559"/>
      <c r="DJ40" s="559"/>
      <c r="DK40" s="559"/>
      <c r="DL40" s="559"/>
      <c r="DM40" s="559"/>
      <c r="DN40" s="559"/>
      <c r="DO40" s="559"/>
      <c r="DP40" s="559"/>
      <c r="DQ40" s="559"/>
      <c r="DR40" s="559"/>
      <c r="DS40" s="559"/>
      <c r="DT40" s="559"/>
      <c r="DU40" s="559"/>
      <c r="DV40" s="559"/>
      <c r="DW40" s="559"/>
      <c r="DX40" s="559"/>
      <c r="DY40" s="559"/>
      <c r="DZ40" s="559"/>
      <c r="EA40" s="559"/>
      <c r="EB40" s="559"/>
      <c r="EC40" s="559"/>
      <c r="ED40" s="559"/>
      <c r="EE40" s="559"/>
      <c r="EF40" s="559"/>
      <c r="EG40" s="559"/>
      <c r="EH40" s="559"/>
      <c r="EI40" s="559"/>
      <c r="EJ40" s="559"/>
      <c r="EK40" s="559"/>
      <c r="EL40" s="559"/>
      <c r="EM40" s="559"/>
      <c r="EN40" s="559"/>
      <c r="EO40" s="559"/>
      <c r="EP40" s="559"/>
      <c r="EQ40" s="559"/>
      <c r="ER40" s="559"/>
      <c r="ES40" s="559"/>
      <c r="ET40" s="559"/>
      <c r="EU40" s="559"/>
      <c r="EV40" s="559"/>
      <c r="EW40" s="559"/>
      <c r="EX40" s="559"/>
      <c r="EY40" s="559"/>
      <c r="EZ40" s="559"/>
      <c r="FA40" s="559"/>
      <c r="FB40" s="559"/>
      <c r="FC40" s="559"/>
      <c r="FD40" s="559"/>
      <c r="FE40" s="559"/>
      <c r="FF40" s="559"/>
      <c r="FG40" s="559"/>
      <c r="FH40" s="559"/>
      <c r="FI40" s="559"/>
      <c r="FJ40" s="559"/>
      <c r="FK40" s="559"/>
      <c r="FL40" s="559"/>
      <c r="FM40" s="559"/>
      <c r="FN40" s="559"/>
      <c r="FO40" s="559"/>
      <c r="FP40" s="559"/>
      <c r="FQ40" s="559"/>
      <c r="FR40" s="559"/>
      <c r="FS40" s="559"/>
      <c r="FT40" s="559"/>
    </row>
    <row r="41" spans="1:176" ht="20.100000000000001" customHeight="1" x14ac:dyDescent="0.25">
      <c r="A41" s="559"/>
      <c r="B41" s="207" t="s">
        <v>830</v>
      </c>
      <c r="C41" s="519">
        <f>C113</f>
        <v>9294.8404852799977</v>
      </c>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c r="CB41" s="559"/>
      <c r="CC41" s="559"/>
      <c r="CD41" s="559"/>
      <c r="CE41" s="559"/>
      <c r="CF41" s="559"/>
      <c r="CG41" s="559"/>
      <c r="CH41" s="559"/>
      <c r="CI41" s="559"/>
      <c r="CJ41" s="559"/>
      <c r="CK41" s="559"/>
      <c r="CL41" s="559"/>
      <c r="CM41" s="559"/>
      <c r="CN41" s="559"/>
      <c r="CO41" s="559"/>
      <c r="CP41" s="559"/>
      <c r="CQ41" s="559"/>
      <c r="CR41" s="559"/>
      <c r="CS41" s="559"/>
      <c r="CT41" s="559"/>
      <c r="CU41" s="559"/>
      <c r="CV41" s="559"/>
      <c r="CW41" s="559"/>
      <c r="CX41" s="559"/>
      <c r="CY41" s="559"/>
      <c r="CZ41" s="559"/>
      <c r="DA41" s="559"/>
      <c r="DB41" s="559"/>
      <c r="DC41" s="559"/>
      <c r="DD41" s="559"/>
      <c r="DE41" s="559"/>
      <c r="DF41" s="559"/>
      <c r="DG41" s="559"/>
      <c r="DH41" s="559"/>
      <c r="DI41" s="559"/>
      <c r="DJ41" s="559"/>
      <c r="DK41" s="559"/>
      <c r="DL41" s="559"/>
      <c r="DM41" s="559"/>
      <c r="DN41" s="559"/>
      <c r="DO41" s="559"/>
      <c r="DP41" s="559"/>
      <c r="DQ41" s="559"/>
      <c r="DR41" s="559"/>
      <c r="DS41" s="559"/>
      <c r="DT41" s="559"/>
      <c r="DU41" s="559"/>
      <c r="DV41" s="559"/>
      <c r="DW41" s="559"/>
      <c r="DX41" s="559"/>
      <c r="DY41" s="559"/>
      <c r="DZ41" s="559"/>
      <c r="EA41" s="559"/>
      <c r="EB41" s="559"/>
      <c r="EC41" s="559"/>
      <c r="ED41" s="559"/>
      <c r="EE41" s="559"/>
      <c r="EF41" s="559"/>
      <c r="EG41" s="559"/>
      <c r="EH41" s="559"/>
      <c r="EI41" s="559"/>
      <c r="EJ41" s="559"/>
      <c r="EK41" s="559"/>
      <c r="EL41" s="559"/>
      <c r="EM41" s="559"/>
      <c r="EN41" s="559"/>
      <c r="EO41" s="559"/>
      <c r="EP41" s="559"/>
      <c r="EQ41" s="559"/>
      <c r="ER41" s="559"/>
      <c r="ES41" s="559"/>
      <c r="ET41" s="559"/>
      <c r="EU41" s="559"/>
      <c r="EV41" s="559"/>
      <c r="EW41" s="559"/>
      <c r="EX41" s="559"/>
      <c r="EY41" s="559"/>
      <c r="EZ41" s="559"/>
      <c r="FA41" s="559"/>
      <c r="FB41" s="559"/>
      <c r="FC41" s="559"/>
      <c r="FD41" s="559"/>
      <c r="FE41" s="559"/>
      <c r="FF41" s="559"/>
      <c r="FG41" s="559"/>
      <c r="FH41" s="559"/>
      <c r="FI41" s="559"/>
      <c r="FJ41" s="559"/>
      <c r="FK41" s="559"/>
      <c r="FL41" s="559"/>
      <c r="FM41" s="559"/>
      <c r="FN41" s="559"/>
      <c r="FO41" s="559"/>
      <c r="FP41" s="559"/>
      <c r="FQ41" s="559"/>
      <c r="FR41" s="559"/>
      <c r="FS41" s="559"/>
      <c r="FT41" s="559"/>
    </row>
    <row r="42" spans="1:176" ht="20.100000000000001" customHeight="1" x14ac:dyDescent="0.25">
      <c r="A42" s="559"/>
      <c r="B42" s="208" t="s">
        <v>1052</v>
      </c>
      <c r="C42" s="11"/>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59"/>
      <c r="DH42" s="559"/>
      <c r="DI42" s="559"/>
      <c r="DJ42" s="559"/>
      <c r="DK42" s="559"/>
      <c r="DL42" s="559"/>
      <c r="DM42" s="559"/>
      <c r="DN42" s="559"/>
      <c r="DO42" s="559"/>
      <c r="DP42" s="559"/>
      <c r="DQ42" s="559"/>
      <c r="DR42" s="559"/>
      <c r="DS42" s="559"/>
      <c r="DT42" s="559"/>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559"/>
      <c r="ER42" s="559"/>
      <c r="ES42" s="559"/>
      <c r="ET42" s="559"/>
      <c r="EU42" s="559"/>
      <c r="EV42" s="559"/>
      <c r="EW42" s="559"/>
      <c r="EX42" s="559"/>
      <c r="EY42" s="559"/>
      <c r="EZ42" s="559"/>
      <c r="FA42" s="559"/>
      <c r="FB42" s="559"/>
      <c r="FC42" s="559"/>
      <c r="FD42" s="559"/>
      <c r="FE42" s="559"/>
      <c r="FF42" s="559"/>
      <c r="FG42" s="559"/>
      <c r="FH42" s="559"/>
      <c r="FI42" s="559"/>
      <c r="FJ42" s="559"/>
      <c r="FK42" s="559"/>
      <c r="FL42" s="559"/>
      <c r="FM42" s="559"/>
      <c r="FN42" s="559"/>
      <c r="FO42" s="559"/>
      <c r="FP42" s="559"/>
      <c r="FQ42" s="559"/>
      <c r="FR42" s="559"/>
      <c r="FS42" s="559"/>
      <c r="FT42" s="559"/>
    </row>
    <row r="43" spans="1:176" ht="20.100000000000001" customHeight="1" x14ac:dyDescent="0.25">
      <c r="A43" s="559"/>
      <c r="B43" s="523" t="s">
        <v>89</v>
      </c>
      <c r="C43" s="535">
        <f>-1*C111</f>
        <v>-2.447775</v>
      </c>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c r="CB43" s="559"/>
      <c r="CC43" s="559"/>
      <c r="CD43" s="559"/>
      <c r="CE43" s="559"/>
      <c r="CF43" s="559"/>
      <c r="CG43" s="559"/>
      <c r="CH43" s="559"/>
      <c r="CI43" s="559"/>
      <c r="CJ43" s="559"/>
      <c r="CK43" s="559"/>
      <c r="CL43" s="559"/>
      <c r="CM43" s="559"/>
      <c r="CN43" s="559"/>
      <c r="CO43" s="559"/>
      <c r="CP43" s="559"/>
      <c r="CQ43" s="559"/>
      <c r="CR43" s="559"/>
      <c r="CS43" s="559"/>
      <c r="CT43" s="559"/>
      <c r="CU43" s="559"/>
      <c r="CV43" s="559"/>
      <c r="CW43" s="559"/>
      <c r="CX43" s="559"/>
      <c r="CY43" s="559"/>
      <c r="CZ43" s="559"/>
      <c r="DA43" s="559"/>
      <c r="DB43" s="559"/>
      <c r="DC43" s="559"/>
      <c r="DD43" s="559"/>
      <c r="DE43" s="559"/>
      <c r="DF43" s="559"/>
      <c r="DG43" s="559"/>
      <c r="DH43" s="559"/>
      <c r="DI43" s="559"/>
      <c r="DJ43" s="559"/>
      <c r="DK43" s="559"/>
      <c r="DL43" s="559"/>
      <c r="DM43" s="559"/>
      <c r="DN43" s="559"/>
      <c r="DO43" s="559"/>
      <c r="DP43" s="559"/>
      <c r="DQ43" s="559"/>
      <c r="DR43" s="559"/>
      <c r="DS43" s="559"/>
      <c r="DT43" s="559"/>
      <c r="DU43" s="559"/>
      <c r="DV43" s="559"/>
      <c r="DW43" s="559"/>
      <c r="DX43" s="559"/>
      <c r="DY43" s="559"/>
      <c r="DZ43" s="559"/>
      <c r="EA43" s="559"/>
      <c r="EB43" s="559"/>
      <c r="EC43" s="559"/>
      <c r="ED43" s="559"/>
      <c r="EE43" s="559"/>
      <c r="EF43" s="559"/>
      <c r="EG43" s="559"/>
      <c r="EH43" s="559"/>
      <c r="EI43" s="559"/>
      <c r="EJ43" s="559"/>
      <c r="EK43" s="559"/>
      <c r="EL43" s="559"/>
      <c r="EM43" s="559"/>
      <c r="EN43" s="559"/>
      <c r="EO43" s="559"/>
      <c r="EP43" s="559"/>
      <c r="EQ43" s="559"/>
      <c r="ER43" s="559"/>
      <c r="ES43" s="559"/>
      <c r="ET43" s="559"/>
      <c r="EU43" s="559"/>
      <c r="EV43" s="559"/>
      <c r="EW43" s="559"/>
      <c r="EX43" s="559"/>
      <c r="EY43" s="559"/>
      <c r="EZ43" s="559"/>
      <c r="FA43" s="559"/>
      <c r="FB43" s="559"/>
      <c r="FC43" s="559"/>
      <c r="FD43" s="559"/>
      <c r="FE43" s="559"/>
      <c r="FF43" s="559"/>
      <c r="FG43" s="559"/>
      <c r="FH43" s="559"/>
      <c r="FI43" s="559"/>
      <c r="FJ43" s="559"/>
      <c r="FK43" s="559"/>
      <c r="FL43" s="559"/>
      <c r="FM43" s="559"/>
      <c r="FN43" s="559"/>
      <c r="FO43" s="559"/>
      <c r="FP43" s="559"/>
      <c r="FQ43" s="559"/>
      <c r="FR43" s="559"/>
      <c r="FS43" s="559"/>
      <c r="FT43" s="559"/>
    </row>
    <row r="44" spans="1:176" ht="20.100000000000001" customHeight="1" x14ac:dyDescent="0.25">
      <c r="A44" s="559"/>
      <c r="B44" s="523" t="s">
        <v>494</v>
      </c>
      <c r="C44" s="535">
        <v>0</v>
      </c>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c r="CB44" s="559"/>
      <c r="CC44" s="559"/>
      <c r="CD44" s="559"/>
      <c r="CE44" s="559"/>
      <c r="CF44" s="559"/>
      <c r="CG44" s="559"/>
      <c r="CH44" s="559"/>
      <c r="CI44" s="559"/>
      <c r="CJ44" s="559"/>
      <c r="CK44" s="559"/>
      <c r="CL44" s="559"/>
      <c r="CM44" s="559"/>
      <c r="CN44" s="559"/>
      <c r="CO44" s="559"/>
      <c r="CP44" s="559"/>
      <c r="CQ44" s="559"/>
      <c r="CR44" s="559"/>
      <c r="CS44" s="559"/>
      <c r="CT44" s="559"/>
      <c r="CU44" s="559"/>
      <c r="CV44" s="559"/>
      <c r="CW44" s="559"/>
      <c r="CX44" s="559"/>
      <c r="CY44" s="559"/>
      <c r="CZ44" s="559"/>
      <c r="DA44" s="559"/>
      <c r="DB44" s="559"/>
      <c r="DC44" s="559"/>
      <c r="DD44" s="559"/>
      <c r="DE44" s="559"/>
      <c r="DF44" s="559"/>
      <c r="DG44" s="559"/>
      <c r="DH44" s="559"/>
      <c r="DI44" s="559"/>
      <c r="DJ44" s="559"/>
      <c r="DK44" s="559"/>
      <c r="DL44" s="559"/>
      <c r="DM44" s="559"/>
      <c r="DN44" s="559"/>
      <c r="DO44" s="559"/>
      <c r="DP44" s="559"/>
      <c r="DQ44" s="559"/>
      <c r="DR44" s="559"/>
      <c r="DS44" s="559"/>
      <c r="DT44" s="559"/>
      <c r="DU44" s="559"/>
      <c r="DV44" s="559"/>
      <c r="DW44" s="559"/>
      <c r="DX44" s="559"/>
      <c r="DY44" s="559"/>
      <c r="DZ44" s="559"/>
      <c r="EA44" s="559"/>
      <c r="EB44" s="559"/>
      <c r="EC44" s="559"/>
      <c r="ED44" s="559"/>
      <c r="EE44" s="559"/>
      <c r="EF44" s="559"/>
      <c r="EG44" s="559"/>
      <c r="EH44" s="559"/>
      <c r="EI44" s="559"/>
      <c r="EJ44" s="559"/>
      <c r="EK44" s="559"/>
      <c r="EL44" s="559"/>
      <c r="EM44" s="559"/>
      <c r="EN44" s="559"/>
      <c r="EO44" s="559"/>
      <c r="EP44" s="559"/>
      <c r="EQ44" s="559"/>
      <c r="ER44" s="559"/>
      <c r="ES44" s="559"/>
      <c r="ET44" s="559"/>
      <c r="EU44" s="559"/>
      <c r="EV44" s="559"/>
      <c r="EW44" s="559"/>
      <c r="EX44" s="559"/>
      <c r="EY44" s="559"/>
      <c r="EZ44" s="559"/>
      <c r="FA44" s="559"/>
      <c r="FB44" s="559"/>
      <c r="FC44" s="559"/>
      <c r="FD44" s="559"/>
      <c r="FE44" s="559"/>
      <c r="FF44" s="559"/>
      <c r="FG44" s="559"/>
      <c r="FH44" s="559"/>
      <c r="FI44" s="559"/>
      <c r="FJ44" s="559"/>
      <c r="FK44" s="559"/>
      <c r="FL44" s="559"/>
      <c r="FM44" s="559"/>
      <c r="FN44" s="559"/>
      <c r="FO44" s="559"/>
      <c r="FP44" s="559"/>
      <c r="FQ44" s="559"/>
      <c r="FR44" s="559"/>
      <c r="FS44" s="559"/>
      <c r="FT44" s="559"/>
    </row>
    <row r="45" spans="1:176" ht="20.100000000000001" customHeight="1" x14ac:dyDescent="0.25">
      <c r="A45" s="559"/>
      <c r="B45" s="523" t="s">
        <v>495</v>
      </c>
      <c r="C45" s="524">
        <v>0</v>
      </c>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c r="CB45" s="559"/>
      <c r="CC45" s="559"/>
      <c r="CD45" s="559"/>
      <c r="CE45" s="559"/>
      <c r="CF45" s="559"/>
      <c r="CG45" s="559"/>
      <c r="CH45" s="559"/>
      <c r="CI45" s="559"/>
      <c r="CJ45" s="559"/>
      <c r="CK45" s="559"/>
      <c r="CL45" s="559"/>
      <c r="CM45" s="559"/>
      <c r="CN45" s="559"/>
      <c r="CO45" s="559"/>
      <c r="CP45" s="559"/>
      <c r="CQ45" s="559"/>
      <c r="CR45" s="559"/>
      <c r="CS45" s="559"/>
      <c r="CT45" s="559"/>
      <c r="CU45" s="559"/>
      <c r="CV45" s="559"/>
      <c r="CW45" s="559"/>
      <c r="CX45" s="559"/>
      <c r="CY45" s="559"/>
      <c r="CZ45" s="559"/>
      <c r="DA45" s="559"/>
      <c r="DB45" s="559"/>
      <c r="DC45" s="559"/>
      <c r="DD45" s="559"/>
      <c r="DE45" s="559"/>
      <c r="DF45" s="559"/>
      <c r="DG45" s="559"/>
      <c r="DH45" s="559"/>
      <c r="DI45" s="559"/>
      <c r="DJ45" s="559"/>
      <c r="DK45" s="559"/>
      <c r="DL45" s="559"/>
      <c r="DM45" s="559"/>
      <c r="DN45" s="559"/>
      <c r="DO45" s="559"/>
      <c r="DP45" s="559"/>
      <c r="DQ45" s="559"/>
      <c r="DR45" s="559"/>
      <c r="DS45" s="559"/>
      <c r="DT45" s="559"/>
      <c r="DU45" s="559"/>
      <c r="DV45" s="559"/>
      <c r="DW45" s="559"/>
      <c r="DX45" s="559"/>
      <c r="DY45" s="559"/>
      <c r="DZ45" s="559"/>
      <c r="EA45" s="559"/>
      <c r="EB45" s="559"/>
      <c r="EC45" s="559"/>
      <c r="ED45" s="559"/>
      <c r="EE45" s="559"/>
      <c r="EF45" s="559"/>
      <c r="EG45" s="559"/>
      <c r="EH45" s="559"/>
      <c r="EI45" s="559"/>
      <c r="EJ45" s="559"/>
      <c r="EK45" s="559"/>
      <c r="EL45" s="559"/>
      <c r="EM45" s="559"/>
      <c r="EN45" s="559"/>
      <c r="EO45" s="559"/>
      <c r="EP45" s="559"/>
      <c r="EQ45" s="559"/>
      <c r="ER45" s="559"/>
      <c r="ES45" s="559"/>
      <c r="ET45" s="559"/>
      <c r="EU45" s="559"/>
      <c r="EV45" s="559"/>
      <c r="EW45" s="559"/>
      <c r="EX45" s="559"/>
      <c r="EY45" s="559"/>
      <c r="EZ45" s="559"/>
      <c r="FA45" s="559"/>
      <c r="FB45" s="559"/>
      <c r="FC45" s="559"/>
      <c r="FD45" s="559"/>
      <c r="FE45" s="559"/>
      <c r="FF45" s="559"/>
      <c r="FG45" s="559"/>
      <c r="FH45" s="559"/>
      <c r="FI45" s="559"/>
      <c r="FJ45" s="559"/>
      <c r="FK45" s="559"/>
      <c r="FL45" s="559"/>
      <c r="FM45" s="559"/>
      <c r="FN45" s="559"/>
      <c r="FO45" s="559"/>
      <c r="FP45" s="559"/>
      <c r="FQ45" s="559"/>
      <c r="FR45" s="559"/>
      <c r="FS45" s="559"/>
      <c r="FT45" s="559"/>
    </row>
    <row r="46" spans="1:176" ht="20.100000000000001" customHeight="1" x14ac:dyDescent="0.25">
      <c r="A46" s="559"/>
      <c r="B46" s="523" t="s">
        <v>217</v>
      </c>
      <c r="C46" s="524">
        <f>C107</f>
        <v>0</v>
      </c>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c r="CB46" s="559"/>
      <c r="CC46" s="559"/>
      <c r="CD46" s="559"/>
      <c r="CE46" s="559"/>
      <c r="CF46" s="559"/>
      <c r="CG46" s="559"/>
      <c r="CH46" s="559"/>
      <c r="CI46" s="559"/>
      <c r="CJ46" s="559"/>
      <c r="CK46" s="559"/>
      <c r="CL46" s="559"/>
      <c r="CM46" s="559"/>
      <c r="CN46" s="559"/>
      <c r="CO46" s="559"/>
      <c r="CP46" s="559"/>
      <c r="CQ46" s="559"/>
      <c r="CR46" s="559"/>
      <c r="CS46" s="559"/>
      <c r="CT46" s="559"/>
      <c r="CU46" s="559"/>
      <c r="CV46" s="559"/>
      <c r="CW46" s="559"/>
      <c r="CX46" s="559"/>
      <c r="CY46" s="559"/>
      <c r="CZ46" s="559"/>
      <c r="DA46" s="559"/>
      <c r="DB46" s="559"/>
      <c r="DC46" s="559"/>
      <c r="DD46" s="559"/>
      <c r="DE46" s="559"/>
      <c r="DF46" s="559"/>
      <c r="DG46" s="559"/>
      <c r="DH46" s="559"/>
      <c r="DI46" s="559"/>
      <c r="DJ46" s="559"/>
      <c r="DK46" s="559"/>
      <c r="DL46" s="559"/>
      <c r="DM46" s="559"/>
      <c r="DN46" s="559"/>
      <c r="DO46" s="559"/>
      <c r="DP46" s="559"/>
      <c r="DQ46" s="559"/>
      <c r="DR46" s="559"/>
      <c r="DS46" s="559"/>
      <c r="DT46" s="559"/>
      <c r="DU46" s="559"/>
      <c r="DV46" s="559"/>
      <c r="DW46" s="559"/>
      <c r="DX46" s="559"/>
      <c r="DY46" s="559"/>
      <c r="DZ46" s="559"/>
      <c r="EA46" s="559"/>
      <c r="EB46" s="559"/>
      <c r="EC46" s="559"/>
      <c r="ED46" s="559"/>
      <c r="EE46" s="559"/>
      <c r="EF46" s="559"/>
      <c r="EG46" s="559"/>
      <c r="EH46" s="559"/>
      <c r="EI46" s="559"/>
      <c r="EJ46" s="559"/>
      <c r="EK46" s="559"/>
      <c r="EL46" s="559"/>
      <c r="EM46" s="559"/>
      <c r="EN46" s="559"/>
      <c r="EO46" s="559"/>
      <c r="EP46" s="559"/>
      <c r="EQ46" s="559"/>
      <c r="ER46" s="559"/>
      <c r="ES46" s="559"/>
      <c r="ET46" s="559"/>
      <c r="EU46" s="559"/>
      <c r="EV46" s="559"/>
      <c r="EW46" s="559"/>
      <c r="EX46" s="559"/>
      <c r="EY46" s="559"/>
      <c r="EZ46" s="559"/>
      <c r="FA46" s="559"/>
      <c r="FB46" s="559"/>
      <c r="FC46" s="559"/>
      <c r="FD46" s="559"/>
      <c r="FE46" s="559"/>
      <c r="FF46" s="559"/>
      <c r="FG46" s="559"/>
      <c r="FH46" s="559"/>
      <c r="FI46" s="559"/>
      <c r="FJ46" s="559"/>
      <c r="FK46" s="559"/>
      <c r="FL46" s="559"/>
      <c r="FM46" s="559"/>
      <c r="FN46" s="559"/>
      <c r="FO46" s="559"/>
      <c r="FP46" s="559"/>
      <c r="FQ46" s="559"/>
      <c r="FR46" s="559"/>
      <c r="FS46" s="559"/>
      <c r="FT46" s="559"/>
    </row>
    <row r="47" spans="1:176" ht="20.100000000000001" customHeight="1" x14ac:dyDescent="0.25">
      <c r="A47" s="559"/>
      <c r="B47" s="523" t="s">
        <v>218</v>
      </c>
      <c r="C47" s="524">
        <f>SUM(C43:C46)</f>
        <v>-2.447775</v>
      </c>
      <c r="I47" s="559"/>
      <c r="J47" s="559"/>
      <c r="K47" s="559"/>
      <c r="L47" s="559"/>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c r="CB47" s="559"/>
      <c r="CC47" s="559"/>
      <c r="CD47" s="559"/>
      <c r="CE47" s="559"/>
      <c r="CF47" s="559"/>
      <c r="CG47" s="559"/>
      <c r="CH47" s="559"/>
      <c r="CI47" s="559"/>
      <c r="CJ47" s="559"/>
      <c r="CK47" s="559"/>
      <c r="CL47" s="559"/>
      <c r="CM47" s="559"/>
      <c r="CN47" s="559"/>
      <c r="CO47" s="559"/>
      <c r="CP47" s="559"/>
      <c r="CQ47" s="559"/>
      <c r="CR47" s="559"/>
      <c r="CS47" s="559"/>
      <c r="CT47" s="559"/>
      <c r="CU47" s="559"/>
      <c r="CV47" s="559"/>
      <c r="CW47" s="559"/>
      <c r="CX47" s="559"/>
      <c r="CY47" s="559"/>
      <c r="CZ47" s="559"/>
      <c r="DA47" s="559"/>
      <c r="DB47" s="559"/>
      <c r="DC47" s="559"/>
      <c r="DD47" s="559"/>
      <c r="DE47" s="559"/>
      <c r="DF47" s="559"/>
      <c r="DG47" s="559"/>
      <c r="DH47" s="559"/>
      <c r="DI47" s="559"/>
      <c r="DJ47" s="559"/>
      <c r="DK47" s="559"/>
      <c r="DL47" s="559"/>
      <c r="DM47" s="559"/>
      <c r="DN47" s="559"/>
      <c r="DO47" s="559"/>
      <c r="DP47" s="559"/>
      <c r="DQ47" s="559"/>
      <c r="DR47" s="559"/>
      <c r="DS47" s="559"/>
      <c r="DT47" s="559"/>
      <c r="DU47" s="559"/>
      <c r="DV47" s="559"/>
      <c r="DW47" s="559"/>
      <c r="DX47" s="559"/>
      <c r="DY47" s="559"/>
      <c r="DZ47" s="559"/>
      <c r="EA47" s="559"/>
      <c r="EB47" s="559"/>
      <c r="EC47" s="559"/>
      <c r="ED47" s="559"/>
      <c r="EE47" s="559"/>
      <c r="EF47" s="559"/>
      <c r="EG47" s="559"/>
      <c r="EH47" s="559"/>
      <c r="EI47" s="559"/>
      <c r="EJ47" s="559"/>
      <c r="EK47" s="559"/>
      <c r="EL47" s="559"/>
      <c r="EM47" s="559"/>
      <c r="EN47" s="559"/>
      <c r="EO47" s="559"/>
      <c r="EP47" s="559"/>
      <c r="EQ47" s="559"/>
      <c r="ER47" s="559"/>
      <c r="ES47" s="559"/>
      <c r="ET47" s="559"/>
      <c r="EU47" s="559"/>
      <c r="EV47" s="559"/>
      <c r="EW47" s="559"/>
      <c r="EX47" s="559"/>
      <c r="EY47" s="559"/>
      <c r="EZ47" s="559"/>
      <c r="FA47" s="559"/>
      <c r="FB47" s="559"/>
      <c r="FC47" s="559"/>
      <c r="FD47" s="559"/>
      <c r="FE47" s="559"/>
      <c r="FF47" s="559"/>
      <c r="FG47" s="559"/>
      <c r="FH47" s="559"/>
      <c r="FI47" s="559"/>
      <c r="FJ47" s="559"/>
      <c r="FK47" s="559"/>
      <c r="FL47" s="559"/>
      <c r="FM47" s="559"/>
      <c r="FN47" s="559"/>
      <c r="FO47" s="559"/>
      <c r="FP47" s="559"/>
      <c r="FQ47" s="559"/>
      <c r="FR47" s="559"/>
      <c r="FS47" s="559"/>
      <c r="FT47" s="559"/>
    </row>
    <row r="48" spans="1:176" ht="20.100000000000001" customHeight="1" x14ac:dyDescent="0.25">
      <c r="A48" s="559"/>
      <c r="B48" s="525" t="s">
        <v>1047</v>
      </c>
      <c r="C48" s="526">
        <f>C47*C38</f>
        <v>-14.68665</v>
      </c>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c r="CB48" s="559"/>
      <c r="CC48" s="559"/>
      <c r="CD48" s="559"/>
      <c r="CE48" s="559"/>
      <c r="CF48" s="559"/>
      <c r="CG48" s="559"/>
      <c r="CH48" s="559"/>
      <c r="CI48" s="559"/>
      <c r="CJ48" s="559"/>
      <c r="CK48" s="559"/>
      <c r="CL48" s="559"/>
      <c r="CM48" s="559"/>
      <c r="CN48" s="559"/>
      <c r="CO48" s="559"/>
      <c r="CP48" s="559"/>
      <c r="CQ48" s="559"/>
      <c r="CR48" s="559"/>
      <c r="CS48" s="559"/>
      <c r="CT48" s="559"/>
      <c r="CU48" s="559"/>
      <c r="CV48" s="559"/>
      <c r="CW48" s="559"/>
      <c r="CX48" s="559"/>
      <c r="CY48" s="559"/>
      <c r="CZ48" s="559"/>
      <c r="DA48" s="559"/>
      <c r="DB48" s="559"/>
      <c r="DC48" s="559"/>
      <c r="DD48" s="559"/>
      <c r="DE48" s="559"/>
      <c r="DF48" s="559"/>
      <c r="DG48" s="559"/>
      <c r="DH48" s="559"/>
      <c r="DI48" s="559"/>
      <c r="DJ48" s="559"/>
      <c r="DK48" s="559"/>
      <c r="DL48" s="559"/>
      <c r="DM48" s="559"/>
      <c r="DN48" s="559"/>
      <c r="DO48" s="559"/>
      <c r="DP48" s="559"/>
      <c r="DQ48" s="559"/>
      <c r="DR48" s="559"/>
      <c r="DS48" s="559"/>
      <c r="DT48" s="559"/>
      <c r="DU48" s="559"/>
      <c r="DV48" s="559"/>
      <c r="DW48" s="559"/>
      <c r="DX48" s="559"/>
      <c r="DY48" s="559"/>
      <c r="DZ48" s="559"/>
      <c r="EA48" s="559"/>
      <c r="EB48" s="559"/>
      <c r="EC48" s="559"/>
      <c r="ED48" s="559"/>
      <c r="EE48" s="559"/>
      <c r="EF48" s="559"/>
      <c r="EG48" s="559"/>
      <c r="EH48" s="559"/>
      <c r="EI48" s="559"/>
      <c r="EJ48" s="559"/>
      <c r="EK48" s="559"/>
      <c r="EL48" s="559"/>
      <c r="EM48" s="559"/>
      <c r="EN48" s="559"/>
      <c r="EO48" s="559"/>
      <c r="EP48" s="559"/>
      <c r="EQ48" s="559"/>
      <c r="ER48" s="559"/>
      <c r="ES48" s="559"/>
      <c r="ET48" s="559"/>
      <c r="EU48" s="559"/>
      <c r="EV48" s="559"/>
      <c r="EW48" s="559"/>
      <c r="EX48" s="559"/>
      <c r="EY48" s="559"/>
      <c r="EZ48" s="559"/>
      <c r="FA48" s="559"/>
      <c r="FB48" s="559"/>
      <c r="FC48" s="559"/>
      <c r="FD48" s="559"/>
      <c r="FE48" s="559"/>
      <c r="FF48" s="559"/>
      <c r="FG48" s="559"/>
      <c r="FH48" s="559"/>
      <c r="FI48" s="559"/>
      <c r="FJ48" s="559"/>
      <c r="FK48" s="559"/>
      <c r="FL48" s="559"/>
      <c r="FM48" s="559"/>
      <c r="FN48" s="559"/>
      <c r="FO48" s="559"/>
      <c r="FP48" s="559"/>
      <c r="FQ48" s="559"/>
      <c r="FR48" s="559"/>
      <c r="FS48" s="559"/>
      <c r="FT48" s="559"/>
    </row>
    <row r="49" spans="1:176" ht="20.100000000000001" customHeight="1" x14ac:dyDescent="0.25">
      <c r="A49" s="559"/>
      <c r="B49" s="525" t="s">
        <v>1048</v>
      </c>
      <c r="C49" s="526">
        <f>(C24-C22)*C16*C14</f>
        <v>0</v>
      </c>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c r="CB49" s="559"/>
      <c r="CC49" s="559"/>
      <c r="CD49" s="559"/>
      <c r="CE49" s="559"/>
      <c r="CF49" s="559"/>
      <c r="CG49" s="559"/>
      <c r="CH49" s="559"/>
      <c r="CI49" s="559"/>
      <c r="CJ49" s="559"/>
      <c r="CK49" s="559"/>
      <c r="CL49" s="559"/>
      <c r="CM49" s="559"/>
      <c r="CN49" s="559"/>
      <c r="CO49" s="559"/>
      <c r="CP49" s="559"/>
      <c r="CQ49" s="559"/>
      <c r="CR49" s="559"/>
      <c r="CS49" s="559"/>
      <c r="CT49" s="559"/>
      <c r="CU49" s="559"/>
      <c r="CV49" s="559"/>
      <c r="CW49" s="559"/>
      <c r="CX49" s="559"/>
      <c r="CY49" s="559"/>
      <c r="CZ49" s="559"/>
      <c r="DA49" s="559"/>
      <c r="DB49" s="559"/>
      <c r="DC49" s="559"/>
      <c r="DD49" s="559"/>
      <c r="DE49" s="559"/>
      <c r="DF49" s="559"/>
      <c r="DG49" s="559"/>
      <c r="DH49" s="559"/>
      <c r="DI49" s="559"/>
      <c r="DJ49" s="559"/>
      <c r="DK49" s="559"/>
      <c r="DL49" s="559"/>
      <c r="DM49" s="559"/>
      <c r="DN49" s="559"/>
      <c r="DO49" s="559"/>
      <c r="DP49" s="559"/>
      <c r="DQ49" s="559"/>
      <c r="DR49" s="559"/>
      <c r="DS49" s="559"/>
      <c r="DT49" s="559"/>
      <c r="DU49" s="559"/>
      <c r="DV49" s="559"/>
      <c r="DW49" s="559"/>
      <c r="DX49" s="559"/>
      <c r="DY49" s="559"/>
      <c r="DZ49" s="559"/>
      <c r="EA49" s="559"/>
      <c r="EB49" s="559"/>
      <c r="EC49" s="559"/>
      <c r="ED49" s="559"/>
      <c r="EE49" s="559"/>
      <c r="EF49" s="559"/>
      <c r="EG49" s="559"/>
      <c r="EH49" s="559"/>
      <c r="EI49" s="559"/>
      <c r="EJ49" s="559"/>
      <c r="EK49" s="559"/>
      <c r="EL49" s="559"/>
      <c r="EM49" s="559"/>
      <c r="EN49" s="559"/>
      <c r="EO49" s="559"/>
      <c r="EP49" s="559"/>
      <c r="EQ49" s="559"/>
      <c r="ER49" s="559"/>
      <c r="ES49" s="559"/>
      <c r="ET49" s="559"/>
      <c r="EU49" s="559"/>
      <c r="EV49" s="559"/>
      <c r="EW49" s="559"/>
      <c r="EX49" s="559"/>
      <c r="EY49" s="559"/>
      <c r="EZ49" s="559"/>
      <c r="FA49" s="559"/>
      <c r="FB49" s="559"/>
      <c r="FC49" s="559"/>
      <c r="FD49" s="559"/>
      <c r="FE49" s="559"/>
      <c r="FF49" s="559"/>
      <c r="FG49" s="559"/>
      <c r="FH49" s="559"/>
      <c r="FI49" s="559"/>
      <c r="FJ49" s="559"/>
      <c r="FK49" s="559"/>
      <c r="FL49" s="559"/>
      <c r="FM49" s="559"/>
      <c r="FN49" s="559"/>
      <c r="FO49" s="559"/>
      <c r="FP49" s="559"/>
      <c r="FQ49" s="559"/>
      <c r="FR49" s="559"/>
      <c r="FS49" s="559"/>
      <c r="FT49" s="559"/>
    </row>
    <row r="50" spans="1:176" ht="20.100000000000001" customHeight="1" x14ac:dyDescent="0.25">
      <c r="A50" s="559"/>
      <c r="B50" s="525" t="s">
        <v>20</v>
      </c>
      <c r="C50" s="527">
        <f>IF(C48&gt;1,C48-C49,C49*-1)</f>
        <v>0</v>
      </c>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c r="CB50" s="559"/>
      <c r="CC50" s="559"/>
      <c r="CD50" s="559"/>
      <c r="CE50" s="559"/>
      <c r="CF50" s="559"/>
      <c r="CG50" s="559"/>
      <c r="CH50" s="559"/>
      <c r="CI50" s="559"/>
      <c r="CJ50" s="559"/>
      <c r="CK50" s="559"/>
      <c r="CL50" s="559"/>
      <c r="CM50" s="559"/>
      <c r="CN50" s="559"/>
      <c r="CO50" s="559"/>
      <c r="CP50" s="559"/>
      <c r="CQ50" s="559"/>
      <c r="CR50" s="559"/>
      <c r="CS50" s="559"/>
      <c r="CT50" s="559"/>
      <c r="CU50" s="559"/>
      <c r="CV50" s="559"/>
      <c r="CW50" s="559"/>
      <c r="CX50" s="559"/>
      <c r="CY50" s="559"/>
      <c r="CZ50" s="559"/>
      <c r="DA50" s="559"/>
      <c r="DB50" s="559"/>
      <c r="DC50" s="559"/>
      <c r="DD50" s="559"/>
      <c r="DE50" s="559"/>
      <c r="DF50" s="559"/>
      <c r="DG50" s="559"/>
      <c r="DH50" s="559"/>
      <c r="DI50" s="559"/>
      <c r="DJ50" s="559"/>
      <c r="DK50" s="559"/>
      <c r="DL50" s="559"/>
      <c r="DM50" s="559"/>
      <c r="DN50" s="559"/>
      <c r="DO50" s="559"/>
      <c r="DP50" s="559"/>
      <c r="DQ50" s="559"/>
      <c r="DR50" s="559"/>
      <c r="DS50" s="559"/>
      <c r="DT50" s="559"/>
      <c r="DU50" s="559"/>
      <c r="DV50" s="559"/>
      <c r="DW50" s="559"/>
      <c r="DX50" s="559"/>
      <c r="DY50" s="559"/>
      <c r="DZ50" s="559"/>
      <c r="EA50" s="559"/>
      <c r="EB50" s="559"/>
      <c r="EC50" s="559"/>
      <c r="ED50" s="559"/>
      <c r="EE50" s="559"/>
      <c r="EF50" s="559"/>
      <c r="EG50" s="559"/>
      <c r="EH50" s="559"/>
      <c r="EI50" s="559"/>
      <c r="EJ50" s="559"/>
      <c r="EK50" s="559"/>
      <c r="EL50" s="559"/>
      <c r="EM50" s="559"/>
      <c r="EN50" s="559"/>
      <c r="EO50" s="559"/>
      <c r="EP50" s="559"/>
      <c r="EQ50" s="559"/>
      <c r="ER50" s="559"/>
      <c r="ES50" s="559"/>
      <c r="ET50" s="559"/>
      <c r="EU50" s="559"/>
      <c r="EV50" s="559"/>
      <c r="EW50" s="559"/>
      <c r="EX50" s="559"/>
      <c r="EY50" s="559"/>
      <c r="EZ50" s="559"/>
      <c r="FA50" s="559"/>
      <c r="FB50" s="559"/>
      <c r="FC50" s="559"/>
      <c r="FD50" s="559"/>
      <c r="FE50" s="559"/>
      <c r="FF50" s="559"/>
      <c r="FG50" s="559"/>
      <c r="FH50" s="559"/>
      <c r="FI50" s="559"/>
      <c r="FJ50" s="559"/>
      <c r="FK50" s="559"/>
      <c r="FL50" s="559"/>
      <c r="FM50" s="559"/>
      <c r="FN50" s="559"/>
      <c r="FO50" s="559"/>
      <c r="FP50" s="559"/>
      <c r="FQ50" s="559"/>
      <c r="FR50" s="559"/>
      <c r="FS50" s="559"/>
      <c r="FT50" s="559"/>
    </row>
    <row r="51" spans="1:176" ht="20.100000000000001" customHeight="1" x14ac:dyDescent="0.25">
      <c r="A51" s="559"/>
      <c r="B51" s="525" t="s">
        <v>95</v>
      </c>
      <c r="C51" s="526">
        <f>C36*C41</f>
        <v>3950.3072062439987</v>
      </c>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c r="CB51" s="559"/>
      <c r="CC51" s="559"/>
      <c r="CD51" s="559"/>
      <c r="CE51" s="559"/>
      <c r="CF51" s="559"/>
      <c r="CG51" s="559"/>
      <c r="CH51" s="559"/>
      <c r="CI51" s="559"/>
      <c r="CJ51" s="559"/>
      <c r="CK51" s="559"/>
      <c r="CL51" s="559"/>
      <c r="CM51" s="559"/>
      <c r="CN51" s="559"/>
      <c r="CO51" s="559"/>
      <c r="CP51" s="559"/>
      <c r="CQ51" s="559"/>
      <c r="CR51" s="559"/>
      <c r="CS51" s="559"/>
      <c r="CT51" s="559"/>
      <c r="CU51" s="559"/>
      <c r="CV51" s="559"/>
      <c r="CW51" s="559"/>
      <c r="CX51" s="559"/>
      <c r="CY51" s="559"/>
      <c r="CZ51" s="559"/>
      <c r="DA51" s="559"/>
      <c r="DB51" s="559"/>
      <c r="DC51" s="559"/>
      <c r="DD51" s="559"/>
      <c r="DE51" s="559"/>
      <c r="DF51" s="559"/>
      <c r="DG51" s="559"/>
      <c r="DH51" s="559"/>
      <c r="DI51" s="559"/>
      <c r="DJ51" s="559"/>
      <c r="DK51" s="559"/>
      <c r="DL51" s="559"/>
      <c r="DM51" s="559"/>
      <c r="DN51" s="559"/>
      <c r="DO51" s="559"/>
      <c r="DP51" s="559"/>
      <c r="DQ51" s="559"/>
      <c r="DR51" s="559"/>
      <c r="DS51" s="559"/>
      <c r="DT51" s="559"/>
      <c r="DU51" s="559"/>
      <c r="DV51" s="559"/>
      <c r="DW51" s="559"/>
      <c r="DX51" s="559"/>
      <c r="DY51" s="559"/>
      <c r="DZ51" s="559"/>
      <c r="EA51" s="559"/>
      <c r="EB51" s="559"/>
      <c r="EC51" s="559"/>
      <c r="ED51" s="559"/>
      <c r="EE51" s="559"/>
      <c r="EF51" s="559"/>
      <c r="EG51" s="559"/>
      <c r="EH51" s="559"/>
      <c r="EI51" s="559"/>
      <c r="EJ51" s="559"/>
      <c r="EK51" s="559"/>
      <c r="EL51" s="559"/>
      <c r="EM51" s="559"/>
      <c r="EN51" s="559"/>
      <c r="EO51" s="559"/>
      <c r="EP51" s="559"/>
      <c r="EQ51" s="559"/>
      <c r="ER51" s="559"/>
      <c r="ES51" s="559"/>
      <c r="ET51" s="559"/>
      <c r="EU51" s="559"/>
      <c r="EV51" s="559"/>
      <c r="EW51" s="559"/>
      <c r="EX51" s="559"/>
      <c r="EY51" s="559"/>
      <c r="EZ51" s="559"/>
      <c r="FA51" s="559"/>
      <c r="FB51" s="559"/>
      <c r="FC51" s="559"/>
      <c r="FD51" s="559"/>
      <c r="FE51" s="559"/>
      <c r="FF51" s="559"/>
      <c r="FG51" s="559"/>
      <c r="FH51" s="559"/>
      <c r="FI51" s="559"/>
      <c r="FJ51" s="559"/>
      <c r="FK51" s="559"/>
      <c r="FL51" s="559"/>
      <c r="FM51" s="559"/>
      <c r="FN51" s="559"/>
      <c r="FO51" s="559"/>
      <c r="FP51" s="559"/>
      <c r="FQ51" s="559"/>
      <c r="FR51" s="559"/>
      <c r="FS51" s="559"/>
      <c r="FT51" s="559"/>
    </row>
    <row r="52" spans="1:176" ht="20.100000000000001" customHeight="1" x14ac:dyDescent="0.25">
      <c r="A52" s="559"/>
      <c r="B52" s="525" t="s">
        <v>18</v>
      </c>
      <c r="C52" s="526">
        <f>IF(C48&gt;1,C48-C49+C51,C51-C49)</f>
        <v>3950.3072062439987</v>
      </c>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c r="CB52" s="559"/>
      <c r="CC52" s="559"/>
      <c r="CD52" s="559"/>
      <c r="CE52" s="559"/>
      <c r="CF52" s="559"/>
      <c r="CG52" s="559"/>
      <c r="CH52" s="559"/>
      <c r="CI52" s="559"/>
      <c r="CJ52" s="559"/>
      <c r="CK52" s="559"/>
      <c r="CL52" s="559"/>
      <c r="CM52" s="559"/>
      <c r="CN52" s="559"/>
      <c r="CO52" s="559"/>
      <c r="CP52" s="559"/>
      <c r="CQ52" s="559"/>
      <c r="CR52" s="559"/>
      <c r="CS52" s="559"/>
      <c r="CT52" s="559"/>
      <c r="CU52" s="559"/>
      <c r="CV52" s="559"/>
      <c r="CW52" s="559"/>
      <c r="CX52" s="559"/>
      <c r="CY52" s="559"/>
      <c r="CZ52" s="559"/>
      <c r="DA52" s="559"/>
      <c r="DB52" s="559"/>
      <c r="DC52" s="559"/>
      <c r="DD52" s="559"/>
      <c r="DE52" s="559"/>
      <c r="DF52" s="559"/>
      <c r="DG52" s="559"/>
      <c r="DH52" s="559"/>
      <c r="DI52" s="559"/>
      <c r="DJ52" s="559"/>
      <c r="DK52" s="559"/>
      <c r="DL52" s="559"/>
      <c r="DM52" s="559"/>
      <c r="DN52" s="559"/>
      <c r="DO52" s="559"/>
      <c r="DP52" s="559"/>
      <c r="DQ52" s="559"/>
      <c r="DR52" s="559"/>
      <c r="DS52" s="559"/>
      <c r="DT52" s="559"/>
      <c r="DU52" s="559"/>
      <c r="DV52" s="559"/>
      <c r="DW52" s="559"/>
      <c r="DX52" s="559"/>
      <c r="DY52" s="559"/>
      <c r="DZ52" s="559"/>
      <c r="EA52" s="559"/>
      <c r="EB52" s="559"/>
      <c r="EC52" s="559"/>
      <c r="ED52" s="559"/>
      <c r="EE52" s="559"/>
      <c r="EF52" s="559"/>
      <c r="EG52" s="559"/>
      <c r="EH52" s="559"/>
      <c r="EI52" s="559"/>
      <c r="EJ52" s="559"/>
      <c r="EK52" s="559"/>
      <c r="EL52" s="559"/>
      <c r="EM52" s="559"/>
      <c r="EN52" s="559"/>
      <c r="EO52" s="559"/>
      <c r="EP52" s="559"/>
      <c r="EQ52" s="559"/>
      <c r="ER52" s="559"/>
      <c r="ES52" s="559"/>
      <c r="ET52" s="559"/>
      <c r="EU52" s="559"/>
      <c r="EV52" s="559"/>
      <c r="EW52" s="559"/>
      <c r="EX52" s="559"/>
      <c r="EY52" s="559"/>
      <c r="EZ52" s="559"/>
      <c r="FA52" s="559"/>
      <c r="FB52" s="559"/>
      <c r="FC52" s="559"/>
      <c r="FD52" s="559"/>
      <c r="FE52" s="559"/>
      <c r="FF52" s="559"/>
      <c r="FG52" s="559"/>
      <c r="FH52" s="559"/>
      <c r="FI52" s="559"/>
      <c r="FJ52" s="559"/>
      <c r="FK52" s="559"/>
      <c r="FL52" s="559"/>
      <c r="FM52" s="559"/>
      <c r="FN52" s="559"/>
      <c r="FO52" s="559"/>
      <c r="FP52" s="559"/>
      <c r="FQ52" s="559"/>
      <c r="FR52" s="559"/>
      <c r="FS52" s="559"/>
      <c r="FT52" s="559"/>
    </row>
    <row r="53" spans="1:176" ht="20.100000000000001" customHeight="1" x14ac:dyDescent="0.25">
      <c r="A53" s="559"/>
      <c r="B53" s="525" t="s">
        <v>1053</v>
      </c>
      <c r="C53" s="528" t="e">
        <f>C97</f>
        <v>#DIV/0!</v>
      </c>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c r="CB53" s="559"/>
      <c r="CC53" s="559"/>
      <c r="CD53" s="559"/>
      <c r="CE53" s="559"/>
      <c r="CF53" s="559"/>
      <c r="CG53" s="559"/>
      <c r="CH53" s="559"/>
      <c r="CI53" s="559"/>
      <c r="CJ53" s="559"/>
      <c r="CK53" s="559"/>
      <c r="CL53" s="559"/>
      <c r="CM53" s="559"/>
      <c r="CN53" s="559"/>
      <c r="CO53" s="559"/>
      <c r="CP53" s="559"/>
      <c r="CQ53" s="559"/>
      <c r="CR53" s="559"/>
      <c r="CS53" s="559"/>
      <c r="CT53" s="559"/>
      <c r="CU53" s="559"/>
      <c r="CV53" s="559"/>
      <c r="CW53" s="559"/>
      <c r="CX53" s="559"/>
      <c r="CY53" s="559"/>
      <c r="CZ53" s="559"/>
      <c r="DA53" s="559"/>
      <c r="DB53" s="559"/>
      <c r="DC53" s="559"/>
      <c r="DD53" s="559"/>
      <c r="DE53" s="559"/>
      <c r="DF53" s="559"/>
      <c r="DG53" s="559"/>
      <c r="DH53" s="559"/>
      <c r="DI53" s="559"/>
      <c r="DJ53" s="559"/>
      <c r="DK53" s="559"/>
      <c r="DL53" s="559"/>
      <c r="DM53" s="559"/>
      <c r="DN53" s="559"/>
      <c r="DO53" s="559"/>
      <c r="DP53" s="559"/>
      <c r="DQ53" s="559"/>
      <c r="DR53" s="559"/>
      <c r="DS53" s="559"/>
      <c r="DT53" s="559"/>
      <c r="DU53" s="559"/>
      <c r="DV53" s="559"/>
      <c r="DW53" s="559"/>
      <c r="DX53" s="559"/>
      <c r="DY53" s="559"/>
      <c r="DZ53" s="559"/>
      <c r="EA53" s="559"/>
      <c r="EB53" s="559"/>
      <c r="EC53" s="559"/>
      <c r="ED53" s="559"/>
      <c r="EE53" s="559"/>
      <c r="EF53" s="559"/>
      <c r="EG53" s="559"/>
      <c r="EH53" s="559"/>
      <c r="EI53" s="559"/>
      <c r="EJ53" s="559"/>
      <c r="EK53" s="559"/>
      <c r="EL53" s="559"/>
      <c r="EM53" s="559"/>
      <c r="EN53" s="559"/>
      <c r="EO53" s="559"/>
      <c r="EP53" s="559"/>
      <c r="EQ53" s="559"/>
      <c r="ER53" s="559"/>
      <c r="ES53" s="559"/>
      <c r="ET53" s="559"/>
      <c r="EU53" s="559"/>
      <c r="EV53" s="559"/>
      <c r="EW53" s="559"/>
      <c r="EX53" s="559"/>
      <c r="EY53" s="559"/>
      <c r="EZ53" s="559"/>
      <c r="FA53" s="559"/>
      <c r="FB53" s="559"/>
      <c r="FC53" s="559"/>
      <c r="FD53" s="559"/>
      <c r="FE53" s="559"/>
      <c r="FF53" s="559"/>
      <c r="FG53" s="559"/>
      <c r="FH53" s="559"/>
      <c r="FI53" s="559"/>
      <c r="FJ53" s="559"/>
      <c r="FK53" s="559"/>
      <c r="FL53" s="559"/>
      <c r="FM53" s="559"/>
      <c r="FN53" s="559"/>
      <c r="FO53" s="559"/>
      <c r="FP53" s="559"/>
      <c r="FQ53" s="559"/>
      <c r="FR53" s="559"/>
      <c r="FS53" s="559"/>
      <c r="FT53" s="559"/>
    </row>
    <row r="54" spans="1:176" ht="19.5" customHeight="1" x14ac:dyDescent="0.25">
      <c r="A54" s="559"/>
      <c r="B54" s="529" t="s">
        <v>1237</v>
      </c>
      <c r="C54" s="538" t="e">
        <f>C125</f>
        <v>#DIV/0!</v>
      </c>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c r="CB54" s="559"/>
      <c r="CC54" s="559"/>
      <c r="CD54" s="559"/>
      <c r="CE54" s="559"/>
      <c r="CF54" s="559"/>
      <c r="CG54" s="559"/>
      <c r="CH54" s="559"/>
      <c r="CI54" s="559"/>
      <c r="CJ54" s="559"/>
      <c r="CK54" s="559"/>
      <c r="CL54" s="559"/>
      <c r="CM54" s="559"/>
      <c r="CN54" s="559"/>
      <c r="CO54" s="559"/>
      <c r="CP54" s="559"/>
      <c r="CQ54" s="559"/>
      <c r="CR54" s="559"/>
      <c r="CS54" s="559"/>
      <c r="CT54" s="559"/>
      <c r="CU54" s="559"/>
      <c r="CV54" s="559"/>
      <c r="CW54" s="559"/>
      <c r="CX54" s="559"/>
      <c r="CY54" s="559"/>
      <c r="CZ54" s="559"/>
      <c r="DA54" s="559"/>
      <c r="DB54" s="559"/>
      <c r="DC54" s="559"/>
      <c r="DD54" s="559"/>
      <c r="DE54" s="559"/>
      <c r="DF54" s="559"/>
      <c r="DG54" s="559"/>
      <c r="DH54" s="559"/>
      <c r="DI54" s="559"/>
      <c r="DJ54" s="559"/>
      <c r="DK54" s="559"/>
      <c r="DL54" s="559"/>
      <c r="DM54" s="559"/>
      <c r="DN54" s="559"/>
      <c r="DO54" s="559"/>
      <c r="DP54" s="559"/>
      <c r="DQ54" s="559"/>
      <c r="DR54" s="559"/>
      <c r="DS54" s="559"/>
      <c r="DT54" s="559"/>
      <c r="DU54" s="559"/>
      <c r="DV54" s="559"/>
      <c r="DW54" s="559"/>
      <c r="DX54" s="559"/>
      <c r="DY54" s="559"/>
      <c r="DZ54" s="559"/>
      <c r="EA54" s="559"/>
      <c r="EB54" s="559"/>
      <c r="EC54" s="559"/>
      <c r="ED54" s="559"/>
      <c r="EE54" s="559"/>
      <c r="EF54" s="559"/>
      <c r="EG54" s="559"/>
      <c r="EH54" s="559"/>
      <c r="EI54" s="559"/>
      <c r="EJ54" s="559"/>
      <c r="EK54" s="559"/>
      <c r="EL54" s="559"/>
      <c r="EM54" s="559"/>
      <c r="EN54" s="559"/>
      <c r="EO54" s="559"/>
      <c r="EP54" s="559"/>
      <c r="EQ54" s="559"/>
      <c r="ER54" s="559"/>
      <c r="ES54" s="559"/>
      <c r="ET54" s="559"/>
      <c r="EU54" s="559"/>
      <c r="EV54" s="559"/>
      <c r="EW54" s="559"/>
      <c r="EX54" s="559"/>
      <c r="EY54" s="559"/>
      <c r="EZ54" s="559"/>
      <c r="FA54" s="559"/>
      <c r="FB54" s="559"/>
      <c r="FC54" s="559"/>
      <c r="FD54" s="559"/>
      <c r="FE54" s="559"/>
      <c r="FF54" s="559"/>
      <c r="FG54" s="559"/>
      <c r="FH54" s="559"/>
      <c r="FI54" s="559"/>
      <c r="FJ54" s="559"/>
      <c r="FK54" s="559"/>
      <c r="FL54" s="559"/>
      <c r="FM54" s="559"/>
      <c r="FN54" s="559"/>
      <c r="FO54" s="559"/>
      <c r="FP54" s="559"/>
      <c r="FQ54" s="559"/>
      <c r="FR54" s="559"/>
      <c r="FS54" s="559"/>
      <c r="FT54" s="559"/>
    </row>
    <row r="55" spans="1:176" ht="19.5" customHeight="1" x14ac:dyDescent="0.25">
      <c r="A55" s="559"/>
      <c r="B55" s="525" t="s">
        <v>1054</v>
      </c>
      <c r="C55" s="531" t="e">
        <f>C132</f>
        <v>#DIV/0!</v>
      </c>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c r="CB55" s="559"/>
      <c r="CC55" s="559"/>
      <c r="CD55" s="559"/>
      <c r="CE55" s="559"/>
      <c r="CF55" s="559"/>
      <c r="CG55" s="559"/>
      <c r="CH55" s="559"/>
      <c r="CI55" s="559"/>
      <c r="CJ55" s="559"/>
      <c r="CK55" s="559"/>
      <c r="CL55" s="559"/>
      <c r="CM55" s="559"/>
      <c r="CN55" s="559"/>
      <c r="CO55" s="559"/>
      <c r="CP55" s="559"/>
      <c r="CQ55" s="559"/>
      <c r="CR55" s="559"/>
      <c r="CS55" s="559"/>
      <c r="CT55" s="559"/>
      <c r="CU55" s="559"/>
      <c r="CV55" s="559"/>
      <c r="CW55" s="559"/>
      <c r="CX55" s="559"/>
      <c r="CY55" s="559"/>
      <c r="CZ55" s="559"/>
      <c r="DA55" s="559"/>
      <c r="DB55" s="559"/>
      <c r="DC55" s="559"/>
      <c r="DD55" s="559"/>
      <c r="DE55" s="559"/>
      <c r="DF55" s="559"/>
      <c r="DG55" s="559"/>
      <c r="DH55" s="559"/>
      <c r="DI55" s="559"/>
      <c r="DJ55" s="559"/>
      <c r="DK55" s="559"/>
      <c r="DL55" s="559"/>
      <c r="DM55" s="559"/>
      <c r="DN55" s="559"/>
      <c r="DO55" s="559"/>
      <c r="DP55" s="559"/>
      <c r="DQ55" s="559"/>
      <c r="DR55" s="559"/>
      <c r="DS55" s="559"/>
      <c r="DT55" s="559"/>
      <c r="DU55" s="559"/>
      <c r="DV55" s="559"/>
      <c r="DW55" s="559"/>
      <c r="DX55" s="559"/>
      <c r="DY55" s="559"/>
      <c r="DZ55" s="559"/>
      <c r="EA55" s="559"/>
      <c r="EB55" s="559"/>
      <c r="EC55" s="559"/>
      <c r="ED55" s="559"/>
      <c r="EE55" s="559"/>
      <c r="EF55" s="559"/>
      <c r="EG55" s="559"/>
      <c r="EH55" s="559"/>
      <c r="EI55" s="559"/>
      <c r="EJ55" s="559"/>
      <c r="EK55" s="559"/>
      <c r="EL55" s="559"/>
      <c r="EM55" s="559"/>
      <c r="EN55" s="559"/>
      <c r="EO55" s="559"/>
      <c r="EP55" s="559"/>
      <c r="EQ55" s="559"/>
      <c r="ER55" s="559"/>
      <c r="ES55" s="559"/>
      <c r="ET55" s="559"/>
      <c r="EU55" s="559"/>
      <c r="EV55" s="559"/>
      <c r="EW55" s="559"/>
      <c r="EX55" s="559"/>
      <c r="EY55" s="559"/>
      <c r="EZ55" s="559"/>
      <c r="FA55" s="559"/>
      <c r="FB55" s="559"/>
      <c r="FC55" s="559"/>
      <c r="FD55" s="559"/>
      <c r="FE55" s="559"/>
      <c r="FF55" s="559"/>
      <c r="FG55" s="559"/>
      <c r="FH55" s="559"/>
      <c r="FI55" s="559"/>
      <c r="FJ55" s="559"/>
      <c r="FK55" s="559"/>
      <c r="FL55" s="559"/>
      <c r="FM55" s="559"/>
      <c r="FN55" s="559"/>
      <c r="FO55" s="559"/>
      <c r="FP55" s="559"/>
      <c r="FQ55" s="559"/>
      <c r="FR55" s="559"/>
      <c r="FS55" s="559"/>
      <c r="FT55" s="559"/>
    </row>
    <row r="56" spans="1:176" ht="19.5" customHeight="1" x14ac:dyDescent="0.25">
      <c r="A56" s="559"/>
      <c r="B56" s="532" t="s">
        <v>235</v>
      </c>
      <c r="C56" s="539" t="e">
        <f>C55-C49+C51</f>
        <v>#DIV/0!</v>
      </c>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c r="CB56" s="559"/>
      <c r="CC56" s="559"/>
      <c r="CD56" s="559"/>
      <c r="CE56" s="559"/>
      <c r="CF56" s="559"/>
      <c r="CG56" s="559"/>
      <c r="CH56" s="559"/>
      <c r="CI56" s="559"/>
      <c r="CJ56" s="559"/>
      <c r="CK56" s="559"/>
      <c r="CL56" s="559"/>
      <c r="CM56" s="559"/>
      <c r="CN56" s="559"/>
      <c r="CO56" s="559"/>
      <c r="CP56" s="559"/>
      <c r="CQ56" s="559"/>
      <c r="CR56" s="559"/>
      <c r="CS56" s="559"/>
      <c r="CT56" s="559"/>
      <c r="CU56" s="559"/>
      <c r="CV56" s="559"/>
      <c r="CW56" s="559"/>
      <c r="CX56" s="559"/>
      <c r="CY56" s="559"/>
      <c r="CZ56" s="559"/>
      <c r="DA56" s="559"/>
      <c r="DB56" s="559"/>
      <c r="DC56" s="559"/>
      <c r="DD56" s="559"/>
      <c r="DE56" s="559"/>
      <c r="DF56" s="559"/>
      <c r="DG56" s="559"/>
      <c r="DH56" s="559"/>
      <c r="DI56" s="559"/>
      <c r="DJ56" s="559"/>
      <c r="DK56" s="559"/>
      <c r="DL56" s="559"/>
      <c r="DM56" s="559"/>
      <c r="DN56" s="559"/>
      <c r="DO56" s="559"/>
      <c r="DP56" s="559"/>
      <c r="DQ56" s="559"/>
      <c r="DR56" s="559"/>
      <c r="DS56" s="559"/>
      <c r="DT56" s="559"/>
      <c r="DU56" s="559"/>
      <c r="DV56" s="559"/>
      <c r="DW56" s="559"/>
      <c r="DX56" s="559"/>
      <c r="DY56" s="559"/>
      <c r="DZ56" s="559"/>
      <c r="EA56" s="559"/>
      <c r="EB56" s="559"/>
      <c r="EC56" s="559"/>
      <c r="ED56" s="559"/>
      <c r="EE56" s="559"/>
      <c r="EF56" s="559"/>
      <c r="EG56" s="559"/>
      <c r="EH56" s="559"/>
      <c r="EI56" s="559"/>
      <c r="EJ56" s="559"/>
      <c r="EK56" s="559"/>
      <c r="EL56" s="559"/>
      <c r="EM56" s="559"/>
      <c r="EN56" s="559"/>
      <c r="EO56" s="559"/>
      <c r="EP56" s="559"/>
      <c r="EQ56" s="559"/>
      <c r="ER56" s="559"/>
      <c r="ES56" s="559"/>
      <c r="ET56" s="559"/>
      <c r="EU56" s="559"/>
      <c r="EV56" s="559"/>
      <c r="EW56" s="559"/>
      <c r="EX56" s="559"/>
      <c r="EY56" s="559"/>
      <c r="EZ56" s="559"/>
      <c r="FA56" s="559"/>
      <c r="FB56" s="559"/>
      <c r="FC56" s="559"/>
      <c r="FD56" s="559"/>
      <c r="FE56" s="559"/>
      <c r="FF56" s="559"/>
      <c r="FG56" s="559"/>
      <c r="FH56" s="559"/>
      <c r="FI56" s="559"/>
      <c r="FJ56" s="559"/>
      <c r="FK56" s="559"/>
      <c r="FL56" s="559"/>
      <c r="FM56" s="559"/>
      <c r="FN56" s="559"/>
      <c r="FO56" s="559"/>
      <c r="FP56" s="559"/>
      <c r="FQ56" s="559"/>
      <c r="FR56" s="559"/>
      <c r="FS56" s="559"/>
      <c r="FT56" s="559"/>
    </row>
    <row r="57" spans="1:176" x14ac:dyDescent="0.25">
      <c r="A57" s="559"/>
      <c r="B57" s="169"/>
      <c r="C57" s="170"/>
      <c r="D57" s="559"/>
      <c r="E57" s="559"/>
      <c r="F57" s="559"/>
      <c r="G57" s="559"/>
      <c r="H57" s="5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c r="CB57" s="559"/>
      <c r="CC57" s="559"/>
      <c r="CD57" s="559"/>
      <c r="CE57" s="559"/>
      <c r="CF57" s="559"/>
      <c r="CG57" s="559"/>
      <c r="CH57" s="559"/>
      <c r="CI57" s="559"/>
      <c r="CJ57" s="559"/>
      <c r="CK57" s="559"/>
      <c r="CL57" s="559"/>
      <c r="CM57" s="559"/>
      <c r="CN57" s="559"/>
      <c r="CO57" s="559"/>
      <c r="CP57" s="559"/>
      <c r="CQ57" s="559"/>
      <c r="CR57" s="559"/>
      <c r="CS57" s="559"/>
      <c r="CT57" s="559"/>
      <c r="CU57" s="559"/>
      <c r="CV57" s="559"/>
      <c r="CW57" s="559"/>
      <c r="CX57" s="559"/>
      <c r="CY57" s="559"/>
      <c r="CZ57" s="559"/>
      <c r="DA57" s="559"/>
      <c r="DB57" s="559"/>
      <c r="DC57" s="559"/>
      <c r="DD57" s="559"/>
      <c r="DE57" s="559"/>
      <c r="DF57" s="559"/>
      <c r="DG57" s="559"/>
      <c r="DH57" s="559"/>
      <c r="DI57" s="559"/>
      <c r="DJ57" s="559"/>
      <c r="DK57" s="559"/>
      <c r="DL57" s="559"/>
      <c r="DM57" s="559"/>
      <c r="DN57" s="559"/>
      <c r="DO57" s="559"/>
      <c r="DP57" s="559"/>
      <c r="DQ57" s="559"/>
      <c r="DR57" s="559"/>
      <c r="DS57" s="559"/>
      <c r="DT57" s="559"/>
      <c r="DU57" s="559"/>
      <c r="DV57" s="559"/>
      <c r="DW57" s="559"/>
      <c r="DX57" s="559"/>
      <c r="DY57" s="559"/>
      <c r="DZ57" s="559"/>
      <c r="EA57" s="559"/>
      <c r="EB57" s="559"/>
      <c r="EC57" s="559"/>
      <c r="ED57" s="559"/>
      <c r="EE57" s="559"/>
      <c r="EF57" s="559"/>
      <c r="EG57" s="559"/>
      <c r="EH57" s="559"/>
      <c r="EI57" s="559"/>
      <c r="EJ57" s="559"/>
      <c r="EK57" s="559"/>
      <c r="EL57" s="559"/>
      <c r="EM57" s="559"/>
      <c r="EN57" s="559"/>
      <c r="EO57" s="559"/>
      <c r="EP57" s="559"/>
      <c r="EQ57" s="559"/>
      <c r="ER57" s="559"/>
      <c r="ES57" s="559"/>
      <c r="ET57" s="559"/>
      <c r="EU57" s="559"/>
      <c r="EV57" s="559"/>
      <c r="EW57" s="559"/>
      <c r="EX57" s="559"/>
      <c r="EY57" s="559"/>
      <c r="EZ57" s="559"/>
      <c r="FA57" s="559"/>
      <c r="FB57" s="559"/>
      <c r="FC57" s="559"/>
      <c r="FD57" s="559"/>
      <c r="FE57" s="559"/>
      <c r="FF57" s="559"/>
      <c r="FG57" s="559"/>
      <c r="FH57" s="559"/>
      <c r="FI57" s="559"/>
      <c r="FJ57" s="559"/>
      <c r="FK57" s="559"/>
      <c r="FL57" s="559"/>
      <c r="FM57" s="559"/>
      <c r="FN57" s="559"/>
      <c r="FO57" s="559"/>
      <c r="FP57" s="559"/>
      <c r="FQ57" s="559"/>
      <c r="FR57" s="559"/>
      <c r="FS57" s="559"/>
      <c r="FT57" s="559"/>
    </row>
    <row r="58" spans="1:176" s="559" customFormat="1" x14ac:dyDescent="0.25">
      <c r="B58" s="169"/>
      <c r="C58" s="170"/>
      <c r="D58" s="506"/>
    </row>
    <row r="59" spans="1:176" s="559" customFormat="1" x14ac:dyDescent="0.25">
      <c r="B59" s="169"/>
      <c r="C59" s="170"/>
    </row>
    <row r="60" spans="1:176" s="559" customFormat="1" ht="14.45" customHeight="1" x14ac:dyDescent="0.25">
      <c r="B60" s="169"/>
      <c r="C60" s="170"/>
    </row>
    <row r="61" spans="1:176" s="559" customFormat="1" x14ac:dyDescent="0.25">
      <c r="B61" s="169"/>
      <c r="C61" s="170"/>
    </row>
    <row r="62" spans="1:176" s="559" customFormat="1" ht="16.149999999999999" customHeight="1" x14ac:dyDescent="0.25">
      <c r="B62" s="169"/>
      <c r="C62" s="170"/>
    </row>
    <row r="63" spans="1:176" s="559" customFormat="1" ht="14.45" customHeight="1" x14ac:dyDescent="0.35">
      <c r="B63" s="640"/>
      <c r="C63" s="170"/>
    </row>
    <row r="64" spans="1:176" s="559" customFormat="1" ht="14.45" customHeight="1" x14ac:dyDescent="0.35">
      <c r="B64" s="640"/>
      <c r="C64" s="170"/>
    </row>
    <row r="65" spans="2:7" s="559" customFormat="1" ht="23.25" x14ac:dyDescent="0.35">
      <c r="B65" s="640"/>
      <c r="C65" s="170"/>
    </row>
    <row r="66" spans="2:7" s="559" customFormat="1" ht="23.25" x14ac:dyDescent="0.35">
      <c r="B66" s="640"/>
      <c r="C66" s="170"/>
    </row>
    <row r="67" spans="2:7" s="559" customFormat="1" ht="23.25" x14ac:dyDescent="0.35">
      <c r="B67" s="640"/>
      <c r="C67" s="170"/>
    </row>
    <row r="68" spans="2:7" s="559" customFormat="1" ht="30.75" x14ac:dyDescent="0.45">
      <c r="B68" s="659"/>
      <c r="C68" s="170"/>
    </row>
    <row r="69" spans="2:7" s="559" customFormat="1" ht="30.75" x14ac:dyDescent="0.45">
      <c r="B69" s="659"/>
      <c r="C69" s="170"/>
    </row>
    <row r="70" spans="2:7" s="559" customFormat="1" hidden="1" x14ac:dyDescent="0.25">
      <c r="B70" s="169"/>
      <c r="C70" s="738"/>
      <c r="D70" s="1536"/>
    </row>
    <row r="71" spans="2:7" hidden="1" x14ac:dyDescent="0.25">
      <c r="B71" s="27" t="s">
        <v>166</v>
      </c>
      <c r="C71" s="332"/>
      <c r="D71" s="330"/>
    </row>
    <row r="72" spans="2:7" s="168" customFormat="1" hidden="1" x14ac:dyDescent="0.25">
      <c r="B72" s="46" t="s">
        <v>99</v>
      </c>
      <c r="C72" s="30">
        <v>70</v>
      </c>
      <c r="D72" s="185"/>
      <c r="E72" s="333"/>
      <c r="F72" s="334"/>
      <c r="G72" s="333"/>
    </row>
    <row r="73" spans="2:7" s="168" customFormat="1" hidden="1" x14ac:dyDescent="0.25">
      <c r="B73" s="46" t="s">
        <v>237</v>
      </c>
      <c r="C73" s="30">
        <v>120</v>
      </c>
      <c r="D73" s="185"/>
      <c r="E73" s="333"/>
      <c r="F73" s="334"/>
      <c r="G73" s="333"/>
    </row>
    <row r="74" spans="2:7" s="168" customFormat="1" hidden="1" x14ac:dyDescent="0.25">
      <c r="B74" s="46" t="s">
        <v>84</v>
      </c>
      <c r="C74" s="30">
        <v>100</v>
      </c>
      <c r="D74" s="159"/>
      <c r="F74" s="335"/>
    </row>
    <row r="75" spans="2:7" s="168" customFormat="1" hidden="1" x14ac:dyDescent="0.25">
      <c r="B75" s="46" t="s">
        <v>83</v>
      </c>
      <c r="C75" s="159">
        <v>40</v>
      </c>
      <c r="D75" s="159"/>
      <c r="F75" s="335"/>
    </row>
    <row r="76" spans="2:7" s="168" customFormat="1" hidden="1" x14ac:dyDescent="0.25">
      <c r="B76" s="46" t="s">
        <v>759</v>
      </c>
      <c r="C76" s="159">
        <v>750</v>
      </c>
      <c r="D76" s="159"/>
      <c r="F76" s="335"/>
    </row>
    <row r="77" spans="2:7" s="168" customFormat="1" hidden="1" x14ac:dyDescent="0.25">
      <c r="B77" s="46" t="s">
        <v>760</v>
      </c>
      <c r="C77" s="159">
        <v>850</v>
      </c>
      <c r="D77" s="159"/>
      <c r="F77" s="335"/>
    </row>
    <row r="78" spans="2:7" s="168" customFormat="1" hidden="1" x14ac:dyDescent="0.25">
      <c r="B78" s="46" t="s">
        <v>761</v>
      </c>
      <c r="C78" s="159">
        <v>90</v>
      </c>
      <c r="D78" s="159"/>
      <c r="F78" s="335"/>
    </row>
    <row r="79" spans="2:7" s="168" customFormat="1" hidden="1" x14ac:dyDescent="0.25">
      <c r="B79" s="46" t="s">
        <v>762</v>
      </c>
      <c r="C79" s="159">
        <v>115</v>
      </c>
      <c r="D79" s="159"/>
      <c r="F79" s="335"/>
    </row>
    <row r="80" spans="2:7" hidden="1" x14ac:dyDescent="0.25">
      <c r="B80" s="46" t="s">
        <v>107</v>
      </c>
      <c r="C80" s="336">
        <v>109</v>
      </c>
      <c r="D80" s="42"/>
      <c r="F80" s="157"/>
    </row>
    <row r="81" spans="2:6" hidden="1" x14ac:dyDescent="0.25">
      <c r="B81" s="24" t="s">
        <v>763</v>
      </c>
      <c r="C81" s="336">
        <v>44</v>
      </c>
      <c r="D81" s="42"/>
      <c r="F81" s="157"/>
    </row>
    <row r="82" spans="2:6" hidden="1" x14ac:dyDescent="0.25">
      <c r="B82" s="24" t="s">
        <v>199</v>
      </c>
      <c r="C82" s="30">
        <v>400</v>
      </c>
      <c r="D82" s="29"/>
    </row>
    <row r="83" spans="2:6" hidden="1" x14ac:dyDescent="0.25">
      <c r="B83" s="46" t="s">
        <v>200</v>
      </c>
      <c r="C83" s="30">
        <v>425</v>
      </c>
      <c r="D83" s="29"/>
    </row>
    <row r="84" spans="2:6" s="168" customFormat="1" hidden="1" x14ac:dyDescent="0.25">
      <c r="B84" s="24" t="s">
        <v>72</v>
      </c>
      <c r="C84" s="38">
        <v>600</v>
      </c>
      <c r="D84" s="197"/>
      <c r="F84" s="335"/>
    </row>
    <row r="85" spans="2:6" s="29" customFormat="1" ht="12.75" hidden="1" x14ac:dyDescent="0.2">
      <c r="C85" s="37"/>
    </row>
    <row r="86" spans="2:6" s="168" customFormat="1" hidden="1" x14ac:dyDescent="0.25">
      <c r="B86" s="24"/>
      <c r="C86" s="179"/>
      <c r="D86" s="197"/>
      <c r="F86" s="335"/>
    </row>
    <row r="87" spans="2:6" s="168" customFormat="1" hidden="1" x14ac:dyDescent="0.25">
      <c r="B87" s="24"/>
      <c r="C87" s="38"/>
      <c r="D87" s="197"/>
      <c r="F87" s="335"/>
    </row>
    <row r="88" spans="2:6" hidden="1" x14ac:dyDescent="0.25">
      <c r="B88" s="24"/>
      <c r="C88" s="31"/>
      <c r="D88" s="29"/>
    </row>
    <row r="89" spans="2:6" ht="15.75" hidden="1" x14ac:dyDescent="0.25">
      <c r="B89" s="27" t="s">
        <v>152</v>
      </c>
      <c r="C89" s="200" t="s">
        <v>702</v>
      </c>
      <c r="D89" s="201" t="s">
        <v>703</v>
      </c>
    </row>
    <row r="90" spans="2:6" hidden="1" x14ac:dyDescent="0.25">
      <c r="B90" s="24" t="s">
        <v>21</v>
      </c>
      <c r="C90" s="156">
        <f>C48</f>
        <v>-14.68665</v>
      </c>
      <c r="D90" s="54" t="e">
        <f>C55</f>
        <v>#DIV/0!</v>
      </c>
    </row>
    <row r="91" spans="2:6" hidden="1" x14ac:dyDescent="0.25">
      <c r="B91" s="24" t="s">
        <v>22</v>
      </c>
      <c r="C91" s="156">
        <f>C49</f>
        <v>0</v>
      </c>
      <c r="D91" s="54">
        <f>C91</f>
        <v>0</v>
      </c>
    </row>
    <row r="92" spans="2:6" hidden="1" x14ac:dyDescent="0.25">
      <c r="B92" s="24" t="s">
        <v>23</v>
      </c>
      <c r="C92" s="156">
        <f>C51</f>
        <v>3950.3072062439987</v>
      </c>
      <c r="D92" s="54">
        <f>C92</f>
        <v>3950.3072062439987</v>
      </c>
    </row>
    <row r="93" spans="2:6" hidden="1" x14ac:dyDescent="0.25">
      <c r="B93" s="24" t="s">
        <v>24</v>
      </c>
      <c r="C93" s="156">
        <f>C52</f>
        <v>3950.3072062439987</v>
      </c>
      <c r="D93" s="54" t="e">
        <f>C56</f>
        <v>#DIV/0!</v>
      </c>
    </row>
    <row r="94" spans="2:6" hidden="1" x14ac:dyDescent="0.25">
      <c r="B94" s="24"/>
      <c r="C94" s="156"/>
      <c r="D94" s="337"/>
    </row>
    <row r="95" spans="2:6" hidden="1" x14ac:dyDescent="0.25">
      <c r="B95" s="24"/>
      <c r="C95" s="156"/>
      <c r="D95" s="337"/>
    </row>
    <row r="96" spans="2:6" hidden="1" x14ac:dyDescent="0.25">
      <c r="B96" s="24" t="s">
        <v>109</v>
      </c>
      <c r="C96" s="30" t="e">
        <f>C10*C12*C13*C34</f>
        <v>#DIV/0!</v>
      </c>
      <c r="D96" s="29"/>
    </row>
    <row r="97" spans="2:4" s="29" customFormat="1" ht="12.75" hidden="1" x14ac:dyDescent="0.2">
      <c r="B97" s="24" t="s">
        <v>110</v>
      </c>
      <c r="C97" s="179" t="e">
        <f>C93/C96</f>
        <v>#DIV/0!</v>
      </c>
    </row>
    <row r="98" spans="2:4" hidden="1" x14ac:dyDescent="0.25">
      <c r="B98" s="24"/>
      <c r="C98" s="31"/>
      <c r="D98" s="29"/>
    </row>
    <row r="99" spans="2:4" hidden="1" x14ac:dyDescent="0.25">
      <c r="B99" s="24"/>
      <c r="C99" s="31"/>
      <c r="D99" s="29"/>
    </row>
    <row r="100" spans="2:4" hidden="1" x14ac:dyDescent="0.25">
      <c r="B100" s="48" t="s">
        <v>170</v>
      </c>
      <c r="C100" s="31"/>
      <c r="D100" s="29"/>
    </row>
    <row r="101" spans="2:4" hidden="1" x14ac:dyDescent="0.25">
      <c r="B101" s="24" t="s">
        <v>31</v>
      </c>
      <c r="C101" s="31">
        <f>C14</f>
        <v>0</v>
      </c>
      <c r="D101" s="29"/>
    </row>
    <row r="102" spans="2:4" hidden="1" x14ac:dyDescent="0.25">
      <c r="B102" s="24" t="s">
        <v>33</v>
      </c>
      <c r="C102" s="31">
        <f>(C101*0.4%)*1.57*298</f>
        <v>0</v>
      </c>
      <c r="D102" s="29" t="s">
        <v>1566</v>
      </c>
    </row>
    <row r="103" spans="2:4" hidden="1" x14ac:dyDescent="0.25">
      <c r="B103" s="24" t="s">
        <v>32</v>
      </c>
      <c r="C103" s="31">
        <f>C101*0.3*0.0075*1.57*298</f>
        <v>0</v>
      </c>
      <c r="D103" s="29" t="s">
        <v>1567</v>
      </c>
    </row>
    <row r="104" spans="2:4" hidden="1" x14ac:dyDescent="0.25">
      <c r="B104" s="24" t="s">
        <v>34</v>
      </c>
      <c r="C104" s="31">
        <f>C103+C102</f>
        <v>0</v>
      </c>
      <c r="D104" s="29" t="s">
        <v>201</v>
      </c>
    </row>
    <row r="105" spans="2:4" hidden="1" x14ac:dyDescent="0.25">
      <c r="B105" s="24" t="s">
        <v>870</v>
      </c>
      <c r="C105" s="31">
        <f>C104-C107</f>
        <v>0</v>
      </c>
      <c r="D105" s="29"/>
    </row>
    <row r="106" spans="2:4" hidden="1" x14ac:dyDescent="0.25">
      <c r="B106" s="24"/>
      <c r="C106" s="31"/>
      <c r="D106" s="29"/>
    </row>
    <row r="107" spans="2:4" hidden="1" x14ac:dyDescent="0.25">
      <c r="B107" s="27" t="s">
        <v>871</v>
      </c>
      <c r="C107" s="31">
        <f>C104*C16*C18*C20</f>
        <v>0</v>
      </c>
      <c r="D107" s="29" t="s">
        <v>229</v>
      </c>
    </row>
    <row r="108" spans="2:4" hidden="1" x14ac:dyDescent="0.25">
      <c r="B108" s="24"/>
      <c r="C108" s="31"/>
      <c r="D108" s="29"/>
    </row>
    <row r="109" spans="2:4" hidden="1" x14ac:dyDescent="0.25">
      <c r="B109" s="24" t="s">
        <v>93</v>
      </c>
      <c r="C109" s="30">
        <f>C26*C32/100*C28</f>
        <v>4554</v>
      </c>
      <c r="D109" s="29" t="s">
        <v>233</v>
      </c>
    </row>
    <row r="110" spans="2:4" hidden="1" x14ac:dyDescent="0.25">
      <c r="B110" s="24" t="s">
        <v>45</v>
      </c>
      <c r="C110" s="30">
        <f>21.5*C109/1000</f>
        <v>97.911000000000001</v>
      </c>
      <c r="D110" s="29" t="s">
        <v>202</v>
      </c>
    </row>
    <row r="111" spans="2:4" hidden="1" x14ac:dyDescent="0.25">
      <c r="B111" s="24" t="s">
        <v>236</v>
      </c>
      <c r="C111" s="30">
        <f>C110/1000*25</f>
        <v>2.447775</v>
      </c>
      <c r="D111" s="29" t="s">
        <v>1568</v>
      </c>
    </row>
    <row r="112" spans="2:4" hidden="1" x14ac:dyDescent="0.25">
      <c r="B112" s="24"/>
      <c r="C112" s="30"/>
      <c r="D112" s="29"/>
    </row>
    <row r="113" spans="2:6" hidden="1" x14ac:dyDescent="0.25">
      <c r="B113" s="29" t="s">
        <v>1564</v>
      </c>
      <c r="C113" s="338">
        <f>((C26*C28*C30*(C32/100))/5.5*1.03)*(0.2534+(0.1226*'Baseline farm'!P172)+(0.0776*'Baseline farm'!P173))</f>
        <v>9294.8404852799977</v>
      </c>
      <c r="D113" s="339" t="s">
        <v>1565</v>
      </c>
    </row>
    <row r="114" spans="2:6" hidden="1" x14ac:dyDescent="0.25">
      <c r="B114" s="339"/>
      <c r="C114" s="340"/>
      <c r="D114" s="339"/>
    </row>
    <row r="115" spans="2:6" hidden="1" x14ac:dyDescent="0.25">
      <c r="B115" s="339"/>
      <c r="C115" s="340"/>
      <c r="D115" s="339"/>
    </row>
    <row r="116" spans="2:6" hidden="1" x14ac:dyDescent="0.25">
      <c r="B116" s="29" t="s">
        <v>1563</v>
      </c>
      <c r="C116" s="31">
        <f>'Baseline farm'!P176</f>
        <v>0</v>
      </c>
      <c r="D116" s="29" t="s">
        <v>230</v>
      </c>
    </row>
    <row r="117" spans="2:6" hidden="1" x14ac:dyDescent="0.25">
      <c r="B117" s="24" t="s">
        <v>213</v>
      </c>
      <c r="C117" s="42">
        <f>C104</f>
        <v>0</v>
      </c>
      <c r="D117" s="29" t="s">
        <v>231</v>
      </c>
      <c r="F117" s="157"/>
    </row>
    <row r="118" spans="2:6" hidden="1" x14ac:dyDescent="0.25">
      <c r="B118" s="24" t="s">
        <v>1248</v>
      </c>
      <c r="C118" s="38" t="e">
        <f>C117*1000/C116</f>
        <v>#DIV/0!</v>
      </c>
      <c r="D118" s="38"/>
      <c r="F118" s="157"/>
    </row>
    <row r="119" spans="2:6" hidden="1" x14ac:dyDescent="0.25">
      <c r="B119" s="24"/>
      <c r="C119" s="38"/>
      <c r="D119" s="196"/>
      <c r="F119" s="157"/>
    </row>
    <row r="120" spans="2:6" hidden="1" x14ac:dyDescent="0.25">
      <c r="B120" s="24"/>
      <c r="C120" s="38"/>
      <c r="D120" s="196"/>
      <c r="F120" s="157"/>
    </row>
    <row r="121" spans="2:6" hidden="1" x14ac:dyDescent="0.25">
      <c r="B121" s="24" t="s">
        <v>1247</v>
      </c>
      <c r="C121" s="42">
        <f>C116+C113</f>
        <v>9294.8404852799977</v>
      </c>
      <c r="D121" s="163" t="s">
        <v>232</v>
      </c>
      <c r="F121" s="157"/>
    </row>
    <row r="122" spans="2:6" hidden="1" x14ac:dyDescent="0.25">
      <c r="B122" s="24" t="s">
        <v>215</v>
      </c>
      <c r="C122" s="31">
        <f>C104-C107</f>
        <v>0</v>
      </c>
      <c r="D122" s="29" t="s">
        <v>874</v>
      </c>
    </row>
    <row r="123" spans="2:6" hidden="1" x14ac:dyDescent="0.25">
      <c r="B123" s="24" t="s">
        <v>1240</v>
      </c>
      <c r="C123" s="38">
        <f>C122*1000/C121</f>
        <v>0</v>
      </c>
      <c r="D123" s="29"/>
    </row>
    <row r="124" spans="2:6" hidden="1" x14ac:dyDescent="0.25">
      <c r="B124" s="24"/>
      <c r="C124" s="38"/>
      <c r="D124" s="196"/>
      <c r="F124" s="157"/>
    </row>
    <row r="125" spans="2:6" hidden="1" x14ac:dyDescent="0.25">
      <c r="B125" s="24" t="s">
        <v>872</v>
      </c>
      <c r="C125" s="38" t="e">
        <f>C118-C123</f>
        <v>#DIV/0!</v>
      </c>
      <c r="D125" s="38"/>
      <c r="F125" s="157"/>
    </row>
    <row r="126" spans="2:6" hidden="1" x14ac:dyDescent="0.25">
      <c r="B126" s="24"/>
      <c r="C126" s="24"/>
      <c r="D126" s="42"/>
      <c r="F126" s="157"/>
    </row>
    <row r="127" spans="2:6" s="29" customFormat="1" hidden="1" x14ac:dyDescent="0.25">
      <c r="B127" s="12" t="s">
        <v>219</v>
      </c>
      <c r="C127" s="13"/>
      <c r="D127"/>
    </row>
    <row r="128" spans="2:6" s="29" customFormat="1" ht="12.75" hidden="1" x14ac:dyDescent="0.2">
      <c r="B128" s="24" t="s">
        <v>840</v>
      </c>
      <c r="C128" s="16" t="e">
        <f>C125</f>
        <v>#DIV/0!</v>
      </c>
      <c r="D128" s="190"/>
    </row>
    <row r="129" spans="2:6" s="29" customFormat="1" ht="12.75" hidden="1" x14ac:dyDescent="0.2">
      <c r="B129" s="29" t="s">
        <v>841</v>
      </c>
      <c r="C129" s="14">
        <f>C121</f>
        <v>9294.8404852799977</v>
      </c>
      <c r="D129" s="52"/>
    </row>
    <row r="130" spans="2:6" s="29" customFormat="1" ht="12.75" hidden="1" x14ac:dyDescent="0.2">
      <c r="B130" s="29" t="s">
        <v>842</v>
      </c>
      <c r="C130" s="49" t="e">
        <f>C128*C129</f>
        <v>#DIV/0!</v>
      </c>
      <c r="D130" s="190"/>
    </row>
    <row r="131" spans="2:6" s="29" customFormat="1" ht="12.75" hidden="1" x14ac:dyDescent="0.2">
      <c r="B131" s="29" t="s">
        <v>226</v>
      </c>
      <c r="C131" s="49">
        <f>C38</f>
        <v>6</v>
      </c>
    </row>
    <row r="132" spans="2:6" s="29" customFormat="1" ht="12.75" hidden="1" x14ac:dyDescent="0.2">
      <c r="B132" s="29" t="s">
        <v>228</v>
      </c>
      <c r="C132" s="37" t="e">
        <f>C130/1000*C131</f>
        <v>#DIV/0!</v>
      </c>
    </row>
    <row r="133" spans="2:6" s="29" customFormat="1" ht="12.75" hidden="1" x14ac:dyDescent="0.2">
      <c r="B133" s="46"/>
      <c r="C133" s="53"/>
    </row>
    <row r="134" spans="2:6" s="29" customFormat="1" ht="12.75" hidden="1" x14ac:dyDescent="0.2">
      <c r="B134" s="46"/>
      <c r="C134" s="54"/>
    </row>
    <row r="135" spans="2:6" hidden="1" x14ac:dyDescent="0.25">
      <c r="B135" s="24"/>
      <c r="C135" s="24"/>
      <c r="D135" s="196"/>
      <c r="F135" s="157"/>
    </row>
    <row r="136" spans="2:6" hidden="1" x14ac:dyDescent="0.25">
      <c r="B136" s="29"/>
      <c r="C136" s="24"/>
      <c r="D136" s="38"/>
      <c r="F136" s="157"/>
    </row>
    <row r="137" spans="2:6" s="559" customFormat="1" hidden="1" x14ac:dyDescent="0.25">
      <c r="B137" s="173"/>
      <c r="C137" s="169"/>
      <c r="D137" s="727"/>
      <c r="F137" s="915"/>
    </row>
    <row r="138" spans="2:6" s="559" customFormat="1" x14ac:dyDescent="0.25">
      <c r="B138" s="173"/>
      <c r="C138" s="678"/>
      <c r="D138" s="741"/>
      <c r="F138" s="915"/>
    </row>
    <row r="139" spans="2:6" s="559" customFormat="1" x14ac:dyDescent="0.25">
      <c r="B139" s="173"/>
      <c r="C139" s="742"/>
      <c r="D139" s="725"/>
      <c r="F139" s="915"/>
    </row>
    <row r="140" spans="2:6" s="559" customFormat="1" x14ac:dyDescent="0.25">
      <c r="B140" s="173"/>
      <c r="C140" s="678"/>
      <c r="D140" s="725"/>
      <c r="F140" s="915"/>
    </row>
    <row r="141" spans="2:6" s="559" customFormat="1" x14ac:dyDescent="0.25">
      <c r="B141" s="173"/>
      <c r="C141" s="169"/>
      <c r="D141" s="729"/>
      <c r="F141" s="915"/>
    </row>
    <row r="142" spans="2:6" s="559" customFormat="1" x14ac:dyDescent="0.25">
      <c r="B142" s="173"/>
      <c r="C142" s="169"/>
      <c r="D142" s="730"/>
      <c r="F142" s="915"/>
    </row>
    <row r="143" spans="2:6" s="559" customFormat="1" x14ac:dyDescent="0.25">
      <c r="B143" s="742"/>
      <c r="C143" s="169"/>
      <c r="D143" s="731"/>
      <c r="F143" s="915"/>
    </row>
    <row r="144" spans="2:6" s="559" customFormat="1" x14ac:dyDescent="0.25">
      <c r="B144" s="742"/>
      <c r="C144" s="678"/>
      <c r="D144" s="732"/>
      <c r="F144" s="915"/>
    </row>
    <row r="145" spans="2:13" s="559" customFormat="1" x14ac:dyDescent="0.25">
      <c r="B145" s="742"/>
      <c r="C145" s="742"/>
      <c r="D145" s="732"/>
      <c r="F145" s="915"/>
    </row>
    <row r="146" spans="2:13" s="559" customFormat="1" x14ac:dyDescent="0.25">
      <c r="B146" s="742"/>
      <c r="C146" s="550"/>
      <c r="D146" s="742"/>
      <c r="F146" s="915"/>
    </row>
    <row r="147" spans="2:13" s="559" customFormat="1" x14ac:dyDescent="0.25">
      <c r="B147" s="742"/>
      <c r="C147" s="743"/>
      <c r="D147" s="550"/>
      <c r="F147" s="915"/>
    </row>
    <row r="148" spans="2:13" s="559" customFormat="1" x14ac:dyDescent="0.25">
      <c r="B148" s="742"/>
      <c r="C148" s="743"/>
      <c r="D148" s="744"/>
      <c r="F148" s="745"/>
    </row>
    <row r="149" spans="2:13" s="559" customFormat="1" x14ac:dyDescent="0.25">
      <c r="B149" s="742"/>
      <c r="C149" s="746"/>
      <c r="D149" s="169"/>
      <c r="F149" s="915"/>
      <c r="K149" s="643"/>
      <c r="L149" s="643"/>
      <c r="M149" s="643"/>
    </row>
    <row r="150" spans="2:13" s="559" customFormat="1" x14ac:dyDescent="0.25">
      <c r="B150" s="169"/>
      <c r="C150" s="678"/>
      <c r="D150" s="734"/>
      <c r="F150" s="915"/>
      <c r="K150" s="643"/>
      <c r="L150" s="643"/>
      <c r="M150" s="643"/>
    </row>
    <row r="151" spans="2:13" s="559" customFormat="1" x14ac:dyDescent="0.25">
      <c r="B151" s="169"/>
      <c r="C151" s="169"/>
      <c r="D151" s="642"/>
      <c r="F151" s="915"/>
      <c r="K151" s="643"/>
      <c r="L151" s="643"/>
      <c r="M151" s="643"/>
    </row>
    <row r="152" spans="2:13" s="559" customFormat="1" x14ac:dyDescent="0.25">
      <c r="B152" s="169"/>
      <c r="C152" s="169"/>
      <c r="D152" s="725"/>
      <c r="F152" s="915"/>
      <c r="K152" s="643"/>
      <c r="L152" s="643"/>
      <c r="M152" s="643"/>
    </row>
    <row r="153" spans="2:13" s="559" customFormat="1" x14ac:dyDescent="0.25">
      <c r="B153" s="169"/>
      <c r="C153" s="169"/>
      <c r="D153" s="725"/>
      <c r="F153" s="915"/>
      <c r="K153" s="643"/>
      <c r="L153" s="643"/>
      <c r="M153" s="643"/>
    </row>
    <row r="154" spans="2:13" s="559" customFormat="1" x14ac:dyDescent="0.25">
      <c r="B154" s="169"/>
      <c r="C154" s="169"/>
      <c r="D154" s="725"/>
      <c r="F154" s="915"/>
      <c r="K154" s="643"/>
      <c r="L154" s="643"/>
      <c r="M154" s="643"/>
    </row>
    <row r="155" spans="2:13" s="559" customFormat="1" x14ac:dyDescent="0.25">
      <c r="B155" s="169"/>
      <c r="C155" s="169"/>
      <c r="D155" s="725"/>
      <c r="F155" s="915"/>
    </row>
    <row r="156" spans="2:13" s="559" customFormat="1" x14ac:dyDescent="0.25">
      <c r="B156" s="169"/>
      <c r="C156" s="169"/>
      <c r="D156" s="725"/>
      <c r="F156" s="915"/>
    </row>
    <row r="157" spans="2:13" s="559" customFormat="1" x14ac:dyDescent="0.25">
      <c r="B157" s="169"/>
      <c r="C157" s="169"/>
      <c r="D157" s="735"/>
      <c r="F157" s="915"/>
    </row>
    <row r="158" spans="2:13" s="559" customFormat="1" x14ac:dyDescent="0.25">
      <c r="B158" s="169"/>
      <c r="C158" s="169"/>
      <c r="D158" s="735"/>
      <c r="F158" s="915"/>
    </row>
    <row r="159" spans="2:13" s="559" customFormat="1" x14ac:dyDescent="0.25">
      <c r="B159" s="169"/>
      <c r="C159" s="169"/>
      <c r="D159" s="725"/>
      <c r="F159" s="915"/>
    </row>
    <row r="160" spans="2:13" s="559" customFormat="1" x14ac:dyDescent="0.25">
      <c r="B160" s="169"/>
      <c r="C160" s="169"/>
      <c r="D160" s="726"/>
      <c r="F160" s="915"/>
    </row>
    <row r="161" spans="2:6" s="559" customFormat="1" x14ac:dyDescent="0.25">
      <c r="B161" s="169"/>
      <c r="C161" s="169"/>
      <c r="D161" s="725"/>
      <c r="F161" s="915"/>
    </row>
    <row r="162" spans="2:6" s="559" customFormat="1" x14ac:dyDescent="0.25">
      <c r="B162" s="169"/>
      <c r="C162" s="736"/>
      <c r="D162" s="722"/>
      <c r="F162" s="915"/>
    </row>
    <row r="163" spans="2:6" s="559" customFormat="1" x14ac:dyDescent="0.25">
      <c r="B163" s="169"/>
      <c r="C163" s="169"/>
      <c r="D163" s="725"/>
      <c r="F163" s="915"/>
    </row>
    <row r="164" spans="2:6" s="559" customFormat="1" x14ac:dyDescent="0.25">
      <c r="B164" s="169"/>
      <c r="C164" s="169"/>
      <c r="D164" s="726"/>
      <c r="F164" s="915"/>
    </row>
    <row r="165" spans="2:6" s="559" customFormat="1" x14ac:dyDescent="0.25">
      <c r="B165" s="169"/>
      <c r="C165" s="169"/>
      <c r="D165" s="725"/>
      <c r="F165" s="915"/>
    </row>
    <row r="166" spans="2:6" s="559" customFormat="1" x14ac:dyDescent="0.25">
      <c r="B166" s="169"/>
      <c r="C166" s="169"/>
      <c r="D166" s="722"/>
      <c r="F166" s="915"/>
    </row>
    <row r="167" spans="2:6" s="559" customFormat="1" x14ac:dyDescent="0.25">
      <c r="B167" s="169"/>
      <c r="C167" s="169"/>
      <c r="D167" s="725"/>
      <c r="F167" s="915"/>
    </row>
    <row r="168" spans="2:6" s="559" customFormat="1" x14ac:dyDescent="0.25">
      <c r="B168" s="169"/>
      <c r="C168" s="169"/>
      <c r="D168" s="726"/>
      <c r="F168" s="915"/>
    </row>
    <row r="169" spans="2:6" s="559" customFormat="1" x14ac:dyDescent="0.25">
      <c r="B169" s="169"/>
      <c r="C169" s="169"/>
      <c r="D169" s="642"/>
      <c r="F169" s="915"/>
    </row>
    <row r="170" spans="2:6" s="559" customFormat="1" x14ac:dyDescent="0.25">
      <c r="B170" s="169"/>
      <c r="C170" s="169"/>
      <c r="D170" s="725"/>
      <c r="F170" s="915"/>
    </row>
    <row r="171" spans="2:6" s="559" customFormat="1" x14ac:dyDescent="0.25">
      <c r="B171" s="169"/>
      <c r="C171" s="169"/>
      <c r="D171" s="726"/>
      <c r="F171" s="915"/>
    </row>
    <row r="172" spans="2:6" s="559" customFormat="1" x14ac:dyDescent="0.25">
      <c r="B172" s="169"/>
      <c r="C172" s="169"/>
      <c r="D172" s="725"/>
      <c r="F172" s="915"/>
    </row>
    <row r="173" spans="2:6" s="559" customFormat="1" x14ac:dyDescent="0.25">
      <c r="B173" s="169"/>
      <c r="C173" s="169"/>
      <c r="D173" s="722"/>
      <c r="F173" s="915"/>
    </row>
    <row r="174" spans="2:6" s="559" customFormat="1" x14ac:dyDescent="0.25">
      <c r="B174" s="169"/>
      <c r="C174" s="169"/>
      <c r="D174" s="725"/>
      <c r="F174" s="915"/>
    </row>
    <row r="175" spans="2:6" s="559" customFormat="1" x14ac:dyDescent="0.25">
      <c r="B175" s="169"/>
      <c r="C175" s="169"/>
      <c r="D175" s="726"/>
      <c r="F175" s="915"/>
    </row>
    <row r="176" spans="2:6" s="559" customFormat="1" x14ac:dyDescent="0.25">
      <c r="B176" s="167"/>
      <c r="C176" s="169"/>
      <c r="D176" s="725"/>
      <c r="F176" s="915"/>
    </row>
    <row r="177" spans="2:6" s="559" customFormat="1" x14ac:dyDescent="0.25">
      <c r="B177" s="167"/>
      <c r="C177" s="169"/>
      <c r="D177" s="727"/>
      <c r="F177" s="915"/>
    </row>
    <row r="178" spans="2:6" s="559" customFormat="1" x14ac:dyDescent="0.25">
      <c r="B178" s="167"/>
      <c r="C178" s="678"/>
      <c r="D178" s="747"/>
      <c r="F178" s="915"/>
    </row>
    <row r="179" spans="2:6" s="559" customFormat="1" x14ac:dyDescent="0.25">
      <c r="B179" s="167"/>
      <c r="C179" s="167"/>
      <c r="D179" s="725"/>
      <c r="F179" s="915"/>
    </row>
    <row r="180" spans="2:6" s="559" customFormat="1" x14ac:dyDescent="0.25">
      <c r="B180" s="167"/>
      <c r="C180" s="678"/>
      <c r="D180" s="725"/>
      <c r="F180" s="915"/>
    </row>
    <row r="181" spans="2:6" s="559" customFormat="1" x14ac:dyDescent="0.25">
      <c r="B181" s="167"/>
      <c r="C181" s="169"/>
      <c r="D181" s="722"/>
      <c r="F181" s="915"/>
    </row>
    <row r="182" spans="2:6" s="559" customFormat="1" x14ac:dyDescent="0.25">
      <c r="B182" s="167"/>
      <c r="C182" s="169"/>
      <c r="D182" s="722"/>
      <c r="F182" s="915"/>
    </row>
    <row r="183" spans="2:6" s="559" customFormat="1" x14ac:dyDescent="0.25">
      <c r="B183" s="167"/>
      <c r="C183" s="169"/>
      <c r="D183" s="731"/>
      <c r="F183" s="915"/>
    </row>
    <row r="184" spans="2:6" s="559" customFormat="1" x14ac:dyDescent="0.25">
      <c r="B184" s="167"/>
      <c r="C184" s="678"/>
      <c r="D184" s="167"/>
    </row>
    <row r="185" spans="2:6" s="559" customFormat="1" x14ac:dyDescent="0.25">
      <c r="B185" s="167"/>
      <c r="C185" s="167"/>
      <c r="D185" s="748"/>
    </row>
    <row r="186" spans="2:6" s="559" customFormat="1" x14ac:dyDescent="0.25">
      <c r="C186" s="678"/>
    </row>
    <row r="187" spans="2:6" s="559" customFormat="1" x14ac:dyDescent="0.25">
      <c r="C187" s="169"/>
    </row>
    <row r="188" spans="2:6" s="559" customFormat="1" x14ac:dyDescent="0.25">
      <c r="C188" s="169"/>
    </row>
    <row r="189" spans="2:6" s="559" customFormat="1" x14ac:dyDescent="0.25"/>
    <row r="190" spans="2:6" s="559" customFormat="1" x14ac:dyDescent="0.25"/>
    <row r="191" spans="2:6" s="559" customFormat="1" x14ac:dyDescent="0.25"/>
    <row r="192" spans="2:6" s="559" customFormat="1" x14ac:dyDescent="0.25"/>
    <row r="193" s="559" customFormat="1" x14ac:dyDescent="0.25"/>
    <row r="194" s="559" customFormat="1" x14ac:dyDescent="0.25"/>
    <row r="195" s="559" customFormat="1" x14ac:dyDescent="0.25"/>
    <row r="196" s="559" customFormat="1" x14ac:dyDescent="0.25"/>
    <row r="197" s="559" customFormat="1" x14ac:dyDescent="0.25"/>
    <row r="198" s="559" customFormat="1" x14ac:dyDescent="0.25"/>
    <row r="199" s="559" customFormat="1" x14ac:dyDescent="0.25"/>
    <row r="200" s="559" customFormat="1" x14ac:dyDescent="0.25"/>
    <row r="201" s="559" customFormat="1" x14ac:dyDescent="0.25"/>
    <row r="202" s="559" customFormat="1" x14ac:dyDescent="0.25"/>
    <row r="203" s="559" customFormat="1" x14ac:dyDescent="0.25"/>
    <row r="204" s="559" customFormat="1" x14ac:dyDescent="0.25"/>
    <row r="205" s="559" customFormat="1" x14ac:dyDescent="0.25"/>
    <row r="206" s="559" customFormat="1" x14ac:dyDescent="0.25"/>
    <row r="207" s="559" customFormat="1" x14ac:dyDescent="0.25"/>
    <row r="208" s="559" customFormat="1" x14ac:dyDescent="0.25"/>
    <row r="209" s="559" customFormat="1" x14ac:dyDescent="0.25"/>
    <row r="210" s="559" customFormat="1" x14ac:dyDescent="0.25"/>
    <row r="211" s="559" customFormat="1" x14ac:dyDescent="0.25"/>
    <row r="212" s="559" customFormat="1" x14ac:dyDescent="0.25"/>
    <row r="213" s="559" customFormat="1" x14ac:dyDescent="0.25"/>
    <row r="214" s="559" customFormat="1" x14ac:dyDescent="0.25"/>
    <row r="215" s="559" customFormat="1" x14ac:dyDescent="0.25"/>
    <row r="216" s="559" customFormat="1" x14ac:dyDescent="0.25"/>
    <row r="217" s="559" customFormat="1" x14ac:dyDescent="0.25"/>
    <row r="218" s="559" customFormat="1" x14ac:dyDescent="0.25"/>
    <row r="219" s="559" customFormat="1" x14ac:dyDescent="0.25"/>
    <row r="220" s="559" customFormat="1" x14ac:dyDescent="0.25"/>
    <row r="221" s="559" customFormat="1" x14ac:dyDescent="0.25"/>
    <row r="222" s="559" customFormat="1" x14ac:dyDescent="0.25"/>
    <row r="223" s="559" customFormat="1" x14ac:dyDescent="0.25"/>
    <row r="224" s="559" customFormat="1" x14ac:dyDescent="0.25"/>
    <row r="225" s="559" customFormat="1" x14ac:dyDescent="0.25"/>
    <row r="226" s="559" customFormat="1" x14ac:dyDescent="0.25"/>
    <row r="227" s="559" customFormat="1" x14ac:dyDescent="0.25"/>
    <row r="228" s="559" customFormat="1" x14ac:dyDescent="0.25"/>
    <row r="229" s="559" customFormat="1" x14ac:dyDescent="0.25"/>
    <row r="230" s="559" customFormat="1" x14ac:dyDescent="0.25"/>
    <row r="231" s="559" customFormat="1" x14ac:dyDescent="0.25"/>
    <row r="232" s="559" customFormat="1" x14ac:dyDescent="0.25"/>
    <row r="233" s="559" customFormat="1" x14ac:dyDescent="0.25"/>
    <row r="234" s="559" customFormat="1" x14ac:dyDescent="0.25"/>
    <row r="235" s="559" customFormat="1" x14ac:dyDescent="0.25"/>
    <row r="236" s="559" customFormat="1" x14ac:dyDescent="0.25"/>
    <row r="237" s="559" customFormat="1" x14ac:dyDescent="0.25"/>
    <row r="238" s="559" customFormat="1" x14ac:dyDescent="0.25"/>
    <row r="239" s="559" customFormat="1" x14ac:dyDescent="0.25"/>
    <row r="240" s="559" customFormat="1" x14ac:dyDescent="0.25"/>
    <row r="241" s="559" customFormat="1" x14ac:dyDescent="0.25"/>
    <row r="242" s="559" customFormat="1" x14ac:dyDescent="0.25"/>
    <row r="243" s="559" customFormat="1" x14ac:dyDescent="0.25"/>
    <row r="244" s="559" customFormat="1" x14ac:dyDescent="0.25"/>
    <row r="245" s="559" customFormat="1" x14ac:dyDescent="0.25"/>
    <row r="246" s="559" customFormat="1" x14ac:dyDescent="0.25"/>
    <row r="247" s="559" customFormat="1" x14ac:dyDescent="0.25"/>
    <row r="248" s="559" customFormat="1" x14ac:dyDescent="0.25"/>
    <row r="249" s="559" customFormat="1" x14ac:dyDescent="0.25"/>
    <row r="250" s="559" customFormat="1" x14ac:dyDescent="0.25"/>
    <row r="251" s="559" customFormat="1" x14ac:dyDescent="0.25"/>
    <row r="252" s="559" customFormat="1" x14ac:dyDescent="0.25"/>
    <row r="253" s="559" customFormat="1" x14ac:dyDescent="0.25"/>
    <row r="254" s="559" customFormat="1" x14ac:dyDescent="0.25"/>
    <row r="255" s="559" customFormat="1" x14ac:dyDescent="0.25"/>
    <row r="256" s="559" customFormat="1" x14ac:dyDescent="0.25"/>
    <row r="257" s="559" customFormat="1" x14ac:dyDescent="0.25"/>
    <row r="258" s="559" customFormat="1" x14ac:dyDescent="0.25"/>
    <row r="259" s="559" customFormat="1" x14ac:dyDescent="0.25"/>
    <row r="260" s="559" customFormat="1" x14ac:dyDescent="0.25"/>
    <row r="261" s="559" customFormat="1" x14ac:dyDescent="0.25"/>
    <row r="262" s="559" customFormat="1" x14ac:dyDescent="0.25"/>
    <row r="263" s="559" customFormat="1" x14ac:dyDescent="0.25"/>
    <row r="264" s="559" customFormat="1" x14ac:dyDescent="0.25"/>
    <row r="265" s="559" customFormat="1" x14ac:dyDescent="0.25"/>
    <row r="266" s="559" customFormat="1" x14ac:dyDescent="0.25"/>
    <row r="267" s="559" customFormat="1" x14ac:dyDescent="0.25"/>
    <row r="268" s="559" customFormat="1" x14ac:dyDescent="0.25"/>
    <row r="269" s="559" customFormat="1" x14ac:dyDescent="0.25"/>
    <row r="270" s="559" customFormat="1" x14ac:dyDescent="0.25"/>
    <row r="271" s="559" customFormat="1" x14ac:dyDescent="0.25"/>
    <row r="272" s="559" customFormat="1" x14ac:dyDescent="0.25"/>
    <row r="273" s="559" customFormat="1" x14ac:dyDescent="0.25"/>
    <row r="274" s="559" customFormat="1" x14ac:dyDescent="0.25"/>
    <row r="275" s="559" customFormat="1" x14ac:dyDescent="0.25"/>
    <row r="276" s="559" customFormat="1" x14ac:dyDescent="0.25"/>
    <row r="277" s="559" customFormat="1" x14ac:dyDescent="0.25"/>
    <row r="278" s="559" customFormat="1" x14ac:dyDescent="0.25"/>
    <row r="279" s="559" customFormat="1" x14ac:dyDescent="0.25"/>
    <row r="280" s="559" customFormat="1" x14ac:dyDescent="0.25"/>
    <row r="281" s="559" customFormat="1" x14ac:dyDescent="0.25"/>
    <row r="282" s="559" customFormat="1" x14ac:dyDescent="0.25"/>
    <row r="283" s="559" customFormat="1" x14ac:dyDescent="0.25"/>
    <row r="284" s="559" customFormat="1" x14ac:dyDescent="0.25"/>
    <row r="285" s="559" customFormat="1" x14ac:dyDescent="0.25"/>
    <row r="286" s="559" customFormat="1" x14ac:dyDescent="0.25"/>
    <row r="287" s="559" customFormat="1" x14ac:dyDescent="0.25"/>
    <row r="288" s="559" customFormat="1" x14ac:dyDescent="0.25"/>
    <row r="289" s="559" customFormat="1" x14ac:dyDescent="0.25"/>
    <row r="290" s="559" customFormat="1" x14ac:dyDescent="0.25"/>
    <row r="291" s="559" customFormat="1" x14ac:dyDescent="0.25"/>
    <row r="292" s="559" customFormat="1" x14ac:dyDescent="0.25"/>
    <row r="293" s="559" customFormat="1" x14ac:dyDescent="0.25"/>
    <row r="294" s="559" customFormat="1" x14ac:dyDescent="0.25"/>
    <row r="295" s="559" customFormat="1" x14ac:dyDescent="0.25"/>
    <row r="296" s="559" customFormat="1" x14ac:dyDescent="0.25"/>
    <row r="297" s="559" customFormat="1" x14ac:dyDescent="0.25"/>
    <row r="298" s="559" customFormat="1" x14ac:dyDescent="0.25"/>
    <row r="299" s="559" customFormat="1" x14ac:dyDescent="0.25"/>
    <row r="300" s="559" customFormat="1" x14ac:dyDescent="0.25"/>
    <row r="301" s="559" customFormat="1" x14ac:dyDescent="0.25"/>
    <row r="302" s="559" customFormat="1" x14ac:dyDescent="0.25"/>
    <row r="303" s="559" customFormat="1" x14ac:dyDescent="0.25"/>
    <row r="304" s="559" customFormat="1" x14ac:dyDescent="0.25"/>
    <row r="305" s="559" customFormat="1" x14ac:dyDescent="0.25"/>
    <row r="306" s="559" customFormat="1" x14ac:dyDescent="0.25"/>
    <row r="307" s="559" customFormat="1" x14ac:dyDescent="0.25"/>
    <row r="308" s="559" customFormat="1" x14ac:dyDescent="0.25"/>
    <row r="309" s="559" customFormat="1" x14ac:dyDescent="0.25"/>
    <row r="310" s="559" customFormat="1" x14ac:dyDescent="0.25"/>
    <row r="311" s="559" customFormat="1" x14ac:dyDescent="0.25"/>
    <row r="312" s="559" customFormat="1" x14ac:dyDescent="0.25"/>
    <row r="313" s="559" customFormat="1" x14ac:dyDescent="0.25"/>
    <row r="314" s="559" customFormat="1" x14ac:dyDescent="0.25"/>
    <row r="315" s="559" customFormat="1" x14ac:dyDescent="0.25"/>
    <row r="316" s="559" customFormat="1" x14ac:dyDescent="0.25"/>
    <row r="317" s="559" customFormat="1" x14ac:dyDescent="0.25"/>
    <row r="318" s="559" customFormat="1" x14ac:dyDescent="0.25"/>
    <row r="319" s="559" customFormat="1" x14ac:dyDescent="0.25"/>
    <row r="320" s="559" customFormat="1" x14ac:dyDescent="0.25"/>
    <row r="321" s="559" customFormat="1" x14ac:dyDescent="0.25"/>
    <row r="322" s="559" customFormat="1" x14ac:dyDescent="0.25"/>
    <row r="323" s="559" customFormat="1" x14ac:dyDescent="0.25"/>
    <row r="324" s="559" customFormat="1" x14ac:dyDescent="0.25"/>
    <row r="325" s="559" customFormat="1" x14ac:dyDescent="0.25"/>
    <row r="326" s="559" customFormat="1" x14ac:dyDescent="0.25"/>
    <row r="327" s="559" customFormat="1" x14ac:dyDescent="0.25"/>
    <row r="328" s="559" customFormat="1" x14ac:dyDescent="0.25"/>
    <row r="329" s="559" customFormat="1" x14ac:dyDescent="0.25"/>
    <row r="330" s="559" customFormat="1" x14ac:dyDescent="0.25"/>
    <row r="331" s="559" customFormat="1" x14ac:dyDescent="0.25"/>
    <row r="332" s="559" customFormat="1" x14ac:dyDescent="0.25"/>
    <row r="333" s="559" customFormat="1" x14ac:dyDescent="0.25"/>
    <row r="334" s="559" customFormat="1" x14ac:dyDescent="0.25"/>
    <row r="335" s="559" customFormat="1" x14ac:dyDescent="0.25"/>
    <row r="336" s="559" customFormat="1" x14ac:dyDescent="0.25"/>
    <row r="337" s="559" customFormat="1" x14ac:dyDescent="0.25"/>
    <row r="338" s="559" customFormat="1" x14ac:dyDescent="0.25"/>
    <row r="339" s="559" customFormat="1" x14ac:dyDescent="0.25"/>
    <row r="340" s="559" customFormat="1" x14ac:dyDescent="0.25"/>
    <row r="341" s="559" customFormat="1" x14ac:dyDescent="0.25"/>
    <row r="342" s="559" customFormat="1" x14ac:dyDescent="0.25"/>
    <row r="343" s="559" customFormat="1" x14ac:dyDescent="0.25"/>
    <row r="344" s="559" customFormat="1" x14ac:dyDescent="0.25"/>
    <row r="345" s="559" customFormat="1" x14ac:dyDescent="0.25"/>
    <row r="346" s="559" customFormat="1" x14ac:dyDescent="0.25"/>
    <row r="347" s="559" customFormat="1" x14ac:dyDescent="0.25"/>
    <row r="348" s="559" customFormat="1" x14ac:dyDescent="0.25"/>
    <row r="349" s="559" customFormat="1" x14ac:dyDescent="0.25"/>
    <row r="350" s="559" customFormat="1" x14ac:dyDescent="0.25"/>
    <row r="351" s="559" customFormat="1" x14ac:dyDescent="0.25"/>
    <row r="352" s="559" customFormat="1" x14ac:dyDescent="0.25"/>
    <row r="353" s="559" customFormat="1" x14ac:dyDescent="0.25"/>
    <row r="354" s="559" customFormat="1" x14ac:dyDescent="0.25"/>
    <row r="355" s="559" customFormat="1" x14ac:dyDescent="0.25"/>
    <row r="356" s="559" customFormat="1" x14ac:dyDescent="0.25"/>
    <row r="357" s="559" customFormat="1" x14ac:dyDescent="0.25"/>
    <row r="358" s="559" customFormat="1" x14ac:dyDescent="0.25"/>
    <row r="359" s="559" customFormat="1" x14ac:dyDescent="0.25"/>
    <row r="360" s="559" customFormat="1" x14ac:dyDescent="0.25"/>
    <row r="361" s="559" customFormat="1" x14ac:dyDescent="0.25"/>
    <row r="362" s="559" customFormat="1" x14ac:dyDescent="0.25"/>
    <row r="363" s="559" customFormat="1" x14ac:dyDescent="0.25"/>
    <row r="364" s="559" customFormat="1" x14ac:dyDescent="0.25"/>
    <row r="365" s="559" customFormat="1" x14ac:dyDescent="0.25"/>
    <row r="366" s="559" customFormat="1" x14ac:dyDescent="0.25"/>
    <row r="367" s="559" customFormat="1" x14ac:dyDescent="0.25"/>
    <row r="368" s="559" customFormat="1" x14ac:dyDescent="0.25"/>
    <row r="369" s="559" customFormat="1" x14ac:dyDescent="0.25"/>
    <row r="370" s="559" customFormat="1" x14ac:dyDescent="0.25"/>
    <row r="371" s="559" customFormat="1" x14ac:dyDescent="0.25"/>
    <row r="372" s="559" customFormat="1" x14ac:dyDescent="0.25"/>
    <row r="373" s="559" customFormat="1" x14ac:dyDescent="0.25"/>
    <row r="374" s="559" customFormat="1" x14ac:dyDescent="0.25"/>
    <row r="375" s="559" customFormat="1" x14ac:dyDescent="0.25"/>
    <row r="376" s="559" customFormat="1" x14ac:dyDescent="0.25"/>
    <row r="377" s="559" customFormat="1" x14ac:dyDescent="0.25"/>
    <row r="378" s="559" customFormat="1" x14ac:dyDescent="0.25"/>
    <row r="379" s="559" customFormat="1" x14ac:dyDescent="0.25"/>
    <row r="380" s="559" customFormat="1" x14ac:dyDescent="0.25"/>
    <row r="381" s="559" customFormat="1" x14ac:dyDescent="0.25"/>
    <row r="382" s="559" customFormat="1" x14ac:dyDescent="0.25"/>
    <row r="383" s="559" customFormat="1" x14ac:dyDescent="0.25"/>
    <row r="384" s="559" customFormat="1" x14ac:dyDescent="0.25"/>
    <row r="385" s="559" customFormat="1" x14ac:dyDescent="0.25"/>
    <row r="386" s="559" customFormat="1" x14ac:dyDescent="0.25"/>
    <row r="387" s="559" customFormat="1" x14ac:dyDescent="0.25"/>
    <row r="388" s="559" customFormat="1" x14ac:dyDescent="0.25"/>
    <row r="389" s="559" customFormat="1" x14ac:dyDescent="0.25"/>
    <row r="390" s="559" customFormat="1" x14ac:dyDescent="0.25"/>
    <row r="391" s="559" customFormat="1" x14ac:dyDescent="0.25"/>
    <row r="392" s="559" customFormat="1" x14ac:dyDescent="0.25"/>
    <row r="393" s="559" customFormat="1" x14ac:dyDescent="0.25"/>
    <row r="394" s="559" customFormat="1" x14ac:dyDescent="0.25"/>
    <row r="395" s="559" customFormat="1" x14ac:dyDescent="0.25"/>
    <row r="396" s="559" customFormat="1" x14ac:dyDescent="0.25"/>
    <row r="397" s="559" customFormat="1" x14ac:dyDescent="0.25"/>
    <row r="398" s="559" customFormat="1" x14ac:dyDescent="0.25"/>
    <row r="399" s="559" customFormat="1" x14ac:dyDescent="0.25"/>
    <row r="400" s="559" customFormat="1" x14ac:dyDescent="0.25"/>
    <row r="401" s="559" customFormat="1" x14ac:dyDescent="0.25"/>
    <row r="402" s="559" customFormat="1" x14ac:dyDescent="0.25"/>
    <row r="403" s="559" customFormat="1" x14ac:dyDescent="0.25"/>
    <row r="404" s="559" customFormat="1" x14ac:dyDescent="0.25"/>
    <row r="405" s="559" customFormat="1" x14ac:dyDescent="0.25"/>
    <row r="406" s="559" customFormat="1" x14ac:dyDescent="0.25"/>
    <row r="407" s="559" customFormat="1" x14ac:dyDescent="0.25"/>
    <row r="408" s="559" customFormat="1" x14ac:dyDescent="0.25"/>
    <row r="409" s="559" customFormat="1" x14ac:dyDescent="0.25"/>
    <row r="410" s="559" customFormat="1" x14ac:dyDescent="0.25"/>
    <row r="411" s="559" customFormat="1" x14ac:dyDescent="0.25"/>
    <row r="412" s="559" customFormat="1" x14ac:dyDescent="0.25"/>
    <row r="413" s="559" customFormat="1" x14ac:dyDescent="0.25"/>
    <row r="414" s="559" customFormat="1" x14ac:dyDescent="0.25"/>
    <row r="415" s="559" customFormat="1" x14ac:dyDescent="0.25"/>
    <row r="416" s="559" customFormat="1" x14ac:dyDescent="0.25"/>
    <row r="417" s="559" customFormat="1" x14ac:dyDescent="0.25"/>
    <row r="418" s="559" customFormat="1" x14ac:dyDescent="0.25"/>
    <row r="419" s="559" customFormat="1" x14ac:dyDescent="0.25"/>
    <row r="420" s="559" customFormat="1" x14ac:dyDescent="0.25"/>
    <row r="421" s="559" customFormat="1" x14ac:dyDescent="0.25"/>
    <row r="422" s="559" customFormat="1" x14ac:dyDescent="0.25"/>
    <row r="423" s="559" customFormat="1" x14ac:dyDescent="0.25"/>
    <row r="424" s="559" customFormat="1" x14ac:dyDescent="0.25"/>
    <row r="425" s="559" customFormat="1" x14ac:dyDescent="0.25"/>
    <row r="426" s="559" customFormat="1" x14ac:dyDescent="0.25"/>
    <row r="427" s="559" customFormat="1" x14ac:dyDescent="0.25"/>
    <row r="428" s="559" customFormat="1" x14ac:dyDescent="0.25"/>
    <row r="429" s="559" customFormat="1" x14ac:dyDescent="0.25"/>
    <row r="430" s="559" customFormat="1" x14ac:dyDescent="0.25"/>
    <row r="431" s="559" customFormat="1" x14ac:dyDescent="0.25"/>
    <row r="432" s="559" customFormat="1" x14ac:dyDescent="0.25"/>
    <row r="433" s="559" customFormat="1" x14ac:dyDescent="0.25"/>
    <row r="434" s="559" customFormat="1" x14ac:dyDescent="0.25"/>
    <row r="435" s="559" customFormat="1" x14ac:dyDescent="0.25"/>
    <row r="436" s="559" customFormat="1" x14ac:dyDescent="0.25"/>
    <row r="437" s="559" customFormat="1" x14ac:dyDescent="0.25"/>
    <row r="438" s="559" customFormat="1" x14ac:dyDescent="0.25"/>
    <row r="439" s="559" customFormat="1" x14ac:dyDescent="0.25"/>
    <row r="440" s="559" customFormat="1" x14ac:dyDescent="0.25"/>
    <row r="441" s="559" customFormat="1" x14ac:dyDescent="0.25"/>
    <row r="442" s="559" customFormat="1" x14ac:dyDescent="0.25"/>
    <row r="443" s="559" customFormat="1" x14ac:dyDescent="0.25"/>
    <row r="444" s="559" customFormat="1" x14ac:dyDescent="0.25"/>
    <row r="445" s="559" customFormat="1" x14ac:dyDescent="0.25"/>
    <row r="446" s="559" customFormat="1" x14ac:dyDescent="0.25"/>
    <row r="447" s="559" customFormat="1" x14ac:dyDescent="0.25"/>
    <row r="448" s="559" customFormat="1" x14ac:dyDescent="0.25"/>
    <row r="449" s="559" customFormat="1" x14ac:dyDescent="0.25"/>
    <row r="450" s="559" customFormat="1" x14ac:dyDescent="0.25"/>
    <row r="451" s="559" customFormat="1" x14ac:dyDescent="0.25"/>
    <row r="452" s="559" customFormat="1" x14ac:dyDescent="0.25"/>
    <row r="453" s="559" customFormat="1" x14ac:dyDescent="0.25"/>
    <row r="454" s="559" customFormat="1" x14ac:dyDescent="0.25"/>
    <row r="455" s="559" customFormat="1" x14ac:dyDescent="0.25"/>
    <row r="456" s="559" customFormat="1" x14ac:dyDescent="0.25"/>
    <row r="457" s="559" customFormat="1" x14ac:dyDescent="0.25"/>
    <row r="458" s="559" customFormat="1" x14ac:dyDescent="0.25"/>
    <row r="459" s="559" customFormat="1" x14ac:dyDescent="0.25"/>
    <row r="460" s="559" customFormat="1" x14ac:dyDescent="0.25"/>
    <row r="461" s="559" customFormat="1" x14ac:dyDescent="0.25"/>
    <row r="462" s="559" customFormat="1" x14ac:dyDescent="0.25"/>
    <row r="463" s="559" customFormat="1" x14ac:dyDescent="0.25"/>
    <row r="464" s="559" customFormat="1" x14ac:dyDescent="0.25"/>
    <row r="465" s="559" customFormat="1" x14ac:dyDescent="0.25"/>
    <row r="466" s="559" customFormat="1" x14ac:dyDescent="0.25"/>
    <row r="467" s="559" customFormat="1" x14ac:dyDescent="0.25"/>
    <row r="468" s="559" customFormat="1" x14ac:dyDescent="0.25"/>
    <row r="469" s="559" customFormat="1" x14ac:dyDescent="0.25"/>
    <row r="470" s="559" customFormat="1" x14ac:dyDescent="0.25"/>
    <row r="471" s="559" customFormat="1" x14ac:dyDescent="0.25"/>
    <row r="472" s="559" customFormat="1" x14ac:dyDescent="0.25"/>
    <row r="473" s="559" customFormat="1" x14ac:dyDescent="0.25"/>
    <row r="474" s="559" customFormat="1" x14ac:dyDescent="0.25"/>
  </sheetData>
  <sheetProtection algorithmName="SHA-512" hashValue="rcV9uh0TTZUdnFlgf4dV39lhfjR6MW2NrEbSywohAlIP2JVlUN24Jvxdou3keYFJX/hoYmJBol9lYIvUXfs93w==" saltValue="rWLEjVSbr6denme6C4qZCA=="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705" r:id="rId4" name="Spinner 1">
              <controlPr defaultSize="0" autoPict="0">
                <anchor moveWithCells="1" sizeWithCells="1">
                  <from>
                    <xdr:col>2</xdr:col>
                    <xdr:colOff>1276350</xdr:colOff>
                    <xdr:row>17</xdr:row>
                    <xdr:rowOff>28575</xdr:rowOff>
                  </from>
                  <to>
                    <xdr:col>2</xdr:col>
                    <xdr:colOff>1619250</xdr:colOff>
                    <xdr:row>17</xdr:row>
                    <xdr:rowOff>209550</xdr:rowOff>
                  </to>
                </anchor>
              </controlPr>
            </control>
          </mc:Choice>
        </mc:AlternateContent>
        <mc:AlternateContent xmlns:mc="http://schemas.openxmlformats.org/markup-compatibility/2006">
          <mc:Choice Requires="x14">
            <control shapeId="72706" r:id="rId5" name="Spinner 2">
              <controlPr defaultSize="0" autoPict="0">
                <anchor moveWithCells="1" sizeWithCells="1">
                  <from>
                    <xdr:col>2</xdr:col>
                    <xdr:colOff>1276350</xdr:colOff>
                    <xdr:row>15</xdr:row>
                    <xdr:rowOff>28575</xdr:rowOff>
                  </from>
                  <to>
                    <xdr:col>2</xdr:col>
                    <xdr:colOff>1619250</xdr:colOff>
                    <xdr:row>15</xdr:row>
                    <xdr:rowOff>209550</xdr:rowOff>
                  </to>
                </anchor>
              </controlPr>
            </control>
          </mc:Choice>
        </mc:AlternateContent>
        <mc:AlternateContent xmlns:mc="http://schemas.openxmlformats.org/markup-compatibility/2006">
          <mc:Choice Requires="x14">
            <control shapeId="72707" r:id="rId6" name="Spinner 3">
              <controlPr defaultSize="0" autoPict="0">
                <anchor moveWithCells="1" sizeWithCells="1">
                  <from>
                    <xdr:col>2</xdr:col>
                    <xdr:colOff>1276350</xdr:colOff>
                    <xdr:row>19</xdr:row>
                    <xdr:rowOff>28575</xdr:rowOff>
                  </from>
                  <to>
                    <xdr:col>2</xdr:col>
                    <xdr:colOff>1619250</xdr:colOff>
                    <xdr:row>19</xdr:row>
                    <xdr:rowOff>209550</xdr:rowOff>
                  </to>
                </anchor>
              </controlPr>
            </control>
          </mc:Choice>
        </mc:AlternateContent>
        <mc:AlternateContent xmlns:mc="http://schemas.openxmlformats.org/markup-compatibility/2006">
          <mc:Choice Requires="x14">
            <control shapeId="72708" r:id="rId7" name="Spinner 4">
              <controlPr defaultSize="0" autoPict="0">
                <anchor moveWithCells="1" sizeWithCells="1">
                  <from>
                    <xdr:col>2</xdr:col>
                    <xdr:colOff>1276350</xdr:colOff>
                    <xdr:row>21</xdr:row>
                    <xdr:rowOff>28575</xdr:rowOff>
                  </from>
                  <to>
                    <xdr:col>2</xdr:col>
                    <xdr:colOff>1619250</xdr:colOff>
                    <xdr:row>21</xdr:row>
                    <xdr:rowOff>209550</xdr:rowOff>
                  </to>
                </anchor>
              </controlPr>
            </control>
          </mc:Choice>
        </mc:AlternateContent>
        <mc:AlternateContent xmlns:mc="http://schemas.openxmlformats.org/markup-compatibility/2006">
          <mc:Choice Requires="x14">
            <control shapeId="72709" r:id="rId8" name="Spinner 5">
              <controlPr defaultSize="0" autoPict="0">
                <anchor moveWithCells="1" sizeWithCells="1">
                  <from>
                    <xdr:col>2</xdr:col>
                    <xdr:colOff>1276350</xdr:colOff>
                    <xdr:row>23</xdr:row>
                    <xdr:rowOff>28575</xdr:rowOff>
                  </from>
                  <to>
                    <xdr:col>2</xdr:col>
                    <xdr:colOff>1619250</xdr:colOff>
                    <xdr:row>23</xdr:row>
                    <xdr:rowOff>209550</xdr:rowOff>
                  </to>
                </anchor>
              </controlPr>
            </control>
          </mc:Choice>
        </mc:AlternateContent>
        <mc:AlternateContent xmlns:mc="http://schemas.openxmlformats.org/markup-compatibility/2006">
          <mc:Choice Requires="x14">
            <control shapeId="72710" r:id="rId9" name="Spinner 6">
              <controlPr defaultSize="0" autoPict="0">
                <anchor moveWithCells="1" sizeWithCells="1">
                  <from>
                    <xdr:col>2</xdr:col>
                    <xdr:colOff>1276350</xdr:colOff>
                    <xdr:row>25</xdr:row>
                    <xdr:rowOff>28575</xdr:rowOff>
                  </from>
                  <to>
                    <xdr:col>2</xdr:col>
                    <xdr:colOff>1619250</xdr:colOff>
                    <xdr:row>25</xdr:row>
                    <xdr:rowOff>209550</xdr:rowOff>
                  </to>
                </anchor>
              </controlPr>
            </control>
          </mc:Choice>
        </mc:AlternateContent>
        <mc:AlternateContent xmlns:mc="http://schemas.openxmlformats.org/markup-compatibility/2006">
          <mc:Choice Requires="x14">
            <control shapeId="72711" r:id="rId10" name="Spinner 7">
              <controlPr defaultSize="0" autoPict="0">
                <anchor moveWithCells="1" sizeWithCells="1">
                  <from>
                    <xdr:col>2</xdr:col>
                    <xdr:colOff>1276350</xdr:colOff>
                    <xdr:row>27</xdr:row>
                    <xdr:rowOff>28575</xdr:rowOff>
                  </from>
                  <to>
                    <xdr:col>2</xdr:col>
                    <xdr:colOff>1619250</xdr:colOff>
                    <xdr:row>27</xdr:row>
                    <xdr:rowOff>209550</xdr:rowOff>
                  </to>
                </anchor>
              </controlPr>
            </control>
          </mc:Choice>
        </mc:AlternateContent>
        <mc:AlternateContent xmlns:mc="http://schemas.openxmlformats.org/markup-compatibility/2006">
          <mc:Choice Requires="x14">
            <control shapeId="72712" r:id="rId11" name="Spinner 8">
              <controlPr defaultSize="0" autoPict="0">
                <anchor moveWithCells="1" sizeWithCells="1">
                  <from>
                    <xdr:col>2</xdr:col>
                    <xdr:colOff>1276350</xdr:colOff>
                    <xdr:row>31</xdr:row>
                    <xdr:rowOff>19050</xdr:rowOff>
                  </from>
                  <to>
                    <xdr:col>2</xdr:col>
                    <xdr:colOff>1619250</xdr:colOff>
                    <xdr:row>31</xdr:row>
                    <xdr:rowOff>209550</xdr:rowOff>
                  </to>
                </anchor>
              </controlPr>
            </control>
          </mc:Choice>
        </mc:AlternateContent>
        <mc:AlternateContent xmlns:mc="http://schemas.openxmlformats.org/markup-compatibility/2006">
          <mc:Choice Requires="x14">
            <control shapeId="72713" r:id="rId12" name="Spinner 9">
              <controlPr defaultSize="0" autoPict="0">
                <anchor moveWithCells="1" sizeWithCells="1">
                  <from>
                    <xdr:col>2</xdr:col>
                    <xdr:colOff>1276350</xdr:colOff>
                    <xdr:row>37</xdr:row>
                    <xdr:rowOff>38100</xdr:rowOff>
                  </from>
                  <to>
                    <xdr:col>2</xdr:col>
                    <xdr:colOff>1619250</xdr:colOff>
                    <xdr:row>37</xdr:row>
                    <xdr:rowOff>219075</xdr:rowOff>
                  </to>
                </anchor>
              </controlPr>
            </control>
          </mc:Choice>
        </mc:AlternateContent>
        <mc:AlternateContent xmlns:mc="http://schemas.openxmlformats.org/markup-compatibility/2006">
          <mc:Choice Requires="x14">
            <control shapeId="72714" r:id="rId13" name="Spinner 10">
              <controlPr defaultSize="0" autoPict="0">
                <anchor moveWithCells="1" sizeWithCells="1">
                  <from>
                    <xdr:col>2</xdr:col>
                    <xdr:colOff>1276350</xdr:colOff>
                    <xdr:row>29</xdr:row>
                    <xdr:rowOff>28575</xdr:rowOff>
                  </from>
                  <to>
                    <xdr:col>2</xdr:col>
                    <xdr:colOff>1619250</xdr:colOff>
                    <xdr:row>29</xdr:row>
                    <xdr:rowOff>209550</xdr:rowOff>
                  </to>
                </anchor>
              </controlPr>
            </control>
          </mc:Choice>
        </mc:AlternateContent>
        <mc:AlternateContent xmlns:mc="http://schemas.openxmlformats.org/markup-compatibility/2006">
          <mc:Choice Requires="x14">
            <control shapeId="72715" r:id="rId14" name="Spinner 11">
              <controlPr defaultSize="0" autoPict="0">
                <anchor moveWithCells="1" sizeWithCells="1">
                  <from>
                    <xdr:col>2</xdr:col>
                    <xdr:colOff>1019175</xdr:colOff>
                    <xdr:row>35</xdr:row>
                    <xdr:rowOff>0</xdr:rowOff>
                  </from>
                  <to>
                    <xdr:col>2</xdr:col>
                    <xdr:colOff>1362075</xdr:colOff>
                    <xdr:row>35</xdr:row>
                    <xdr:rowOff>0</xdr:rowOff>
                  </to>
                </anchor>
              </controlPr>
            </control>
          </mc:Choice>
        </mc:AlternateContent>
        <mc:AlternateContent xmlns:mc="http://schemas.openxmlformats.org/markup-compatibility/2006">
          <mc:Choice Requires="x14">
            <control shapeId="72716" r:id="rId15" name="Spinner 12">
              <controlPr defaultSize="0" autoPict="0">
                <anchor moveWithCells="1" sizeWithCells="1">
                  <from>
                    <xdr:col>2</xdr:col>
                    <xdr:colOff>1276350</xdr:colOff>
                    <xdr:row>35</xdr:row>
                    <xdr:rowOff>57150</xdr:rowOff>
                  </from>
                  <to>
                    <xdr:col>2</xdr:col>
                    <xdr:colOff>1619250</xdr:colOff>
                    <xdr:row>35</xdr:row>
                    <xdr:rowOff>247650</xdr:rowOff>
                  </to>
                </anchor>
              </controlPr>
            </control>
          </mc:Choice>
        </mc:AlternateContent>
        <mc:AlternateContent xmlns:mc="http://schemas.openxmlformats.org/markup-compatibility/2006">
          <mc:Choice Requires="x14">
            <control shapeId="72717" r:id="rId16" name="Spinner 13">
              <controlPr defaultSize="0" autoPict="0">
                <anchor moveWithCells="1" sizeWithCells="1">
                  <from>
                    <xdr:col>2</xdr:col>
                    <xdr:colOff>1266825</xdr:colOff>
                    <xdr:row>33</xdr:row>
                    <xdr:rowOff>19050</xdr:rowOff>
                  </from>
                  <to>
                    <xdr:col>2</xdr:col>
                    <xdr:colOff>1609725</xdr:colOff>
                    <xdr:row>33</xdr:row>
                    <xdr:rowOff>219075</xdr:rowOff>
                  </to>
                </anchor>
              </controlPr>
            </control>
          </mc:Choice>
        </mc:AlternateContent>
        <mc:AlternateContent xmlns:mc="http://schemas.openxmlformats.org/markup-compatibility/2006">
          <mc:Choice Requires="x14">
            <control shapeId="72718" r:id="rId17" name="Spinner 14">
              <controlPr defaultSize="0" autoPict="0">
                <anchor moveWithCells="1" sizeWithCells="1">
                  <from>
                    <xdr:col>2</xdr:col>
                    <xdr:colOff>1200150</xdr:colOff>
                    <xdr:row>16</xdr:row>
                    <xdr:rowOff>0</xdr:rowOff>
                  </from>
                  <to>
                    <xdr:col>3</xdr:col>
                    <xdr:colOff>9525</xdr:colOff>
                    <xdr:row>16</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IW1538"/>
  <sheetViews>
    <sheetView zoomScale="70" zoomScaleNormal="70" workbookViewId="0"/>
  </sheetViews>
  <sheetFormatPr defaultColWidth="16.7109375" defaultRowHeight="15" x14ac:dyDescent="0.25"/>
  <cols>
    <col min="1" max="1" width="3.28515625" style="18" customWidth="1"/>
    <col min="2" max="2" width="90.28515625" style="18" customWidth="1"/>
    <col min="3" max="8" width="24.7109375" style="18" customWidth="1"/>
    <col min="9" max="9" width="24.7109375" style="559" customWidth="1"/>
    <col min="10" max="10" width="25.7109375" style="559" customWidth="1"/>
    <col min="11" max="58" width="16.7109375" style="559"/>
    <col min="59" max="16384" width="16.7109375" style="18"/>
  </cols>
  <sheetData>
    <row r="1" spans="1:3" x14ac:dyDescent="0.25">
      <c r="A1" s="17"/>
    </row>
    <row r="2" spans="1:3" x14ac:dyDescent="0.25">
      <c r="A2" s="17"/>
    </row>
    <row r="3" spans="1:3" x14ac:dyDescent="0.25">
      <c r="A3" s="17"/>
    </row>
    <row r="4" spans="1:3" x14ac:dyDescent="0.25">
      <c r="A4" s="17"/>
    </row>
    <row r="5" spans="1:3" x14ac:dyDescent="0.25">
      <c r="A5" s="17"/>
    </row>
    <row r="6" spans="1:3" x14ac:dyDescent="0.25">
      <c r="A6" s="17"/>
    </row>
    <row r="7" spans="1:3" x14ac:dyDescent="0.25">
      <c r="A7" s="17"/>
    </row>
    <row r="8" spans="1:3" x14ac:dyDescent="0.25">
      <c r="A8" s="17"/>
    </row>
    <row r="9" spans="1:3" x14ac:dyDescent="0.25">
      <c r="A9" s="17"/>
    </row>
    <row r="10" spans="1:3" x14ac:dyDescent="0.25">
      <c r="A10" s="559"/>
    </row>
    <row r="11" spans="1:3" x14ac:dyDescent="0.25">
      <c r="A11" s="559"/>
    </row>
    <row r="12" spans="1:3" ht="20.100000000000001" customHeight="1" x14ac:dyDescent="0.25">
      <c r="A12" s="17"/>
      <c r="B12" s="670" t="s">
        <v>1049</v>
      </c>
      <c r="C12" s="669"/>
    </row>
    <row r="13" spans="1:3" ht="20.100000000000001" customHeight="1" x14ac:dyDescent="0.25">
      <c r="A13" s="559"/>
      <c r="B13" s="203" t="s">
        <v>744</v>
      </c>
      <c r="C13" s="171">
        <f>'Baseline farm'!D17</f>
        <v>0</v>
      </c>
    </row>
    <row r="14" spans="1:3" ht="20.100000000000001" customHeight="1" x14ac:dyDescent="0.25">
      <c r="A14" s="17"/>
      <c r="B14" s="203" t="s">
        <v>514</v>
      </c>
      <c r="C14" s="7">
        <f>'Baseline farm'!D19</f>
        <v>0</v>
      </c>
    </row>
    <row r="15" spans="1:3" ht="20.100000000000001" customHeight="1" x14ac:dyDescent="0.25">
      <c r="A15" s="17"/>
      <c r="B15" s="203" t="s">
        <v>1081</v>
      </c>
      <c r="C15" s="858">
        <v>15</v>
      </c>
    </row>
    <row r="16" spans="1:3" ht="20.100000000000001" customHeight="1" x14ac:dyDescent="0.25">
      <c r="A16" s="17"/>
      <c r="B16" s="203" t="s">
        <v>1082</v>
      </c>
      <c r="C16" s="858">
        <v>18</v>
      </c>
    </row>
    <row r="17" spans="1:257" ht="20.100000000000001" customHeight="1" x14ac:dyDescent="0.25">
      <c r="A17" s="17"/>
      <c r="B17" s="203" t="s">
        <v>515</v>
      </c>
      <c r="C17" s="7">
        <f>'Baseline farm'!D28</f>
        <v>0</v>
      </c>
    </row>
    <row r="18" spans="1:257" ht="20.100000000000001" customHeight="1" x14ac:dyDescent="0.25">
      <c r="A18" s="17"/>
      <c r="B18" s="203" t="s">
        <v>1100</v>
      </c>
      <c r="C18" s="860">
        <v>4</v>
      </c>
    </row>
    <row r="19" spans="1:257" ht="20.100000000000001" customHeight="1" x14ac:dyDescent="0.25">
      <c r="A19" s="17"/>
      <c r="B19" s="671" t="s">
        <v>1050</v>
      </c>
      <c r="C19" s="4"/>
    </row>
    <row r="20" spans="1:257" ht="20.100000000000001" customHeight="1" x14ac:dyDescent="0.25">
      <c r="A20" s="17"/>
      <c r="B20" s="325" t="s">
        <v>1133</v>
      </c>
      <c r="C20" s="859">
        <v>41456</v>
      </c>
    </row>
    <row r="21" spans="1:257" ht="5.0999999999999996" customHeight="1" x14ac:dyDescent="0.25">
      <c r="A21" s="17"/>
      <c r="B21" s="325"/>
      <c r="C21" s="374"/>
    </row>
    <row r="22" spans="1:257" ht="20.100000000000001" customHeight="1" x14ac:dyDescent="0.25">
      <c r="A22" s="17"/>
      <c r="B22" s="325" t="s">
        <v>517</v>
      </c>
      <c r="C22" s="858">
        <f>C66/10</f>
        <v>14.5</v>
      </c>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s="17" customFormat="1" ht="5.0999999999999996" customHeight="1" x14ac:dyDescent="0.25">
      <c r="B23" s="325"/>
      <c r="C23" s="21"/>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ht="20.100000000000001" customHeight="1" x14ac:dyDescent="0.25">
      <c r="A24" s="17"/>
      <c r="B24" s="325" t="s">
        <v>518</v>
      </c>
      <c r="C24" s="858">
        <f>C67/10</f>
        <v>17.5</v>
      </c>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s="17" customFormat="1" ht="5.0999999999999996" customHeight="1" x14ac:dyDescent="0.25">
      <c r="B25" s="325"/>
      <c r="C25" s="22"/>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row>
    <row r="26" spans="1:257" ht="20.100000000000001" customHeight="1" x14ac:dyDescent="0.25">
      <c r="A26" s="17"/>
      <c r="B26" s="325" t="s">
        <v>581</v>
      </c>
      <c r="C26" s="860">
        <f>C68/1</f>
        <v>670</v>
      </c>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row>
    <row r="27" spans="1:257" s="17" customFormat="1" ht="5.0999999999999996" customHeight="1" x14ac:dyDescent="0.25">
      <c r="B27" s="325"/>
      <c r="C27" s="19"/>
      <c r="I27" s="559"/>
      <c r="J27" s="559"/>
      <c r="K27" s="559"/>
      <c r="L27" s="559"/>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row>
    <row r="28" spans="1:257" ht="20.100000000000001" customHeight="1" x14ac:dyDescent="0.25">
      <c r="A28" s="17"/>
      <c r="B28" s="325" t="s">
        <v>854</v>
      </c>
      <c r="C28" s="860">
        <f>C69/1</f>
        <v>60</v>
      </c>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row>
    <row r="29" spans="1:257" ht="5.0999999999999996" customHeight="1" x14ac:dyDescent="0.25">
      <c r="A29" s="17"/>
      <c r="B29" s="325"/>
      <c r="C29" s="23"/>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row>
    <row r="30" spans="1:257" ht="20.100000000000001" customHeight="1" x14ac:dyDescent="0.25">
      <c r="A30" s="17"/>
      <c r="B30" s="325" t="s">
        <v>582</v>
      </c>
      <c r="C30" s="860">
        <f>C70/1</f>
        <v>2</v>
      </c>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row>
    <row r="31" spans="1:257" s="17" customFormat="1" ht="4.1500000000000004" customHeight="1" x14ac:dyDescent="0.25">
      <c r="B31" s="325"/>
      <c r="C31" s="23"/>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row>
    <row r="32" spans="1:257" s="559" customFormat="1" ht="20.100000000000001" customHeight="1" x14ac:dyDescent="0.25">
      <c r="B32" s="325" t="s">
        <v>1098</v>
      </c>
      <c r="C32" s="860">
        <f>C73</f>
        <v>0</v>
      </c>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row>
    <row r="33" spans="1:257" s="559" customFormat="1" ht="5.0999999999999996" customHeight="1" x14ac:dyDescent="0.25">
      <c r="B33" s="325"/>
      <c r="C33" s="23"/>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row>
    <row r="34" spans="1:257" ht="20.100000000000001" customHeight="1" x14ac:dyDescent="0.25">
      <c r="A34" s="17"/>
      <c r="B34" s="205" t="s">
        <v>128</v>
      </c>
      <c r="C34" s="861">
        <f>C71/100</f>
        <v>0.4</v>
      </c>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row>
    <row r="35" spans="1:257" s="17" customFormat="1" ht="5.0999999999999996" customHeight="1" x14ac:dyDescent="0.25">
      <c r="B35" s="325"/>
      <c r="C35" s="22"/>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row>
    <row r="36" spans="1:257" ht="20.100000000000001" customHeight="1" x14ac:dyDescent="0.25">
      <c r="A36" s="17"/>
      <c r="B36" s="205" t="s">
        <v>72</v>
      </c>
      <c r="C36" s="861">
        <f>C72/100</f>
        <v>6</v>
      </c>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row>
    <row r="37" spans="1:257" ht="5.0999999999999996" customHeight="1" x14ac:dyDescent="0.25">
      <c r="A37" s="17"/>
      <c r="B37" s="325"/>
      <c r="C37" s="22"/>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row>
    <row r="38" spans="1:257" ht="20.100000000000001" customHeight="1" x14ac:dyDescent="0.25">
      <c r="A38" s="17"/>
      <c r="B38" s="672" t="s">
        <v>1051</v>
      </c>
      <c r="C38" s="673"/>
    </row>
    <row r="39" spans="1:257" ht="20.100000000000001" customHeight="1" x14ac:dyDescent="0.25">
      <c r="A39" s="559"/>
      <c r="B39" s="306" t="s">
        <v>571</v>
      </c>
      <c r="C39" s="676">
        <f>D127-C127</f>
        <v>21789.134989999999</v>
      </c>
    </row>
    <row r="40" spans="1:257" ht="20.100000000000001" customHeight="1" x14ac:dyDescent="0.25">
      <c r="A40" s="17"/>
      <c r="B40" s="207" t="s">
        <v>572</v>
      </c>
      <c r="C40" s="518">
        <f>D131*C13</f>
        <v>0</v>
      </c>
    </row>
    <row r="41" spans="1:257" ht="20.100000000000001" customHeight="1" x14ac:dyDescent="0.25">
      <c r="A41" s="17"/>
      <c r="B41" s="208" t="s">
        <v>1052</v>
      </c>
      <c r="C41" s="11"/>
    </row>
    <row r="42" spans="1:257" ht="20.100000000000001" customHeight="1" x14ac:dyDescent="0.25">
      <c r="A42" s="17"/>
      <c r="B42" s="523" t="s">
        <v>89</v>
      </c>
      <c r="C42" s="524" t="e">
        <f>D138</f>
        <v>#N/A</v>
      </c>
    </row>
    <row r="43" spans="1:257" ht="20.100000000000001" customHeight="1" x14ac:dyDescent="0.25">
      <c r="A43" s="17"/>
      <c r="B43" s="523" t="s">
        <v>494</v>
      </c>
      <c r="C43" s="524">
        <v>0</v>
      </c>
    </row>
    <row r="44" spans="1:257" ht="20.100000000000001" customHeight="1" x14ac:dyDescent="0.25">
      <c r="A44" s="17"/>
      <c r="B44" s="523" t="s">
        <v>495</v>
      </c>
      <c r="C44" s="524">
        <v>0</v>
      </c>
    </row>
    <row r="45" spans="1:257" ht="20.100000000000001" customHeight="1" x14ac:dyDescent="0.25">
      <c r="A45" s="17"/>
      <c r="B45" s="523" t="s">
        <v>217</v>
      </c>
      <c r="C45" s="524">
        <v>0</v>
      </c>
    </row>
    <row r="46" spans="1:257" ht="20.100000000000001" customHeight="1" x14ac:dyDescent="0.25">
      <c r="A46" s="17"/>
      <c r="B46" s="523" t="s">
        <v>218</v>
      </c>
      <c r="C46" s="524" t="e">
        <f>SUM(C42:C45)</f>
        <v>#N/A</v>
      </c>
    </row>
    <row r="47" spans="1:257" ht="20.100000000000001" customHeight="1" x14ac:dyDescent="0.25">
      <c r="A47" s="17"/>
      <c r="B47" s="525" t="s">
        <v>1047</v>
      </c>
      <c r="C47" s="526" t="e">
        <f>C42*C36</f>
        <v>#N/A</v>
      </c>
    </row>
    <row r="48" spans="1:257" ht="20.100000000000001" customHeight="1" x14ac:dyDescent="0.25">
      <c r="A48" s="17"/>
      <c r="B48" s="525" t="s">
        <v>1048</v>
      </c>
      <c r="C48" s="526">
        <f>IF(C15="",0,IF(C16="",0,(C32*(365/(C26+C28)))*C13))</f>
        <v>0</v>
      </c>
    </row>
    <row r="49" spans="1:8" ht="20.100000000000001" customHeight="1" x14ac:dyDescent="0.25">
      <c r="A49" s="17"/>
      <c r="B49" s="525" t="s">
        <v>20</v>
      </c>
      <c r="C49" s="527" t="e">
        <f>IF(C47&gt;1,C47-C48,C48*-1)</f>
        <v>#N/A</v>
      </c>
    </row>
    <row r="50" spans="1:8" ht="20.100000000000001" customHeight="1" x14ac:dyDescent="0.25">
      <c r="A50" s="17"/>
      <c r="B50" s="525" t="s">
        <v>95</v>
      </c>
      <c r="C50" s="526">
        <f>C40*C34</f>
        <v>0</v>
      </c>
    </row>
    <row r="51" spans="1:8" ht="20.100000000000001" customHeight="1" x14ac:dyDescent="0.25">
      <c r="A51" s="17"/>
      <c r="B51" s="525" t="s">
        <v>18</v>
      </c>
      <c r="C51" s="526" t="e">
        <f>IF(C47&gt;1,C47-C48+C50,C50-C48)</f>
        <v>#N/A</v>
      </c>
    </row>
    <row r="52" spans="1:8" ht="20.100000000000001" customHeight="1" x14ac:dyDescent="0.25">
      <c r="A52" s="17"/>
      <c r="B52" s="525" t="s">
        <v>1053</v>
      </c>
      <c r="C52" s="528" t="e">
        <f>C83</f>
        <v>#N/A</v>
      </c>
    </row>
    <row r="53" spans="1:8" ht="20.100000000000001" customHeight="1" x14ac:dyDescent="0.25">
      <c r="A53" s="17"/>
      <c r="B53" s="529" t="s">
        <v>1237</v>
      </c>
      <c r="C53" s="538" t="e">
        <f>C115-D115</f>
        <v>#N/A</v>
      </c>
    </row>
    <row r="54" spans="1:8" ht="20.100000000000001" customHeight="1" x14ac:dyDescent="0.25">
      <c r="A54" s="17"/>
      <c r="B54" s="525" t="s">
        <v>1054</v>
      </c>
      <c r="C54" s="531" t="e">
        <f>D147</f>
        <v>#N/A</v>
      </c>
    </row>
    <row r="55" spans="1:8" ht="20.100000000000001" customHeight="1" x14ac:dyDescent="0.25">
      <c r="A55" s="17"/>
      <c r="B55" s="532" t="s">
        <v>235</v>
      </c>
      <c r="C55" s="533" t="e">
        <f>C54+C50-C48</f>
        <v>#N/A</v>
      </c>
    </row>
    <row r="56" spans="1:8" x14ac:dyDescent="0.25">
      <c r="A56" s="17"/>
      <c r="B56" s="17"/>
      <c r="C56" s="17"/>
      <c r="D56" s="17"/>
      <c r="E56" s="17"/>
      <c r="F56" s="17"/>
      <c r="G56" s="17"/>
      <c r="H56" s="17"/>
    </row>
    <row r="57" spans="1:8" s="559" customFormat="1" x14ac:dyDescent="0.25">
      <c r="B57" s="169"/>
      <c r="C57" s="170"/>
    </row>
    <row r="58" spans="1:8" s="559" customFormat="1" x14ac:dyDescent="0.25">
      <c r="B58" s="169"/>
      <c r="C58" s="170"/>
    </row>
    <row r="59" spans="1:8" s="559" customFormat="1" x14ac:dyDescent="0.25">
      <c r="B59" s="169"/>
      <c r="C59" s="170"/>
    </row>
    <row r="60" spans="1:8" s="559" customFormat="1" x14ac:dyDescent="0.25">
      <c r="B60" s="169"/>
      <c r="C60" s="170"/>
    </row>
    <row r="61" spans="1:8" s="559" customFormat="1" x14ac:dyDescent="0.25">
      <c r="B61" s="169"/>
      <c r="C61" s="170"/>
    </row>
    <row r="62" spans="1:8" s="559" customFormat="1" x14ac:dyDescent="0.25">
      <c r="B62" s="169"/>
      <c r="C62" s="170"/>
    </row>
    <row r="63" spans="1:8" s="559" customFormat="1" ht="23.25" hidden="1" x14ac:dyDescent="0.35">
      <c r="B63" s="640"/>
      <c r="C63" s="170"/>
    </row>
    <row r="64" spans="1:8" s="559" customFormat="1" ht="23.25" hidden="1" x14ac:dyDescent="0.35">
      <c r="B64" s="640"/>
      <c r="C64" s="170"/>
      <c r="D64" s="760"/>
    </row>
    <row r="65" spans="2:4" s="559" customFormat="1" hidden="1" x14ac:dyDescent="0.25">
      <c r="B65" s="678" t="s">
        <v>166</v>
      </c>
      <c r="C65" s="677"/>
      <c r="D65" s="173"/>
    </row>
    <row r="66" spans="2:4" s="559" customFormat="1" hidden="1" x14ac:dyDescent="0.25">
      <c r="B66" s="169" t="s">
        <v>517</v>
      </c>
      <c r="C66" s="749">
        <v>145</v>
      </c>
      <c r="D66" s="173"/>
    </row>
    <row r="67" spans="2:4" s="559" customFormat="1" hidden="1" x14ac:dyDescent="0.25">
      <c r="B67" s="169" t="s">
        <v>518</v>
      </c>
      <c r="C67" s="749">
        <v>175</v>
      </c>
      <c r="D67" s="173"/>
    </row>
    <row r="68" spans="2:4" s="559" customFormat="1" hidden="1" x14ac:dyDescent="0.25">
      <c r="B68" s="169" t="s">
        <v>519</v>
      </c>
      <c r="C68" s="749">
        <v>670</v>
      </c>
      <c r="D68" s="173"/>
    </row>
    <row r="69" spans="2:4" s="559" customFormat="1" hidden="1" x14ac:dyDescent="0.25">
      <c r="B69" s="169" t="s">
        <v>520</v>
      </c>
      <c r="C69" s="721">
        <v>60</v>
      </c>
      <c r="D69" s="173"/>
    </row>
    <row r="70" spans="2:4" s="559" customFormat="1" hidden="1" x14ac:dyDescent="0.25">
      <c r="B70" s="169" t="s">
        <v>516</v>
      </c>
      <c r="C70" s="721">
        <v>2</v>
      </c>
      <c r="D70" s="173"/>
    </row>
    <row r="71" spans="2:4" s="173" customFormat="1" ht="12.75" hidden="1" x14ac:dyDescent="0.2">
      <c r="B71" s="169" t="s">
        <v>88</v>
      </c>
      <c r="C71" s="750">
        <v>40</v>
      </c>
    </row>
    <row r="72" spans="2:4" s="173" customFormat="1" ht="12.75" hidden="1" x14ac:dyDescent="0.2">
      <c r="B72" s="169" t="s">
        <v>72</v>
      </c>
      <c r="C72" s="750">
        <v>600</v>
      </c>
    </row>
    <row r="73" spans="2:4" s="173" customFormat="1" ht="12.75" hidden="1" x14ac:dyDescent="0.2">
      <c r="B73" s="169" t="s">
        <v>1099</v>
      </c>
      <c r="C73" s="750">
        <v>0</v>
      </c>
    </row>
    <row r="74" spans="2:4" s="173" customFormat="1" ht="12.75" hidden="1" x14ac:dyDescent="0.2">
      <c r="B74" s="169"/>
      <c r="C74" s="680"/>
    </row>
    <row r="75" spans="2:4" s="173" customFormat="1" ht="12.75" hidden="1" x14ac:dyDescent="0.2">
      <c r="B75" s="169"/>
      <c r="C75" s="680"/>
    </row>
    <row r="76" spans="2:4" s="559" customFormat="1" ht="15.75" hidden="1" x14ac:dyDescent="0.25">
      <c r="B76" s="678" t="s">
        <v>152</v>
      </c>
      <c r="C76" s="751" t="s">
        <v>702</v>
      </c>
      <c r="D76" s="358" t="s">
        <v>703</v>
      </c>
    </row>
    <row r="77" spans="2:4" s="559" customFormat="1" hidden="1" x14ac:dyDescent="0.25">
      <c r="B77" s="169" t="s">
        <v>119</v>
      </c>
      <c r="C77" s="729" t="e">
        <f>C47</f>
        <v>#N/A</v>
      </c>
      <c r="D77" s="752" t="e">
        <f>C54</f>
        <v>#N/A</v>
      </c>
    </row>
    <row r="78" spans="2:4" s="559" customFormat="1" hidden="1" x14ac:dyDescent="0.25">
      <c r="B78" s="169" t="s">
        <v>120</v>
      </c>
      <c r="C78" s="729">
        <f>C48</f>
        <v>0</v>
      </c>
      <c r="D78" s="752">
        <f>C78</f>
        <v>0</v>
      </c>
    </row>
    <row r="79" spans="2:4" s="559" customFormat="1" hidden="1" x14ac:dyDescent="0.25">
      <c r="B79" s="169" t="s">
        <v>121</v>
      </c>
      <c r="C79" s="729">
        <f>C50</f>
        <v>0</v>
      </c>
      <c r="D79" s="752">
        <f>C79</f>
        <v>0</v>
      </c>
    </row>
    <row r="80" spans="2:4" s="559" customFormat="1" hidden="1" x14ac:dyDescent="0.25">
      <c r="B80" s="169" t="s">
        <v>24</v>
      </c>
      <c r="C80" s="729" t="e">
        <f>C51</f>
        <v>#N/A</v>
      </c>
      <c r="D80" s="753" t="e">
        <f>C55</f>
        <v>#N/A</v>
      </c>
    </row>
    <row r="81" spans="2:17" s="559" customFormat="1" hidden="1" x14ac:dyDescent="0.25">
      <c r="B81" s="169"/>
      <c r="C81" s="729"/>
      <c r="D81" s="753"/>
    </row>
    <row r="82" spans="2:17" s="559" customFormat="1" hidden="1" x14ac:dyDescent="0.25">
      <c r="B82" s="169"/>
      <c r="C82" s="729"/>
      <c r="D82" s="753"/>
    </row>
    <row r="83" spans="2:17" s="559" customFormat="1" hidden="1" x14ac:dyDescent="0.25">
      <c r="B83" s="169" t="s">
        <v>112</v>
      </c>
      <c r="C83" s="754" t="e">
        <f>C80/C84</f>
        <v>#N/A</v>
      </c>
      <c r="D83" s="173"/>
    </row>
    <row r="84" spans="2:17" s="559" customFormat="1" hidden="1" x14ac:dyDescent="0.25">
      <c r="B84" s="169" t="s">
        <v>109</v>
      </c>
      <c r="C84" s="755" t="e">
        <f>(((C15*C13*1/C18)+(C16*C13*((C18-1)/6)))/C13)*C13*C17*C34</f>
        <v>#DIV/0!</v>
      </c>
      <c r="D84" s="173"/>
    </row>
    <row r="85" spans="2:17" s="559" customFormat="1" hidden="1" x14ac:dyDescent="0.25">
      <c r="B85" s="173"/>
      <c r="C85" s="723"/>
      <c r="D85" s="173"/>
    </row>
    <row r="86" spans="2:17" s="559" customFormat="1" hidden="1" x14ac:dyDescent="0.25">
      <c r="B86" s="678"/>
      <c r="C86" s="723"/>
      <c r="D86" s="173"/>
    </row>
    <row r="87" spans="2:17" s="559" customFormat="1" hidden="1" x14ac:dyDescent="0.25">
      <c r="B87" s="169"/>
      <c r="C87" s="725"/>
      <c r="D87" s="173"/>
    </row>
    <row r="88" spans="2:17" s="559" customFormat="1" hidden="1" x14ac:dyDescent="0.25">
      <c r="C88" s="756" t="s">
        <v>575</v>
      </c>
      <c r="D88" s="756" t="s">
        <v>532</v>
      </c>
      <c r="F88" s="559" t="s">
        <v>533</v>
      </c>
    </row>
    <row r="89" spans="2:17" s="559" customFormat="1" hidden="1" x14ac:dyDescent="0.25">
      <c r="B89" s="559" t="s">
        <v>534</v>
      </c>
      <c r="C89" s="757">
        <f>C20</f>
        <v>41456</v>
      </c>
      <c r="D89" s="757">
        <f>C89</f>
        <v>41456</v>
      </c>
      <c r="E89" s="757"/>
      <c r="F89" s="559" t="s">
        <v>575</v>
      </c>
      <c r="G89" s="559" t="s">
        <v>532</v>
      </c>
      <c r="K89" s="559" t="s">
        <v>535</v>
      </c>
      <c r="O89" s="559" t="s">
        <v>576</v>
      </c>
    </row>
    <row r="90" spans="2:17" s="559" customFormat="1" hidden="1" x14ac:dyDescent="0.25">
      <c r="B90" s="559" t="s">
        <v>536</v>
      </c>
      <c r="C90" s="758">
        <f>C91*0.9</f>
        <v>0</v>
      </c>
      <c r="D90" s="758">
        <f>D91*0.9</f>
        <v>0</v>
      </c>
      <c r="E90" s="356" t="s">
        <v>537</v>
      </c>
      <c r="F90" s="559">
        <f>ROUND(C90/50,0)*50</f>
        <v>0</v>
      </c>
      <c r="G90" s="559">
        <f>ROUND(D90/50,0)*50</f>
        <v>0</v>
      </c>
      <c r="K90" s="559" t="s">
        <v>577</v>
      </c>
      <c r="L90" s="559" t="s">
        <v>538</v>
      </c>
    </row>
    <row r="91" spans="2:17" s="559" customFormat="1" hidden="1" x14ac:dyDescent="0.25">
      <c r="B91" s="559" t="s">
        <v>539</v>
      </c>
      <c r="C91" s="758">
        <f>C14</f>
        <v>0</v>
      </c>
      <c r="D91" s="758">
        <f>C91</f>
        <v>0</v>
      </c>
      <c r="E91" s="559" t="s">
        <v>580</v>
      </c>
      <c r="F91" s="559">
        <f>ROUND(C91/50,0)*50</f>
        <v>0</v>
      </c>
      <c r="G91" s="559">
        <f>ROUND(D91/50,0)*50</f>
        <v>0</v>
      </c>
      <c r="K91" s="559">
        <v>100</v>
      </c>
      <c r="L91" s="559">
        <v>17</v>
      </c>
      <c r="O91" s="559" t="s">
        <v>540</v>
      </c>
      <c r="P91" s="559" t="s">
        <v>538</v>
      </c>
      <c r="Q91" s="559" t="s">
        <v>541</v>
      </c>
    </row>
    <row r="92" spans="2:17" s="559" customFormat="1" hidden="1" x14ac:dyDescent="0.25">
      <c r="B92" s="559" t="s">
        <v>542</v>
      </c>
      <c r="C92" s="758">
        <f>C17</f>
        <v>0</v>
      </c>
      <c r="D92" s="758">
        <f>C26</f>
        <v>670</v>
      </c>
      <c r="K92" s="559">
        <f>K91+50</f>
        <v>150</v>
      </c>
      <c r="L92" s="559">
        <v>22</v>
      </c>
      <c r="O92" s="559" t="s">
        <v>543</v>
      </c>
      <c r="P92" s="559">
        <v>8</v>
      </c>
      <c r="Q92" s="559">
        <f>P92*30</f>
        <v>240</v>
      </c>
    </row>
    <row r="93" spans="2:17" s="559" customFormat="1" hidden="1" x14ac:dyDescent="0.25">
      <c r="B93" s="559" t="s">
        <v>544</v>
      </c>
      <c r="C93" s="559">
        <f>365-C92</f>
        <v>365</v>
      </c>
      <c r="D93" s="758">
        <f>C28</f>
        <v>60</v>
      </c>
      <c r="K93" s="559">
        <f t="shared" ref="K93:K105" si="0">K92+50</f>
        <v>200</v>
      </c>
      <c r="L93" s="559">
        <v>27</v>
      </c>
      <c r="O93" s="559" t="s">
        <v>545</v>
      </c>
      <c r="P93" s="559">
        <v>10</v>
      </c>
      <c r="Q93" s="559">
        <f>P93*30</f>
        <v>300</v>
      </c>
    </row>
    <row r="94" spans="2:17" s="559" customFormat="1" hidden="1" x14ac:dyDescent="0.25">
      <c r="B94" s="559" t="s">
        <v>546</v>
      </c>
      <c r="C94" s="356">
        <f>C15</f>
        <v>15</v>
      </c>
      <c r="D94" s="356">
        <f>C22</f>
        <v>14.5</v>
      </c>
      <c r="E94" s="356"/>
      <c r="K94" s="559">
        <f t="shared" si="0"/>
        <v>250</v>
      </c>
      <c r="L94" s="559">
        <v>31</v>
      </c>
      <c r="O94" s="559" t="s">
        <v>547</v>
      </c>
      <c r="P94" s="559">
        <v>15</v>
      </c>
      <c r="Q94" s="559">
        <f>P94*30</f>
        <v>450</v>
      </c>
    </row>
    <row r="95" spans="2:17" s="559" customFormat="1" hidden="1" x14ac:dyDescent="0.25">
      <c r="B95" s="559" t="s">
        <v>548</v>
      </c>
      <c r="C95" s="356">
        <f>C94*C92</f>
        <v>0</v>
      </c>
      <c r="D95" s="356">
        <f>D94*D92</f>
        <v>9715</v>
      </c>
      <c r="E95" s="356"/>
      <c r="K95" s="559">
        <f t="shared" si="0"/>
        <v>300</v>
      </c>
      <c r="L95" s="559">
        <v>36</v>
      </c>
      <c r="O95" s="559" t="s">
        <v>549</v>
      </c>
      <c r="P95" s="559">
        <v>20</v>
      </c>
      <c r="Q95" s="559">
        <f>P95*30</f>
        <v>600</v>
      </c>
    </row>
    <row r="96" spans="2:17" s="559" customFormat="1" hidden="1" x14ac:dyDescent="0.25">
      <c r="B96" s="559" t="s">
        <v>550</v>
      </c>
      <c r="C96" s="356">
        <f>C16</f>
        <v>18</v>
      </c>
      <c r="D96" s="356">
        <f>C24</f>
        <v>17.5</v>
      </c>
      <c r="E96" s="356"/>
      <c r="G96" s="356"/>
      <c r="K96" s="559">
        <f t="shared" si="0"/>
        <v>350</v>
      </c>
      <c r="L96" s="559">
        <v>40</v>
      </c>
      <c r="O96" s="559" t="s">
        <v>551</v>
      </c>
      <c r="Q96" s="559">
        <f>SUM(Q92:Q95)</f>
        <v>1590</v>
      </c>
    </row>
    <row r="97" spans="2:12" s="559" customFormat="1" hidden="1" x14ac:dyDescent="0.25">
      <c r="B97" s="559" t="s">
        <v>552</v>
      </c>
      <c r="C97" s="356">
        <f>C96*C92</f>
        <v>0</v>
      </c>
      <c r="D97" s="356">
        <f>D96*D92</f>
        <v>11725</v>
      </c>
      <c r="E97" s="356"/>
      <c r="K97" s="559">
        <f t="shared" si="0"/>
        <v>400</v>
      </c>
      <c r="L97" s="559">
        <v>45</v>
      </c>
    </row>
    <row r="98" spans="2:12" s="559" customFormat="1" hidden="1" x14ac:dyDescent="0.25">
      <c r="B98" s="559" t="s">
        <v>553</v>
      </c>
      <c r="C98" s="758">
        <f>C18</f>
        <v>4</v>
      </c>
      <c r="D98" s="758">
        <f>C30</f>
        <v>2</v>
      </c>
      <c r="E98" s="356"/>
      <c r="G98" s="356"/>
      <c r="K98" s="559">
        <f t="shared" si="0"/>
        <v>450</v>
      </c>
      <c r="L98" s="559">
        <v>49</v>
      </c>
    </row>
    <row r="99" spans="2:12" s="559" customFormat="1" hidden="1" x14ac:dyDescent="0.25">
      <c r="B99" s="559" t="s">
        <v>1569</v>
      </c>
      <c r="C99" s="559">
        <f>(C95+(C98-1)*C97*1.03)*(0.2534+(0.1226*'Baseline farm'!$P$172)+(0.0776*'Baseline farm'!$P$173))</f>
        <v>0</v>
      </c>
      <c r="D99" s="559">
        <f>(D95+(D98-1)*D97*1.03)*(0.2534+(0.1226*'Baseline farm'!$P$172)+(0.0776*'Baseline farm'!$P$173))</f>
        <v>21789.134989999999</v>
      </c>
      <c r="K99" s="559">
        <f t="shared" si="0"/>
        <v>500</v>
      </c>
      <c r="L99" s="559">
        <v>54</v>
      </c>
    </row>
    <row r="100" spans="2:12" s="559" customFormat="1" hidden="1" x14ac:dyDescent="0.25">
      <c r="B100" s="559" t="s">
        <v>554</v>
      </c>
      <c r="C100" s="757">
        <f>C89+(C98*(C92+C93))-C93</f>
        <v>42551</v>
      </c>
      <c r="D100" s="757">
        <f>D89+(D98*(D92+D93))-D93</f>
        <v>42856</v>
      </c>
      <c r="E100" s="757"/>
      <c r="G100" s="356"/>
      <c r="K100" s="559">
        <f t="shared" si="0"/>
        <v>550</v>
      </c>
      <c r="L100" s="559">
        <v>59</v>
      </c>
    </row>
    <row r="101" spans="2:12" s="559" customFormat="1" hidden="1" x14ac:dyDescent="0.25">
      <c r="B101" s="559" t="s">
        <v>578</v>
      </c>
      <c r="C101" s="559" t="e">
        <f>VLOOKUP(F90,$K$91:$L$105,2,TRUE)</f>
        <v>#N/A</v>
      </c>
      <c r="D101" s="559" t="e">
        <f>VLOOKUP(G90,$K$91:$L$105,2,TRUE)</f>
        <v>#N/A</v>
      </c>
      <c r="K101" s="559">
        <f t="shared" si="0"/>
        <v>600</v>
      </c>
      <c r="L101" s="559">
        <v>63</v>
      </c>
    </row>
    <row r="102" spans="2:12" s="559" customFormat="1" hidden="1" x14ac:dyDescent="0.25">
      <c r="B102" s="559" t="s">
        <v>680</v>
      </c>
      <c r="C102" s="356" t="e">
        <f>C101*(C92+C93)</f>
        <v>#N/A</v>
      </c>
      <c r="D102" s="356" t="e">
        <f>D101*(D92+D93)</f>
        <v>#N/A</v>
      </c>
      <c r="E102" s="356"/>
      <c r="G102" s="356"/>
      <c r="K102" s="559">
        <f t="shared" si="0"/>
        <v>650</v>
      </c>
      <c r="L102" s="559">
        <v>68</v>
      </c>
    </row>
    <row r="103" spans="2:12" s="559" customFormat="1" hidden="1" x14ac:dyDescent="0.25">
      <c r="B103" s="559" t="s">
        <v>555</v>
      </c>
      <c r="C103" s="559">
        <f>44*(C91-C90)</f>
        <v>0</v>
      </c>
      <c r="D103" s="559">
        <f>44*(D91-D90)</f>
        <v>0</v>
      </c>
      <c r="K103" s="559">
        <f t="shared" si="0"/>
        <v>700</v>
      </c>
      <c r="L103" s="559">
        <v>72</v>
      </c>
    </row>
    <row r="104" spans="2:12" s="559" customFormat="1" hidden="1" x14ac:dyDescent="0.25">
      <c r="B104" s="559" t="s">
        <v>556</v>
      </c>
      <c r="C104" s="559">
        <f>C95*5.5</f>
        <v>0</v>
      </c>
      <c r="D104" s="559">
        <f>D95*5.5</f>
        <v>53432.5</v>
      </c>
      <c r="K104" s="559">
        <f t="shared" si="0"/>
        <v>750</v>
      </c>
      <c r="L104" s="559">
        <v>77</v>
      </c>
    </row>
    <row r="105" spans="2:12" s="559" customFormat="1" hidden="1" x14ac:dyDescent="0.25">
      <c r="B105" s="559" t="s">
        <v>573</v>
      </c>
      <c r="C105" s="559">
        <f>(C100-C89)-C92-C93</f>
        <v>730</v>
      </c>
      <c r="D105" s="559">
        <f>(D100-D89)-D92-D93</f>
        <v>670</v>
      </c>
      <c r="K105" s="559">
        <f t="shared" si="0"/>
        <v>800</v>
      </c>
      <c r="L105" s="559">
        <v>81</v>
      </c>
    </row>
    <row r="106" spans="2:12" s="559" customFormat="1" hidden="1" x14ac:dyDescent="0.25">
      <c r="B106" s="559" t="s">
        <v>574</v>
      </c>
      <c r="C106" s="559" t="e">
        <f>VLOOKUP(F91,$K$91:$L$105,2,TRUE)*C105</f>
        <v>#N/A</v>
      </c>
      <c r="D106" s="559" t="e">
        <f>VLOOKUP(G91,$K$91:$L$105,2,TRUE)*D105</f>
        <v>#N/A</v>
      </c>
    </row>
    <row r="107" spans="2:12" s="559" customFormat="1" hidden="1" x14ac:dyDescent="0.25">
      <c r="B107" s="559" t="s">
        <v>557</v>
      </c>
      <c r="C107" s="559">
        <f>5.5*C97*(C98-1)</f>
        <v>0</v>
      </c>
      <c r="D107" s="559">
        <f>5.5*D97*(D98-1)</f>
        <v>64487.5</v>
      </c>
    </row>
    <row r="108" spans="2:12" s="559" customFormat="1" hidden="1" x14ac:dyDescent="0.25">
      <c r="B108" s="559" t="s">
        <v>558</v>
      </c>
      <c r="C108" s="559">
        <f>C98*Q96</f>
        <v>6360</v>
      </c>
      <c r="D108" s="559">
        <f>D98*Q96</f>
        <v>3180</v>
      </c>
    </row>
    <row r="109" spans="2:12" s="559" customFormat="1" hidden="1" x14ac:dyDescent="0.25">
      <c r="B109" s="559" t="s">
        <v>559</v>
      </c>
      <c r="C109" s="356" t="e">
        <f>C124+C102+C103+C104+C106+C107+C108</f>
        <v>#N/A</v>
      </c>
      <c r="D109" s="759" t="e">
        <f>D124+D102+D103+D104+D106+D107+D108</f>
        <v>#N/A</v>
      </c>
      <c r="E109" s="356"/>
      <c r="G109" s="356"/>
    </row>
    <row r="110" spans="2:12" s="559" customFormat="1" hidden="1" x14ac:dyDescent="0.25">
      <c r="B110" s="559" t="s">
        <v>560</v>
      </c>
      <c r="C110" s="356" t="e">
        <f>C109/C99</f>
        <v>#N/A</v>
      </c>
      <c r="D110" s="356" t="e">
        <f>D109/D99</f>
        <v>#N/A</v>
      </c>
      <c r="E110" s="356"/>
      <c r="G110" s="356"/>
    </row>
    <row r="111" spans="2:12" s="559" customFormat="1" hidden="1" x14ac:dyDescent="0.25">
      <c r="B111" s="559" t="s">
        <v>561</v>
      </c>
      <c r="C111" s="356" t="e">
        <f>C109*18.4/11</f>
        <v>#N/A</v>
      </c>
      <c r="D111" s="356" t="e">
        <f>D109*18.4/11</f>
        <v>#N/A</v>
      </c>
      <c r="E111" s="356"/>
      <c r="G111" s="356"/>
    </row>
    <row r="112" spans="2:12" s="559" customFormat="1" hidden="1" x14ac:dyDescent="0.25">
      <c r="B112" s="559" t="s">
        <v>562</v>
      </c>
      <c r="C112" s="559" t="e">
        <f>6.5/100*C111/55.22</f>
        <v>#N/A</v>
      </c>
      <c r="D112" s="559" t="e">
        <f>6.5/100*D111/55.22</f>
        <v>#N/A</v>
      </c>
    </row>
    <row r="113" spans="2:5" s="559" customFormat="1" hidden="1" x14ac:dyDescent="0.25">
      <c r="B113" s="559" t="s">
        <v>563</v>
      </c>
      <c r="C113" s="559" t="e">
        <f>C112/1000</f>
        <v>#N/A</v>
      </c>
      <c r="D113" s="559" t="e">
        <f>D112/1000</f>
        <v>#N/A</v>
      </c>
    </row>
    <row r="114" spans="2:5" s="559" customFormat="1" hidden="1" x14ac:dyDescent="0.25">
      <c r="B114" s="559" t="s">
        <v>564</v>
      </c>
      <c r="C114" s="559" t="e">
        <f>C113*25</f>
        <v>#N/A</v>
      </c>
      <c r="D114" s="559" t="e">
        <f>D113*25</f>
        <v>#N/A</v>
      </c>
    </row>
    <row r="115" spans="2:5" s="559" customFormat="1" hidden="1" x14ac:dyDescent="0.25">
      <c r="B115" s="646" t="s">
        <v>1249</v>
      </c>
      <c r="C115" s="646" t="e">
        <f>C114*1000/C99</f>
        <v>#N/A</v>
      </c>
      <c r="D115" s="646" t="e">
        <f>D114*1000/D99</f>
        <v>#N/A</v>
      </c>
    </row>
    <row r="116" spans="2:5" s="559" customFormat="1" hidden="1" x14ac:dyDescent="0.25"/>
    <row r="117" spans="2:5" s="559" customFormat="1" hidden="1" x14ac:dyDescent="0.25">
      <c r="B117" s="760"/>
      <c r="C117" s="760"/>
      <c r="D117" s="761"/>
    </row>
    <row r="118" spans="2:5" s="559" customFormat="1" hidden="1" x14ac:dyDescent="0.25">
      <c r="B118" s="760"/>
      <c r="C118" s="760"/>
      <c r="D118" s="762"/>
    </row>
    <row r="119" spans="2:5" s="559" customFormat="1" hidden="1" x14ac:dyDescent="0.25">
      <c r="B119" s="760" t="s">
        <v>593</v>
      </c>
    </row>
    <row r="120" spans="2:5" s="559" customFormat="1" hidden="1" x14ac:dyDescent="0.25">
      <c r="B120" s="559" t="s">
        <v>565</v>
      </c>
      <c r="C120" s="559">
        <f>C13</f>
        <v>0</v>
      </c>
      <c r="D120" s="559">
        <f>C120</f>
        <v>0</v>
      </c>
    </row>
    <row r="121" spans="2:5" s="559" customFormat="1" hidden="1" x14ac:dyDescent="0.25">
      <c r="B121" s="559" t="s">
        <v>566</v>
      </c>
      <c r="C121" s="559">
        <f>C120/(C100-C89)</f>
        <v>0</v>
      </c>
      <c r="D121" s="559">
        <f>D120/(D100-D89)</f>
        <v>0</v>
      </c>
    </row>
    <row r="122" spans="2:5" s="559" customFormat="1" hidden="1" x14ac:dyDescent="0.25">
      <c r="B122" s="559" t="s">
        <v>567</v>
      </c>
      <c r="C122" s="559" t="e">
        <f>C161/(C156-C154)</f>
        <v>#N/A</v>
      </c>
      <c r="D122" s="559" t="e">
        <f>C161/(C156-C154)</f>
        <v>#N/A</v>
      </c>
    </row>
    <row r="123" spans="2:5" s="559" customFormat="1" hidden="1" x14ac:dyDescent="0.25">
      <c r="B123" s="559" t="s">
        <v>568</v>
      </c>
      <c r="C123" s="559" t="e">
        <f>C122*C121</f>
        <v>#N/A</v>
      </c>
      <c r="D123" s="559" t="e">
        <f>D122*D121</f>
        <v>#N/A</v>
      </c>
    </row>
    <row r="124" spans="2:5" s="559" customFormat="1" hidden="1" x14ac:dyDescent="0.25">
      <c r="B124" s="559" t="s">
        <v>569</v>
      </c>
      <c r="C124" s="758" t="e">
        <f>C123*(C156-C154)</f>
        <v>#N/A</v>
      </c>
      <c r="D124" s="758" t="e">
        <f>D123*(C156-C154)</f>
        <v>#N/A</v>
      </c>
    </row>
    <row r="125" spans="2:5" s="559" customFormat="1" hidden="1" x14ac:dyDescent="0.25">
      <c r="E125" s="758"/>
    </row>
    <row r="126" spans="2:5" s="559" customFormat="1" hidden="1" x14ac:dyDescent="0.25">
      <c r="B126" s="169"/>
      <c r="C126" s="763"/>
      <c r="D126" s="173"/>
    </row>
    <row r="127" spans="2:5" s="559" customFormat="1" hidden="1" x14ac:dyDescent="0.25">
      <c r="B127" s="764" t="s">
        <v>1570</v>
      </c>
      <c r="C127" s="765">
        <f>C99</f>
        <v>0</v>
      </c>
      <c r="D127" s="765">
        <f>D99</f>
        <v>21789.134989999999</v>
      </c>
    </row>
    <row r="128" spans="2:5" s="559" customFormat="1" hidden="1" x14ac:dyDescent="0.25">
      <c r="B128" s="764" t="s">
        <v>583</v>
      </c>
      <c r="C128" s="766">
        <f>C100-C89</f>
        <v>1095</v>
      </c>
      <c r="D128" s="766">
        <f>D100-D89</f>
        <v>1400</v>
      </c>
    </row>
    <row r="129" spans="2:6" s="559" customFormat="1" hidden="1" x14ac:dyDescent="0.25">
      <c r="B129" s="764" t="s">
        <v>584</v>
      </c>
      <c r="C129" s="767">
        <f>C127/C128</f>
        <v>0</v>
      </c>
      <c r="D129" s="768">
        <f>D127/D128</f>
        <v>15.56366785</v>
      </c>
    </row>
    <row r="130" spans="2:6" s="559" customFormat="1" hidden="1" x14ac:dyDescent="0.25">
      <c r="B130" s="764" t="s">
        <v>592</v>
      </c>
      <c r="C130" s="767">
        <f>C129*365</f>
        <v>0</v>
      </c>
      <c r="D130" s="767">
        <f>D129*365</f>
        <v>5680.7387652500001</v>
      </c>
    </row>
    <row r="131" spans="2:6" s="559" customFormat="1" hidden="1" x14ac:dyDescent="0.25">
      <c r="B131" s="769" t="s">
        <v>585</v>
      </c>
      <c r="D131" s="770">
        <f>D130-C130</f>
        <v>5680.7387652500001</v>
      </c>
    </row>
    <row r="132" spans="2:6" s="559" customFormat="1" hidden="1" x14ac:dyDescent="0.25">
      <c r="B132" s="169"/>
      <c r="C132" s="763"/>
      <c r="D132" s="173"/>
    </row>
    <row r="133" spans="2:6" s="773" customFormat="1" hidden="1" x14ac:dyDescent="0.25">
      <c r="B133" s="771" t="s">
        <v>586</v>
      </c>
      <c r="C133" s="772" t="e">
        <f>C115*C127</f>
        <v>#N/A</v>
      </c>
      <c r="D133" s="772" t="e">
        <f>D115*D127</f>
        <v>#N/A</v>
      </c>
    </row>
    <row r="134" spans="2:6" s="773" customFormat="1" hidden="1" x14ac:dyDescent="0.25">
      <c r="B134" s="771" t="s">
        <v>587</v>
      </c>
      <c r="C134" s="772" t="e">
        <f>C133/C128</f>
        <v>#N/A</v>
      </c>
      <c r="D134" s="772" t="e">
        <f>D133/D128</f>
        <v>#N/A</v>
      </c>
    </row>
    <row r="135" spans="2:6" s="773" customFormat="1" hidden="1" x14ac:dyDescent="0.25">
      <c r="B135" s="771" t="s">
        <v>588</v>
      </c>
      <c r="C135" s="772" t="e">
        <f>C134*365</f>
        <v>#N/A</v>
      </c>
      <c r="D135" s="772" t="e">
        <f>D134*365</f>
        <v>#N/A</v>
      </c>
    </row>
    <row r="136" spans="2:6" s="773" customFormat="1" hidden="1" x14ac:dyDescent="0.25">
      <c r="B136" s="771" t="s">
        <v>589</v>
      </c>
      <c r="C136" s="772" t="e">
        <f>C135*C120</f>
        <v>#N/A</v>
      </c>
      <c r="D136" s="772" t="e">
        <f>D135*D120</f>
        <v>#N/A</v>
      </c>
    </row>
    <row r="137" spans="2:6" s="773" customFormat="1" hidden="1" x14ac:dyDescent="0.25">
      <c r="B137" s="771" t="s">
        <v>590</v>
      </c>
      <c r="C137" s="764"/>
      <c r="D137" s="767" t="e">
        <f>C136-D136</f>
        <v>#N/A</v>
      </c>
    </row>
    <row r="138" spans="2:6" s="773" customFormat="1" hidden="1" x14ac:dyDescent="0.25">
      <c r="B138" s="774" t="s">
        <v>591</v>
      </c>
      <c r="C138" s="764"/>
      <c r="D138" s="760" t="e">
        <f>D137/1000</f>
        <v>#N/A</v>
      </c>
    </row>
    <row r="139" spans="2:6" s="773" customFormat="1" hidden="1" x14ac:dyDescent="0.25">
      <c r="B139" s="771"/>
      <c r="C139" s="764"/>
      <c r="D139" s="646"/>
    </row>
    <row r="140" spans="2:6" s="773" customFormat="1" hidden="1" x14ac:dyDescent="0.25">
      <c r="B140" s="169" t="s">
        <v>840</v>
      </c>
      <c r="C140" s="764"/>
      <c r="D140" s="773" t="e">
        <f>C115-D115</f>
        <v>#N/A</v>
      </c>
      <c r="F140" s="169"/>
    </row>
    <row r="141" spans="2:6" s="773" customFormat="1" hidden="1" x14ac:dyDescent="0.25">
      <c r="B141" s="173" t="s">
        <v>841</v>
      </c>
      <c r="C141" s="764"/>
      <c r="D141" s="773">
        <f>D130*365</f>
        <v>2073469.6493162501</v>
      </c>
      <c r="F141" s="173"/>
    </row>
    <row r="142" spans="2:6" s="773" customFormat="1" hidden="1" x14ac:dyDescent="0.25">
      <c r="B142" s="173" t="s">
        <v>878</v>
      </c>
      <c r="C142" s="764"/>
      <c r="D142" s="775" t="e">
        <f>D141*D140</f>
        <v>#N/A</v>
      </c>
      <c r="F142" s="173"/>
    </row>
    <row r="143" spans="2:6" s="773" customFormat="1" hidden="1" x14ac:dyDescent="0.25">
      <c r="B143" s="173" t="s">
        <v>879</v>
      </c>
      <c r="C143" s="764"/>
      <c r="D143" s="775" t="e">
        <f>D142/365</f>
        <v>#N/A</v>
      </c>
      <c r="F143" s="173"/>
    </row>
    <row r="144" spans="2:6" s="773" customFormat="1" hidden="1" x14ac:dyDescent="0.25">
      <c r="B144" s="173" t="s">
        <v>880</v>
      </c>
      <c r="C144" s="764"/>
      <c r="D144" s="775">
        <v>365</v>
      </c>
      <c r="F144" s="173"/>
    </row>
    <row r="145" spans="2:15" s="773" customFormat="1" hidden="1" x14ac:dyDescent="0.25">
      <c r="B145" s="173" t="s">
        <v>881</v>
      </c>
      <c r="C145" s="764"/>
      <c r="D145" s="775" t="e">
        <f>D144*D143</f>
        <v>#N/A</v>
      </c>
      <c r="F145" s="173"/>
    </row>
    <row r="146" spans="2:15" s="559" customFormat="1" hidden="1" x14ac:dyDescent="0.25">
      <c r="B146" s="173" t="s">
        <v>226</v>
      </c>
      <c r="C146" s="776"/>
      <c r="D146" s="777">
        <f>C36</f>
        <v>6</v>
      </c>
      <c r="F146" s="173"/>
    </row>
    <row r="147" spans="2:15" s="559" customFormat="1" hidden="1" x14ac:dyDescent="0.25">
      <c r="B147" s="173" t="s">
        <v>228</v>
      </c>
      <c r="C147" s="776"/>
      <c r="D147" s="778" t="e">
        <f>D145/1000*D146</f>
        <v>#N/A</v>
      </c>
      <c r="F147" s="173"/>
    </row>
    <row r="148" spans="2:15" s="559" customFormat="1" hidden="1" x14ac:dyDescent="0.25">
      <c r="B148" s="779"/>
      <c r="C148" s="776"/>
      <c r="D148" s="739"/>
    </row>
    <row r="149" spans="2:15" s="559" customFormat="1" hidden="1" x14ac:dyDescent="0.25">
      <c r="B149" s="779"/>
      <c r="C149" s="776"/>
      <c r="D149" s="739"/>
    </row>
    <row r="150" spans="2:15" s="559" customFormat="1" hidden="1" x14ac:dyDescent="0.25">
      <c r="B150" s="779"/>
      <c r="C150" s="776"/>
      <c r="D150" s="739"/>
    </row>
    <row r="151" spans="2:15" s="559" customFormat="1" hidden="1" x14ac:dyDescent="0.25">
      <c r="B151" s="779"/>
      <c r="C151" s="776"/>
      <c r="D151" s="739"/>
    </row>
    <row r="152" spans="2:15" s="559" customFormat="1" hidden="1" x14ac:dyDescent="0.25">
      <c r="B152" s="780"/>
      <c r="C152" s="781"/>
      <c r="D152" s="739"/>
    </row>
    <row r="153" spans="2:15" s="559" customFormat="1" hidden="1" x14ac:dyDescent="0.25">
      <c r="B153" s="646"/>
      <c r="C153" s="646"/>
      <c r="D153" s="646"/>
      <c r="G153" s="559" t="s">
        <v>521</v>
      </c>
      <c r="H153" s="559" t="s">
        <v>522</v>
      </c>
      <c r="L153" s="2229" t="s">
        <v>523</v>
      </c>
      <c r="M153" s="2229"/>
      <c r="N153" s="2229"/>
      <c r="O153" s="2229"/>
    </row>
    <row r="154" spans="2:15" s="559" customFormat="1" hidden="1" x14ac:dyDescent="0.25">
      <c r="B154" s="559" t="s">
        <v>524</v>
      </c>
      <c r="C154" s="757">
        <f>C20</f>
        <v>41456</v>
      </c>
      <c r="E154" s="757">
        <f>C154</f>
        <v>41456</v>
      </c>
      <c r="F154" s="356">
        <f>C155</f>
        <v>0</v>
      </c>
      <c r="G154" s="356">
        <f>ROUND(F154,-2)</f>
        <v>0</v>
      </c>
      <c r="H154" s="559" t="e">
        <f>VLOOKUP(G154,$K$154:$O$160,MATCH($C$159,$K$154:$O$154,0),0)</f>
        <v>#N/A</v>
      </c>
      <c r="K154" s="559" t="s">
        <v>525</v>
      </c>
      <c r="L154" s="559">
        <v>0.4</v>
      </c>
      <c r="M154" s="559">
        <v>0.5</v>
      </c>
      <c r="N154" s="559">
        <v>0.6</v>
      </c>
      <c r="O154" s="559">
        <v>0.7</v>
      </c>
    </row>
    <row r="155" spans="2:15" s="559" customFormat="1" hidden="1" x14ac:dyDescent="0.25">
      <c r="B155" s="559" t="s">
        <v>579</v>
      </c>
      <c r="C155" s="356">
        <f>C14*0.075</f>
        <v>0</v>
      </c>
      <c r="E155" s="757">
        <f>IF(E154&lt;$C$156,E154+1,$C$156)</f>
        <v>41457</v>
      </c>
      <c r="F155" s="356">
        <f>IF(E154&lt;$C$156,F154+C$158,F154)</f>
        <v>0</v>
      </c>
      <c r="G155" s="356">
        <f t="shared" ref="G155:G218" si="1">ROUND(F155,-2)</f>
        <v>0</v>
      </c>
      <c r="H155" s="559">
        <f>IF(F155&gt;F154,(VLOOKUP(G155,$K$154:$O$160,MATCH($C$159,$K$154:$O$154,0),0)),0)</f>
        <v>0</v>
      </c>
      <c r="K155" s="559">
        <v>0</v>
      </c>
      <c r="L155" s="559">
        <v>28</v>
      </c>
      <c r="M155" s="559">
        <v>30</v>
      </c>
      <c r="N155" s="559">
        <v>33</v>
      </c>
      <c r="O155" s="559">
        <v>36</v>
      </c>
    </row>
    <row r="156" spans="2:15" s="559" customFormat="1" hidden="1" x14ac:dyDescent="0.25">
      <c r="B156" s="559" t="s">
        <v>526</v>
      </c>
      <c r="C156" s="757">
        <f>C154+730</f>
        <v>42186</v>
      </c>
      <c r="E156" s="757">
        <f t="shared" ref="E156:E219" si="2">IF(E155&lt;$C$156,E155+1,$C$156)</f>
        <v>41458</v>
      </c>
      <c r="F156" s="356">
        <f t="shared" ref="F156:F219" si="3">IF(E155&lt;$C$156,F155+C$158,F155)</f>
        <v>0</v>
      </c>
      <c r="G156" s="356">
        <f t="shared" si="1"/>
        <v>0</v>
      </c>
      <c r="H156" s="559">
        <f t="shared" ref="H156:H219" si="4">IF(F156&gt;F155,(VLOOKUP(G156,$K$154:$O$160,MATCH($C$159,$K$154:$O$154,0),0)),0)</f>
        <v>0</v>
      </c>
      <c r="K156" s="559">
        <v>100</v>
      </c>
      <c r="L156" s="559">
        <v>28</v>
      </c>
      <c r="M156" s="559">
        <v>30</v>
      </c>
      <c r="N156" s="559">
        <v>33</v>
      </c>
      <c r="O156" s="559">
        <v>36</v>
      </c>
    </row>
    <row r="157" spans="2:15" s="559" customFormat="1" hidden="1" x14ac:dyDescent="0.25">
      <c r="B157" s="559" t="s">
        <v>527</v>
      </c>
      <c r="C157" s="559">
        <f>C14*0.9</f>
        <v>0</v>
      </c>
      <c r="E157" s="757">
        <f t="shared" si="2"/>
        <v>41459</v>
      </c>
      <c r="F157" s="356">
        <f t="shared" si="3"/>
        <v>0</v>
      </c>
      <c r="G157" s="356">
        <f t="shared" si="1"/>
        <v>0</v>
      </c>
      <c r="H157" s="559">
        <f t="shared" si="4"/>
        <v>0</v>
      </c>
      <c r="K157" s="559">
        <v>200</v>
      </c>
      <c r="L157" s="559">
        <v>42</v>
      </c>
      <c r="M157" s="559">
        <v>45</v>
      </c>
      <c r="N157" s="559">
        <v>48</v>
      </c>
      <c r="O157" s="559">
        <v>51</v>
      </c>
    </row>
    <row r="158" spans="2:15" s="559" customFormat="1" hidden="1" x14ac:dyDescent="0.25">
      <c r="B158" s="559" t="s">
        <v>528</v>
      </c>
      <c r="C158" s="356">
        <f>(C157-C155)/(C156-C154)</f>
        <v>0</v>
      </c>
      <c r="E158" s="757">
        <f t="shared" si="2"/>
        <v>41460</v>
      </c>
      <c r="F158" s="356">
        <f t="shared" si="3"/>
        <v>0</v>
      </c>
      <c r="G158" s="356">
        <f t="shared" si="1"/>
        <v>0</v>
      </c>
      <c r="H158" s="559">
        <f t="shared" si="4"/>
        <v>0</v>
      </c>
      <c r="K158" s="559">
        <v>300</v>
      </c>
      <c r="L158" s="559">
        <v>50</v>
      </c>
      <c r="M158" s="559">
        <v>60</v>
      </c>
      <c r="N158" s="559">
        <v>64</v>
      </c>
      <c r="O158" s="559">
        <v>68</v>
      </c>
    </row>
    <row r="159" spans="2:15" s="559" customFormat="1" hidden="1" x14ac:dyDescent="0.25">
      <c r="B159" s="559" t="s">
        <v>529</v>
      </c>
      <c r="C159" s="356">
        <f>ROUND(C158,1)</f>
        <v>0</v>
      </c>
      <c r="E159" s="757">
        <f t="shared" si="2"/>
        <v>41461</v>
      </c>
      <c r="F159" s="356">
        <f t="shared" si="3"/>
        <v>0</v>
      </c>
      <c r="G159" s="356">
        <f t="shared" si="1"/>
        <v>0</v>
      </c>
      <c r="H159" s="559">
        <f t="shared" si="4"/>
        <v>0</v>
      </c>
      <c r="K159" s="559">
        <v>400</v>
      </c>
      <c r="L159" s="559">
        <v>75</v>
      </c>
      <c r="M159" s="559">
        <v>79</v>
      </c>
      <c r="N159" s="559">
        <v>84</v>
      </c>
      <c r="O159" s="559">
        <v>89</v>
      </c>
    </row>
    <row r="160" spans="2:15" s="559" customFormat="1" hidden="1" x14ac:dyDescent="0.25">
      <c r="B160" s="559" t="s">
        <v>570</v>
      </c>
      <c r="C160" s="356">
        <f>Q96</f>
        <v>1590</v>
      </c>
      <c r="E160" s="757">
        <f t="shared" si="2"/>
        <v>41462</v>
      </c>
      <c r="F160" s="356">
        <f t="shared" si="3"/>
        <v>0</v>
      </c>
      <c r="G160" s="356">
        <f t="shared" si="1"/>
        <v>0</v>
      </c>
      <c r="H160" s="559">
        <f t="shared" si="4"/>
        <v>0</v>
      </c>
      <c r="K160" s="559">
        <v>500</v>
      </c>
      <c r="L160" s="559">
        <v>91</v>
      </c>
      <c r="M160" s="559">
        <v>95</v>
      </c>
      <c r="N160" s="559">
        <v>99</v>
      </c>
      <c r="O160" s="559">
        <v>103</v>
      </c>
    </row>
    <row r="161" spans="2:13" s="559" customFormat="1" hidden="1" x14ac:dyDescent="0.25">
      <c r="B161" s="559" t="s">
        <v>530</v>
      </c>
      <c r="C161" s="356" t="e">
        <f>H1284+C160</f>
        <v>#N/A</v>
      </c>
      <c r="E161" s="757">
        <f t="shared" si="2"/>
        <v>41463</v>
      </c>
      <c r="F161" s="356">
        <f t="shared" si="3"/>
        <v>0</v>
      </c>
      <c r="G161" s="356">
        <f t="shared" si="1"/>
        <v>0</v>
      </c>
      <c r="H161" s="559">
        <f t="shared" si="4"/>
        <v>0</v>
      </c>
    </row>
    <row r="162" spans="2:13" s="559" customFormat="1" hidden="1" x14ac:dyDescent="0.25">
      <c r="E162" s="757">
        <f t="shared" si="2"/>
        <v>41464</v>
      </c>
      <c r="F162" s="356">
        <f t="shared" si="3"/>
        <v>0</v>
      </c>
      <c r="G162" s="356">
        <f t="shared" si="1"/>
        <v>0</v>
      </c>
      <c r="H162" s="559">
        <f t="shared" si="4"/>
        <v>0</v>
      </c>
    </row>
    <row r="163" spans="2:13" s="559" customFormat="1" hidden="1" x14ac:dyDescent="0.25">
      <c r="E163" s="757">
        <f t="shared" si="2"/>
        <v>41465</v>
      </c>
      <c r="F163" s="356">
        <f t="shared" si="3"/>
        <v>0</v>
      </c>
      <c r="G163" s="356">
        <f t="shared" si="1"/>
        <v>0</v>
      </c>
      <c r="H163" s="559">
        <f t="shared" si="4"/>
        <v>0</v>
      </c>
    </row>
    <row r="164" spans="2:13" s="559" customFormat="1" hidden="1" x14ac:dyDescent="0.25">
      <c r="E164" s="757">
        <f t="shared" si="2"/>
        <v>41466</v>
      </c>
      <c r="F164" s="356">
        <f t="shared" si="3"/>
        <v>0</v>
      </c>
      <c r="G164" s="356">
        <f t="shared" si="1"/>
        <v>0</v>
      </c>
      <c r="H164" s="559">
        <f t="shared" si="4"/>
        <v>0</v>
      </c>
    </row>
    <row r="165" spans="2:13" s="559" customFormat="1" hidden="1" x14ac:dyDescent="0.25">
      <c r="E165" s="757">
        <f t="shared" si="2"/>
        <v>41467</v>
      </c>
      <c r="F165" s="356">
        <f t="shared" si="3"/>
        <v>0</v>
      </c>
      <c r="G165" s="356">
        <f t="shared" si="1"/>
        <v>0</v>
      </c>
      <c r="H165" s="559">
        <f t="shared" si="4"/>
        <v>0</v>
      </c>
    </row>
    <row r="166" spans="2:13" s="559" customFormat="1" hidden="1" x14ac:dyDescent="0.25">
      <c r="E166" s="757">
        <f t="shared" si="2"/>
        <v>41468</v>
      </c>
      <c r="F166" s="356">
        <f t="shared" si="3"/>
        <v>0</v>
      </c>
      <c r="G166" s="356">
        <f t="shared" si="1"/>
        <v>0</v>
      </c>
      <c r="H166" s="559">
        <f t="shared" si="4"/>
        <v>0</v>
      </c>
    </row>
    <row r="167" spans="2:13" s="559" customFormat="1" hidden="1" x14ac:dyDescent="0.25">
      <c r="E167" s="757">
        <f t="shared" si="2"/>
        <v>41469</v>
      </c>
      <c r="F167" s="356">
        <f t="shared" si="3"/>
        <v>0</v>
      </c>
      <c r="G167" s="356">
        <f t="shared" si="1"/>
        <v>0</v>
      </c>
      <c r="H167" s="559">
        <f t="shared" si="4"/>
        <v>0</v>
      </c>
      <c r="M167" s="757"/>
    </row>
    <row r="168" spans="2:13" s="559" customFormat="1" hidden="1" x14ac:dyDescent="0.25">
      <c r="E168" s="757">
        <f t="shared" si="2"/>
        <v>41470</v>
      </c>
      <c r="F168" s="356">
        <f t="shared" si="3"/>
        <v>0</v>
      </c>
      <c r="G168" s="356">
        <f t="shared" si="1"/>
        <v>0</v>
      </c>
      <c r="H168" s="559">
        <f t="shared" si="4"/>
        <v>0</v>
      </c>
    </row>
    <row r="169" spans="2:13" s="559" customFormat="1" hidden="1" x14ac:dyDescent="0.25">
      <c r="E169" s="757">
        <f t="shared" si="2"/>
        <v>41471</v>
      </c>
      <c r="F169" s="356">
        <f t="shared" si="3"/>
        <v>0</v>
      </c>
      <c r="G169" s="356">
        <f t="shared" si="1"/>
        <v>0</v>
      </c>
      <c r="H169" s="559">
        <f t="shared" si="4"/>
        <v>0</v>
      </c>
    </row>
    <row r="170" spans="2:13" s="559" customFormat="1" hidden="1" x14ac:dyDescent="0.25">
      <c r="E170" s="757">
        <f t="shared" si="2"/>
        <v>41472</v>
      </c>
      <c r="F170" s="356">
        <f t="shared" si="3"/>
        <v>0</v>
      </c>
      <c r="G170" s="356">
        <f t="shared" si="1"/>
        <v>0</v>
      </c>
      <c r="H170" s="559">
        <f t="shared" si="4"/>
        <v>0</v>
      </c>
    </row>
    <row r="171" spans="2:13" s="559" customFormat="1" hidden="1" x14ac:dyDescent="0.25">
      <c r="E171" s="757">
        <f t="shared" si="2"/>
        <v>41473</v>
      </c>
      <c r="F171" s="356">
        <f t="shared" si="3"/>
        <v>0</v>
      </c>
      <c r="G171" s="356">
        <f t="shared" si="1"/>
        <v>0</v>
      </c>
      <c r="H171" s="559">
        <f t="shared" si="4"/>
        <v>0</v>
      </c>
    </row>
    <row r="172" spans="2:13" s="559" customFormat="1" hidden="1" x14ac:dyDescent="0.25">
      <c r="E172" s="757">
        <f t="shared" si="2"/>
        <v>41474</v>
      </c>
      <c r="F172" s="356">
        <f t="shared" si="3"/>
        <v>0</v>
      </c>
      <c r="G172" s="356">
        <f t="shared" si="1"/>
        <v>0</v>
      </c>
      <c r="H172" s="559">
        <f t="shared" si="4"/>
        <v>0</v>
      </c>
    </row>
    <row r="173" spans="2:13" s="559" customFormat="1" hidden="1" x14ac:dyDescent="0.25">
      <c r="E173" s="757">
        <f t="shared" si="2"/>
        <v>41475</v>
      </c>
      <c r="F173" s="356">
        <f t="shared" si="3"/>
        <v>0</v>
      </c>
      <c r="G173" s="356">
        <f t="shared" si="1"/>
        <v>0</v>
      </c>
      <c r="H173" s="559">
        <f t="shared" si="4"/>
        <v>0</v>
      </c>
    </row>
    <row r="174" spans="2:13" s="559" customFormat="1" hidden="1" x14ac:dyDescent="0.25">
      <c r="E174" s="757">
        <f t="shared" si="2"/>
        <v>41476</v>
      </c>
      <c r="F174" s="356">
        <f t="shared" si="3"/>
        <v>0</v>
      </c>
      <c r="G174" s="356">
        <f t="shared" si="1"/>
        <v>0</v>
      </c>
      <c r="H174" s="559">
        <f t="shared" si="4"/>
        <v>0</v>
      </c>
    </row>
    <row r="175" spans="2:13" s="559" customFormat="1" hidden="1" x14ac:dyDescent="0.25">
      <c r="E175" s="757">
        <f t="shared" si="2"/>
        <v>41477</v>
      </c>
      <c r="F175" s="356">
        <f t="shared" si="3"/>
        <v>0</v>
      </c>
      <c r="G175" s="356">
        <f t="shared" si="1"/>
        <v>0</v>
      </c>
      <c r="H175" s="559">
        <f t="shared" si="4"/>
        <v>0</v>
      </c>
    </row>
    <row r="176" spans="2:13" s="559" customFormat="1" hidden="1" x14ac:dyDescent="0.25">
      <c r="E176" s="757">
        <f t="shared" si="2"/>
        <v>41478</v>
      </c>
      <c r="F176" s="356">
        <f t="shared" si="3"/>
        <v>0</v>
      </c>
      <c r="G176" s="356">
        <f t="shared" si="1"/>
        <v>0</v>
      </c>
      <c r="H176" s="559">
        <f t="shared" si="4"/>
        <v>0</v>
      </c>
    </row>
    <row r="177" spans="5:8" s="559" customFormat="1" hidden="1" x14ac:dyDescent="0.25">
      <c r="E177" s="757">
        <f t="shared" si="2"/>
        <v>41479</v>
      </c>
      <c r="F177" s="356">
        <f t="shared" si="3"/>
        <v>0</v>
      </c>
      <c r="G177" s="356">
        <f t="shared" si="1"/>
        <v>0</v>
      </c>
      <c r="H177" s="559">
        <f t="shared" si="4"/>
        <v>0</v>
      </c>
    </row>
    <row r="178" spans="5:8" s="559" customFormat="1" hidden="1" x14ac:dyDescent="0.25">
      <c r="E178" s="757">
        <f t="shared" si="2"/>
        <v>41480</v>
      </c>
      <c r="F178" s="356">
        <f t="shared" si="3"/>
        <v>0</v>
      </c>
      <c r="G178" s="356">
        <f t="shared" si="1"/>
        <v>0</v>
      </c>
      <c r="H178" s="559">
        <f t="shared" si="4"/>
        <v>0</v>
      </c>
    </row>
    <row r="179" spans="5:8" s="559" customFormat="1" hidden="1" x14ac:dyDescent="0.25">
      <c r="E179" s="757">
        <f t="shared" si="2"/>
        <v>41481</v>
      </c>
      <c r="F179" s="356">
        <f t="shared" si="3"/>
        <v>0</v>
      </c>
      <c r="G179" s="356">
        <f t="shared" si="1"/>
        <v>0</v>
      </c>
      <c r="H179" s="559">
        <f t="shared" si="4"/>
        <v>0</v>
      </c>
    </row>
    <row r="180" spans="5:8" s="559" customFormat="1" hidden="1" x14ac:dyDescent="0.25">
      <c r="E180" s="757">
        <f t="shared" si="2"/>
        <v>41482</v>
      </c>
      <c r="F180" s="356">
        <f t="shared" si="3"/>
        <v>0</v>
      </c>
      <c r="G180" s="356">
        <f t="shared" si="1"/>
        <v>0</v>
      </c>
      <c r="H180" s="559">
        <f t="shared" si="4"/>
        <v>0</v>
      </c>
    </row>
    <row r="181" spans="5:8" s="559" customFormat="1" hidden="1" x14ac:dyDescent="0.25">
      <c r="E181" s="757">
        <f t="shared" si="2"/>
        <v>41483</v>
      </c>
      <c r="F181" s="356">
        <f t="shared" si="3"/>
        <v>0</v>
      </c>
      <c r="G181" s="356">
        <f t="shared" si="1"/>
        <v>0</v>
      </c>
      <c r="H181" s="559">
        <f t="shared" si="4"/>
        <v>0</v>
      </c>
    </row>
    <row r="182" spans="5:8" s="559" customFormat="1" hidden="1" x14ac:dyDescent="0.25">
      <c r="E182" s="757">
        <f t="shared" si="2"/>
        <v>41484</v>
      </c>
      <c r="F182" s="356">
        <f t="shared" si="3"/>
        <v>0</v>
      </c>
      <c r="G182" s="356">
        <f t="shared" si="1"/>
        <v>0</v>
      </c>
      <c r="H182" s="559">
        <f t="shared" si="4"/>
        <v>0</v>
      </c>
    </row>
    <row r="183" spans="5:8" s="559" customFormat="1" hidden="1" x14ac:dyDescent="0.25">
      <c r="E183" s="757">
        <f t="shared" si="2"/>
        <v>41485</v>
      </c>
      <c r="F183" s="356">
        <f t="shared" si="3"/>
        <v>0</v>
      </c>
      <c r="G183" s="356">
        <f t="shared" si="1"/>
        <v>0</v>
      </c>
      <c r="H183" s="559">
        <f t="shared" si="4"/>
        <v>0</v>
      </c>
    </row>
    <row r="184" spans="5:8" s="559" customFormat="1" hidden="1" x14ac:dyDescent="0.25">
      <c r="E184" s="757">
        <f t="shared" si="2"/>
        <v>41486</v>
      </c>
      <c r="F184" s="356">
        <f t="shared" si="3"/>
        <v>0</v>
      </c>
      <c r="G184" s="356">
        <f t="shared" si="1"/>
        <v>0</v>
      </c>
      <c r="H184" s="559">
        <f t="shared" si="4"/>
        <v>0</v>
      </c>
    </row>
    <row r="185" spans="5:8" s="559" customFormat="1" hidden="1" x14ac:dyDescent="0.25">
      <c r="E185" s="757">
        <f t="shared" si="2"/>
        <v>41487</v>
      </c>
      <c r="F185" s="356">
        <f t="shared" si="3"/>
        <v>0</v>
      </c>
      <c r="G185" s="356">
        <f t="shared" si="1"/>
        <v>0</v>
      </c>
      <c r="H185" s="559">
        <f t="shared" si="4"/>
        <v>0</v>
      </c>
    </row>
    <row r="186" spans="5:8" s="559" customFormat="1" hidden="1" x14ac:dyDescent="0.25">
      <c r="E186" s="757">
        <f t="shared" si="2"/>
        <v>41488</v>
      </c>
      <c r="F186" s="356">
        <f t="shared" si="3"/>
        <v>0</v>
      </c>
      <c r="G186" s="356">
        <f t="shared" si="1"/>
        <v>0</v>
      </c>
      <c r="H186" s="559">
        <f t="shared" si="4"/>
        <v>0</v>
      </c>
    </row>
    <row r="187" spans="5:8" s="559" customFormat="1" hidden="1" x14ac:dyDescent="0.25">
      <c r="E187" s="757">
        <f t="shared" si="2"/>
        <v>41489</v>
      </c>
      <c r="F187" s="356">
        <f t="shared" si="3"/>
        <v>0</v>
      </c>
      <c r="G187" s="356">
        <f t="shared" si="1"/>
        <v>0</v>
      </c>
      <c r="H187" s="559">
        <f t="shared" si="4"/>
        <v>0</v>
      </c>
    </row>
    <row r="188" spans="5:8" s="559" customFormat="1" hidden="1" x14ac:dyDescent="0.25">
      <c r="E188" s="757">
        <f t="shared" si="2"/>
        <v>41490</v>
      </c>
      <c r="F188" s="356">
        <f t="shared" si="3"/>
        <v>0</v>
      </c>
      <c r="G188" s="356">
        <f t="shared" si="1"/>
        <v>0</v>
      </c>
      <c r="H188" s="559">
        <f t="shared" si="4"/>
        <v>0</v>
      </c>
    </row>
    <row r="189" spans="5:8" s="559" customFormat="1" hidden="1" x14ac:dyDescent="0.25">
      <c r="E189" s="757">
        <f t="shared" si="2"/>
        <v>41491</v>
      </c>
      <c r="F189" s="356">
        <f t="shared" si="3"/>
        <v>0</v>
      </c>
      <c r="G189" s="356">
        <f t="shared" si="1"/>
        <v>0</v>
      </c>
      <c r="H189" s="559">
        <f t="shared" si="4"/>
        <v>0</v>
      </c>
    </row>
    <row r="190" spans="5:8" s="559" customFormat="1" hidden="1" x14ac:dyDescent="0.25">
      <c r="E190" s="757">
        <f t="shared" si="2"/>
        <v>41492</v>
      </c>
      <c r="F190" s="356">
        <f t="shared" si="3"/>
        <v>0</v>
      </c>
      <c r="G190" s="356">
        <f t="shared" si="1"/>
        <v>0</v>
      </c>
      <c r="H190" s="559">
        <f t="shared" si="4"/>
        <v>0</v>
      </c>
    </row>
    <row r="191" spans="5:8" s="559" customFormat="1" hidden="1" x14ac:dyDescent="0.25">
      <c r="E191" s="757">
        <f t="shared" si="2"/>
        <v>41493</v>
      </c>
      <c r="F191" s="356">
        <f t="shared" si="3"/>
        <v>0</v>
      </c>
      <c r="G191" s="356">
        <f t="shared" si="1"/>
        <v>0</v>
      </c>
      <c r="H191" s="559">
        <f t="shared" si="4"/>
        <v>0</v>
      </c>
    </row>
    <row r="192" spans="5:8" s="559" customFormat="1" hidden="1" x14ac:dyDescent="0.25">
      <c r="E192" s="757">
        <f t="shared" si="2"/>
        <v>41494</v>
      </c>
      <c r="F192" s="356">
        <f t="shared" si="3"/>
        <v>0</v>
      </c>
      <c r="G192" s="356">
        <f t="shared" si="1"/>
        <v>0</v>
      </c>
      <c r="H192" s="559">
        <f t="shared" si="4"/>
        <v>0</v>
      </c>
    </row>
    <row r="193" spans="5:8" s="559" customFormat="1" hidden="1" x14ac:dyDescent="0.25">
      <c r="E193" s="757">
        <f t="shared" si="2"/>
        <v>41495</v>
      </c>
      <c r="F193" s="356">
        <f t="shared" si="3"/>
        <v>0</v>
      </c>
      <c r="G193" s="356">
        <f t="shared" si="1"/>
        <v>0</v>
      </c>
      <c r="H193" s="559">
        <f t="shared" si="4"/>
        <v>0</v>
      </c>
    </row>
    <row r="194" spans="5:8" s="559" customFormat="1" hidden="1" x14ac:dyDescent="0.25">
      <c r="E194" s="757">
        <f t="shared" si="2"/>
        <v>41496</v>
      </c>
      <c r="F194" s="356">
        <f t="shared" si="3"/>
        <v>0</v>
      </c>
      <c r="G194" s="356">
        <f t="shared" si="1"/>
        <v>0</v>
      </c>
      <c r="H194" s="559">
        <f t="shared" si="4"/>
        <v>0</v>
      </c>
    </row>
    <row r="195" spans="5:8" s="559" customFormat="1" hidden="1" x14ac:dyDescent="0.25">
      <c r="E195" s="757">
        <f t="shared" si="2"/>
        <v>41497</v>
      </c>
      <c r="F195" s="356">
        <f t="shared" si="3"/>
        <v>0</v>
      </c>
      <c r="G195" s="356">
        <f t="shared" si="1"/>
        <v>0</v>
      </c>
      <c r="H195" s="559">
        <f t="shared" si="4"/>
        <v>0</v>
      </c>
    </row>
    <row r="196" spans="5:8" s="559" customFormat="1" hidden="1" x14ac:dyDescent="0.25">
      <c r="E196" s="757">
        <f t="shared" si="2"/>
        <v>41498</v>
      </c>
      <c r="F196" s="356">
        <f t="shared" si="3"/>
        <v>0</v>
      </c>
      <c r="G196" s="356">
        <f t="shared" si="1"/>
        <v>0</v>
      </c>
      <c r="H196" s="559">
        <f t="shared" si="4"/>
        <v>0</v>
      </c>
    </row>
    <row r="197" spans="5:8" s="559" customFormat="1" hidden="1" x14ac:dyDescent="0.25">
      <c r="E197" s="757">
        <f t="shared" si="2"/>
        <v>41499</v>
      </c>
      <c r="F197" s="356">
        <f t="shared" si="3"/>
        <v>0</v>
      </c>
      <c r="G197" s="356">
        <f t="shared" si="1"/>
        <v>0</v>
      </c>
      <c r="H197" s="559">
        <f t="shared" si="4"/>
        <v>0</v>
      </c>
    </row>
    <row r="198" spans="5:8" s="559" customFormat="1" hidden="1" x14ac:dyDescent="0.25">
      <c r="E198" s="757">
        <f t="shared" si="2"/>
        <v>41500</v>
      </c>
      <c r="F198" s="356">
        <f t="shared" si="3"/>
        <v>0</v>
      </c>
      <c r="G198" s="356">
        <f t="shared" si="1"/>
        <v>0</v>
      </c>
      <c r="H198" s="559">
        <f t="shared" si="4"/>
        <v>0</v>
      </c>
    </row>
    <row r="199" spans="5:8" s="559" customFormat="1" hidden="1" x14ac:dyDescent="0.25">
      <c r="E199" s="757">
        <f t="shared" si="2"/>
        <v>41501</v>
      </c>
      <c r="F199" s="356">
        <f t="shared" si="3"/>
        <v>0</v>
      </c>
      <c r="G199" s="356">
        <f t="shared" si="1"/>
        <v>0</v>
      </c>
      <c r="H199" s="559">
        <f t="shared" si="4"/>
        <v>0</v>
      </c>
    </row>
    <row r="200" spans="5:8" s="559" customFormat="1" hidden="1" x14ac:dyDescent="0.25">
      <c r="E200" s="757">
        <f t="shared" si="2"/>
        <v>41502</v>
      </c>
      <c r="F200" s="356">
        <f t="shared" si="3"/>
        <v>0</v>
      </c>
      <c r="G200" s="356">
        <f t="shared" si="1"/>
        <v>0</v>
      </c>
      <c r="H200" s="559">
        <f t="shared" si="4"/>
        <v>0</v>
      </c>
    </row>
    <row r="201" spans="5:8" s="559" customFormat="1" hidden="1" x14ac:dyDescent="0.25">
      <c r="E201" s="757">
        <f t="shared" si="2"/>
        <v>41503</v>
      </c>
      <c r="F201" s="356">
        <f t="shared" si="3"/>
        <v>0</v>
      </c>
      <c r="G201" s="356">
        <f t="shared" si="1"/>
        <v>0</v>
      </c>
      <c r="H201" s="559">
        <f t="shared" si="4"/>
        <v>0</v>
      </c>
    </row>
    <row r="202" spans="5:8" s="559" customFormat="1" hidden="1" x14ac:dyDescent="0.25">
      <c r="E202" s="757">
        <f t="shared" si="2"/>
        <v>41504</v>
      </c>
      <c r="F202" s="356">
        <f t="shared" si="3"/>
        <v>0</v>
      </c>
      <c r="G202" s="356">
        <f t="shared" si="1"/>
        <v>0</v>
      </c>
      <c r="H202" s="559">
        <f t="shared" si="4"/>
        <v>0</v>
      </c>
    </row>
    <row r="203" spans="5:8" s="559" customFormat="1" hidden="1" x14ac:dyDescent="0.25">
      <c r="E203" s="757">
        <f t="shared" si="2"/>
        <v>41505</v>
      </c>
      <c r="F203" s="356">
        <f t="shared" si="3"/>
        <v>0</v>
      </c>
      <c r="G203" s="356">
        <f t="shared" si="1"/>
        <v>0</v>
      </c>
      <c r="H203" s="559">
        <f t="shared" si="4"/>
        <v>0</v>
      </c>
    </row>
    <row r="204" spans="5:8" s="559" customFormat="1" hidden="1" x14ac:dyDescent="0.25">
      <c r="E204" s="757">
        <f t="shared" si="2"/>
        <v>41506</v>
      </c>
      <c r="F204" s="356">
        <f t="shared" si="3"/>
        <v>0</v>
      </c>
      <c r="G204" s="356">
        <f t="shared" si="1"/>
        <v>0</v>
      </c>
      <c r="H204" s="559">
        <f t="shared" si="4"/>
        <v>0</v>
      </c>
    </row>
    <row r="205" spans="5:8" s="559" customFormat="1" hidden="1" x14ac:dyDescent="0.25">
      <c r="E205" s="757">
        <f t="shared" si="2"/>
        <v>41507</v>
      </c>
      <c r="F205" s="356">
        <f t="shared" si="3"/>
        <v>0</v>
      </c>
      <c r="G205" s="356">
        <f t="shared" si="1"/>
        <v>0</v>
      </c>
      <c r="H205" s="559">
        <f t="shared" si="4"/>
        <v>0</v>
      </c>
    </row>
    <row r="206" spans="5:8" s="559" customFormat="1" hidden="1" x14ac:dyDescent="0.25">
      <c r="E206" s="757">
        <f t="shared" si="2"/>
        <v>41508</v>
      </c>
      <c r="F206" s="356">
        <f t="shared" si="3"/>
        <v>0</v>
      </c>
      <c r="G206" s="356">
        <f t="shared" si="1"/>
        <v>0</v>
      </c>
      <c r="H206" s="559">
        <f t="shared" si="4"/>
        <v>0</v>
      </c>
    </row>
    <row r="207" spans="5:8" s="559" customFormat="1" hidden="1" x14ac:dyDescent="0.25">
      <c r="E207" s="757">
        <f t="shared" si="2"/>
        <v>41509</v>
      </c>
      <c r="F207" s="356">
        <f t="shared" si="3"/>
        <v>0</v>
      </c>
      <c r="G207" s="356">
        <f t="shared" si="1"/>
        <v>0</v>
      </c>
      <c r="H207" s="559">
        <f t="shared" si="4"/>
        <v>0</v>
      </c>
    </row>
    <row r="208" spans="5:8" s="559" customFormat="1" hidden="1" x14ac:dyDescent="0.25">
      <c r="E208" s="757">
        <f t="shared" si="2"/>
        <v>41510</v>
      </c>
      <c r="F208" s="356">
        <f t="shared" si="3"/>
        <v>0</v>
      </c>
      <c r="G208" s="356">
        <f t="shared" si="1"/>
        <v>0</v>
      </c>
      <c r="H208" s="559">
        <f t="shared" si="4"/>
        <v>0</v>
      </c>
    </row>
    <row r="209" spans="5:8" s="559" customFormat="1" hidden="1" x14ac:dyDescent="0.25">
      <c r="E209" s="757">
        <f t="shared" si="2"/>
        <v>41511</v>
      </c>
      <c r="F209" s="356">
        <f t="shared" si="3"/>
        <v>0</v>
      </c>
      <c r="G209" s="356">
        <f t="shared" si="1"/>
        <v>0</v>
      </c>
      <c r="H209" s="559">
        <f t="shared" si="4"/>
        <v>0</v>
      </c>
    </row>
    <row r="210" spans="5:8" s="559" customFormat="1" hidden="1" x14ac:dyDescent="0.25">
      <c r="E210" s="757">
        <f t="shared" si="2"/>
        <v>41512</v>
      </c>
      <c r="F210" s="356">
        <f t="shared" si="3"/>
        <v>0</v>
      </c>
      <c r="G210" s="356">
        <f t="shared" si="1"/>
        <v>0</v>
      </c>
      <c r="H210" s="559">
        <f t="shared" si="4"/>
        <v>0</v>
      </c>
    </row>
    <row r="211" spans="5:8" s="559" customFormat="1" hidden="1" x14ac:dyDescent="0.25">
      <c r="E211" s="757">
        <f t="shared" si="2"/>
        <v>41513</v>
      </c>
      <c r="F211" s="356">
        <f t="shared" si="3"/>
        <v>0</v>
      </c>
      <c r="G211" s="356">
        <f t="shared" si="1"/>
        <v>0</v>
      </c>
      <c r="H211" s="559">
        <f t="shared" si="4"/>
        <v>0</v>
      </c>
    </row>
    <row r="212" spans="5:8" s="559" customFormat="1" hidden="1" x14ac:dyDescent="0.25">
      <c r="E212" s="757">
        <f t="shared" si="2"/>
        <v>41514</v>
      </c>
      <c r="F212" s="356">
        <f t="shared" si="3"/>
        <v>0</v>
      </c>
      <c r="G212" s="356">
        <f t="shared" si="1"/>
        <v>0</v>
      </c>
      <c r="H212" s="559">
        <f t="shared" si="4"/>
        <v>0</v>
      </c>
    </row>
    <row r="213" spans="5:8" s="559" customFormat="1" hidden="1" x14ac:dyDescent="0.25">
      <c r="E213" s="757">
        <f t="shared" si="2"/>
        <v>41515</v>
      </c>
      <c r="F213" s="356">
        <f t="shared" si="3"/>
        <v>0</v>
      </c>
      <c r="G213" s="356">
        <f t="shared" si="1"/>
        <v>0</v>
      </c>
      <c r="H213" s="559">
        <f t="shared" si="4"/>
        <v>0</v>
      </c>
    </row>
    <row r="214" spans="5:8" s="559" customFormat="1" hidden="1" x14ac:dyDescent="0.25">
      <c r="E214" s="757">
        <f t="shared" si="2"/>
        <v>41516</v>
      </c>
      <c r="F214" s="356">
        <f t="shared" si="3"/>
        <v>0</v>
      </c>
      <c r="G214" s="356">
        <f t="shared" si="1"/>
        <v>0</v>
      </c>
      <c r="H214" s="559">
        <f t="shared" si="4"/>
        <v>0</v>
      </c>
    </row>
    <row r="215" spans="5:8" s="559" customFormat="1" hidden="1" x14ac:dyDescent="0.25">
      <c r="E215" s="757">
        <f t="shared" si="2"/>
        <v>41517</v>
      </c>
      <c r="F215" s="356">
        <f t="shared" si="3"/>
        <v>0</v>
      </c>
      <c r="G215" s="356">
        <f t="shared" si="1"/>
        <v>0</v>
      </c>
      <c r="H215" s="559">
        <f t="shared" si="4"/>
        <v>0</v>
      </c>
    </row>
    <row r="216" spans="5:8" s="559" customFormat="1" hidden="1" x14ac:dyDescent="0.25">
      <c r="E216" s="757">
        <f t="shared" si="2"/>
        <v>41518</v>
      </c>
      <c r="F216" s="356">
        <f t="shared" si="3"/>
        <v>0</v>
      </c>
      <c r="G216" s="356">
        <f t="shared" si="1"/>
        <v>0</v>
      </c>
      <c r="H216" s="559">
        <f t="shared" si="4"/>
        <v>0</v>
      </c>
    </row>
    <row r="217" spans="5:8" s="559" customFormat="1" hidden="1" x14ac:dyDescent="0.25">
      <c r="E217" s="757">
        <f t="shared" si="2"/>
        <v>41519</v>
      </c>
      <c r="F217" s="356">
        <f t="shared" si="3"/>
        <v>0</v>
      </c>
      <c r="G217" s="356">
        <f t="shared" si="1"/>
        <v>0</v>
      </c>
      <c r="H217" s="559">
        <f t="shared" si="4"/>
        <v>0</v>
      </c>
    </row>
    <row r="218" spans="5:8" s="559" customFormat="1" hidden="1" x14ac:dyDescent="0.25">
      <c r="E218" s="757">
        <f t="shared" si="2"/>
        <v>41520</v>
      </c>
      <c r="F218" s="356">
        <f t="shared" si="3"/>
        <v>0</v>
      </c>
      <c r="G218" s="356">
        <f t="shared" si="1"/>
        <v>0</v>
      </c>
      <c r="H218" s="559">
        <f t="shared" si="4"/>
        <v>0</v>
      </c>
    </row>
    <row r="219" spans="5:8" s="559" customFormat="1" hidden="1" x14ac:dyDescent="0.25">
      <c r="E219" s="757">
        <f t="shared" si="2"/>
        <v>41521</v>
      </c>
      <c r="F219" s="356">
        <f t="shared" si="3"/>
        <v>0</v>
      </c>
      <c r="G219" s="356">
        <f t="shared" ref="G219:G282" si="5">ROUND(F219,-2)</f>
        <v>0</v>
      </c>
      <c r="H219" s="559">
        <f t="shared" si="4"/>
        <v>0</v>
      </c>
    </row>
    <row r="220" spans="5:8" s="559" customFormat="1" hidden="1" x14ac:dyDescent="0.25">
      <c r="E220" s="757">
        <f t="shared" ref="E220:E283" si="6">IF(E219&lt;$C$156,E219+1,$C$156)</f>
        <v>41522</v>
      </c>
      <c r="F220" s="356">
        <f t="shared" ref="F220:F283" si="7">IF(E219&lt;$C$156,F219+C$158,F219)</f>
        <v>0</v>
      </c>
      <c r="G220" s="356">
        <f t="shared" si="5"/>
        <v>0</v>
      </c>
      <c r="H220" s="559">
        <f t="shared" ref="H220:H283" si="8">IF(F220&gt;F219,(VLOOKUP(G220,$K$154:$O$160,MATCH($C$159,$K$154:$O$154,0),0)),0)</f>
        <v>0</v>
      </c>
    </row>
    <row r="221" spans="5:8" s="559" customFormat="1" hidden="1" x14ac:dyDescent="0.25">
      <c r="E221" s="757">
        <f t="shared" si="6"/>
        <v>41523</v>
      </c>
      <c r="F221" s="356">
        <f t="shared" si="7"/>
        <v>0</v>
      </c>
      <c r="G221" s="356">
        <f t="shared" si="5"/>
        <v>0</v>
      </c>
      <c r="H221" s="559">
        <f t="shared" si="8"/>
        <v>0</v>
      </c>
    </row>
    <row r="222" spans="5:8" s="559" customFormat="1" hidden="1" x14ac:dyDescent="0.25">
      <c r="E222" s="757">
        <f t="shared" si="6"/>
        <v>41524</v>
      </c>
      <c r="F222" s="356">
        <f t="shared" si="7"/>
        <v>0</v>
      </c>
      <c r="G222" s="356">
        <f t="shared" si="5"/>
        <v>0</v>
      </c>
      <c r="H222" s="559">
        <f t="shared" si="8"/>
        <v>0</v>
      </c>
    </row>
    <row r="223" spans="5:8" s="559" customFormat="1" hidden="1" x14ac:dyDescent="0.25">
      <c r="E223" s="757">
        <f t="shared" si="6"/>
        <v>41525</v>
      </c>
      <c r="F223" s="356">
        <f t="shared" si="7"/>
        <v>0</v>
      </c>
      <c r="G223" s="356">
        <f t="shared" si="5"/>
        <v>0</v>
      </c>
      <c r="H223" s="559">
        <f t="shared" si="8"/>
        <v>0</v>
      </c>
    </row>
    <row r="224" spans="5:8" s="559" customFormat="1" hidden="1" x14ac:dyDescent="0.25">
      <c r="E224" s="757">
        <f t="shared" si="6"/>
        <v>41526</v>
      </c>
      <c r="F224" s="356">
        <f t="shared" si="7"/>
        <v>0</v>
      </c>
      <c r="G224" s="356">
        <f t="shared" si="5"/>
        <v>0</v>
      </c>
      <c r="H224" s="559">
        <f t="shared" si="8"/>
        <v>0</v>
      </c>
    </row>
    <row r="225" spans="2:15" s="559" customFormat="1" hidden="1" x14ac:dyDescent="0.25">
      <c r="E225" s="757">
        <f t="shared" si="6"/>
        <v>41527</v>
      </c>
      <c r="F225" s="356">
        <f t="shared" si="7"/>
        <v>0</v>
      </c>
      <c r="G225" s="356">
        <f t="shared" si="5"/>
        <v>0</v>
      </c>
      <c r="H225" s="559">
        <f t="shared" si="8"/>
        <v>0</v>
      </c>
    </row>
    <row r="226" spans="2:15" s="559" customFormat="1" hidden="1" x14ac:dyDescent="0.25">
      <c r="E226" s="757">
        <f t="shared" si="6"/>
        <v>41528</v>
      </c>
      <c r="F226" s="356">
        <f t="shared" si="7"/>
        <v>0</v>
      </c>
      <c r="G226" s="356">
        <f t="shared" si="5"/>
        <v>0</v>
      </c>
      <c r="H226" s="559">
        <f t="shared" si="8"/>
        <v>0</v>
      </c>
    </row>
    <row r="227" spans="2:15" s="173" customFormat="1" hidden="1" x14ac:dyDescent="0.25">
      <c r="B227" s="559"/>
      <c r="C227" s="559"/>
      <c r="D227" s="559"/>
      <c r="E227" s="757">
        <f t="shared" si="6"/>
        <v>41529</v>
      </c>
      <c r="F227" s="356">
        <f t="shared" si="7"/>
        <v>0</v>
      </c>
      <c r="G227" s="356">
        <f t="shared" si="5"/>
        <v>0</v>
      </c>
      <c r="H227" s="559">
        <f t="shared" si="8"/>
        <v>0</v>
      </c>
      <c r="I227" s="559"/>
      <c r="J227" s="559"/>
      <c r="K227" s="559"/>
      <c r="L227" s="559"/>
      <c r="M227" s="559"/>
      <c r="N227" s="559"/>
      <c r="O227" s="559"/>
    </row>
    <row r="228" spans="2:15" s="173" customFormat="1" hidden="1" x14ac:dyDescent="0.25">
      <c r="B228" s="559"/>
      <c r="C228" s="559"/>
      <c r="D228" s="559"/>
      <c r="E228" s="757">
        <f t="shared" si="6"/>
        <v>41530</v>
      </c>
      <c r="F228" s="356">
        <f t="shared" si="7"/>
        <v>0</v>
      </c>
      <c r="G228" s="356">
        <f t="shared" si="5"/>
        <v>0</v>
      </c>
      <c r="H228" s="559">
        <f t="shared" si="8"/>
        <v>0</v>
      </c>
      <c r="I228" s="559"/>
      <c r="J228" s="559"/>
      <c r="K228" s="559"/>
      <c r="L228" s="559"/>
      <c r="M228" s="559"/>
      <c r="N228" s="559"/>
      <c r="O228" s="559"/>
    </row>
    <row r="229" spans="2:15" s="173" customFormat="1" hidden="1" x14ac:dyDescent="0.25">
      <c r="B229" s="559"/>
      <c r="C229" s="559"/>
      <c r="D229" s="559"/>
      <c r="E229" s="757">
        <f t="shared" si="6"/>
        <v>41531</v>
      </c>
      <c r="F229" s="356">
        <f t="shared" si="7"/>
        <v>0</v>
      </c>
      <c r="G229" s="356">
        <f t="shared" si="5"/>
        <v>0</v>
      </c>
      <c r="H229" s="559">
        <f t="shared" si="8"/>
        <v>0</v>
      </c>
      <c r="I229" s="559"/>
      <c r="J229" s="559"/>
      <c r="K229" s="559"/>
      <c r="L229" s="559"/>
      <c r="M229" s="559"/>
      <c r="N229" s="559"/>
      <c r="O229" s="559"/>
    </row>
    <row r="230" spans="2:15" s="173" customFormat="1" hidden="1" x14ac:dyDescent="0.25">
      <c r="B230" s="559"/>
      <c r="C230" s="559"/>
      <c r="D230" s="559"/>
      <c r="E230" s="757">
        <f t="shared" si="6"/>
        <v>41532</v>
      </c>
      <c r="F230" s="356">
        <f t="shared" si="7"/>
        <v>0</v>
      </c>
      <c r="G230" s="356">
        <f t="shared" si="5"/>
        <v>0</v>
      </c>
      <c r="H230" s="559">
        <f t="shared" si="8"/>
        <v>0</v>
      </c>
      <c r="I230" s="559"/>
      <c r="J230" s="559"/>
      <c r="K230" s="559"/>
      <c r="L230" s="559"/>
      <c r="M230" s="559"/>
      <c r="N230" s="559"/>
      <c r="O230" s="559"/>
    </row>
    <row r="231" spans="2:15" s="173" customFormat="1" hidden="1" x14ac:dyDescent="0.25">
      <c r="B231" s="559"/>
      <c r="C231" s="559"/>
      <c r="D231" s="559"/>
      <c r="E231" s="757">
        <f t="shared" si="6"/>
        <v>41533</v>
      </c>
      <c r="F231" s="356">
        <f t="shared" si="7"/>
        <v>0</v>
      </c>
      <c r="G231" s="356">
        <f t="shared" si="5"/>
        <v>0</v>
      </c>
      <c r="H231" s="559">
        <f t="shared" si="8"/>
        <v>0</v>
      </c>
      <c r="I231" s="559"/>
      <c r="J231" s="559"/>
      <c r="K231" s="559"/>
      <c r="L231" s="559"/>
      <c r="M231" s="559"/>
      <c r="N231" s="559"/>
      <c r="O231" s="559"/>
    </row>
    <row r="232" spans="2:15" s="173" customFormat="1" hidden="1" x14ac:dyDescent="0.25">
      <c r="B232" s="559"/>
      <c r="C232" s="559"/>
      <c r="D232" s="559"/>
      <c r="E232" s="757">
        <f t="shared" si="6"/>
        <v>41534</v>
      </c>
      <c r="F232" s="356">
        <f t="shared" si="7"/>
        <v>0</v>
      </c>
      <c r="G232" s="356">
        <f t="shared" si="5"/>
        <v>0</v>
      </c>
      <c r="H232" s="559">
        <f t="shared" si="8"/>
        <v>0</v>
      </c>
      <c r="I232" s="559"/>
      <c r="J232" s="559"/>
      <c r="K232" s="559"/>
      <c r="L232" s="559"/>
      <c r="M232" s="559"/>
      <c r="N232" s="559"/>
      <c r="O232" s="559"/>
    </row>
    <row r="233" spans="2:15" s="173" customFormat="1" hidden="1" x14ac:dyDescent="0.25">
      <c r="B233" s="559"/>
      <c r="C233" s="559"/>
      <c r="D233" s="559"/>
      <c r="E233" s="757">
        <f t="shared" si="6"/>
        <v>41535</v>
      </c>
      <c r="F233" s="356">
        <f t="shared" si="7"/>
        <v>0</v>
      </c>
      <c r="G233" s="356">
        <f t="shared" si="5"/>
        <v>0</v>
      </c>
      <c r="H233" s="559">
        <f t="shared" si="8"/>
        <v>0</v>
      </c>
      <c r="I233" s="559"/>
      <c r="J233" s="559"/>
      <c r="K233" s="559"/>
      <c r="L233" s="559"/>
      <c r="M233" s="559"/>
      <c r="N233" s="559"/>
      <c r="O233" s="559"/>
    </row>
    <row r="234" spans="2:15" s="173" customFormat="1" hidden="1" x14ac:dyDescent="0.25">
      <c r="B234" s="559"/>
      <c r="C234" s="559"/>
      <c r="D234" s="559"/>
      <c r="E234" s="757">
        <f t="shared" si="6"/>
        <v>41536</v>
      </c>
      <c r="F234" s="356">
        <f t="shared" si="7"/>
        <v>0</v>
      </c>
      <c r="G234" s="356">
        <f t="shared" si="5"/>
        <v>0</v>
      </c>
      <c r="H234" s="559">
        <f t="shared" si="8"/>
        <v>0</v>
      </c>
      <c r="I234" s="559"/>
      <c r="J234" s="559"/>
      <c r="K234" s="559"/>
      <c r="L234" s="559"/>
      <c r="M234" s="559"/>
      <c r="N234" s="559"/>
      <c r="O234" s="559"/>
    </row>
    <row r="235" spans="2:15" s="559" customFormat="1" hidden="1" x14ac:dyDescent="0.25">
      <c r="E235" s="757">
        <f t="shared" si="6"/>
        <v>41537</v>
      </c>
      <c r="F235" s="356">
        <f t="shared" si="7"/>
        <v>0</v>
      </c>
      <c r="G235" s="356">
        <f t="shared" si="5"/>
        <v>0</v>
      </c>
      <c r="H235" s="559">
        <f t="shared" si="8"/>
        <v>0</v>
      </c>
    </row>
    <row r="236" spans="2:15" s="559" customFormat="1" hidden="1" x14ac:dyDescent="0.25">
      <c r="E236" s="757">
        <f t="shared" si="6"/>
        <v>41538</v>
      </c>
      <c r="F236" s="356">
        <f t="shared" si="7"/>
        <v>0</v>
      </c>
      <c r="G236" s="356">
        <f t="shared" si="5"/>
        <v>0</v>
      </c>
      <c r="H236" s="559">
        <f t="shared" si="8"/>
        <v>0</v>
      </c>
    </row>
    <row r="237" spans="2:15" s="559" customFormat="1" hidden="1" x14ac:dyDescent="0.25">
      <c r="E237" s="757">
        <f t="shared" si="6"/>
        <v>41539</v>
      </c>
      <c r="F237" s="356">
        <f t="shared" si="7"/>
        <v>0</v>
      </c>
      <c r="G237" s="356">
        <f t="shared" si="5"/>
        <v>0</v>
      </c>
      <c r="H237" s="559">
        <f t="shared" si="8"/>
        <v>0</v>
      </c>
    </row>
    <row r="238" spans="2:15" s="559" customFormat="1" hidden="1" x14ac:dyDescent="0.25">
      <c r="E238" s="757">
        <f t="shared" si="6"/>
        <v>41540</v>
      </c>
      <c r="F238" s="356">
        <f t="shared" si="7"/>
        <v>0</v>
      </c>
      <c r="G238" s="356">
        <f t="shared" si="5"/>
        <v>0</v>
      </c>
      <c r="H238" s="559">
        <f t="shared" si="8"/>
        <v>0</v>
      </c>
    </row>
    <row r="239" spans="2:15" s="559" customFormat="1" hidden="1" x14ac:dyDescent="0.25">
      <c r="E239" s="757">
        <f t="shared" si="6"/>
        <v>41541</v>
      </c>
      <c r="F239" s="356">
        <f t="shared" si="7"/>
        <v>0</v>
      </c>
      <c r="G239" s="356">
        <f t="shared" si="5"/>
        <v>0</v>
      </c>
      <c r="H239" s="559">
        <f t="shared" si="8"/>
        <v>0</v>
      </c>
    </row>
    <row r="240" spans="2:15" s="559" customFormat="1" hidden="1" x14ac:dyDescent="0.25">
      <c r="E240" s="757">
        <f t="shared" si="6"/>
        <v>41542</v>
      </c>
      <c r="F240" s="356">
        <f t="shared" si="7"/>
        <v>0</v>
      </c>
      <c r="G240" s="356">
        <f t="shared" si="5"/>
        <v>0</v>
      </c>
      <c r="H240" s="559">
        <f t="shared" si="8"/>
        <v>0</v>
      </c>
    </row>
    <row r="241" spans="5:8" s="559" customFormat="1" hidden="1" x14ac:dyDescent="0.25">
      <c r="E241" s="757">
        <f t="shared" si="6"/>
        <v>41543</v>
      </c>
      <c r="F241" s="356">
        <f t="shared" si="7"/>
        <v>0</v>
      </c>
      <c r="G241" s="356">
        <f t="shared" si="5"/>
        <v>0</v>
      </c>
      <c r="H241" s="559">
        <f t="shared" si="8"/>
        <v>0</v>
      </c>
    </row>
    <row r="242" spans="5:8" s="559" customFormat="1" hidden="1" x14ac:dyDescent="0.25">
      <c r="E242" s="757">
        <f t="shared" si="6"/>
        <v>41544</v>
      </c>
      <c r="F242" s="356">
        <f t="shared" si="7"/>
        <v>0</v>
      </c>
      <c r="G242" s="356">
        <f t="shared" si="5"/>
        <v>0</v>
      </c>
      <c r="H242" s="559">
        <f t="shared" si="8"/>
        <v>0</v>
      </c>
    </row>
    <row r="243" spans="5:8" s="559" customFormat="1" hidden="1" x14ac:dyDescent="0.25">
      <c r="E243" s="757">
        <f t="shared" si="6"/>
        <v>41545</v>
      </c>
      <c r="F243" s="356">
        <f t="shared" si="7"/>
        <v>0</v>
      </c>
      <c r="G243" s="356">
        <f t="shared" si="5"/>
        <v>0</v>
      </c>
      <c r="H243" s="559">
        <f t="shared" si="8"/>
        <v>0</v>
      </c>
    </row>
    <row r="244" spans="5:8" s="559" customFormat="1" hidden="1" x14ac:dyDescent="0.25">
      <c r="E244" s="757">
        <f t="shared" si="6"/>
        <v>41546</v>
      </c>
      <c r="F244" s="356">
        <f t="shared" si="7"/>
        <v>0</v>
      </c>
      <c r="G244" s="356">
        <f t="shared" si="5"/>
        <v>0</v>
      </c>
      <c r="H244" s="559">
        <f t="shared" si="8"/>
        <v>0</v>
      </c>
    </row>
    <row r="245" spans="5:8" s="559" customFormat="1" hidden="1" x14ac:dyDescent="0.25">
      <c r="E245" s="757">
        <f t="shared" si="6"/>
        <v>41547</v>
      </c>
      <c r="F245" s="356">
        <f t="shared" si="7"/>
        <v>0</v>
      </c>
      <c r="G245" s="356">
        <f t="shared" si="5"/>
        <v>0</v>
      </c>
      <c r="H245" s="559">
        <f t="shared" si="8"/>
        <v>0</v>
      </c>
    </row>
    <row r="246" spans="5:8" s="559" customFormat="1" hidden="1" x14ac:dyDescent="0.25">
      <c r="E246" s="757">
        <f t="shared" si="6"/>
        <v>41548</v>
      </c>
      <c r="F246" s="356">
        <f t="shared" si="7"/>
        <v>0</v>
      </c>
      <c r="G246" s="356">
        <f t="shared" si="5"/>
        <v>0</v>
      </c>
      <c r="H246" s="559">
        <f t="shared" si="8"/>
        <v>0</v>
      </c>
    </row>
    <row r="247" spans="5:8" s="559" customFormat="1" hidden="1" x14ac:dyDescent="0.25">
      <c r="E247" s="757">
        <f t="shared" si="6"/>
        <v>41549</v>
      </c>
      <c r="F247" s="356">
        <f t="shared" si="7"/>
        <v>0</v>
      </c>
      <c r="G247" s="356">
        <f t="shared" si="5"/>
        <v>0</v>
      </c>
      <c r="H247" s="559">
        <f t="shared" si="8"/>
        <v>0</v>
      </c>
    </row>
    <row r="248" spans="5:8" s="559" customFormat="1" hidden="1" x14ac:dyDescent="0.25">
      <c r="E248" s="757">
        <f t="shared" si="6"/>
        <v>41550</v>
      </c>
      <c r="F248" s="356">
        <f t="shared" si="7"/>
        <v>0</v>
      </c>
      <c r="G248" s="356">
        <f t="shared" si="5"/>
        <v>0</v>
      </c>
      <c r="H248" s="559">
        <f t="shared" si="8"/>
        <v>0</v>
      </c>
    </row>
    <row r="249" spans="5:8" s="559" customFormat="1" hidden="1" x14ac:dyDescent="0.25">
      <c r="E249" s="757">
        <f t="shared" si="6"/>
        <v>41551</v>
      </c>
      <c r="F249" s="356">
        <f t="shared" si="7"/>
        <v>0</v>
      </c>
      <c r="G249" s="356">
        <f t="shared" si="5"/>
        <v>0</v>
      </c>
      <c r="H249" s="559">
        <f t="shared" si="8"/>
        <v>0</v>
      </c>
    </row>
    <row r="250" spans="5:8" s="559" customFormat="1" hidden="1" x14ac:dyDescent="0.25">
      <c r="E250" s="757">
        <f t="shared" si="6"/>
        <v>41552</v>
      </c>
      <c r="F250" s="356">
        <f t="shared" si="7"/>
        <v>0</v>
      </c>
      <c r="G250" s="356">
        <f t="shared" si="5"/>
        <v>0</v>
      </c>
      <c r="H250" s="559">
        <f t="shared" si="8"/>
        <v>0</v>
      </c>
    </row>
    <row r="251" spans="5:8" s="559" customFormat="1" hidden="1" x14ac:dyDescent="0.25">
      <c r="E251" s="757">
        <f t="shared" si="6"/>
        <v>41553</v>
      </c>
      <c r="F251" s="356">
        <f t="shared" si="7"/>
        <v>0</v>
      </c>
      <c r="G251" s="356">
        <f t="shared" si="5"/>
        <v>0</v>
      </c>
      <c r="H251" s="559">
        <f t="shared" si="8"/>
        <v>0</v>
      </c>
    </row>
    <row r="252" spans="5:8" s="559" customFormat="1" hidden="1" x14ac:dyDescent="0.25">
      <c r="E252" s="757">
        <f t="shared" si="6"/>
        <v>41554</v>
      </c>
      <c r="F252" s="356">
        <f t="shared" si="7"/>
        <v>0</v>
      </c>
      <c r="G252" s="356">
        <f t="shared" si="5"/>
        <v>0</v>
      </c>
      <c r="H252" s="559">
        <f t="shared" si="8"/>
        <v>0</v>
      </c>
    </row>
    <row r="253" spans="5:8" s="559" customFormat="1" hidden="1" x14ac:dyDescent="0.25">
      <c r="E253" s="757">
        <f t="shared" si="6"/>
        <v>41555</v>
      </c>
      <c r="F253" s="356">
        <f t="shared" si="7"/>
        <v>0</v>
      </c>
      <c r="G253" s="356">
        <f t="shared" si="5"/>
        <v>0</v>
      </c>
      <c r="H253" s="559">
        <f t="shared" si="8"/>
        <v>0</v>
      </c>
    </row>
    <row r="254" spans="5:8" s="559" customFormat="1" hidden="1" x14ac:dyDescent="0.25">
      <c r="E254" s="757">
        <f t="shared" si="6"/>
        <v>41556</v>
      </c>
      <c r="F254" s="356">
        <f t="shared" si="7"/>
        <v>0</v>
      </c>
      <c r="G254" s="356">
        <f t="shared" si="5"/>
        <v>0</v>
      </c>
      <c r="H254" s="559">
        <f t="shared" si="8"/>
        <v>0</v>
      </c>
    </row>
    <row r="255" spans="5:8" s="559" customFormat="1" hidden="1" x14ac:dyDescent="0.25">
      <c r="E255" s="757">
        <f t="shared" si="6"/>
        <v>41557</v>
      </c>
      <c r="F255" s="356">
        <f t="shared" si="7"/>
        <v>0</v>
      </c>
      <c r="G255" s="356">
        <f t="shared" si="5"/>
        <v>0</v>
      </c>
      <c r="H255" s="559">
        <f t="shared" si="8"/>
        <v>0</v>
      </c>
    </row>
    <row r="256" spans="5:8" s="559" customFormat="1" hidden="1" x14ac:dyDescent="0.25">
      <c r="E256" s="757">
        <f t="shared" si="6"/>
        <v>41558</v>
      </c>
      <c r="F256" s="356">
        <f t="shared" si="7"/>
        <v>0</v>
      </c>
      <c r="G256" s="356">
        <f t="shared" si="5"/>
        <v>0</v>
      </c>
      <c r="H256" s="559">
        <f t="shared" si="8"/>
        <v>0</v>
      </c>
    </row>
    <row r="257" spans="5:8" s="559" customFormat="1" hidden="1" x14ac:dyDescent="0.25">
      <c r="E257" s="757">
        <f t="shared" si="6"/>
        <v>41559</v>
      </c>
      <c r="F257" s="356">
        <f t="shared" si="7"/>
        <v>0</v>
      </c>
      <c r="G257" s="356">
        <f t="shared" si="5"/>
        <v>0</v>
      </c>
      <c r="H257" s="559">
        <f t="shared" si="8"/>
        <v>0</v>
      </c>
    </row>
    <row r="258" spans="5:8" s="559" customFormat="1" hidden="1" x14ac:dyDescent="0.25">
      <c r="E258" s="757">
        <f t="shared" si="6"/>
        <v>41560</v>
      </c>
      <c r="F258" s="356">
        <f t="shared" si="7"/>
        <v>0</v>
      </c>
      <c r="G258" s="356">
        <f t="shared" si="5"/>
        <v>0</v>
      </c>
      <c r="H258" s="559">
        <f t="shared" si="8"/>
        <v>0</v>
      </c>
    </row>
    <row r="259" spans="5:8" s="559" customFormat="1" hidden="1" x14ac:dyDescent="0.25">
      <c r="E259" s="757">
        <f t="shared" si="6"/>
        <v>41561</v>
      </c>
      <c r="F259" s="356">
        <f t="shared" si="7"/>
        <v>0</v>
      </c>
      <c r="G259" s="356">
        <f t="shared" si="5"/>
        <v>0</v>
      </c>
      <c r="H259" s="559">
        <f t="shared" si="8"/>
        <v>0</v>
      </c>
    </row>
    <row r="260" spans="5:8" s="559" customFormat="1" hidden="1" x14ac:dyDescent="0.25">
      <c r="E260" s="757">
        <f t="shared" si="6"/>
        <v>41562</v>
      </c>
      <c r="F260" s="356">
        <f t="shared" si="7"/>
        <v>0</v>
      </c>
      <c r="G260" s="356">
        <f t="shared" si="5"/>
        <v>0</v>
      </c>
      <c r="H260" s="559">
        <f t="shared" si="8"/>
        <v>0</v>
      </c>
    </row>
    <row r="261" spans="5:8" s="559" customFormat="1" hidden="1" x14ac:dyDescent="0.25">
      <c r="E261" s="757">
        <f t="shared" si="6"/>
        <v>41563</v>
      </c>
      <c r="F261" s="356">
        <f t="shared" si="7"/>
        <v>0</v>
      </c>
      <c r="G261" s="356">
        <f t="shared" si="5"/>
        <v>0</v>
      </c>
      <c r="H261" s="559">
        <f t="shared" si="8"/>
        <v>0</v>
      </c>
    </row>
    <row r="262" spans="5:8" s="559" customFormat="1" hidden="1" x14ac:dyDescent="0.25">
      <c r="E262" s="757">
        <f t="shared" si="6"/>
        <v>41564</v>
      </c>
      <c r="F262" s="356">
        <f t="shared" si="7"/>
        <v>0</v>
      </c>
      <c r="G262" s="356">
        <f t="shared" si="5"/>
        <v>0</v>
      </c>
      <c r="H262" s="559">
        <f t="shared" si="8"/>
        <v>0</v>
      </c>
    </row>
    <row r="263" spans="5:8" s="559" customFormat="1" hidden="1" x14ac:dyDescent="0.25">
      <c r="E263" s="757">
        <f t="shared" si="6"/>
        <v>41565</v>
      </c>
      <c r="F263" s="356">
        <f t="shared" si="7"/>
        <v>0</v>
      </c>
      <c r="G263" s="356">
        <f t="shared" si="5"/>
        <v>0</v>
      </c>
      <c r="H263" s="559">
        <f t="shared" si="8"/>
        <v>0</v>
      </c>
    </row>
    <row r="264" spans="5:8" s="559" customFormat="1" hidden="1" x14ac:dyDescent="0.25">
      <c r="E264" s="757">
        <f t="shared" si="6"/>
        <v>41566</v>
      </c>
      <c r="F264" s="356">
        <f t="shared" si="7"/>
        <v>0</v>
      </c>
      <c r="G264" s="356">
        <f t="shared" si="5"/>
        <v>0</v>
      </c>
      <c r="H264" s="559">
        <f t="shared" si="8"/>
        <v>0</v>
      </c>
    </row>
    <row r="265" spans="5:8" s="559" customFormat="1" hidden="1" x14ac:dyDescent="0.25">
      <c r="E265" s="757">
        <f t="shared" si="6"/>
        <v>41567</v>
      </c>
      <c r="F265" s="356">
        <f t="shared" si="7"/>
        <v>0</v>
      </c>
      <c r="G265" s="356">
        <f t="shared" si="5"/>
        <v>0</v>
      </c>
      <c r="H265" s="559">
        <f t="shared" si="8"/>
        <v>0</v>
      </c>
    </row>
    <row r="266" spans="5:8" s="559" customFormat="1" hidden="1" x14ac:dyDescent="0.25">
      <c r="E266" s="757">
        <f t="shared" si="6"/>
        <v>41568</v>
      </c>
      <c r="F266" s="356">
        <f t="shared" si="7"/>
        <v>0</v>
      </c>
      <c r="G266" s="356">
        <f t="shared" si="5"/>
        <v>0</v>
      </c>
      <c r="H266" s="559">
        <f t="shared" si="8"/>
        <v>0</v>
      </c>
    </row>
    <row r="267" spans="5:8" s="559" customFormat="1" hidden="1" x14ac:dyDescent="0.25">
      <c r="E267" s="757">
        <f t="shared" si="6"/>
        <v>41569</v>
      </c>
      <c r="F267" s="356">
        <f t="shared" si="7"/>
        <v>0</v>
      </c>
      <c r="G267" s="356">
        <f t="shared" si="5"/>
        <v>0</v>
      </c>
      <c r="H267" s="559">
        <f t="shared" si="8"/>
        <v>0</v>
      </c>
    </row>
    <row r="268" spans="5:8" s="559" customFormat="1" hidden="1" x14ac:dyDescent="0.25">
      <c r="E268" s="757">
        <f t="shared" si="6"/>
        <v>41570</v>
      </c>
      <c r="F268" s="356">
        <f t="shared" si="7"/>
        <v>0</v>
      </c>
      <c r="G268" s="356">
        <f t="shared" si="5"/>
        <v>0</v>
      </c>
      <c r="H268" s="559">
        <f t="shared" si="8"/>
        <v>0</v>
      </c>
    </row>
    <row r="269" spans="5:8" s="559" customFormat="1" hidden="1" x14ac:dyDescent="0.25">
      <c r="E269" s="757">
        <f t="shared" si="6"/>
        <v>41571</v>
      </c>
      <c r="F269" s="356">
        <f t="shared" si="7"/>
        <v>0</v>
      </c>
      <c r="G269" s="356">
        <f t="shared" si="5"/>
        <v>0</v>
      </c>
      <c r="H269" s="559">
        <f t="shared" si="8"/>
        <v>0</v>
      </c>
    </row>
    <row r="270" spans="5:8" s="559" customFormat="1" hidden="1" x14ac:dyDescent="0.25">
      <c r="E270" s="757">
        <f t="shared" si="6"/>
        <v>41572</v>
      </c>
      <c r="F270" s="356">
        <f t="shared" si="7"/>
        <v>0</v>
      </c>
      <c r="G270" s="356">
        <f t="shared" si="5"/>
        <v>0</v>
      </c>
      <c r="H270" s="559">
        <f t="shared" si="8"/>
        <v>0</v>
      </c>
    </row>
    <row r="271" spans="5:8" s="559" customFormat="1" hidden="1" x14ac:dyDescent="0.25">
      <c r="E271" s="757">
        <f t="shared" si="6"/>
        <v>41573</v>
      </c>
      <c r="F271" s="356">
        <f t="shared" si="7"/>
        <v>0</v>
      </c>
      <c r="G271" s="356">
        <f t="shared" si="5"/>
        <v>0</v>
      </c>
      <c r="H271" s="559">
        <f t="shared" si="8"/>
        <v>0</v>
      </c>
    </row>
    <row r="272" spans="5:8" s="559" customFormat="1" hidden="1" x14ac:dyDescent="0.25">
      <c r="E272" s="757">
        <f t="shared" si="6"/>
        <v>41574</v>
      </c>
      <c r="F272" s="356">
        <f t="shared" si="7"/>
        <v>0</v>
      </c>
      <c r="G272" s="356">
        <f t="shared" si="5"/>
        <v>0</v>
      </c>
      <c r="H272" s="559">
        <f t="shared" si="8"/>
        <v>0</v>
      </c>
    </row>
    <row r="273" spans="5:8" s="559" customFormat="1" hidden="1" x14ac:dyDescent="0.25">
      <c r="E273" s="757">
        <f t="shared" si="6"/>
        <v>41575</v>
      </c>
      <c r="F273" s="356">
        <f t="shared" si="7"/>
        <v>0</v>
      </c>
      <c r="G273" s="356">
        <f t="shared" si="5"/>
        <v>0</v>
      </c>
      <c r="H273" s="559">
        <f t="shared" si="8"/>
        <v>0</v>
      </c>
    </row>
    <row r="274" spans="5:8" s="559" customFormat="1" hidden="1" x14ac:dyDescent="0.25">
      <c r="E274" s="757">
        <f t="shared" si="6"/>
        <v>41576</v>
      </c>
      <c r="F274" s="356">
        <f t="shared" si="7"/>
        <v>0</v>
      </c>
      <c r="G274" s="356">
        <f t="shared" si="5"/>
        <v>0</v>
      </c>
      <c r="H274" s="559">
        <f t="shared" si="8"/>
        <v>0</v>
      </c>
    </row>
    <row r="275" spans="5:8" s="559" customFormat="1" hidden="1" x14ac:dyDescent="0.25">
      <c r="E275" s="757">
        <f t="shared" si="6"/>
        <v>41577</v>
      </c>
      <c r="F275" s="356">
        <f t="shared" si="7"/>
        <v>0</v>
      </c>
      <c r="G275" s="356">
        <f t="shared" si="5"/>
        <v>0</v>
      </c>
      <c r="H275" s="559">
        <f t="shared" si="8"/>
        <v>0</v>
      </c>
    </row>
    <row r="276" spans="5:8" s="559" customFormat="1" hidden="1" x14ac:dyDescent="0.25">
      <c r="E276" s="757">
        <f t="shared" si="6"/>
        <v>41578</v>
      </c>
      <c r="F276" s="356">
        <f t="shared" si="7"/>
        <v>0</v>
      </c>
      <c r="G276" s="356">
        <f t="shared" si="5"/>
        <v>0</v>
      </c>
      <c r="H276" s="559">
        <f t="shared" si="8"/>
        <v>0</v>
      </c>
    </row>
    <row r="277" spans="5:8" s="559" customFormat="1" hidden="1" x14ac:dyDescent="0.25">
      <c r="E277" s="757">
        <f t="shared" si="6"/>
        <v>41579</v>
      </c>
      <c r="F277" s="356">
        <f t="shared" si="7"/>
        <v>0</v>
      </c>
      <c r="G277" s="356">
        <f t="shared" si="5"/>
        <v>0</v>
      </c>
      <c r="H277" s="559">
        <f t="shared" si="8"/>
        <v>0</v>
      </c>
    </row>
    <row r="278" spans="5:8" s="559" customFormat="1" hidden="1" x14ac:dyDescent="0.25">
      <c r="E278" s="757">
        <f t="shared" si="6"/>
        <v>41580</v>
      </c>
      <c r="F278" s="356">
        <f t="shared" si="7"/>
        <v>0</v>
      </c>
      <c r="G278" s="356">
        <f t="shared" si="5"/>
        <v>0</v>
      </c>
      <c r="H278" s="559">
        <f t="shared" si="8"/>
        <v>0</v>
      </c>
    </row>
    <row r="279" spans="5:8" s="559" customFormat="1" hidden="1" x14ac:dyDescent="0.25">
      <c r="E279" s="757">
        <f t="shared" si="6"/>
        <v>41581</v>
      </c>
      <c r="F279" s="356">
        <f t="shared" si="7"/>
        <v>0</v>
      </c>
      <c r="G279" s="356">
        <f t="shared" si="5"/>
        <v>0</v>
      </c>
      <c r="H279" s="559">
        <f t="shared" si="8"/>
        <v>0</v>
      </c>
    </row>
    <row r="280" spans="5:8" s="559" customFormat="1" hidden="1" x14ac:dyDescent="0.25">
      <c r="E280" s="757">
        <f t="shared" si="6"/>
        <v>41582</v>
      </c>
      <c r="F280" s="356">
        <f t="shared" si="7"/>
        <v>0</v>
      </c>
      <c r="G280" s="356">
        <f t="shared" si="5"/>
        <v>0</v>
      </c>
      <c r="H280" s="559">
        <f t="shared" si="8"/>
        <v>0</v>
      </c>
    </row>
    <row r="281" spans="5:8" s="559" customFormat="1" hidden="1" x14ac:dyDescent="0.25">
      <c r="E281" s="757">
        <f t="shared" si="6"/>
        <v>41583</v>
      </c>
      <c r="F281" s="356">
        <f t="shared" si="7"/>
        <v>0</v>
      </c>
      <c r="G281" s="356">
        <f t="shared" si="5"/>
        <v>0</v>
      </c>
      <c r="H281" s="559">
        <f t="shared" si="8"/>
        <v>0</v>
      </c>
    </row>
    <row r="282" spans="5:8" s="559" customFormat="1" hidden="1" x14ac:dyDescent="0.25">
      <c r="E282" s="757">
        <f t="shared" si="6"/>
        <v>41584</v>
      </c>
      <c r="F282" s="356">
        <f t="shared" si="7"/>
        <v>0</v>
      </c>
      <c r="G282" s="356">
        <f t="shared" si="5"/>
        <v>0</v>
      </c>
      <c r="H282" s="559">
        <f t="shared" si="8"/>
        <v>0</v>
      </c>
    </row>
    <row r="283" spans="5:8" s="559" customFormat="1" hidden="1" x14ac:dyDescent="0.25">
      <c r="E283" s="757">
        <f t="shared" si="6"/>
        <v>41585</v>
      </c>
      <c r="F283" s="356">
        <f t="shared" si="7"/>
        <v>0</v>
      </c>
      <c r="G283" s="356">
        <f t="shared" ref="G283:G346" si="9">ROUND(F283,-2)</f>
        <v>0</v>
      </c>
      <c r="H283" s="559">
        <f t="shared" si="8"/>
        <v>0</v>
      </c>
    </row>
    <row r="284" spans="5:8" s="559" customFormat="1" hidden="1" x14ac:dyDescent="0.25">
      <c r="E284" s="757">
        <f t="shared" ref="E284:E347" si="10">IF(E283&lt;$C$156,E283+1,$C$156)</f>
        <v>41586</v>
      </c>
      <c r="F284" s="356">
        <f t="shared" ref="F284:F347" si="11">IF(E283&lt;$C$156,F283+C$158,F283)</f>
        <v>0</v>
      </c>
      <c r="G284" s="356">
        <f t="shared" si="9"/>
        <v>0</v>
      </c>
      <c r="H284" s="559">
        <f t="shared" ref="H284:H347" si="12">IF(F284&gt;F283,(VLOOKUP(G284,$K$154:$O$160,MATCH($C$159,$K$154:$O$154,0),0)),0)</f>
        <v>0</v>
      </c>
    </row>
    <row r="285" spans="5:8" s="559" customFormat="1" hidden="1" x14ac:dyDescent="0.25">
      <c r="E285" s="757">
        <f t="shared" si="10"/>
        <v>41587</v>
      </c>
      <c r="F285" s="356">
        <f t="shared" si="11"/>
        <v>0</v>
      </c>
      <c r="G285" s="356">
        <f t="shared" si="9"/>
        <v>0</v>
      </c>
      <c r="H285" s="559">
        <f t="shared" si="12"/>
        <v>0</v>
      </c>
    </row>
    <row r="286" spans="5:8" s="559" customFormat="1" hidden="1" x14ac:dyDescent="0.25">
      <c r="E286" s="757">
        <f t="shared" si="10"/>
        <v>41588</v>
      </c>
      <c r="F286" s="356">
        <f t="shared" si="11"/>
        <v>0</v>
      </c>
      <c r="G286" s="356">
        <f t="shared" si="9"/>
        <v>0</v>
      </c>
      <c r="H286" s="559">
        <f t="shared" si="12"/>
        <v>0</v>
      </c>
    </row>
    <row r="287" spans="5:8" s="559" customFormat="1" hidden="1" x14ac:dyDescent="0.25">
      <c r="E287" s="757">
        <f t="shared" si="10"/>
        <v>41589</v>
      </c>
      <c r="F287" s="356">
        <f t="shared" si="11"/>
        <v>0</v>
      </c>
      <c r="G287" s="356">
        <f t="shared" si="9"/>
        <v>0</v>
      </c>
      <c r="H287" s="559">
        <f t="shared" si="12"/>
        <v>0</v>
      </c>
    </row>
    <row r="288" spans="5:8" s="559" customFormat="1" hidden="1" x14ac:dyDescent="0.25">
      <c r="E288" s="757">
        <f t="shared" si="10"/>
        <v>41590</v>
      </c>
      <c r="F288" s="356">
        <f t="shared" si="11"/>
        <v>0</v>
      </c>
      <c r="G288" s="356">
        <f t="shared" si="9"/>
        <v>0</v>
      </c>
      <c r="H288" s="559">
        <f t="shared" si="12"/>
        <v>0</v>
      </c>
    </row>
    <row r="289" spans="5:8" s="559" customFormat="1" hidden="1" x14ac:dyDescent="0.25">
      <c r="E289" s="757">
        <f t="shared" si="10"/>
        <v>41591</v>
      </c>
      <c r="F289" s="356">
        <f t="shared" si="11"/>
        <v>0</v>
      </c>
      <c r="G289" s="356">
        <f t="shared" si="9"/>
        <v>0</v>
      </c>
      <c r="H289" s="559">
        <f t="shared" si="12"/>
        <v>0</v>
      </c>
    </row>
    <row r="290" spans="5:8" s="559" customFormat="1" hidden="1" x14ac:dyDescent="0.25">
      <c r="E290" s="757">
        <f t="shared" si="10"/>
        <v>41592</v>
      </c>
      <c r="F290" s="356">
        <f t="shared" si="11"/>
        <v>0</v>
      </c>
      <c r="G290" s="356">
        <f t="shared" si="9"/>
        <v>0</v>
      </c>
      <c r="H290" s="559">
        <f t="shared" si="12"/>
        <v>0</v>
      </c>
    </row>
    <row r="291" spans="5:8" s="559" customFormat="1" hidden="1" x14ac:dyDescent="0.25">
      <c r="E291" s="757">
        <f t="shared" si="10"/>
        <v>41593</v>
      </c>
      <c r="F291" s="356">
        <f t="shared" si="11"/>
        <v>0</v>
      </c>
      <c r="G291" s="356">
        <f t="shared" si="9"/>
        <v>0</v>
      </c>
      <c r="H291" s="559">
        <f t="shared" si="12"/>
        <v>0</v>
      </c>
    </row>
    <row r="292" spans="5:8" s="559" customFormat="1" hidden="1" x14ac:dyDescent="0.25">
      <c r="E292" s="757">
        <f t="shared" si="10"/>
        <v>41594</v>
      </c>
      <c r="F292" s="356">
        <f t="shared" si="11"/>
        <v>0</v>
      </c>
      <c r="G292" s="356">
        <f t="shared" si="9"/>
        <v>0</v>
      </c>
      <c r="H292" s="559">
        <f t="shared" si="12"/>
        <v>0</v>
      </c>
    </row>
    <row r="293" spans="5:8" s="559" customFormat="1" hidden="1" x14ac:dyDescent="0.25">
      <c r="E293" s="757">
        <f t="shared" si="10"/>
        <v>41595</v>
      </c>
      <c r="F293" s="356">
        <f t="shared" si="11"/>
        <v>0</v>
      </c>
      <c r="G293" s="356">
        <f t="shared" si="9"/>
        <v>0</v>
      </c>
      <c r="H293" s="559">
        <f t="shared" si="12"/>
        <v>0</v>
      </c>
    </row>
    <row r="294" spans="5:8" s="559" customFormat="1" hidden="1" x14ac:dyDescent="0.25">
      <c r="E294" s="757">
        <f t="shared" si="10"/>
        <v>41596</v>
      </c>
      <c r="F294" s="356">
        <f t="shared" si="11"/>
        <v>0</v>
      </c>
      <c r="G294" s="356">
        <f t="shared" si="9"/>
        <v>0</v>
      </c>
      <c r="H294" s="559">
        <f t="shared" si="12"/>
        <v>0</v>
      </c>
    </row>
    <row r="295" spans="5:8" s="559" customFormat="1" hidden="1" x14ac:dyDescent="0.25">
      <c r="E295" s="757">
        <f t="shared" si="10"/>
        <v>41597</v>
      </c>
      <c r="F295" s="356">
        <f t="shared" si="11"/>
        <v>0</v>
      </c>
      <c r="G295" s="356">
        <f t="shared" si="9"/>
        <v>0</v>
      </c>
      <c r="H295" s="559">
        <f t="shared" si="12"/>
        <v>0</v>
      </c>
    </row>
    <row r="296" spans="5:8" s="559" customFormat="1" hidden="1" x14ac:dyDescent="0.25">
      <c r="E296" s="757">
        <f t="shared" si="10"/>
        <v>41598</v>
      </c>
      <c r="F296" s="356">
        <f t="shared" si="11"/>
        <v>0</v>
      </c>
      <c r="G296" s="356">
        <f t="shared" si="9"/>
        <v>0</v>
      </c>
      <c r="H296" s="559">
        <f t="shared" si="12"/>
        <v>0</v>
      </c>
    </row>
    <row r="297" spans="5:8" s="559" customFormat="1" hidden="1" x14ac:dyDescent="0.25">
      <c r="E297" s="757">
        <f t="shared" si="10"/>
        <v>41599</v>
      </c>
      <c r="F297" s="356">
        <f t="shared" si="11"/>
        <v>0</v>
      </c>
      <c r="G297" s="356">
        <f t="shared" si="9"/>
        <v>0</v>
      </c>
      <c r="H297" s="559">
        <f t="shared" si="12"/>
        <v>0</v>
      </c>
    </row>
    <row r="298" spans="5:8" s="559" customFormat="1" hidden="1" x14ac:dyDescent="0.25">
      <c r="E298" s="757">
        <f t="shared" si="10"/>
        <v>41600</v>
      </c>
      <c r="F298" s="356">
        <f t="shared" si="11"/>
        <v>0</v>
      </c>
      <c r="G298" s="356">
        <f t="shared" si="9"/>
        <v>0</v>
      </c>
      <c r="H298" s="559">
        <f t="shared" si="12"/>
        <v>0</v>
      </c>
    </row>
    <row r="299" spans="5:8" s="559" customFormat="1" hidden="1" x14ac:dyDescent="0.25">
      <c r="E299" s="757">
        <f t="shared" si="10"/>
        <v>41601</v>
      </c>
      <c r="F299" s="356">
        <f t="shared" si="11"/>
        <v>0</v>
      </c>
      <c r="G299" s="356">
        <f t="shared" si="9"/>
        <v>0</v>
      </c>
      <c r="H299" s="559">
        <f t="shared" si="12"/>
        <v>0</v>
      </c>
    </row>
    <row r="300" spans="5:8" s="559" customFormat="1" hidden="1" x14ac:dyDescent="0.25">
      <c r="E300" s="757">
        <f t="shared" si="10"/>
        <v>41602</v>
      </c>
      <c r="F300" s="356">
        <f t="shared" si="11"/>
        <v>0</v>
      </c>
      <c r="G300" s="356">
        <f t="shared" si="9"/>
        <v>0</v>
      </c>
      <c r="H300" s="559">
        <f t="shared" si="12"/>
        <v>0</v>
      </c>
    </row>
    <row r="301" spans="5:8" s="559" customFormat="1" hidden="1" x14ac:dyDescent="0.25">
      <c r="E301" s="757">
        <f t="shared" si="10"/>
        <v>41603</v>
      </c>
      <c r="F301" s="356">
        <f t="shared" si="11"/>
        <v>0</v>
      </c>
      <c r="G301" s="356">
        <f t="shared" si="9"/>
        <v>0</v>
      </c>
      <c r="H301" s="559">
        <f t="shared" si="12"/>
        <v>0</v>
      </c>
    </row>
    <row r="302" spans="5:8" s="559" customFormat="1" hidden="1" x14ac:dyDescent="0.25">
      <c r="E302" s="757">
        <f t="shared" si="10"/>
        <v>41604</v>
      </c>
      <c r="F302" s="356">
        <f t="shared" si="11"/>
        <v>0</v>
      </c>
      <c r="G302" s="356">
        <f t="shared" si="9"/>
        <v>0</v>
      </c>
      <c r="H302" s="559">
        <f t="shared" si="12"/>
        <v>0</v>
      </c>
    </row>
    <row r="303" spans="5:8" s="559" customFormat="1" hidden="1" x14ac:dyDescent="0.25">
      <c r="E303" s="757">
        <f t="shared" si="10"/>
        <v>41605</v>
      </c>
      <c r="F303" s="356">
        <f t="shared" si="11"/>
        <v>0</v>
      </c>
      <c r="G303" s="356">
        <f t="shared" si="9"/>
        <v>0</v>
      </c>
      <c r="H303" s="559">
        <f t="shared" si="12"/>
        <v>0</v>
      </c>
    </row>
    <row r="304" spans="5:8" s="559" customFormat="1" hidden="1" x14ac:dyDescent="0.25">
      <c r="E304" s="757">
        <f t="shared" si="10"/>
        <v>41606</v>
      </c>
      <c r="F304" s="356">
        <f t="shared" si="11"/>
        <v>0</v>
      </c>
      <c r="G304" s="356">
        <f t="shared" si="9"/>
        <v>0</v>
      </c>
      <c r="H304" s="559">
        <f t="shared" si="12"/>
        <v>0</v>
      </c>
    </row>
    <row r="305" spans="5:8" s="559" customFormat="1" hidden="1" x14ac:dyDescent="0.25">
      <c r="E305" s="757">
        <f t="shared" si="10"/>
        <v>41607</v>
      </c>
      <c r="F305" s="356">
        <f t="shared" si="11"/>
        <v>0</v>
      </c>
      <c r="G305" s="356">
        <f t="shared" si="9"/>
        <v>0</v>
      </c>
      <c r="H305" s="559">
        <f t="shared" si="12"/>
        <v>0</v>
      </c>
    </row>
    <row r="306" spans="5:8" s="559" customFormat="1" hidden="1" x14ac:dyDescent="0.25">
      <c r="E306" s="757">
        <f t="shared" si="10"/>
        <v>41608</v>
      </c>
      <c r="F306" s="356">
        <f t="shared" si="11"/>
        <v>0</v>
      </c>
      <c r="G306" s="356">
        <f t="shared" si="9"/>
        <v>0</v>
      </c>
      <c r="H306" s="559">
        <f t="shared" si="12"/>
        <v>0</v>
      </c>
    </row>
    <row r="307" spans="5:8" s="559" customFormat="1" hidden="1" x14ac:dyDescent="0.25">
      <c r="E307" s="757">
        <f t="shared" si="10"/>
        <v>41609</v>
      </c>
      <c r="F307" s="356">
        <f t="shared" si="11"/>
        <v>0</v>
      </c>
      <c r="G307" s="356">
        <f t="shared" si="9"/>
        <v>0</v>
      </c>
      <c r="H307" s="559">
        <f t="shared" si="12"/>
        <v>0</v>
      </c>
    </row>
    <row r="308" spans="5:8" s="559" customFormat="1" hidden="1" x14ac:dyDescent="0.25">
      <c r="E308" s="757">
        <f t="shared" si="10"/>
        <v>41610</v>
      </c>
      <c r="F308" s="356">
        <f t="shared" si="11"/>
        <v>0</v>
      </c>
      <c r="G308" s="356">
        <f t="shared" si="9"/>
        <v>0</v>
      </c>
      <c r="H308" s="559">
        <f t="shared" si="12"/>
        <v>0</v>
      </c>
    </row>
    <row r="309" spans="5:8" s="559" customFormat="1" hidden="1" x14ac:dyDescent="0.25">
      <c r="E309" s="757">
        <f t="shared" si="10"/>
        <v>41611</v>
      </c>
      <c r="F309" s="356">
        <f t="shared" si="11"/>
        <v>0</v>
      </c>
      <c r="G309" s="356">
        <f t="shared" si="9"/>
        <v>0</v>
      </c>
      <c r="H309" s="559">
        <f t="shared" si="12"/>
        <v>0</v>
      </c>
    </row>
    <row r="310" spans="5:8" s="559" customFormat="1" hidden="1" x14ac:dyDescent="0.25">
      <c r="E310" s="757">
        <f t="shared" si="10"/>
        <v>41612</v>
      </c>
      <c r="F310" s="356">
        <f t="shared" si="11"/>
        <v>0</v>
      </c>
      <c r="G310" s="356">
        <f t="shared" si="9"/>
        <v>0</v>
      </c>
      <c r="H310" s="559">
        <f t="shared" si="12"/>
        <v>0</v>
      </c>
    </row>
    <row r="311" spans="5:8" s="559" customFormat="1" hidden="1" x14ac:dyDescent="0.25">
      <c r="E311" s="757">
        <f t="shared" si="10"/>
        <v>41613</v>
      </c>
      <c r="F311" s="356">
        <f t="shared" si="11"/>
        <v>0</v>
      </c>
      <c r="G311" s="356">
        <f t="shared" si="9"/>
        <v>0</v>
      </c>
      <c r="H311" s="559">
        <f t="shared" si="12"/>
        <v>0</v>
      </c>
    </row>
    <row r="312" spans="5:8" s="559" customFormat="1" hidden="1" x14ac:dyDescent="0.25">
      <c r="E312" s="757">
        <f t="shared" si="10"/>
        <v>41614</v>
      </c>
      <c r="F312" s="356">
        <f t="shared" si="11"/>
        <v>0</v>
      </c>
      <c r="G312" s="356">
        <f t="shared" si="9"/>
        <v>0</v>
      </c>
      <c r="H312" s="559">
        <f t="shared" si="12"/>
        <v>0</v>
      </c>
    </row>
    <row r="313" spans="5:8" s="559" customFormat="1" hidden="1" x14ac:dyDescent="0.25">
      <c r="E313" s="757">
        <f t="shared" si="10"/>
        <v>41615</v>
      </c>
      <c r="F313" s="356">
        <f t="shared" si="11"/>
        <v>0</v>
      </c>
      <c r="G313" s="356">
        <f t="shared" si="9"/>
        <v>0</v>
      </c>
      <c r="H313" s="559">
        <f t="shared" si="12"/>
        <v>0</v>
      </c>
    </row>
    <row r="314" spans="5:8" s="559" customFormat="1" hidden="1" x14ac:dyDescent="0.25">
      <c r="E314" s="757">
        <f t="shared" si="10"/>
        <v>41616</v>
      </c>
      <c r="F314" s="356">
        <f t="shared" si="11"/>
        <v>0</v>
      </c>
      <c r="G314" s="356">
        <f t="shared" si="9"/>
        <v>0</v>
      </c>
      <c r="H314" s="559">
        <f t="shared" si="12"/>
        <v>0</v>
      </c>
    </row>
    <row r="315" spans="5:8" s="559" customFormat="1" hidden="1" x14ac:dyDescent="0.25">
      <c r="E315" s="757">
        <f t="shared" si="10"/>
        <v>41617</v>
      </c>
      <c r="F315" s="356">
        <f t="shared" si="11"/>
        <v>0</v>
      </c>
      <c r="G315" s="356">
        <f t="shared" si="9"/>
        <v>0</v>
      </c>
      <c r="H315" s="559">
        <f t="shared" si="12"/>
        <v>0</v>
      </c>
    </row>
    <row r="316" spans="5:8" s="559" customFormat="1" hidden="1" x14ac:dyDescent="0.25">
      <c r="E316" s="757">
        <f t="shared" si="10"/>
        <v>41618</v>
      </c>
      <c r="F316" s="356">
        <f t="shared" si="11"/>
        <v>0</v>
      </c>
      <c r="G316" s="356">
        <f t="shared" si="9"/>
        <v>0</v>
      </c>
      <c r="H316" s="559">
        <f t="shared" si="12"/>
        <v>0</v>
      </c>
    </row>
    <row r="317" spans="5:8" s="559" customFormat="1" hidden="1" x14ac:dyDescent="0.25">
      <c r="E317" s="757">
        <f t="shared" si="10"/>
        <v>41619</v>
      </c>
      <c r="F317" s="356">
        <f t="shared" si="11"/>
        <v>0</v>
      </c>
      <c r="G317" s="356">
        <f t="shared" si="9"/>
        <v>0</v>
      </c>
      <c r="H317" s="559">
        <f t="shared" si="12"/>
        <v>0</v>
      </c>
    </row>
    <row r="318" spans="5:8" s="559" customFormat="1" hidden="1" x14ac:dyDescent="0.25">
      <c r="E318" s="757">
        <f t="shared" si="10"/>
        <v>41620</v>
      </c>
      <c r="F318" s="356">
        <f t="shared" si="11"/>
        <v>0</v>
      </c>
      <c r="G318" s="356">
        <f t="shared" si="9"/>
        <v>0</v>
      </c>
      <c r="H318" s="559">
        <f t="shared" si="12"/>
        <v>0</v>
      </c>
    </row>
    <row r="319" spans="5:8" s="559" customFormat="1" hidden="1" x14ac:dyDescent="0.25">
      <c r="E319" s="757">
        <f t="shared" si="10"/>
        <v>41621</v>
      </c>
      <c r="F319" s="356">
        <f t="shared" si="11"/>
        <v>0</v>
      </c>
      <c r="G319" s="356">
        <f t="shared" si="9"/>
        <v>0</v>
      </c>
      <c r="H319" s="559">
        <f t="shared" si="12"/>
        <v>0</v>
      </c>
    </row>
    <row r="320" spans="5:8" s="559" customFormat="1" hidden="1" x14ac:dyDescent="0.25">
      <c r="E320" s="757">
        <f t="shared" si="10"/>
        <v>41622</v>
      </c>
      <c r="F320" s="356">
        <f t="shared" si="11"/>
        <v>0</v>
      </c>
      <c r="G320" s="356">
        <f t="shared" si="9"/>
        <v>0</v>
      </c>
      <c r="H320" s="559">
        <f t="shared" si="12"/>
        <v>0</v>
      </c>
    </row>
    <row r="321" spans="5:8" s="559" customFormat="1" hidden="1" x14ac:dyDescent="0.25">
      <c r="E321" s="757">
        <f t="shared" si="10"/>
        <v>41623</v>
      </c>
      <c r="F321" s="356">
        <f t="shared" si="11"/>
        <v>0</v>
      </c>
      <c r="G321" s="356">
        <f t="shared" si="9"/>
        <v>0</v>
      </c>
      <c r="H321" s="559">
        <f t="shared" si="12"/>
        <v>0</v>
      </c>
    </row>
    <row r="322" spans="5:8" s="559" customFormat="1" hidden="1" x14ac:dyDescent="0.25">
      <c r="E322" s="757">
        <f t="shared" si="10"/>
        <v>41624</v>
      </c>
      <c r="F322" s="356">
        <f t="shared" si="11"/>
        <v>0</v>
      </c>
      <c r="G322" s="356">
        <f t="shared" si="9"/>
        <v>0</v>
      </c>
      <c r="H322" s="559">
        <f t="shared" si="12"/>
        <v>0</v>
      </c>
    </row>
    <row r="323" spans="5:8" s="559" customFormat="1" hidden="1" x14ac:dyDescent="0.25">
      <c r="E323" s="757">
        <f t="shared" si="10"/>
        <v>41625</v>
      </c>
      <c r="F323" s="356">
        <f t="shared" si="11"/>
        <v>0</v>
      </c>
      <c r="G323" s="356">
        <f t="shared" si="9"/>
        <v>0</v>
      </c>
      <c r="H323" s="559">
        <f t="shared" si="12"/>
        <v>0</v>
      </c>
    </row>
    <row r="324" spans="5:8" s="559" customFormat="1" hidden="1" x14ac:dyDescent="0.25">
      <c r="E324" s="757">
        <f t="shared" si="10"/>
        <v>41626</v>
      </c>
      <c r="F324" s="356">
        <f t="shared" si="11"/>
        <v>0</v>
      </c>
      <c r="G324" s="356">
        <f t="shared" si="9"/>
        <v>0</v>
      </c>
      <c r="H324" s="559">
        <f t="shared" si="12"/>
        <v>0</v>
      </c>
    </row>
    <row r="325" spans="5:8" s="559" customFormat="1" hidden="1" x14ac:dyDescent="0.25">
      <c r="E325" s="757">
        <f t="shared" si="10"/>
        <v>41627</v>
      </c>
      <c r="F325" s="356">
        <f t="shared" si="11"/>
        <v>0</v>
      </c>
      <c r="G325" s="356">
        <f t="shared" si="9"/>
        <v>0</v>
      </c>
      <c r="H325" s="559">
        <f t="shared" si="12"/>
        <v>0</v>
      </c>
    </row>
    <row r="326" spans="5:8" s="559" customFormat="1" hidden="1" x14ac:dyDescent="0.25">
      <c r="E326" s="757">
        <f t="shared" si="10"/>
        <v>41628</v>
      </c>
      <c r="F326" s="356">
        <f t="shared" si="11"/>
        <v>0</v>
      </c>
      <c r="G326" s="356">
        <f t="shared" si="9"/>
        <v>0</v>
      </c>
      <c r="H326" s="559">
        <f t="shared" si="12"/>
        <v>0</v>
      </c>
    </row>
    <row r="327" spans="5:8" s="559" customFormat="1" hidden="1" x14ac:dyDescent="0.25">
      <c r="E327" s="757">
        <f t="shared" si="10"/>
        <v>41629</v>
      </c>
      <c r="F327" s="356">
        <f t="shared" si="11"/>
        <v>0</v>
      </c>
      <c r="G327" s="356">
        <f t="shared" si="9"/>
        <v>0</v>
      </c>
      <c r="H327" s="559">
        <f t="shared" si="12"/>
        <v>0</v>
      </c>
    </row>
    <row r="328" spans="5:8" s="559" customFormat="1" hidden="1" x14ac:dyDescent="0.25">
      <c r="E328" s="757">
        <f t="shared" si="10"/>
        <v>41630</v>
      </c>
      <c r="F328" s="356">
        <f t="shared" si="11"/>
        <v>0</v>
      </c>
      <c r="G328" s="356">
        <f t="shared" si="9"/>
        <v>0</v>
      </c>
      <c r="H328" s="559">
        <f t="shared" si="12"/>
        <v>0</v>
      </c>
    </row>
    <row r="329" spans="5:8" s="559" customFormat="1" hidden="1" x14ac:dyDescent="0.25">
      <c r="E329" s="757">
        <f t="shared" si="10"/>
        <v>41631</v>
      </c>
      <c r="F329" s="356">
        <f t="shared" si="11"/>
        <v>0</v>
      </c>
      <c r="G329" s="356">
        <f t="shared" si="9"/>
        <v>0</v>
      </c>
      <c r="H329" s="559">
        <f t="shared" si="12"/>
        <v>0</v>
      </c>
    </row>
    <row r="330" spans="5:8" s="559" customFormat="1" hidden="1" x14ac:dyDescent="0.25">
      <c r="E330" s="757">
        <f t="shared" si="10"/>
        <v>41632</v>
      </c>
      <c r="F330" s="356">
        <f t="shared" si="11"/>
        <v>0</v>
      </c>
      <c r="G330" s="356">
        <f t="shared" si="9"/>
        <v>0</v>
      </c>
      <c r="H330" s="559">
        <f t="shared" si="12"/>
        <v>0</v>
      </c>
    </row>
    <row r="331" spans="5:8" s="559" customFormat="1" hidden="1" x14ac:dyDescent="0.25">
      <c r="E331" s="757">
        <f t="shared" si="10"/>
        <v>41633</v>
      </c>
      <c r="F331" s="356">
        <f t="shared" si="11"/>
        <v>0</v>
      </c>
      <c r="G331" s="356">
        <f t="shared" si="9"/>
        <v>0</v>
      </c>
      <c r="H331" s="559">
        <f t="shared" si="12"/>
        <v>0</v>
      </c>
    </row>
    <row r="332" spans="5:8" s="559" customFormat="1" hidden="1" x14ac:dyDescent="0.25">
      <c r="E332" s="757">
        <f t="shared" si="10"/>
        <v>41634</v>
      </c>
      <c r="F332" s="356">
        <f t="shared" si="11"/>
        <v>0</v>
      </c>
      <c r="G332" s="356">
        <f t="shared" si="9"/>
        <v>0</v>
      </c>
      <c r="H332" s="559">
        <f t="shared" si="12"/>
        <v>0</v>
      </c>
    </row>
    <row r="333" spans="5:8" s="559" customFormat="1" hidden="1" x14ac:dyDescent="0.25">
      <c r="E333" s="757">
        <f t="shared" si="10"/>
        <v>41635</v>
      </c>
      <c r="F333" s="356">
        <f t="shared" si="11"/>
        <v>0</v>
      </c>
      <c r="G333" s="356">
        <f t="shared" si="9"/>
        <v>0</v>
      </c>
      <c r="H333" s="559">
        <f t="shared" si="12"/>
        <v>0</v>
      </c>
    </row>
    <row r="334" spans="5:8" s="559" customFormat="1" hidden="1" x14ac:dyDescent="0.25">
      <c r="E334" s="757">
        <f t="shared" si="10"/>
        <v>41636</v>
      </c>
      <c r="F334" s="356">
        <f t="shared" si="11"/>
        <v>0</v>
      </c>
      <c r="G334" s="356">
        <f t="shared" si="9"/>
        <v>0</v>
      </c>
      <c r="H334" s="559">
        <f t="shared" si="12"/>
        <v>0</v>
      </c>
    </row>
    <row r="335" spans="5:8" s="559" customFormat="1" hidden="1" x14ac:dyDescent="0.25">
      <c r="E335" s="757">
        <f t="shared" si="10"/>
        <v>41637</v>
      </c>
      <c r="F335" s="356">
        <f t="shared" si="11"/>
        <v>0</v>
      </c>
      <c r="G335" s="356">
        <f t="shared" si="9"/>
        <v>0</v>
      </c>
      <c r="H335" s="559">
        <f t="shared" si="12"/>
        <v>0</v>
      </c>
    </row>
    <row r="336" spans="5:8" s="559" customFormat="1" hidden="1" x14ac:dyDescent="0.25">
      <c r="E336" s="757">
        <f t="shared" si="10"/>
        <v>41638</v>
      </c>
      <c r="F336" s="356">
        <f t="shared" si="11"/>
        <v>0</v>
      </c>
      <c r="G336" s="356">
        <f t="shared" si="9"/>
        <v>0</v>
      </c>
      <c r="H336" s="559">
        <f t="shared" si="12"/>
        <v>0</v>
      </c>
    </row>
    <row r="337" spans="5:8" s="559" customFormat="1" hidden="1" x14ac:dyDescent="0.25">
      <c r="E337" s="757">
        <f t="shared" si="10"/>
        <v>41639</v>
      </c>
      <c r="F337" s="356">
        <f t="shared" si="11"/>
        <v>0</v>
      </c>
      <c r="G337" s="356">
        <f t="shared" si="9"/>
        <v>0</v>
      </c>
      <c r="H337" s="559">
        <f t="shared" si="12"/>
        <v>0</v>
      </c>
    </row>
    <row r="338" spans="5:8" s="559" customFormat="1" hidden="1" x14ac:dyDescent="0.25">
      <c r="E338" s="757">
        <f t="shared" si="10"/>
        <v>41640</v>
      </c>
      <c r="F338" s="356">
        <f t="shared" si="11"/>
        <v>0</v>
      </c>
      <c r="G338" s="356">
        <f t="shared" si="9"/>
        <v>0</v>
      </c>
      <c r="H338" s="559">
        <f t="shared" si="12"/>
        <v>0</v>
      </c>
    </row>
    <row r="339" spans="5:8" s="559" customFormat="1" hidden="1" x14ac:dyDescent="0.25">
      <c r="E339" s="757">
        <f t="shared" si="10"/>
        <v>41641</v>
      </c>
      <c r="F339" s="356">
        <f t="shared" si="11"/>
        <v>0</v>
      </c>
      <c r="G339" s="356">
        <f t="shared" si="9"/>
        <v>0</v>
      </c>
      <c r="H339" s="559">
        <f t="shared" si="12"/>
        <v>0</v>
      </c>
    </row>
    <row r="340" spans="5:8" s="559" customFormat="1" hidden="1" x14ac:dyDescent="0.25">
      <c r="E340" s="757">
        <f t="shared" si="10"/>
        <v>41642</v>
      </c>
      <c r="F340" s="356">
        <f t="shared" si="11"/>
        <v>0</v>
      </c>
      <c r="G340" s="356">
        <f t="shared" si="9"/>
        <v>0</v>
      </c>
      <c r="H340" s="559">
        <f t="shared" si="12"/>
        <v>0</v>
      </c>
    </row>
    <row r="341" spans="5:8" s="559" customFormat="1" hidden="1" x14ac:dyDescent="0.25">
      <c r="E341" s="757">
        <f t="shared" si="10"/>
        <v>41643</v>
      </c>
      <c r="F341" s="356">
        <f t="shared" si="11"/>
        <v>0</v>
      </c>
      <c r="G341" s="356">
        <f t="shared" si="9"/>
        <v>0</v>
      </c>
      <c r="H341" s="559">
        <f t="shared" si="12"/>
        <v>0</v>
      </c>
    </row>
    <row r="342" spans="5:8" s="559" customFormat="1" hidden="1" x14ac:dyDescent="0.25">
      <c r="E342" s="757">
        <f t="shared" si="10"/>
        <v>41644</v>
      </c>
      <c r="F342" s="356">
        <f t="shared" si="11"/>
        <v>0</v>
      </c>
      <c r="G342" s="356">
        <f t="shared" si="9"/>
        <v>0</v>
      </c>
      <c r="H342" s="559">
        <f t="shared" si="12"/>
        <v>0</v>
      </c>
    </row>
    <row r="343" spans="5:8" s="559" customFormat="1" hidden="1" x14ac:dyDescent="0.25">
      <c r="E343" s="757">
        <f t="shared" si="10"/>
        <v>41645</v>
      </c>
      <c r="F343" s="356">
        <f t="shared" si="11"/>
        <v>0</v>
      </c>
      <c r="G343" s="356">
        <f t="shared" si="9"/>
        <v>0</v>
      </c>
      <c r="H343" s="559">
        <f t="shared" si="12"/>
        <v>0</v>
      </c>
    </row>
    <row r="344" spans="5:8" s="559" customFormat="1" hidden="1" x14ac:dyDescent="0.25">
      <c r="E344" s="757">
        <f t="shared" si="10"/>
        <v>41646</v>
      </c>
      <c r="F344" s="356">
        <f t="shared" si="11"/>
        <v>0</v>
      </c>
      <c r="G344" s="356">
        <f t="shared" si="9"/>
        <v>0</v>
      </c>
      <c r="H344" s="559">
        <f t="shared" si="12"/>
        <v>0</v>
      </c>
    </row>
    <row r="345" spans="5:8" s="559" customFormat="1" hidden="1" x14ac:dyDescent="0.25">
      <c r="E345" s="757">
        <f t="shared" si="10"/>
        <v>41647</v>
      </c>
      <c r="F345" s="356">
        <f t="shared" si="11"/>
        <v>0</v>
      </c>
      <c r="G345" s="356">
        <f t="shared" si="9"/>
        <v>0</v>
      </c>
      <c r="H345" s="559">
        <f t="shared" si="12"/>
        <v>0</v>
      </c>
    </row>
    <row r="346" spans="5:8" s="559" customFormat="1" hidden="1" x14ac:dyDescent="0.25">
      <c r="E346" s="757">
        <f t="shared" si="10"/>
        <v>41648</v>
      </c>
      <c r="F346" s="356">
        <f t="shared" si="11"/>
        <v>0</v>
      </c>
      <c r="G346" s="356">
        <f t="shared" si="9"/>
        <v>0</v>
      </c>
      <c r="H346" s="559">
        <f t="shared" si="12"/>
        <v>0</v>
      </c>
    </row>
    <row r="347" spans="5:8" s="559" customFormat="1" hidden="1" x14ac:dyDescent="0.25">
      <c r="E347" s="757">
        <f t="shared" si="10"/>
        <v>41649</v>
      </c>
      <c r="F347" s="356">
        <f t="shared" si="11"/>
        <v>0</v>
      </c>
      <c r="G347" s="356">
        <f t="shared" ref="G347:G410" si="13">ROUND(F347,-2)</f>
        <v>0</v>
      </c>
      <c r="H347" s="559">
        <f t="shared" si="12"/>
        <v>0</v>
      </c>
    </row>
    <row r="348" spans="5:8" s="559" customFormat="1" hidden="1" x14ac:dyDescent="0.25">
      <c r="E348" s="757">
        <f t="shared" ref="E348:E411" si="14">IF(E347&lt;$C$156,E347+1,$C$156)</f>
        <v>41650</v>
      </c>
      <c r="F348" s="356">
        <f t="shared" ref="F348:F411" si="15">IF(E347&lt;$C$156,F347+C$158,F347)</f>
        <v>0</v>
      </c>
      <c r="G348" s="356">
        <f t="shared" si="13"/>
        <v>0</v>
      </c>
      <c r="H348" s="559">
        <f t="shared" ref="H348:H411" si="16">IF(F348&gt;F347,(VLOOKUP(G348,$K$154:$O$160,MATCH($C$159,$K$154:$O$154,0),0)),0)</f>
        <v>0</v>
      </c>
    </row>
    <row r="349" spans="5:8" s="559" customFormat="1" hidden="1" x14ac:dyDescent="0.25">
      <c r="E349" s="757">
        <f t="shared" si="14"/>
        <v>41651</v>
      </c>
      <c r="F349" s="356">
        <f t="shared" si="15"/>
        <v>0</v>
      </c>
      <c r="G349" s="356">
        <f t="shared" si="13"/>
        <v>0</v>
      </c>
      <c r="H349" s="559">
        <f t="shared" si="16"/>
        <v>0</v>
      </c>
    </row>
    <row r="350" spans="5:8" s="559" customFormat="1" hidden="1" x14ac:dyDescent="0.25">
      <c r="E350" s="757">
        <f t="shared" si="14"/>
        <v>41652</v>
      </c>
      <c r="F350" s="356">
        <f t="shared" si="15"/>
        <v>0</v>
      </c>
      <c r="G350" s="356">
        <f t="shared" si="13"/>
        <v>0</v>
      </c>
      <c r="H350" s="559">
        <f t="shared" si="16"/>
        <v>0</v>
      </c>
    </row>
    <row r="351" spans="5:8" s="559" customFormat="1" hidden="1" x14ac:dyDescent="0.25">
      <c r="E351" s="757">
        <f t="shared" si="14"/>
        <v>41653</v>
      </c>
      <c r="F351" s="356">
        <f t="shared" si="15"/>
        <v>0</v>
      </c>
      <c r="G351" s="356">
        <f t="shared" si="13"/>
        <v>0</v>
      </c>
      <c r="H351" s="559">
        <f t="shared" si="16"/>
        <v>0</v>
      </c>
    </row>
    <row r="352" spans="5:8" s="559" customFormat="1" hidden="1" x14ac:dyDescent="0.25">
      <c r="E352" s="757">
        <f t="shared" si="14"/>
        <v>41654</v>
      </c>
      <c r="F352" s="356">
        <f t="shared" si="15"/>
        <v>0</v>
      </c>
      <c r="G352" s="356">
        <f t="shared" si="13"/>
        <v>0</v>
      </c>
      <c r="H352" s="559">
        <f t="shared" si="16"/>
        <v>0</v>
      </c>
    </row>
    <row r="353" spans="5:8" s="559" customFormat="1" hidden="1" x14ac:dyDescent="0.25">
      <c r="E353" s="757">
        <f t="shared" si="14"/>
        <v>41655</v>
      </c>
      <c r="F353" s="356">
        <f t="shared" si="15"/>
        <v>0</v>
      </c>
      <c r="G353" s="356">
        <f t="shared" si="13"/>
        <v>0</v>
      </c>
      <c r="H353" s="559">
        <f t="shared" si="16"/>
        <v>0</v>
      </c>
    </row>
    <row r="354" spans="5:8" s="559" customFormat="1" hidden="1" x14ac:dyDescent="0.25">
      <c r="E354" s="757">
        <f t="shared" si="14"/>
        <v>41656</v>
      </c>
      <c r="F354" s="356">
        <f t="shared" si="15"/>
        <v>0</v>
      </c>
      <c r="G354" s="356">
        <f t="shared" si="13"/>
        <v>0</v>
      </c>
      <c r="H354" s="559">
        <f t="shared" si="16"/>
        <v>0</v>
      </c>
    </row>
    <row r="355" spans="5:8" s="559" customFormat="1" hidden="1" x14ac:dyDescent="0.25">
      <c r="E355" s="757">
        <f t="shared" si="14"/>
        <v>41657</v>
      </c>
      <c r="F355" s="356">
        <f t="shared" si="15"/>
        <v>0</v>
      </c>
      <c r="G355" s="356">
        <f t="shared" si="13"/>
        <v>0</v>
      </c>
      <c r="H355" s="559">
        <f t="shared" si="16"/>
        <v>0</v>
      </c>
    </row>
    <row r="356" spans="5:8" s="559" customFormat="1" hidden="1" x14ac:dyDescent="0.25">
      <c r="E356" s="757">
        <f t="shared" si="14"/>
        <v>41658</v>
      </c>
      <c r="F356" s="356">
        <f t="shared" si="15"/>
        <v>0</v>
      </c>
      <c r="G356" s="356">
        <f t="shared" si="13"/>
        <v>0</v>
      </c>
      <c r="H356" s="559">
        <f t="shared" si="16"/>
        <v>0</v>
      </c>
    </row>
    <row r="357" spans="5:8" s="559" customFormat="1" hidden="1" x14ac:dyDescent="0.25">
      <c r="E357" s="757">
        <f t="shared" si="14"/>
        <v>41659</v>
      </c>
      <c r="F357" s="356">
        <f t="shared" si="15"/>
        <v>0</v>
      </c>
      <c r="G357" s="356">
        <f t="shared" si="13"/>
        <v>0</v>
      </c>
      <c r="H357" s="559">
        <f t="shared" si="16"/>
        <v>0</v>
      </c>
    </row>
    <row r="358" spans="5:8" s="559" customFormat="1" hidden="1" x14ac:dyDescent="0.25">
      <c r="E358" s="757">
        <f t="shared" si="14"/>
        <v>41660</v>
      </c>
      <c r="F358" s="356">
        <f t="shared" si="15"/>
        <v>0</v>
      </c>
      <c r="G358" s="356">
        <f t="shared" si="13"/>
        <v>0</v>
      </c>
      <c r="H358" s="559">
        <f t="shared" si="16"/>
        <v>0</v>
      </c>
    </row>
    <row r="359" spans="5:8" s="559" customFormat="1" hidden="1" x14ac:dyDescent="0.25">
      <c r="E359" s="757">
        <f t="shared" si="14"/>
        <v>41661</v>
      </c>
      <c r="F359" s="356">
        <f t="shared" si="15"/>
        <v>0</v>
      </c>
      <c r="G359" s="356">
        <f t="shared" si="13"/>
        <v>0</v>
      </c>
      <c r="H359" s="559">
        <f t="shared" si="16"/>
        <v>0</v>
      </c>
    </row>
    <row r="360" spans="5:8" s="559" customFormat="1" hidden="1" x14ac:dyDescent="0.25">
      <c r="E360" s="757">
        <f t="shared" si="14"/>
        <v>41662</v>
      </c>
      <c r="F360" s="356">
        <f t="shared" si="15"/>
        <v>0</v>
      </c>
      <c r="G360" s="356">
        <f t="shared" si="13"/>
        <v>0</v>
      </c>
      <c r="H360" s="559">
        <f t="shared" si="16"/>
        <v>0</v>
      </c>
    </row>
    <row r="361" spans="5:8" s="559" customFormat="1" hidden="1" x14ac:dyDescent="0.25">
      <c r="E361" s="757">
        <f t="shared" si="14"/>
        <v>41663</v>
      </c>
      <c r="F361" s="356">
        <f t="shared" si="15"/>
        <v>0</v>
      </c>
      <c r="G361" s="356">
        <f t="shared" si="13"/>
        <v>0</v>
      </c>
      <c r="H361" s="559">
        <f t="shared" si="16"/>
        <v>0</v>
      </c>
    </row>
    <row r="362" spans="5:8" s="559" customFormat="1" hidden="1" x14ac:dyDescent="0.25">
      <c r="E362" s="757">
        <f t="shared" si="14"/>
        <v>41664</v>
      </c>
      <c r="F362" s="356">
        <f t="shared" si="15"/>
        <v>0</v>
      </c>
      <c r="G362" s="356">
        <f t="shared" si="13"/>
        <v>0</v>
      </c>
      <c r="H362" s="559">
        <f t="shared" si="16"/>
        <v>0</v>
      </c>
    </row>
    <row r="363" spans="5:8" s="559" customFormat="1" hidden="1" x14ac:dyDescent="0.25">
      <c r="E363" s="757">
        <f t="shared" si="14"/>
        <v>41665</v>
      </c>
      <c r="F363" s="356">
        <f t="shared" si="15"/>
        <v>0</v>
      </c>
      <c r="G363" s="356">
        <f t="shared" si="13"/>
        <v>0</v>
      </c>
      <c r="H363" s="559">
        <f t="shared" si="16"/>
        <v>0</v>
      </c>
    </row>
    <row r="364" spans="5:8" s="559" customFormat="1" hidden="1" x14ac:dyDescent="0.25">
      <c r="E364" s="757">
        <f t="shared" si="14"/>
        <v>41666</v>
      </c>
      <c r="F364" s="356">
        <f t="shared" si="15"/>
        <v>0</v>
      </c>
      <c r="G364" s="356">
        <f t="shared" si="13"/>
        <v>0</v>
      </c>
      <c r="H364" s="559">
        <f t="shared" si="16"/>
        <v>0</v>
      </c>
    </row>
    <row r="365" spans="5:8" s="559" customFormat="1" hidden="1" x14ac:dyDescent="0.25">
      <c r="E365" s="757">
        <f t="shared" si="14"/>
        <v>41667</v>
      </c>
      <c r="F365" s="356">
        <f t="shared" si="15"/>
        <v>0</v>
      </c>
      <c r="G365" s="356">
        <f t="shared" si="13"/>
        <v>0</v>
      </c>
      <c r="H365" s="559">
        <f t="shared" si="16"/>
        <v>0</v>
      </c>
    </row>
    <row r="366" spans="5:8" s="559" customFormat="1" hidden="1" x14ac:dyDescent="0.25">
      <c r="E366" s="757">
        <f t="shared" si="14"/>
        <v>41668</v>
      </c>
      <c r="F366" s="356">
        <f t="shared" si="15"/>
        <v>0</v>
      </c>
      <c r="G366" s="356">
        <f t="shared" si="13"/>
        <v>0</v>
      </c>
      <c r="H366" s="559">
        <f t="shared" si="16"/>
        <v>0</v>
      </c>
    </row>
    <row r="367" spans="5:8" s="559" customFormat="1" hidden="1" x14ac:dyDescent="0.25">
      <c r="E367" s="757">
        <f t="shared" si="14"/>
        <v>41669</v>
      </c>
      <c r="F367" s="356">
        <f t="shared" si="15"/>
        <v>0</v>
      </c>
      <c r="G367" s="356">
        <f t="shared" si="13"/>
        <v>0</v>
      </c>
      <c r="H367" s="559">
        <f t="shared" si="16"/>
        <v>0</v>
      </c>
    </row>
    <row r="368" spans="5:8" s="559" customFormat="1" hidden="1" x14ac:dyDescent="0.25">
      <c r="E368" s="757">
        <f t="shared" si="14"/>
        <v>41670</v>
      </c>
      <c r="F368" s="356">
        <f t="shared" si="15"/>
        <v>0</v>
      </c>
      <c r="G368" s="356">
        <f t="shared" si="13"/>
        <v>0</v>
      </c>
      <c r="H368" s="559">
        <f t="shared" si="16"/>
        <v>0</v>
      </c>
    </row>
    <row r="369" spans="5:8" s="559" customFormat="1" hidden="1" x14ac:dyDescent="0.25">
      <c r="E369" s="757">
        <f t="shared" si="14"/>
        <v>41671</v>
      </c>
      <c r="F369" s="356">
        <f t="shared" si="15"/>
        <v>0</v>
      </c>
      <c r="G369" s="356">
        <f t="shared" si="13"/>
        <v>0</v>
      </c>
      <c r="H369" s="559">
        <f t="shared" si="16"/>
        <v>0</v>
      </c>
    </row>
    <row r="370" spans="5:8" s="559" customFormat="1" hidden="1" x14ac:dyDescent="0.25">
      <c r="E370" s="757">
        <f t="shared" si="14"/>
        <v>41672</v>
      </c>
      <c r="F370" s="356">
        <f t="shared" si="15"/>
        <v>0</v>
      </c>
      <c r="G370" s="356">
        <f t="shared" si="13"/>
        <v>0</v>
      </c>
      <c r="H370" s="559">
        <f t="shared" si="16"/>
        <v>0</v>
      </c>
    </row>
    <row r="371" spans="5:8" s="559" customFormat="1" hidden="1" x14ac:dyDescent="0.25">
      <c r="E371" s="757">
        <f t="shared" si="14"/>
        <v>41673</v>
      </c>
      <c r="F371" s="356">
        <f t="shared" si="15"/>
        <v>0</v>
      </c>
      <c r="G371" s="356">
        <f t="shared" si="13"/>
        <v>0</v>
      </c>
      <c r="H371" s="559">
        <f t="shared" si="16"/>
        <v>0</v>
      </c>
    </row>
    <row r="372" spans="5:8" s="559" customFormat="1" hidden="1" x14ac:dyDescent="0.25">
      <c r="E372" s="757">
        <f t="shared" si="14"/>
        <v>41674</v>
      </c>
      <c r="F372" s="356">
        <f t="shared" si="15"/>
        <v>0</v>
      </c>
      <c r="G372" s="356">
        <f t="shared" si="13"/>
        <v>0</v>
      </c>
      <c r="H372" s="559">
        <f t="shared" si="16"/>
        <v>0</v>
      </c>
    </row>
    <row r="373" spans="5:8" s="559" customFormat="1" hidden="1" x14ac:dyDescent="0.25">
      <c r="E373" s="757">
        <f t="shared" si="14"/>
        <v>41675</v>
      </c>
      <c r="F373" s="356">
        <f t="shared" si="15"/>
        <v>0</v>
      </c>
      <c r="G373" s="356">
        <f t="shared" si="13"/>
        <v>0</v>
      </c>
      <c r="H373" s="559">
        <f t="shared" si="16"/>
        <v>0</v>
      </c>
    </row>
    <row r="374" spans="5:8" s="559" customFormat="1" hidden="1" x14ac:dyDescent="0.25">
      <c r="E374" s="757">
        <f t="shared" si="14"/>
        <v>41676</v>
      </c>
      <c r="F374" s="356">
        <f t="shared" si="15"/>
        <v>0</v>
      </c>
      <c r="G374" s="356">
        <f t="shared" si="13"/>
        <v>0</v>
      </c>
      <c r="H374" s="559">
        <f t="shared" si="16"/>
        <v>0</v>
      </c>
    </row>
    <row r="375" spans="5:8" s="559" customFormat="1" hidden="1" x14ac:dyDescent="0.25">
      <c r="E375" s="757">
        <f t="shared" si="14"/>
        <v>41677</v>
      </c>
      <c r="F375" s="356">
        <f t="shared" si="15"/>
        <v>0</v>
      </c>
      <c r="G375" s="356">
        <f t="shared" si="13"/>
        <v>0</v>
      </c>
      <c r="H375" s="559">
        <f t="shared" si="16"/>
        <v>0</v>
      </c>
    </row>
    <row r="376" spans="5:8" s="559" customFormat="1" hidden="1" x14ac:dyDescent="0.25">
      <c r="E376" s="757">
        <f t="shared" si="14"/>
        <v>41678</v>
      </c>
      <c r="F376" s="356">
        <f t="shared" si="15"/>
        <v>0</v>
      </c>
      <c r="G376" s="356">
        <f t="shared" si="13"/>
        <v>0</v>
      </c>
      <c r="H376" s="559">
        <f t="shared" si="16"/>
        <v>0</v>
      </c>
    </row>
    <row r="377" spans="5:8" s="559" customFormat="1" hidden="1" x14ac:dyDescent="0.25">
      <c r="E377" s="757">
        <f t="shared" si="14"/>
        <v>41679</v>
      </c>
      <c r="F377" s="356">
        <f t="shared" si="15"/>
        <v>0</v>
      </c>
      <c r="G377" s="356">
        <f t="shared" si="13"/>
        <v>0</v>
      </c>
      <c r="H377" s="559">
        <f t="shared" si="16"/>
        <v>0</v>
      </c>
    </row>
    <row r="378" spans="5:8" s="559" customFormat="1" hidden="1" x14ac:dyDescent="0.25">
      <c r="E378" s="757">
        <f t="shared" si="14"/>
        <v>41680</v>
      </c>
      <c r="F378" s="356">
        <f t="shared" si="15"/>
        <v>0</v>
      </c>
      <c r="G378" s="356">
        <f t="shared" si="13"/>
        <v>0</v>
      </c>
      <c r="H378" s="559">
        <f t="shared" si="16"/>
        <v>0</v>
      </c>
    </row>
    <row r="379" spans="5:8" s="559" customFormat="1" hidden="1" x14ac:dyDescent="0.25">
      <c r="E379" s="757">
        <f t="shared" si="14"/>
        <v>41681</v>
      </c>
      <c r="F379" s="356">
        <f t="shared" si="15"/>
        <v>0</v>
      </c>
      <c r="G379" s="356">
        <f t="shared" si="13"/>
        <v>0</v>
      </c>
      <c r="H379" s="559">
        <f t="shared" si="16"/>
        <v>0</v>
      </c>
    </row>
    <row r="380" spans="5:8" s="559" customFormat="1" hidden="1" x14ac:dyDescent="0.25">
      <c r="E380" s="757">
        <f t="shared" si="14"/>
        <v>41682</v>
      </c>
      <c r="F380" s="356">
        <f t="shared" si="15"/>
        <v>0</v>
      </c>
      <c r="G380" s="356">
        <f t="shared" si="13"/>
        <v>0</v>
      </c>
      <c r="H380" s="559">
        <f t="shared" si="16"/>
        <v>0</v>
      </c>
    </row>
    <row r="381" spans="5:8" s="559" customFormat="1" hidden="1" x14ac:dyDescent="0.25">
      <c r="E381" s="757">
        <f t="shared" si="14"/>
        <v>41683</v>
      </c>
      <c r="F381" s="356">
        <f t="shared" si="15"/>
        <v>0</v>
      </c>
      <c r="G381" s="356">
        <f t="shared" si="13"/>
        <v>0</v>
      </c>
      <c r="H381" s="559">
        <f t="shared" si="16"/>
        <v>0</v>
      </c>
    </row>
    <row r="382" spans="5:8" s="559" customFormat="1" hidden="1" x14ac:dyDescent="0.25">
      <c r="E382" s="757">
        <f t="shared" si="14"/>
        <v>41684</v>
      </c>
      <c r="F382" s="356">
        <f t="shared" si="15"/>
        <v>0</v>
      </c>
      <c r="G382" s="356">
        <f t="shared" si="13"/>
        <v>0</v>
      </c>
      <c r="H382" s="559">
        <f t="shared" si="16"/>
        <v>0</v>
      </c>
    </row>
    <row r="383" spans="5:8" s="559" customFormat="1" hidden="1" x14ac:dyDescent="0.25">
      <c r="E383" s="757">
        <f t="shared" si="14"/>
        <v>41685</v>
      </c>
      <c r="F383" s="356">
        <f t="shared" si="15"/>
        <v>0</v>
      </c>
      <c r="G383" s="356">
        <f t="shared" si="13"/>
        <v>0</v>
      </c>
      <c r="H383" s="559">
        <f t="shared" si="16"/>
        <v>0</v>
      </c>
    </row>
    <row r="384" spans="5:8" s="559" customFormat="1" hidden="1" x14ac:dyDescent="0.25">
      <c r="E384" s="757">
        <f t="shared" si="14"/>
        <v>41686</v>
      </c>
      <c r="F384" s="356">
        <f t="shared" si="15"/>
        <v>0</v>
      </c>
      <c r="G384" s="356">
        <f t="shared" si="13"/>
        <v>0</v>
      </c>
      <c r="H384" s="559">
        <f t="shared" si="16"/>
        <v>0</v>
      </c>
    </row>
    <row r="385" spans="5:8" s="559" customFormat="1" hidden="1" x14ac:dyDescent="0.25">
      <c r="E385" s="757">
        <f t="shared" si="14"/>
        <v>41687</v>
      </c>
      <c r="F385" s="356">
        <f t="shared" si="15"/>
        <v>0</v>
      </c>
      <c r="G385" s="356">
        <f t="shared" si="13"/>
        <v>0</v>
      </c>
      <c r="H385" s="559">
        <f t="shared" si="16"/>
        <v>0</v>
      </c>
    </row>
    <row r="386" spans="5:8" s="559" customFormat="1" hidden="1" x14ac:dyDescent="0.25">
      <c r="E386" s="757">
        <f t="shared" si="14"/>
        <v>41688</v>
      </c>
      <c r="F386" s="356">
        <f t="shared" si="15"/>
        <v>0</v>
      </c>
      <c r="G386" s="356">
        <f t="shared" si="13"/>
        <v>0</v>
      </c>
      <c r="H386" s="559">
        <f t="shared" si="16"/>
        <v>0</v>
      </c>
    </row>
    <row r="387" spans="5:8" s="559" customFormat="1" hidden="1" x14ac:dyDescent="0.25">
      <c r="E387" s="757">
        <f t="shared" si="14"/>
        <v>41689</v>
      </c>
      <c r="F387" s="356">
        <f t="shared" si="15"/>
        <v>0</v>
      </c>
      <c r="G387" s="356">
        <f t="shared" si="13"/>
        <v>0</v>
      </c>
      <c r="H387" s="559">
        <f t="shared" si="16"/>
        <v>0</v>
      </c>
    </row>
    <row r="388" spans="5:8" s="559" customFormat="1" hidden="1" x14ac:dyDescent="0.25">
      <c r="E388" s="757">
        <f t="shared" si="14"/>
        <v>41690</v>
      </c>
      <c r="F388" s="356">
        <f t="shared" si="15"/>
        <v>0</v>
      </c>
      <c r="G388" s="356">
        <f t="shared" si="13"/>
        <v>0</v>
      </c>
      <c r="H388" s="559">
        <f t="shared" si="16"/>
        <v>0</v>
      </c>
    </row>
    <row r="389" spans="5:8" s="559" customFormat="1" hidden="1" x14ac:dyDescent="0.25">
      <c r="E389" s="757">
        <f t="shared" si="14"/>
        <v>41691</v>
      </c>
      <c r="F389" s="356">
        <f t="shared" si="15"/>
        <v>0</v>
      </c>
      <c r="G389" s="356">
        <f t="shared" si="13"/>
        <v>0</v>
      </c>
      <c r="H389" s="559">
        <f t="shared" si="16"/>
        <v>0</v>
      </c>
    </row>
    <row r="390" spans="5:8" s="559" customFormat="1" hidden="1" x14ac:dyDescent="0.25">
      <c r="E390" s="757">
        <f t="shared" si="14"/>
        <v>41692</v>
      </c>
      <c r="F390" s="356">
        <f t="shared" si="15"/>
        <v>0</v>
      </c>
      <c r="G390" s="356">
        <f t="shared" si="13"/>
        <v>0</v>
      </c>
      <c r="H390" s="559">
        <f t="shared" si="16"/>
        <v>0</v>
      </c>
    </row>
    <row r="391" spans="5:8" s="559" customFormat="1" hidden="1" x14ac:dyDescent="0.25">
      <c r="E391" s="757">
        <f t="shared" si="14"/>
        <v>41693</v>
      </c>
      <c r="F391" s="356">
        <f t="shared" si="15"/>
        <v>0</v>
      </c>
      <c r="G391" s="356">
        <f t="shared" si="13"/>
        <v>0</v>
      </c>
      <c r="H391" s="559">
        <f t="shared" si="16"/>
        <v>0</v>
      </c>
    </row>
    <row r="392" spans="5:8" s="559" customFormat="1" hidden="1" x14ac:dyDescent="0.25">
      <c r="E392" s="757">
        <f t="shared" si="14"/>
        <v>41694</v>
      </c>
      <c r="F392" s="356">
        <f t="shared" si="15"/>
        <v>0</v>
      </c>
      <c r="G392" s="356">
        <f t="shared" si="13"/>
        <v>0</v>
      </c>
      <c r="H392" s="559">
        <f t="shared" si="16"/>
        <v>0</v>
      </c>
    </row>
    <row r="393" spans="5:8" s="559" customFormat="1" hidden="1" x14ac:dyDescent="0.25">
      <c r="E393" s="757">
        <f t="shared" si="14"/>
        <v>41695</v>
      </c>
      <c r="F393" s="356">
        <f t="shared" si="15"/>
        <v>0</v>
      </c>
      <c r="G393" s="356">
        <f t="shared" si="13"/>
        <v>0</v>
      </c>
      <c r="H393" s="559">
        <f t="shared" si="16"/>
        <v>0</v>
      </c>
    </row>
    <row r="394" spans="5:8" s="559" customFormat="1" hidden="1" x14ac:dyDescent="0.25">
      <c r="E394" s="757">
        <f t="shared" si="14"/>
        <v>41696</v>
      </c>
      <c r="F394" s="356">
        <f t="shared" si="15"/>
        <v>0</v>
      </c>
      <c r="G394" s="356">
        <f t="shared" si="13"/>
        <v>0</v>
      </c>
      <c r="H394" s="559">
        <f t="shared" si="16"/>
        <v>0</v>
      </c>
    </row>
    <row r="395" spans="5:8" s="559" customFormat="1" hidden="1" x14ac:dyDescent="0.25">
      <c r="E395" s="757">
        <f t="shared" si="14"/>
        <v>41697</v>
      </c>
      <c r="F395" s="356">
        <f t="shared" si="15"/>
        <v>0</v>
      </c>
      <c r="G395" s="356">
        <f t="shared" si="13"/>
        <v>0</v>
      </c>
      <c r="H395" s="559">
        <f t="shared" si="16"/>
        <v>0</v>
      </c>
    </row>
    <row r="396" spans="5:8" s="559" customFormat="1" hidden="1" x14ac:dyDescent="0.25">
      <c r="E396" s="757">
        <f t="shared" si="14"/>
        <v>41698</v>
      </c>
      <c r="F396" s="356">
        <f t="shared" si="15"/>
        <v>0</v>
      </c>
      <c r="G396" s="356">
        <f t="shared" si="13"/>
        <v>0</v>
      </c>
      <c r="H396" s="559">
        <f t="shared" si="16"/>
        <v>0</v>
      </c>
    </row>
    <row r="397" spans="5:8" s="559" customFormat="1" hidden="1" x14ac:dyDescent="0.25">
      <c r="E397" s="757">
        <f t="shared" si="14"/>
        <v>41699</v>
      </c>
      <c r="F397" s="356">
        <f t="shared" si="15"/>
        <v>0</v>
      </c>
      <c r="G397" s="356">
        <f t="shared" si="13"/>
        <v>0</v>
      </c>
      <c r="H397" s="559">
        <f t="shared" si="16"/>
        <v>0</v>
      </c>
    </row>
    <row r="398" spans="5:8" s="559" customFormat="1" hidden="1" x14ac:dyDescent="0.25">
      <c r="E398" s="757">
        <f t="shared" si="14"/>
        <v>41700</v>
      </c>
      <c r="F398" s="356">
        <f t="shared" si="15"/>
        <v>0</v>
      </c>
      <c r="G398" s="356">
        <f t="shared" si="13"/>
        <v>0</v>
      </c>
      <c r="H398" s="559">
        <f t="shared" si="16"/>
        <v>0</v>
      </c>
    </row>
    <row r="399" spans="5:8" s="559" customFormat="1" hidden="1" x14ac:dyDescent="0.25">
      <c r="E399" s="757">
        <f t="shared" si="14"/>
        <v>41701</v>
      </c>
      <c r="F399" s="356">
        <f t="shared" si="15"/>
        <v>0</v>
      </c>
      <c r="G399" s="356">
        <f t="shared" si="13"/>
        <v>0</v>
      </c>
      <c r="H399" s="559">
        <f t="shared" si="16"/>
        <v>0</v>
      </c>
    </row>
    <row r="400" spans="5:8" s="559" customFormat="1" hidden="1" x14ac:dyDescent="0.25">
      <c r="E400" s="757">
        <f t="shared" si="14"/>
        <v>41702</v>
      </c>
      <c r="F400" s="356">
        <f t="shared" si="15"/>
        <v>0</v>
      </c>
      <c r="G400" s="356">
        <f t="shared" si="13"/>
        <v>0</v>
      </c>
      <c r="H400" s="559">
        <f t="shared" si="16"/>
        <v>0</v>
      </c>
    </row>
    <row r="401" spans="5:8" s="559" customFormat="1" hidden="1" x14ac:dyDescent="0.25">
      <c r="E401" s="757">
        <f t="shared" si="14"/>
        <v>41703</v>
      </c>
      <c r="F401" s="356">
        <f t="shared" si="15"/>
        <v>0</v>
      </c>
      <c r="G401" s="356">
        <f t="shared" si="13"/>
        <v>0</v>
      </c>
      <c r="H401" s="559">
        <f t="shared" si="16"/>
        <v>0</v>
      </c>
    </row>
    <row r="402" spans="5:8" s="559" customFormat="1" hidden="1" x14ac:dyDescent="0.25">
      <c r="E402" s="757">
        <f t="shared" si="14"/>
        <v>41704</v>
      </c>
      <c r="F402" s="356">
        <f t="shared" si="15"/>
        <v>0</v>
      </c>
      <c r="G402" s="356">
        <f t="shared" si="13"/>
        <v>0</v>
      </c>
      <c r="H402" s="559">
        <f t="shared" si="16"/>
        <v>0</v>
      </c>
    </row>
    <row r="403" spans="5:8" s="559" customFormat="1" hidden="1" x14ac:dyDescent="0.25">
      <c r="E403" s="757">
        <f t="shared" si="14"/>
        <v>41705</v>
      </c>
      <c r="F403" s="356">
        <f t="shared" si="15"/>
        <v>0</v>
      </c>
      <c r="G403" s="356">
        <f t="shared" si="13"/>
        <v>0</v>
      </c>
      <c r="H403" s="559">
        <f t="shared" si="16"/>
        <v>0</v>
      </c>
    </row>
    <row r="404" spans="5:8" s="559" customFormat="1" hidden="1" x14ac:dyDescent="0.25">
      <c r="E404" s="757">
        <f t="shared" si="14"/>
        <v>41706</v>
      </c>
      <c r="F404" s="356">
        <f t="shared" si="15"/>
        <v>0</v>
      </c>
      <c r="G404" s="356">
        <f t="shared" si="13"/>
        <v>0</v>
      </c>
      <c r="H404" s="559">
        <f t="shared" si="16"/>
        <v>0</v>
      </c>
    </row>
    <row r="405" spans="5:8" s="559" customFormat="1" hidden="1" x14ac:dyDescent="0.25">
      <c r="E405" s="757">
        <f t="shared" si="14"/>
        <v>41707</v>
      </c>
      <c r="F405" s="356">
        <f t="shared" si="15"/>
        <v>0</v>
      </c>
      <c r="G405" s="356">
        <f t="shared" si="13"/>
        <v>0</v>
      </c>
      <c r="H405" s="559">
        <f t="shared" si="16"/>
        <v>0</v>
      </c>
    </row>
    <row r="406" spans="5:8" s="559" customFormat="1" hidden="1" x14ac:dyDescent="0.25">
      <c r="E406" s="757">
        <f t="shared" si="14"/>
        <v>41708</v>
      </c>
      <c r="F406" s="356">
        <f t="shared" si="15"/>
        <v>0</v>
      </c>
      <c r="G406" s="356">
        <f t="shared" si="13"/>
        <v>0</v>
      </c>
      <c r="H406" s="559">
        <f t="shared" si="16"/>
        <v>0</v>
      </c>
    </row>
    <row r="407" spans="5:8" s="559" customFormat="1" hidden="1" x14ac:dyDescent="0.25">
      <c r="E407" s="757">
        <f t="shared" si="14"/>
        <v>41709</v>
      </c>
      <c r="F407" s="356">
        <f t="shared" si="15"/>
        <v>0</v>
      </c>
      <c r="G407" s="356">
        <f t="shared" si="13"/>
        <v>0</v>
      </c>
      <c r="H407" s="559">
        <f t="shared" si="16"/>
        <v>0</v>
      </c>
    </row>
    <row r="408" spans="5:8" s="559" customFormat="1" hidden="1" x14ac:dyDescent="0.25">
      <c r="E408" s="757">
        <f t="shared" si="14"/>
        <v>41710</v>
      </c>
      <c r="F408" s="356">
        <f t="shared" si="15"/>
        <v>0</v>
      </c>
      <c r="G408" s="356">
        <f t="shared" si="13"/>
        <v>0</v>
      </c>
      <c r="H408" s="559">
        <f t="shared" si="16"/>
        <v>0</v>
      </c>
    </row>
    <row r="409" spans="5:8" s="559" customFormat="1" hidden="1" x14ac:dyDescent="0.25">
      <c r="E409" s="757">
        <f t="shared" si="14"/>
        <v>41711</v>
      </c>
      <c r="F409" s="356">
        <f t="shared" si="15"/>
        <v>0</v>
      </c>
      <c r="G409" s="356">
        <f t="shared" si="13"/>
        <v>0</v>
      </c>
      <c r="H409" s="559">
        <f t="shared" si="16"/>
        <v>0</v>
      </c>
    </row>
    <row r="410" spans="5:8" s="559" customFormat="1" hidden="1" x14ac:dyDescent="0.25">
      <c r="E410" s="757">
        <f t="shared" si="14"/>
        <v>41712</v>
      </c>
      <c r="F410" s="356">
        <f t="shared" si="15"/>
        <v>0</v>
      </c>
      <c r="G410" s="356">
        <f t="shared" si="13"/>
        <v>0</v>
      </c>
      <c r="H410" s="559">
        <f t="shared" si="16"/>
        <v>0</v>
      </c>
    </row>
    <row r="411" spans="5:8" s="559" customFormat="1" hidden="1" x14ac:dyDescent="0.25">
      <c r="E411" s="757">
        <f t="shared" si="14"/>
        <v>41713</v>
      </c>
      <c r="F411" s="356">
        <f t="shared" si="15"/>
        <v>0</v>
      </c>
      <c r="G411" s="356">
        <f t="shared" ref="G411:G474" si="17">ROUND(F411,-2)</f>
        <v>0</v>
      </c>
      <c r="H411" s="559">
        <f t="shared" si="16"/>
        <v>0</v>
      </c>
    </row>
    <row r="412" spans="5:8" s="559" customFormat="1" hidden="1" x14ac:dyDescent="0.25">
      <c r="E412" s="757">
        <f t="shared" ref="E412:E475" si="18">IF(E411&lt;$C$156,E411+1,$C$156)</f>
        <v>41714</v>
      </c>
      <c r="F412" s="356">
        <f t="shared" ref="F412:F475" si="19">IF(E411&lt;$C$156,F411+C$158,F411)</f>
        <v>0</v>
      </c>
      <c r="G412" s="356">
        <f t="shared" si="17"/>
        <v>0</v>
      </c>
      <c r="H412" s="559">
        <f t="shared" ref="H412:H475" si="20">IF(F412&gt;F411,(VLOOKUP(G412,$K$154:$O$160,MATCH($C$159,$K$154:$O$154,0),0)),0)</f>
        <v>0</v>
      </c>
    </row>
    <row r="413" spans="5:8" s="559" customFormat="1" hidden="1" x14ac:dyDescent="0.25">
      <c r="E413" s="757">
        <f t="shared" si="18"/>
        <v>41715</v>
      </c>
      <c r="F413" s="356">
        <f t="shared" si="19"/>
        <v>0</v>
      </c>
      <c r="G413" s="356">
        <f t="shared" si="17"/>
        <v>0</v>
      </c>
      <c r="H413" s="559">
        <f t="shared" si="20"/>
        <v>0</v>
      </c>
    </row>
    <row r="414" spans="5:8" s="559" customFormat="1" hidden="1" x14ac:dyDescent="0.25">
      <c r="E414" s="757">
        <f t="shared" si="18"/>
        <v>41716</v>
      </c>
      <c r="F414" s="356">
        <f t="shared" si="19"/>
        <v>0</v>
      </c>
      <c r="G414" s="356">
        <f t="shared" si="17"/>
        <v>0</v>
      </c>
      <c r="H414" s="559">
        <f t="shared" si="20"/>
        <v>0</v>
      </c>
    </row>
    <row r="415" spans="5:8" s="559" customFormat="1" hidden="1" x14ac:dyDescent="0.25">
      <c r="E415" s="757">
        <f t="shared" si="18"/>
        <v>41717</v>
      </c>
      <c r="F415" s="356">
        <f t="shared" si="19"/>
        <v>0</v>
      </c>
      <c r="G415" s="356">
        <f t="shared" si="17"/>
        <v>0</v>
      </c>
      <c r="H415" s="559">
        <f t="shared" si="20"/>
        <v>0</v>
      </c>
    </row>
    <row r="416" spans="5:8" s="559" customFormat="1" hidden="1" x14ac:dyDescent="0.25">
      <c r="E416" s="757">
        <f t="shared" si="18"/>
        <v>41718</v>
      </c>
      <c r="F416" s="356">
        <f t="shared" si="19"/>
        <v>0</v>
      </c>
      <c r="G416" s="356">
        <f t="shared" si="17"/>
        <v>0</v>
      </c>
      <c r="H416" s="559">
        <f t="shared" si="20"/>
        <v>0</v>
      </c>
    </row>
    <row r="417" spans="5:8" s="559" customFormat="1" hidden="1" x14ac:dyDescent="0.25">
      <c r="E417" s="757">
        <f t="shared" si="18"/>
        <v>41719</v>
      </c>
      <c r="F417" s="356">
        <f t="shared" si="19"/>
        <v>0</v>
      </c>
      <c r="G417" s="356">
        <f t="shared" si="17"/>
        <v>0</v>
      </c>
      <c r="H417" s="559">
        <f t="shared" si="20"/>
        <v>0</v>
      </c>
    </row>
    <row r="418" spans="5:8" s="559" customFormat="1" hidden="1" x14ac:dyDescent="0.25">
      <c r="E418" s="757">
        <f t="shared" si="18"/>
        <v>41720</v>
      </c>
      <c r="F418" s="356">
        <f t="shared" si="19"/>
        <v>0</v>
      </c>
      <c r="G418" s="356">
        <f t="shared" si="17"/>
        <v>0</v>
      </c>
      <c r="H418" s="559">
        <f t="shared" si="20"/>
        <v>0</v>
      </c>
    </row>
    <row r="419" spans="5:8" s="559" customFormat="1" hidden="1" x14ac:dyDescent="0.25">
      <c r="E419" s="757">
        <f t="shared" si="18"/>
        <v>41721</v>
      </c>
      <c r="F419" s="356">
        <f t="shared" si="19"/>
        <v>0</v>
      </c>
      <c r="G419" s="356">
        <f t="shared" si="17"/>
        <v>0</v>
      </c>
      <c r="H419" s="559">
        <f t="shared" si="20"/>
        <v>0</v>
      </c>
    </row>
    <row r="420" spans="5:8" s="559" customFormat="1" hidden="1" x14ac:dyDescent="0.25">
      <c r="E420" s="757">
        <f t="shared" si="18"/>
        <v>41722</v>
      </c>
      <c r="F420" s="356">
        <f t="shared" si="19"/>
        <v>0</v>
      </c>
      <c r="G420" s="356">
        <f t="shared" si="17"/>
        <v>0</v>
      </c>
      <c r="H420" s="559">
        <f t="shared" si="20"/>
        <v>0</v>
      </c>
    </row>
    <row r="421" spans="5:8" s="559" customFormat="1" hidden="1" x14ac:dyDescent="0.25">
      <c r="E421" s="757">
        <f t="shared" si="18"/>
        <v>41723</v>
      </c>
      <c r="F421" s="356">
        <f t="shared" si="19"/>
        <v>0</v>
      </c>
      <c r="G421" s="356">
        <f t="shared" si="17"/>
        <v>0</v>
      </c>
      <c r="H421" s="559">
        <f t="shared" si="20"/>
        <v>0</v>
      </c>
    </row>
    <row r="422" spans="5:8" s="559" customFormat="1" hidden="1" x14ac:dyDescent="0.25">
      <c r="E422" s="757">
        <f t="shared" si="18"/>
        <v>41724</v>
      </c>
      <c r="F422" s="356">
        <f t="shared" si="19"/>
        <v>0</v>
      </c>
      <c r="G422" s="356">
        <f t="shared" si="17"/>
        <v>0</v>
      </c>
      <c r="H422" s="559">
        <f t="shared" si="20"/>
        <v>0</v>
      </c>
    </row>
    <row r="423" spans="5:8" s="559" customFormat="1" hidden="1" x14ac:dyDescent="0.25">
      <c r="E423" s="757">
        <f t="shared" si="18"/>
        <v>41725</v>
      </c>
      <c r="F423" s="356">
        <f t="shared" si="19"/>
        <v>0</v>
      </c>
      <c r="G423" s="356">
        <f t="shared" si="17"/>
        <v>0</v>
      </c>
      <c r="H423" s="559">
        <f t="shared" si="20"/>
        <v>0</v>
      </c>
    </row>
    <row r="424" spans="5:8" s="559" customFormat="1" hidden="1" x14ac:dyDescent="0.25">
      <c r="E424" s="757">
        <f t="shared" si="18"/>
        <v>41726</v>
      </c>
      <c r="F424" s="356">
        <f t="shared" si="19"/>
        <v>0</v>
      </c>
      <c r="G424" s="356">
        <f t="shared" si="17"/>
        <v>0</v>
      </c>
      <c r="H424" s="559">
        <f t="shared" si="20"/>
        <v>0</v>
      </c>
    </row>
    <row r="425" spans="5:8" s="559" customFormat="1" hidden="1" x14ac:dyDescent="0.25">
      <c r="E425" s="757">
        <f t="shared" si="18"/>
        <v>41727</v>
      </c>
      <c r="F425" s="356">
        <f t="shared" si="19"/>
        <v>0</v>
      </c>
      <c r="G425" s="356">
        <f t="shared" si="17"/>
        <v>0</v>
      </c>
      <c r="H425" s="559">
        <f t="shared" si="20"/>
        <v>0</v>
      </c>
    </row>
    <row r="426" spans="5:8" s="559" customFormat="1" hidden="1" x14ac:dyDescent="0.25">
      <c r="E426" s="757">
        <f t="shared" si="18"/>
        <v>41728</v>
      </c>
      <c r="F426" s="356">
        <f t="shared" si="19"/>
        <v>0</v>
      </c>
      <c r="G426" s="356">
        <f t="shared" si="17"/>
        <v>0</v>
      </c>
      <c r="H426" s="559">
        <f t="shared" si="20"/>
        <v>0</v>
      </c>
    </row>
    <row r="427" spans="5:8" s="559" customFormat="1" hidden="1" x14ac:dyDescent="0.25">
      <c r="E427" s="757">
        <f t="shared" si="18"/>
        <v>41729</v>
      </c>
      <c r="F427" s="356">
        <f t="shared" si="19"/>
        <v>0</v>
      </c>
      <c r="G427" s="356">
        <f t="shared" si="17"/>
        <v>0</v>
      </c>
      <c r="H427" s="559">
        <f t="shared" si="20"/>
        <v>0</v>
      </c>
    </row>
    <row r="428" spans="5:8" s="559" customFormat="1" hidden="1" x14ac:dyDescent="0.25">
      <c r="E428" s="757">
        <f t="shared" si="18"/>
        <v>41730</v>
      </c>
      <c r="F428" s="356">
        <f t="shared" si="19"/>
        <v>0</v>
      </c>
      <c r="G428" s="356">
        <f t="shared" si="17"/>
        <v>0</v>
      </c>
      <c r="H428" s="559">
        <f t="shared" si="20"/>
        <v>0</v>
      </c>
    </row>
    <row r="429" spans="5:8" s="559" customFormat="1" hidden="1" x14ac:dyDescent="0.25">
      <c r="E429" s="757">
        <f t="shared" si="18"/>
        <v>41731</v>
      </c>
      <c r="F429" s="356">
        <f t="shared" si="19"/>
        <v>0</v>
      </c>
      <c r="G429" s="356">
        <f t="shared" si="17"/>
        <v>0</v>
      </c>
      <c r="H429" s="559">
        <f t="shared" si="20"/>
        <v>0</v>
      </c>
    </row>
    <row r="430" spans="5:8" s="559" customFormat="1" hidden="1" x14ac:dyDescent="0.25">
      <c r="E430" s="757">
        <f t="shared" si="18"/>
        <v>41732</v>
      </c>
      <c r="F430" s="356">
        <f t="shared" si="19"/>
        <v>0</v>
      </c>
      <c r="G430" s="356">
        <f t="shared" si="17"/>
        <v>0</v>
      </c>
      <c r="H430" s="559">
        <f t="shared" si="20"/>
        <v>0</v>
      </c>
    </row>
    <row r="431" spans="5:8" s="559" customFormat="1" hidden="1" x14ac:dyDescent="0.25">
      <c r="E431" s="757">
        <f t="shared" si="18"/>
        <v>41733</v>
      </c>
      <c r="F431" s="356">
        <f t="shared" si="19"/>
        <v>0</v>
      </c>
      <c r="G431" s="356">
        <f t="shared" si="17"/>
        <v>0</v>
      </c>
      <c r="H431" s="559">
        <f t="shared" si="20"/>
        <v>0</v>
      </c>
    </row>
    <row r="432" spans="5:8" s="559" customFormat="1" hidden="1" x14ac:dyDescent="0.25">
      <c r="E432" s="757">
        <f t="shared" si="18"/>
        <v>41734</v>
      </c>
      <c r="F432" s="356">
        <f t="shared" si="19"/>
        <v>0</v>
      </c>
      <c r="G432" s="356">
        <f t="shared" si="17"/>
        <v>0</v>
      </c>
      <c r="H432" s="559">
        <f t="shared" si="20"/>
        <v>0</v>
      </c>
    </row>
    <row r="433" spans="5:8" s="559" customFormat="1" hidden="1" x14ac:dyDescent="0.25">
      <c r="E433" s="757">
        <f t="shared" si="18"/>
        <v>41735</v>
      </c>
      <c r="F433" s="356">
        <f t="shared" si="19"/>
        <v>0</v>
      </c>
      <c r="G433" s="356">
        <f t="shared" si="17"/>
        <v>0</v>
      </c>
      <c r="H433" s="559">
        <f t="shared" si="20"/>
        <v>0</v>
      </c>
    </row>
    <row r="434" spans="5:8" s="559" customFormat="1" hidden="1" x14ac:dyDescent="0.25">
      <c r="E434" s="757">
        <f t="shared" si="18"/>
        <v>41736</v>
      </c>
      <c r="F434" s="356">
        <f t="shared" si="19"/>
        <v>0</v>
      </c>
      <c r="G434" s="356">
        <f t="shared" si="17"/>
        <v>0</v>
      </c>
      <c r="H434" s="559">
        <f t="shared" si="20"/>
        <v>0</v>
      </c>
    </row>
    <row r="435" spans="5:8" s="559" customFormat="1" hidden="1" x14ac:dyDescent="0.25">
      <c r="E435" s="757">
        <f t="shared" si="18"/>
        <v>41737</v>
      </c>
      <c r="F435" s="356">
        <f t="shared" si="19"/>
        <v>0</v>
      </c>
      <c r="G435" s="356">
        <f t="shared" si="17"/>
        <v>0</v>
      </c>
      <c r="H435" s="559">
        <f t="shared" si="20"/>
        <v>0</v>
      </c>
    </row>
    <row r="436" spans="5:8" s="559" customFormat="1" hidden="1" x14ac:dyDescent="0.25">
      <c r="E436" s="757">
        <f t="shared" si="18"/>
        <v>41738</v>
      </c>
      <c r="F436" s="356">
        <f t="shared" si="19"/>
        <v>0</v>
      </c>
      <c r="G436" s="356">
        <f t="shared" si="17"/>
        <v>0</v>
      </c>
      <c r="H436" s="559">
        <f t="shared" si="20"/>
        <v>0</v>
      </c>
    </row>
    <row r="437" spans="5:8" s="559" customFormat="1" hidden="1" x14ac:dyDescent="0.25">
      <c r="E437" s="757">
        <f t="shared" si="18"/>
        <v>41739</v>
      </c>
      <c r="F437" s="356">
        <f t="shared" si="19"/>
        <v>0</v>
      </c>
      <c r="G437" s="356">
        <f t="shared" si="17"/>
        <v>0</v>
      </c>
      <c r="H437" s="559">
        <f t="shared" si="20"/>
        <v>0</v>
      </c>
    </row>
    <row r="438" spans="5:8" s="559" customFormat="1" hidden="1" x14ac:dyDescent="0.25">
      <c r="E438" s="757">
        <f t="shared" si="18"/>
        <v>41740</v>
      </c>
      <c r="F438" s="356">
        <f t="shared" si="19"/>
        <v>0</v>
      </c>
      <c r="G438" s="356">
        <f t="shared" si="17"/>
        <v>0</v>
      </c>
      <c r="H438" s="559">
        <f t="shared" si="20"/>
        <v>0</v>
      </c>
    </row>
    <row r="439" spans="5:8" s="559" customFormat="1" hidden="1" x14ac:dyDescent="0.25">
      <c r="E439" s="757">
        <f t="shared" si="18"/>
        <v>41741</v>
      </c>
      <c r="F439" s="356">
        <f t="shared" si="19"/>
        <v>0</v>
      </c>
      <c r="G439" s="356">
        <f t="shared" si="17"/>
        <v>0</v>
      </c>
      <c r="H439" s="559">
        <f t="shared" si="20"/>
        <v>0</v>
      </c>
    </row>
    <row r="440" spans="5:8" s="559" customFormat="1" hidden="1" x14ac:dyDescent="0.25">
      <c r="E440" s="757">
        <f t="shared" si="18"/>
        <v>41742</v>
      </c>
      <c r="F440" s="356">
        <f t="shared" si="19"/>
        <v>0</v>
      </c>
      <c r="G440" s="356">
        <f t="shared" si="17"/>
        <v>0</v>
      </c>
      <c r="H440" s="559">
        <f t="shared" si="20"/>
        <v>0</v>
      </c>
    </row>
    <row r="441" spans="5:8" s="559" customFormat="1" hidden="1" x14ac:dyDescent="0.25">
      <c r="E441" s="757">
        <f t="shared" si="18"/>
        <v>41743</v>
      </c>
      <c r="F441" s="356">
        <f t="shared" si="19"/>
        <v>0</v>
      </c>
      <c r="G441" s="356">
        <f t="shared" si="17"/>
        <v>0</v>
      </c>
      <c r="H441" s="559">
        <f t="shared" si="20"/>
        <v>0</v>
      </c>
    </row>
    <row r="442" spans="5:8" s="559" customFormat="1" hidden="1" x14ac:dyDescent="0.25">
      <c r="E442" s="757">
        <f t="shared" si="18"/>
        <v>41744</v>
      </c>
      <c r="F442" s="356">
        <f t="shared" si="19"/>
        <v>0</v>
      </c>
      <c r="G442" s="356">
        <f t="shared" si="17"/>
        <v>0</v>
      </c>
      <c r="H442" s="559">
        <f t="shared" si="20"/>
        <v>0</v>
      </c>
    </row>
    <row r="443" spans="5:8" s="559" customFormat="1" hidden="1" x14ac:dyDescent="0.25">
      <c r="E443" s="757">
        <f t="shared" si="18"/>
        <v>41745</v>
      </c>
      <c r="F443" s="356">
        <f t="shared" si="19"/>
        <v>0</v>
      </c>
      <c r="G443" s="356">
        <f t="shared" si="17"/>
        <v>0</v>
      </c>
      <c r="H443" s="559">
        <f t="shared" si="20"/>
        <v>0</v>
      </c>
    </row>
    <row r="444" spans="5:8" s="559" customFormat="1" hidden="1" x14ac:dyDescent="0.25">
      <c r="E444" s="757">
        <f t="shared" si="18"/>
        <v>41746</v>
      </c>
      <c r="F444" s="356">
        <f t="shared" si="19"/>
        <v>0</v>
      </c>
      <c r="G444" s="356">
        <f t="shared" si="17"/>
        <v>0</v>
      </c>
      <c r="H444" s="559">
        <f t="shared" si="20"/>
        <v>0</v>
      </c>
    </row>
    <row r="445" spans="5:8" s="559" customFormat="1" hidden="1" x14ac:dyDescent="0.25">
      <c r="E445" s="757">
        <f t="shared" si="18"/>
        <v>41747</v>
      </c>
      <c r="F445" s="356">
        <f t="shared" si="19"/>
        <v>0</v>
      </c>
      <c r="G445" s="356">
        <f t="shared" si="17"/>
        <v>0</v>
      </c>
      <c r="H445" s="559">
        <f t="shared" si="20"/>
        <v>0</v>
      </c>
    </row>
    <row r="446" spans="5:8" s="559" customFormat="1" hidden="1" x14ac:dyDescent="0.25">
      <c r="E446" s="757">
        <f t="shared" si="18"/>
        <v>41748</v>
      </c>
      <c r="F446" s="356">
        <f t="shared" si="19"/>
        <v>0</v>
      </c>
      <c r="G446" s="356">
        <f t="shared" si="17"/>
        <v>0</v>
      </c>
      <c r="H446" s="559">
        <f t="shared" si="20"/>
        <v>0</v>
      </c>
    </row>
    <row r="447" spans="5:8" s="559" customFormat="1" hidden="1" x14ac:dyDescent="0.25">
      <c r="E447" s="757">
        <f t="shared" si="18"/>
        <v>41749</v>
      </c>
      <c r="F447" s="356">
        <f t="shared" si="19"/>
        <v>0</v>
      </c>
      <c r="G447" s="356">
        <f t="shared" si="17"/>
        <v>0</v>
      </c>
      <c r="H447" s="559">
        <f t="shared" si="20"/>
        <v>0</v>
      </c>
    </row>
    <row r="448" spans="5:8" s="559" customFormat="1" hidden="1" x14ac:dyDescent="0.25">
      <c r="E448" s="757">
        <f t="shared" si="18"/>
        <v>41750</v>
      </c>
      <c r="F448" s="356">
        <f t="shared" si="19"/>
        <v>0</v>
      </c>
      <c r="G448" s="356">
        <f t="shared" si="17"/>
        <v>0</v>
      </c>
      <c r="H448" s="559">
        <f t="shared" si="20"/>
        <v>0</v>
      </c>
    </row>
    <row r="449" spans="5:8" s="559" customFormat="1" hidden="1" x14ac:dyDescent="0.25">
      <c r="E449" s="757">
        <f t="shared" si="18"/>
        <v>41751</v>
      </c>
      <c r="F449" s="356">
        <f t="shared" si="19"/>
        <v>0</v>
      </c>
      <c r="G449" s="356">
        <f t="shared" si="17"/>
        <v>0</v>
      </c>
      <c r="H449" s="559">
        <f t="shared" si="20"/>
        <v>0</v>
      </c>
    </row>
    <row r="450" spans="5:8" s="559" customFormat="1" hidden="1" x14ac:dyDescent="0.25">
      <c r="E450" s="757">
        <f t="shared" si="18"/>
        <v>41752</v>
      </c>
      <c r="F450" s="356">
        <f t="shared" si="19"/>
        <v>0</v>
      </c>
      <c r="G450" s="356">
        <f t="shared" si="17"/>
        <v>0</v>
      </c>
      <c r="H450" s="559">
        <f t="shared" si="20"/>
        <v>0</v>
      </c>
    </row>
    <row r="451" spans="5:8" s="559" customFormat="1" hidden="1" x14ac:dyDescent="0.25">
      <c r="E451" s="757">
        <f t="shared" si="18"/>
        <v>41753</v>
      </c>
      <c r="F451" s="356">
        <f t="shared" si="19"/>
        <v>0</v>
      </c>
      <c r="G451" s="356">
        <f t="shared" si="17"/>
        <v>0</v>
      </c>
      <c r="H451" s="559">
        <f t="shared" si="20"/>
        <v>0</v>
      </c>
    </row>
    <row r="452" spans="5:8" s="559" customFormat="1" hidden="1" x14ac:dyDescent="0.25">
      <c r="E452" s="757">
        <f t="shared" si="18"/>
        <v>41754</v>
      </c>
      <c r="F452" s="356">
        <f t="shared" si="19"/>
        <v>0</v>
      </c>
      <c r="G452" s="356">
        <f t="shared" si="17"/>
        <v>0</v>
      </c>
      <c r="H452" s="559">
        <f t="shared" si="20"/>
        <v>0</v>
      </c>
    </row>
    <row r="453" spans="5:8" s="559" customFormat="1" hidden="1" x14ac:dyDescent="0.25">
      <c r="E453" s="757">
        <f t="shared" si="18"/>
        <v>41755</v>
      </c>
      <c r="F453" s="356">
        <f t="shared" si="19"/>
        <v>0</v>
      </c>
      <c r="G453" s="356">
        <f t="shared" si="17"/>
        <v>0</v>
      </c>
      <c r="H453" s="559">
        <f t="shared" si="20"/>
        <v>0</v>
      </c>
    </row>
    <row r="454" spans="5:8" s="559" customFormat="1" hidden="1" x14ac:dyDescent="0.25">
      <c r="E454" s="757">
        <f t="shared" si="18"/>
        <v>41756</v>
      </c>
      <c r="F454" s="356">
        <f t="shared" si="19"/>
        <v>0</v>
      </c>
      <c r="G454" s="356">
        <f t="shared" si="17"/>
        <v>0</v>
      </c>
      <c r="H454" s="559">
        <f t="shared" si="20"/>
        <v>0</v>
      </c>
    </row>
    <row r="455" spans="5:8" s="559" customFormat="1" hidden="1" x14ac:dyDescent="0.25">
      <c r="E455" s="757">
        <f t="shared" si="18"/>
        <v>41757</v>
      </c>
      <c r="F455" s="356">
        <f t="shared" si="19"/>
        <v>0</v>
      </c>
      <c r="G455" s="356">
        <f t="shared" si="17"/>
        <v>0</v>
      </c>
      <c r="H455" s="559">
        <f t="shared" si="20"/>
        <v>0</v>
      </c>
    </row>
    <row r="456" spans="5:8" s="559" customFormat="1" hidden="1" x14ac:dyDescent="0.25">
      <c r="E456" s="757">
        <f t="shared" si="18"/>
        <v>41758</v>
      </c>
      <c r="F456" s="356">
        <f t="shared" si="19"/>
        <v>0</v>
      </c>
      <c r="G456" s="356">
        <f t="shared" si="17"/>
        <v>0</v>
      </c>
      <c r="H456" s="559">
        <f t="shared" si="20"/>
        <v>0</v>
      </c>
    </row>
    <row r="457" spans="5:8" s="559" customFormat="1" hidden="1" x14ac:dyDescent="0.25">
      <c r="E457" s="757">
        <f t="shared" si="18"/>
        <v>41759</v>
      </c>
      <c r="F457" s="356">
        <f t="shared" si="19"/>
        <v>0</v>
      </c>
      <c r="G457" s="356">
        <f t="shared" si="17"/>
        <v>0</v>
      </c>
      <c r="H457" s="559">
        <f t="shared" si="20"/>
        <v>0</v>
      </c>
    </row>
    <row r="458" spans="5:8" s="559" customFormat="1" hidden="1" x14ac:dyDescent="0.25">
      <c r="E458" s="757">
        <f t="shared" si="18"/>
        <v>41760</v>
      </c>
      <c r="F458" s="356">
        <f t="shared" si="19"/>
        <v>0</v>
      </c>
      <c r="G458" s="356">
        <f t="shared" si="17"/>
        <v>0</v>
      </c>
      <c r="H458" s="559">
        <f t="shared" si="20"/>
        <v>0</v>
      </c>
    </row>
    <row r="459" spans="5:8" s="559" customFormat="1" hidden="1" x14ac:dyDescent="0.25">
      <c r="E459" s="757">
        <f t="shared" si="18"/>
        <v>41761</v>
      </c>
      <c r="F459" s="356">
        <f t="shared" si="19"/>
        <v>0</v>
      </c>
      <c r="G459" s="356">
        <f t="shared" si="17"/>
        <v>0</v>
      </c>
      <c r="H459" s="559">
        <f t="shared" si="20"/>
        <v>0</v>
      </c>
    </row>
    <row r="460" spans="5:8" s="559" customFormat="1" hidden="1" x14ac:dyDescent="0.25">
      <c r="E460" s="757">
        <f t="shared" si="18"/>
        <v>41762</v>
      </c>
      <c r="F460" s="356">
        <f t="shared" si="19"/>
        <v>0</v>
      </c>
      <c r="G460" s="356">
        <f t="shared" si="17"/>
        <v>0</v>
      </c>
      <c r="H460" s="559">
        <f t="shared" si="20"/>
        <v>0</v>
      </c>
    </row>
    <row r="461" spans="5:8" s="559" customFormat="1" hidden="1" x14ac:dyDescent="0.25">
      <c r="E461" s="757">
        <f t="shared" si="18"/>
        <v>41763</v>
      </c>
      <c r="F461" s="356">
        <f t="shared" si="19"/>
        <v>0</v>
      </c>
      <c r="G461" s="356">
        <f t="shared" si="17"/>
        <v>0</v>
      </c>
      <c r="H461" s="559">
        <f t="shared" si="20"/>
        <v>0</v>
      </c>
    </row>
    <row r="462" spans="5:8" s="559" customFormat="1" hidden="1" x14ac:dyDescent="0.25">
      <c r="E462" s="757">
        <f t="shared" si="18"/>
        <v>41764</v>
      </c>
      <c r="F462" s="356">
        <f t="shared" si="19"/>
        <v>0</v>
      </c>
      <c r="G462" s="356">
        <f t="shared" si="17"/>
        <v>0</v>
      </c>
      <c r="H462" s="559">
        <f t="shared" si="20"/>
        <v>0</v>
      </c>
    </row>
    <row r="463" spans="5:8" s="559" customFormat="1" hidden="1" x14ac:dyDescent="0.25">
      <c r="E463" s="757">
        <f t="shared" si="18"/>
        <v>41765</v>
      </c>
      <c r="F463" s="356">
        <f t="shared" si="19"/>
        <v>0</v>
      </c>
      <c r="G463" s="356">
        <f t="shared" si="17"/>
        <v>0</v>
      </c>
      <c r="H463" s="559">
        <f t="shared" si="20"/>
        <v>0</v>
      </c>
    </row>
    <row r="464" spans="5:8" s="559" customFormat="1" hidden="1" x14ac:dyDescent="0.25">
      <c r="E464" s="757">
        <f t="shared" si="18"/>
        <v>41766</v>
      </c>
      <c r="F464" s="356">
        <f t="shared" si="19"/>
        <v>0</v>
      </c>
      <c r="G464" s="356">
        <f t="shared" si="17"/>
        <v>0</v>
      </c>
      <c r="H464" s="559">
        <f t="shared" si="20"/>
        <v>0</v>
      </c>
    </row>
    <row r="465" spans="5:8" s="559" customFormat="1" hidden="1" x14ac:dyDescent="0.25">
      <c r="E465" s="757">
        <f t="shared" si="18"/>
        <v>41767</v>
      </c>
      <c r="F465" s="356">
        <f t="shared" si="19"/>
        <v>0</v>
      </c>
      <c r="G465" s="356">
        <f t="shared" si="17"/>
        <v>0</v>
      </c>
      <c r="H465" s="559">
        <f t="shared" si="20"/>
        <v>0</v>
      </c>
    </row>
    <row r="466" spans="5:8" s="559" customFormat="1" hidden="1" x14ac:dyDescent="0.25">
      <c r="E466" s="757">
        <f t="shared" si="18"/>
        <v>41768</v>
      </c>
      <c r="F466" s="356">
        <f t="shared" si="19"/>
        <v>0</v>
      </c>
      <c r="G466" s="356">
        <f t="shared" si="17"/>
        <v>0</v>
      </c>
      <c r="H466" s="559">
        <f t="shared" si="20"/>
        <v>0</v>
      </c>
    </row>
    <row r="467" spans="5:8" s="559" customFormat="1" hidden="1" x14ac:dyDescent="0.25">
      <c r="E467" s="757">
        <f t="shared" si="18"/>
        <v>41769</v>
      </c>
      <c r="F467" s="356">
        <f t="shared" si="19"/>
        <v>0</v>
      </c>
      <c r="G467" s="356">
        <f t="shared" si="17"/>
        <v>0</v>
      </c>
      <c r="H467" s="559">
        <f t="shared" si="20"/>
        <v>0</v>
      </c>
    </row>
    <row r="468" spans="5:8" s="559" customFormat="1" hidden="1" x14ac:dyDescent="0.25">
      <c r="E468" s="757">
        <f t="shared" si="18"/>
        <v>41770</v>
      </c>
      <c r="F468" s="356">
        <f t="shared" si="19"/>
        <v>0</v>
      </c>
      <c r="G468" s="356">
        <f t="shared" si="17"/>
        <v>0</v>
      </c>
      <c r="H468" s="559">
        <f t="shared" si="20"/>
        <v>0</v>
      </c>
    </row>
    <row r="469" spans="5:8" s="559" customFormat="1" hidden="1" x14ac:dyDescent="0.25">
      <c r="E469" s="757">
        <f t="shared" si="18"/>
        <v>41771</v>
      </c>
      <c r="F469" s="356">
        <f t="shared" si="19"/>
        <v>0</v>
      </c>
      <c r="G469" s="356">
        <f t="shared" si="17"/>
        <v>0</v>
      </c>
      <c r="H469" s="559">
        <f t="shared" si="20"/>
        <v>0</v>
      </c>
    </row>
    <row r="470" spans="5:8" s="559" customFormat="1" hidden="1" x14ac:dyDescent="0.25">
      <c r="E470" s="757">
        <f t="shared" si="18"/>
        <v>41772</v>
      </c>
      <c r="F470" s="356">
        <f t="shared" si="19"/>
        <v>0</v>
      </c>
      <c r="G470" s="356">
        <f t="shared" si="17"/>
        <v>0</v>
      </c>
      <c r="H470" s="559">
        <f t="shared" si="20"/>
        <v>0</v>
      </c>
    </row>
    <row r="471" spans="5:8" s="559" customFormat="1" hidden="1" x14ac:dyDescent="0.25">
      <c r="E471" s="757">
        <f t="shared" si="18"/>
        <v>41773</v>
      </c>
      <c r="F471" s="356">
        <f t="shared" si="19"/>
        <v>0</v>
      </c>
      <c r="G471" s="356">
        <f t="shared" si="17"/>
        <v>0</v>
      </c>
      <c r="H471" s="559">
        <f t="shared" si="20"/>
        <v>0</v>
      </c>
    </row>
    <row r="472" spans="5:8" s="559" customFormat="1" hidden="1" x14ac:dyDescent="0.25">
      <c r="E472" s="757">
        <f t="shared" si="18"/>
        <v>41774</v>
      </c>
      <c r="F472" s="356">
        <f t="shared" si="19"/>
        <v>0</v>
      </c>
      <c r="G472" s="356">
        <f t="shared" si="17"/>
        <v>0</v>
      </c>
      <c r="H472" s="559">
        <f t="shared" si="20"/>
        <v>0</v>
      </c>
    </row>
    <row r="473" spans="5:8" s="559" customFormat="1" hidden="1" x14ac:dyDescent="0.25">
      <c r="E473" s="757">
        <f t="shared" si="18"/>
        <v>41775</v>
      </c>
      <c r="F473" s="356">
        <f t="shared" si="19"/>
        <v>0</v>
      </c>
      <c r="G473" s="356">
        <f t="shared" si="17"/>
        <v>0</v>
      </c>
      <c r="H473" s="559">
        <f t="shared" si="20"/>
        <v>0</v>
      </c>
    </row>
    <row r="474" spans="5:8" s="559" customFormat="1" hidden="1" x14ac:dyDescent="0.25">
      <c r="E474" s="757">
        <f t="shared" si="18"/>
        <v>41776</v>
      </c>
      <c r="F474" s="356">
        <f t="shared" si="19"/>
        <v>0</v>
      </c>
      <c r="G474" s="356">
        <f t="shared" si="17"/>
        <v>0</v>
      </c>
      <c r="H474" s="559">
        <f t="shared" si="20"/>
        <v>0</v>
      </c>
    </row>
    <row r="475" spans="5:8" s="559" customFormat="1" hidden="1" x14ac:dyDescent="0.25">
      <c r="E475" s="757">
        <f t="shared" si="18"/>
        <v>41777</v>
      </c>
      <c r="F475" s="356">
        <f t="shared" si="19"/>
        <v>0</v>
      </c>
      <c r="G475" s="356">
        <f t="shared" ref="G475:G538" si="21">ROUND(F475,-2)</f>
        <v>0</v>
      </c>
      <c r="H475" s="559">
        <f t="shared" si="20"/>
        <v>0</v>
      </c>
    </row>
    <row r="476" spans="5:8" s="559" customFormat="1" hidden="1" x14ac:dyDescent="0.25">
      <c r="E476" s="757">
        <f t="shared" ref="E476:E539" si="22">IF(E475&lt;$C$156,E475+1,$C$156)</f>
        <v>41778</v>
      </c>
      <c r="F476" s="356">
        <f t="shared" ref="F476:F539" si="23">IF(E475&lt;$C$156,F475+C$158,F475)</f>
        <v>0</v>
      </c>
      <c r="G476" s="356">
        <f t="shared" si="21"/>
        <v>0</v>
      </c>
      <c r="H476" s="559">
        <f t="shared" ref="H476:H539" si="24">IF(F476&gt;F475,(VLOOKUP(G476,$K$154:$O$160,MATCH($C$159,$K$154:$O$154,0),0)),0)</f>
        <v>0</v>
      </c>
    </row>
    <row r="477" spans="5:8" s="559" customFormat="1" hidden="1" x14ac:dyDescent="0.25">
      <c r="E477" s="757">
        <f t="shared" si="22"/>
        <v>41779</v>
      </c>
      <c r="F477" s="356">
        <f t="shared" si="23"/>
        <v>0</v>
      </c>
      <c r="G477" s="356">
        <f t="shared" si="21"/>
        <v>0</v>
      </c>
      <c r="H477" s="559">
        <f t="shared" si="24"/>
        <v>0</v>
      </c>
    </row>
    <row r="478" spans="5:8" s="559" customFormat="1" hidden="1" x14ac:dyDescent="0.25">
      <c r="E478" s="757">
        <f t="shared" si="22"/>
        <v>41780</v>
      </c>
      <c r="F478" s="356">
        <f t="shared" si="23"/>
        <v>0</v>
      </c>
      <c r="G478" s="356">
        <f t="shared" si="21"/>
        <v>0</v>
      </c>
      <c r="H478" s="559">
        <f t="shared" si="24"/>
        <v>0</v>
      </c>
    </row>
    <row r="479" spans="5:8" s="559" customFormat="1" hidden="1" x14ac:dyDescent="0.25">
      <c r="E479" s="757">
        <f t="shared" si="22"/>
        <v>41781</v>
      </c>
      <c r="F479" s="356">
        <f t="shared" si="23"/>
        <v>0</v>
      </c>
      <c r="G479" s="356">
        <f t="shared" si="21"/>
        <v>0</v>
      </c>
      <c r="H479" s="559">
        <f t="shared" si="24"/>
        <v>0</v>
      </c>
    </row>
    <row r="480" spans="5:8" s="559" customFormat="1" hidden="1" x14ac:dyDescent="0.25">
      <c r="E480" s="757">
        <f t="shared" si="22"/>
        <v>41782</v>
      </c>
      <c r="F480" s="356">
        <f t="shared" si="23"/>
        <v>0</v>
      </c>
      <c r="G480" s="356">
        <f t="shared" si="21"/>
        <v>0</v>
      </c>
      <c r="H480" s="559">
        <f t="shared" si="24"/>
        <v>0</v>
      </c>
    </row>
    <row r="481" spans="5:8" s="559" customFormat="1" hidden="1" x14ac:dyDescent="0.25">
      <c r="E481" s="757">
        <f t="shared" si="22"/>
        <v>41783</v>
      </c>
      <c r="F481" s="356">
        <f t="shared" si="23"/>
        <v>0</v>
      </c>
      <c r="G481" s="356">
        <f t="shared" si="21"/>
        <v>0</v>
      </c>
      <c r="H481" s="559">
        <f t="shared" si="24"/>
        <v>0</v>
      </c>
    </row>
    <row r="482" spans="5:8" s="559" customFormat="1" hidden="1" x14ac:dyDescent="0.25">
      <c r="E482" s="757">
        <f t="shared" si="22"/>
        <v>41784</v>
      </c>
      <c r="F482" s="356">
        <f t="shared" si="23"/>
        <v>0</v>
      </c>
      <c r="G482" s="356">
        <f t="shared" si="21"/>
        <v>0</v>
      </c>
      <c r="H482" s="559">
        <f t="shared" si="24"/>
        <v>0</v>
      </c>
    </row>
    <row r="483" spans="5:8" s="559" customFormat="1" hidden="1" x14ac:dyDescent="0.25">
      <c r="E483" s="757">
        <f t="shared" si="22"/>
        <v>41785</v>
      </c>
      <c r="F483" s="356">
        <f t="shared" si="23"/>
        <v>0</v>
      </c>
      <c r="G483" s="356">
        <f t="shared" si="21"/>
        <v>0</v>
      </c>
      <c r="H483" s="559">
        <f t="shared" si="24"/>
        <v>0</v>
      </c>
    </row>
    <row r="484" spans="5:8" s="559" customFormat="1" hidden="1" x14ac:dyDescent="0.25">
      <c r="E484" s="757">
        <f t="shared" si="22"/>
        <v>41786</v>
      </c>
      <c r="F484" s="356">
        <f t="shared" si="23"/>
        <v>0</v>
      </c>
      <c r="G484" s="356">
        <f t="shared" si="21"/>
        <v>0</v>
      </c>
      <c r="H484" s="559">
        <f t="shared" si="24"/>
        <v>0</v>
      </c>
    </row>
    <row r="485" spans="5:8" s="559" customFormat="1" hidden="1" x14ac:dyDescent="0.25">
      <c r="E485" s="757">
        <f t="shared" si="22"/>
        <v>41787</v>
      </c>
      <c r="F485" s="356">
        <f t="shared" si="23"/>
        <v>0</v>
      </c>
      <c r="G485" s="356">
        <f t="shared" si="21"/>
        <v>0</v>
      </c>
      <c r="H485" s="559">
        <f t="shared" si="24"/>
        <v>0</v>
      </c>
    </row>
    <row r="486" spans="5:8" s="559" customFormat="1" hidden="1" x14ac:dyDescent="0.25">
      <c r="E486" s="757">
        <f t="shared" si="22"/>
        <v>41788</v>
      </c>
      <c r="F486" s="356">
        <f t="shared" si="23"/>
        <v>0</v>
      </c>
      <c r="G486" s="356">
        <f t="shared" si="21"/>
        <v>0</v>
      </c>
      <c r="H486" s="559">
        <f t="shared" si="24"/>
        <v>0</v>
      </c>
    </row>
    <row r="487" spans="5:8" s="559" customFormat="1" hidden="1" x14ac:dyDescent="0.25">
      <c r="E487" s="757">
        <f t="shared" si="22"/>
        <v>41789</v>
      </c>
      <c r="F487" s="356">
        <f t="shared" si="23"/>
        <v>0</v>
      </c>
      <c r="G487" s="356">
        <f t="shared" si="21"/>
        <v>0</v>
      </c>
      <c r="H487" s="559">
        <f t="shared" si="24"/>
        <v>0</v>
      </c>
    </row>
    <row r="488" spans="5:8" s="559" customFormat="1" hidden="1" x14ac:dyDescent="0.25">
      <c r="E488" s="757">
        <f t="shared" si="22"/>
        <v>41790</v>
      </c>
      <c r="F488" s="356">
        <f t="shared" si="23"/>
        <v>0</v>
      </c>
      <c r="G488" s="356">
        <f t="shared" si="21"/>
        <v>0</v>
      </c>
      <c r="H488" s="559">
        <f t="shared" si="24"/>
        <v>0</v>
      </c>
    </row>
    <row r="489" spans="5:8" s="559" customFormat="1" hidden="1" x14ac:dyDescent="0.25">
      <c r="E489" s="757">
        <f t="shared" si="22"/>
        <v>41791</v>
      </c>
      <c r="F489" s="356">
        <f t="shared" si="23"/>
        <v>0</v>
      </c>
      <c r="G489" s="356">
        <f t="shared" si="21"/>
        <v>0</v>
      </c>
      <c r="H489" s="559">
        <f t="shared" si="24"/>
        <v>0</v>
      </c>
    </row>
    <row r="490" spans="5:8" s="559" customFormat="1" hidden="1" x14ac:dyDescent="0.25">
      <c r="E490" s="757">
        <f t="shared" si="22"/>
        <v>41792</v>
      </c>
      <c r="F490" s="356">
        <f t="shared" si="23"/>
        <v>0</v>
      </c>
      <c r="G490" s="356">
        <f t="shared" si="21"/>
        <v>0</v>
      </c>
      <c r="H490" s="559">
        <f t="shared" si="24"/>
        <v>0</v>
      </c>
    </row>
    <row r="491" spans="5:8" s="559" customFormat="1" hidden="1" x14ac:dyDescent="0.25">
      <c r="E491" s="757">
        <f t="shared" si="22"/>
        <v>41793</v>
      </c>
      <c r="F491" s="356">
        <f t="shared" si="23"/>
        <v>0</v>
      </c>
      <c r="G491" s="356">
        <f t="shared" si="21"/>
        <v>0</v>
      </c>
      <c r="H491" s="559">
        <f t="shared" si="24"/>
        <v>0</v>
      </c>
    </row>
    <row r="492" spans="5:8" s="559" customFormat="1" hidden="1" x14ac:dyDescent="0.25">
      <c r="E492" s="757">
        <f t="shared" si="22"/>
        <v>41794</v>
      </c>
      <c r="F492" s="356">
        <f t="shared" si="23"/>
        <v>0</v>
      </c>
      <c r="G492" s="356">
        <f t="shared" si="21"/>
        <v>0</v>
      </c>
      <c r="H492" s="559">
        <f t="shared" si="24"/>
        <v>0</v>
      </c>
    </row>
    <row r="493" spans="5:8" s="559" customFormat="1" hidden="1" x14ac:dyDescent="0.25">
      <c r="E493" s="757">
        <f t="shared" si="22"/>
        <v>41795</v>
      </c>
      <c r="F493" s="356">
        <f t="shared" si="23"/>
        <v>0</v>
      </c>
      <c r="G493" s="356">
        <f t="shared" si="21"/>
        <v>0</v>
      </c>
      <c r="H493" s="559">
        <f t="shared" si="24"/>
        <v>0</v>
      </c>
    </row>
    <row r="494" spans="5:8" s="559" customFormat="1" hidden="1" x14ac:dyDescent="0.25">
      <c r="E494" s="757">
        <f t="shared" si="22"/>
        <v>41796</v>
      </c>
      <c r="F494" s="356">
        <f t="shared" si="23"/>
        <v>0</v>
      </c>
      <c r="G494" s="356">
        <f t="shared" si="21"/>
        <v>0</v>
      </c>
      <c r="H494" s="559">
        <f t="shared" si="24"/>
        <v>0</v>
      </c>
    </row>
    <row r="495" spans="5:8" s="559" customFormat="1" hidden="1" x14ac:dyDescent="0.25">
      <c r="E495" s="757">
        <f t="shared" si="22"/>
        <v>41797</v>
      </c>
      <c r="F495" s="356">
        <f t="shared" si="23"/>
        <v>0</v>
      </c>
      <c r="G495" s="356">
        <f t="shared" si="21"/>
        <v>0</v>
      </c>
      <c r="H495" s="559">
        <f t="shared" si="24"/>
        <v>0</v>
      </c>
    </row>
    <row r="496" spans="5:8" s="559" customFormat="1" hidden="1" x14ac:dyDescent="0.25">
      <c r="E496" s="757">
        <f t="shared" si="22"/>
        <v>41798</v>
      </c>
      <c r="F496" s="356">
        <f t="shared" si="23"/>
        <v>0</v>
      </c>
      <c r="G496" s="356">
        <f t="shared" si="21"/>
        <v>0</v>
      </c>
      <c r="H496" s="559">
        <f t="shared" si="24"/>
        <v>0</v>
      </c>
    </row>
    <row r="497" spans="5:8" s="559" customFormat="1" hidden="1" x14ac:dyDescent="0.25">
      <c r="E497" s="757">
        <f t="shared" si="22"/>
        <v>41799</v>
      </c>
      <c r="F497" s="356">
        <f t="shared" si="23"/>
        <v>0</v>
      </c>
      <c r="G497" s="356">
        <f t="shared" si="21"/>
        <v>0</v>
      </c>
      <c r="H497" s="559">
        <f t="shared" si="24"/>
        <v>0</v>
      </c>
    </row>
    <row r="498" spans="5:8" s="559" customFormat="1" hidden="1" x14ac:dyDescent="0.25">
      <c r="E498" s="757">
        <f t="shared" si="22"/>
        <v>41800</v>
      </c>
      <c r="F498" s="356">
        <f t="shared" si="23"/>
        <v>0</v>
      </c>
      <c r="G498" s="356">
        <f t="shared" si="21"/>
        <v>0</v>
      </c>
      <c r="H498" s="559">
        <f t="shared" si="24"/>
        <v>0</v>
      </c>
    </row>
    <row r="499" spans="5:8" s="559" customFormat="1" hidden="1" x14ac:dyDescent="0.25">
      <c r="E499" s="757">
        <f t="shared" si="22"/>
        <v>41801</v>
      </c>
      <c r="F499" s="356">
        <f t="shared" si="23"/>
        <v>0</v>
      </c>
      <c r="G499" s="356">
        <f t="shared" si="21"/>
        <v>0</v>
      </c>
      <c r="H499" s="559">
        <f t="shared" si="24"/>
        <v>0</v>
      </c>
    </row>
    <row r="500" spans="5:8" s="559" customFormat="1" hidden="1" x14ac:dyDescent="0.25">
      <c r="E500" s="757">
        <f t="shared" si="22"/>
        <v>41802</v>
      </c>
      <c r="F500" s="356">
        <f t="shared" si="23"/>
        <v>0</v>
      </c>
      <c r="G500" s="356">
        <f t="shared" si="21"/>
        <v>0</v>
      </c>
      <c r="H500" s="559">
        <f t="shared" si="24"/>
        <v>0</v>
      </c>
    </row>
    <row r="501" spans="5:8" s="559" customFormat="1" hidden="1" x14ac:dyDescent="0.25">
      <c r="E501" s="757">
        <f t="shared" si="22"/>
        <v>41803</v>
      </c>
      <c r="F501" s="356">
        <f t="shared" si="23"/>
        <v>0</v>
      </c>
      <c r="G501" s="356">
        <f t="shared" si="21"/>
        <v>0</v>
      </c>
      <c r="H501" s="559">
        <f t="shared" si="24"/>
        <v>0</v>
      </c>
    </row>
    <row r="502" spans="5:8" s="559" customFormat="1" hidden="1" x14ac:dyDescent="0.25">
      <c r="E502" s="757">
        <f t="shared" si="22"/>
        <v>41804</v>
      </c>
      <c r="F502" s="356">
        <f t="shared" si="23"/>
        <v>0</v>
      </c>
      <c r="G502" s="356">
        <f t="shared" si="21"/>
        <v>0</v>
      </c>
      <c r="H502" s="559">
        <f t="shared" si="24"/>
        <v>0</v>
      </c>
    </row>
    <row r="503" spans="5:8" s="559" customFormat="1" hidden="1" x14ac:dyDescent="0.25">
      <c r="E503" s="757">
        <f t="shared" si="22"/>
        <v>41805</v>
      </c>
      <c r="F503" s="356">
        <f t="shared" si="23"/>
        <v>0</v>
      </c>
      <c r="G503" s="356">
        <f t="shared" si="21"/>
        <v>0</v>
      </c>
      <c r="H503" s="559">
        <f t="shared" si="24"/>
        <v>0</v>
      </c>
    </row>
    <row r="504" spans="5:8" s="559" customFormat="1" hidden="1" x14ac:dyDescent="0.25">
      <c r="E504" s="757">
        <f t="shared" si="22"/>
        <v>41806</v>
      </c>
      <c r="F504" s="356">
        <f t="shared" si="23"/>
        <v>0</v>
      </c>
      <c r="G504" s="356">
        <f t="shared" si="21"/>
        <v>0</v>
      </c>
      <c r="H504" s="559">
        <f t="shared" si="24"/>
        <v>0</v>
      </c>
    </row>
    <row r="505" spans="5:8" s="559" customFormat="1" hidden="1" x14ac:dyDescent="0.25">
      <c r="E505" s="757">
        <f t="shared" si="22"/>
        <v>41807</v>
      </c>
      <c r="F505" s="356">
        <f t="shared" si="23"/>
        <v>0</v>
      </c>
      <c r="G505" s="356">
        <f t="shared" si="21"/>
        <v>0</v>
      </c>
      <c r="H505" s="559">
        <f t="shared" si="24"/>
        <v>0</v>
      </c>
    </row>
    <row r="506" spans="5:8" s="559" customFormat="1" hidden="1" x14ac:dyDescent="0.25">
      <c r="E506" s="757">
        <f t="shared" si="22"/>
        <v>41808</v>
      </c>
      <c r="F506" s="356">
        <f t="shared" si="23"/>
        <v>0</v>
      </c>
      <c r="G506" s="356">
        <f t="shared" si="21"/>
        <v>0</v>
      </c>
      <c r="H506" s="559">
        <f t="shared" si="24"/>
        <v>0</v>
      </c>
    </row>
    <row r="507" spans="5:8" s="559" customFormat="1" hidden="1" x14ac:dyDescent="0.25">
      <c r="E507" s="757">
        <f t="shared" si="22"/>
        <v>41809</v>
      </c>
      <c r="F507" s="356">
        <f t="shared" si="23"/>
        <v>0</v>
      </c>
      <c r="G507" s="356">
        <f t="shared" si="21"/>
        <v>0</v>
      </c>
      <c r="H507" s="559">
        <f t="shared" si="24"/>
        <v>0</v>
      </c>
    </row>
    <row r="508" spans="5:8" s="559" customFormat="1" hidden="1" x14ac:dyDescent="0.25">
      <c r="E508" s="757">
        <f t="shared" si="22"/>
        <v>41810</v>
      </c>
      <c r="F508" s="356">
        <f t="shared" si="23"/>
        <v>0</v>
      </c>
      <c r="G508" s="356">
        <f t="shared" si="21"/>
        <v>0</v>
      </c>
      <c r="H508" s="559">
        <f t="shared" si="24"/>
        <v>0</v>
      </c>
    </row>
    <row r="509" spans="5:8" s="559" customFormat="1" hidden="1" x14ac:dyDescent="0.25">
      <c r="E509" s="757">
        <f t="shared" si="22"/>
        <v>41811</v>
      </c>
      <c r="F509" s="356">
        <f t="shared" si="23"/>
        <v>0</v>
      </c>
      <c r="G509" s="356">
        <f t="shared" si="21"/>
        <v>0</v>
      </c>
      <c r="H509" s="559">
        <f t="shared" si="24"/>
        <v>0</v>
      </c>
    </row>
    <row r="510" spans="5:8" s="559" customFormat="1" hidden="1" x14ac:dyDescent="0.25">
      <c r="E510" s="757">
        <f t="shared" si="22"/>
        <v>41812</v>
      </c>
      <c r="F510" s="356">
        <f t="shared" si="23"/>
        <v>0</v>
      </c>
      <c r="G510" s="356">
        <f t="shared" si="21"/>
        <v>0</v>
      </c>
      <c r="H510" s="559">
        <f t="shared" si="24"/>
        <v>0</v>
      </c>
    </row>
    <row r="511" spans="5:8" s="559" customFormat="1" hidden="1" x14ac:dyDescent="0.25">
      <c r="E511" s="757">
        <f t="shared" si="22"/>
        <v>41813</v>
      </c>
      <c r="F511" s="356">
        <f t="shared" si="23"/>
        <v>0</v>
      </c>
      <c r="G511" s="356">
        <f t="shared" si="21"/>
        <v>0</v>
      </c>
      <c r="H511" s="559">
        <f t="shared" si="24"/>
        <v>0</v>
      </c>
    </row>
    <row r="512" spans="5:8" s="559" customFormat="1" hidden="1" x14ac:dyDescent="0.25">
      <c r="E512" s="757">
        <f t="shared" si="22"/>
        <v>41814</v>
      </c>
      <c r="F512" s="356">
        <f t="shared" si="23"/>
        <v>0</v>
      </c>
      <c r="G512" s="356">
        <f t="shared" si="21"/>
        <v>0</v>
      </c>
      <c r="H512" s="559">
        <f t="shared" si="24"/>
        <v>0</v>
      </c>
    </row>
    <row r="513" spans="5:8" s="559" customFormat="1" hidden="1" x14ac:dyDescent="0.25">
      <c r="E513" s="757">
        <f t="shared" si="22"/>
        <v>41815</v>
      </c>
      <c r="F513" s="356">
        <f t="shared" si="23"/>
        <v>0</v>
      </c>
      <c r="G513" s="356">
        <f t="shared" si="21"/>
        <v>0</v>
      </c>
      <c r="H513" s="559">
        <f t="shared" si="24"/>
        <v>0</v>
      </c>
    </row>
    <row r="514" spans="5:8" s="559" customFormat="1" hidden="1" x14ac:dyDescent="0.25">
      <c r="E514" s="757">
        <f t="shared" si="22"/>
        <v>41816</v>
      </c>
      <c r="F514" s="356">
        <f t="shared" si="23"/>
        <v>0</v>
      </c>
      <c r="G514" s="356">
        <f t="shared" si="21"/>
        <v>0</v>
      </c>
      <c r="H514" s="559">
        <f t="shared" si="24"/>
        <v>0</v>
      </c>
    </row>
    <row r="515" spans="5:8" s="559" customFormat="1" hidden="1" x14ac:dyDescent="0.25">
      <c r="E515" s="757">
        <f t="shared" si="22"/>
        <v>41817</v>
      </c>
      <c r="F515" s="356">
        <f t="shared" si="23"/>
        <v>0</v>
      </c>
      <c r="G515" s="356">
        <f t="shared" si="21"/>
        <v>0</v>
      </c>
      <c r="H515" s="559">
        <f t="shared" si="24"/>
        <v>0</v>
      </c>
    </row>
    <row r="516" spans="5:8" s="559" customFormat="1" hidden="1" x14ac:dyDescent="0.25">
      <c r="E516" s="757">
        <f t="shared" si="22"/>
        <v>41818</v>
      </c>
      <c r="F516" s="356">
        <f t="shared" si="23"/>
        <v>0</v>
      </c>
      <c r="G516" s="356">
        <f t="shared" si="21"/>
        <v>0</v>
      </c>
      <c r="H516" s="559">
        <f t="shared" si="24"/>
        <v>0</v>
      </c>
    </row>
    <row r="517" spans="5:8" s="559" customFormat="1" hidden="1" x14ac:dyDescent="0.25">
      <c r="E517" s="757">
        <f t="shared" si="22"/>
        <v>41819</v>
      </c>
      <c r="F517" s="356">
        <f t="shared" si="23"/>
        <v>0</v>
      </c>
      <c r="G517" s="356">
        <f t="shared" si="21"/>
        <v>0</v>
      </c>
      <c r="H517" s="559">
        <f t="shared" si="24"/>
        <v>0</v>
      </c>
    </row>
    <row r="518" spans="5:8" s="559" customFormat="1" hidden="1" x14ac:dyDescent="0.25">
      <c r="E518" s="757">
        <f t="shared" si="22"/>
        <v>41820</v>
      </c>
      <c r="F518" s="356">
        <f t="shared" si="23"/>
        <v>0</v>
      </c>
      <c r="G518" s="356">
        <f t="shared" si="21"/>
        <v>0</v>
      </c>
      <c r="H518" s="559">
        <f t="shared" si="24"/>
        <v>0</v>
      </c>
    </row>
    <row r="519" spans="5:8" s="559" customFormat="1" hidden="1" x14ac:dyDescent="0.25">
      <c r="E519" s="757">
        <f t="shared" si="22"/>
        <v>41821</v>
      </c>
      <c r="F519" s="356">
        <f t="shared" si="23"/>
        <v>0</v>
      </c>
      <c r="G519" s="356">
        <f t="shared" si="21"/>
        <v>0</v>
      </c>
      <c r="H519" s="559">
        <f t="shared" si="24"/>
        <v>0</v>
      </c>
    </row>
    <row r="520" spans="5:8" s="559" customFormat="1" hidden="1" x14ac:dyDescent="0.25">
      <c r="E520" s="757">
        <f t="shared" si="22"/>
        <v>41822</v>
      </c>
      <c r="F520" s="356">
        <f t="shared" si="23"/>
        <v>0</v>
      </c>
      <c r="G520" s="356">
        <f t="shared" si="21"/>
        <v>0</v>
      </c>
      <c r="H520" s="559">
        <f t="shared" si="24"/>
        <v>0</v>
      </c>
    </row>
    <row r="521" spans="5:8" s="559" customFormat="1" hidden="1" x14ac:dyDescent="0.25">
      <c r="E521" s="757">
        <f t="shared" si="22"/>
        <v>41823</v>
      </c>
      <c r="F521" s="356">
        <f t="shared" si="23"/>
        <v>0</v>
      </c>
      <c r="G521" s="356">
        <f t="shared" si="21"/>
        <v>0</v>
      </c>
      <c r="H521" s="559">
        <f t="shared" si="24"/>
        <v>0</v>
      </c>
    </row>
    <row r="522" spans="5:8" s="559" customFormat="1" hidden="1" x14ac:dyDescent="0.25">
      <c r="E522" s="757">
        <f t="shared" si="22"/>
        <v>41824</v>
      </c>
      <c r="F522" s="356">
        <f t="shared" si="23"/>
        <v>0</v>
      </c>
      <c r="G522" s="356">
        <f t="shared" si="21"/>
        <v>0</v>
      </c>
      <c r="H522" s="559">
        <f t="shared" si="24"/>
        <v>0</v>
      </c>
    </row>
    <row r="523" spans="5:8" s="559" customFormat="1" hidden="1" x14ac:dyDescent="0.25">
      <c r="E523" s="757">
        <f t="shared" si="22"/>
        <v>41825</v>
      </c>
      <c r="F523" s="356">
        <f t="shared" si="23"/>
        <v>0</v>
      </c>
      <c r="G523" s="356">
        <f t="shared" si="21"/>
        <v>0</v>
      </c>
      <c r="H523" s="559">
        <f t="shared" si="24"/>
        <v>0</v>
      </c>
    </row>
    <row r="524" spans="5:8" s="559" customFormat="1" hidden="1" x14ac:dyDescent="0.25">
      <c r="E524" s="757">
        <f t="shared" si="22"/>
        <v>41826</v>
      </c>
      <c r="F524" s="356">
        <f t="shared" si="23"/>
        <v>0</v>
      </c>
      <c r="G524" s="356">
        <f t="shared" si="21"/>
        <v>0</v>
      </c>
      <c r="H524" s="559">
        <f t="shared" si="24"/>
        <v>0</v>
      </c>
    </row>
    <row r="525" spans="5:8" s="559" customFormat="1" hidden="1" x14ac:dyDescent="0.25">
      <c r="E525" s="757">
        <f t="shared" si="22"/>
        <v>41827</v>
      </c>
      <c r="F525" s="356">
        <f t="shared" si="23"/>
        <v>0</v>
      </c>
      <c r="G525" s="356">
        <f t="shared" si="21"/>
        <v>0</v>
      </c>
      <c r="H525" s="559">
        <f t="shared" si="24"/>
        <v>0</v>
      </c>
    </row>
    <row r="526" spans="5:8" s="559" customFormat="1" hidden="1" x14ac:dyDescent="0.25">
      <c r="E526" s="757">
        <f t="shared" si="22"/>
        <v>41828</v>
      </c>
      <c r="F526" s="356">
        <f t="shared" si="23"/>
        <v>0</v>
      </c>
      <c r="G526" s="356">
        <f t="shared" si="21"/>
        <v>0</v>
      </c>
      <c r="H526" s="559">
        <f t="shared" si="24"/>
        <v>0</v>
      </c>
    </row>
    <row r="527" spans="5:8" s="559" customFormat="1" hidden="1" x14ac:dyDescent="0.25">
      <c r="E527" s="757">
        <f t="shared" si="22"/>
        <v>41829</v>
      </c>
      <c r="F527" s="356">
        <f t="shared" si="23"/>
        <v>0</v>
      </c>
      <c r="G527" s="356">
        <f t="shared" si="21"/>
        <v>0</v>
      </c>
      <c r="H527" s="559">
        <f t="shared" si="24"/>
        <v>0</v>
      </c>
    </row>
    <row r="528" spans="5:8" s="559" customFormat="1" hidden="1" x14ac:dyDescent="0.25">
      <c r="E528" s="757">
        <f t="shared" si="22"/>
        <v>41830</v>
      </c>
      <c r="F528" s="356">
        <f t="shared" si="23"/>
        <v>0</v>
      </c>
      <c r="G528" s="356">
        <f t="shared" si="21"/>
        <v>0</v>
      </c>
      <c r="H528" s="559">
        <f t="shared" si="24"/>
        <v>0</v>
      </c>
    </row>
    <row r="529" spans="5:8" s="559" customFormat="1" hidden="1" x14ac:dyDescent="0.25">
      <c r="E529" s="757">
        <f t="shared" si="22"/>
        <v>41831</v>
      </c>
      <c r="F529" s="356">
        <f t="shared" si="23"/>
        <v>0</v>
      </c>
      <c r="G529" s="356">
        <f t="shared" si="21"/>
        <v>0</v>
      </c>
      <c r="H529" s="559">
        <f t="shared" si="24"/>
        <v>0</v>
      </c>
    </row>
    <row r="530" spans="5:8" s="559" customFormat="1" hidden="1" x14ac:dyDescent="0.25">
      <c r="E530" s="757">
        <f t="shared" si="22"/>
        <v>41832</v>
      </c>
      <c r="F530" s="356">
        <f t="shared" si="23"/>
        <v>0</v>
      </c>
      <c r="G530" s="356">
        <f t="shared" si="21"/>
        <v>0</v>
      </c>
      <c r="H530" s="559">
        <f t="shared" si="24"/>
        <v>0</v>
      </c>
    </row>
    <row r="531" spans="5:8" s="559" customFormat="1" hidden="1" x14ac:dyDescent="0.25">
      <c r="E531" s="757">
        <f t="shared" si="22"/>
        <v>41833</v>
      </c>
      <c r="F531" s="356">
        <f t="shared" si="23"/>
        <v>0</v>
      </c>
      <c r="G531" s="356">
        <f t="shared" si="21"/>
        <v>0</v>
      </c>
      <c r="H531" s="559">
        <f t="shared" si="24"/>
        <v>0</v>
      </c>
    </row>
    <row r="532" spans="5:8" s="559" customFormat="1" hidden="1" x14ac:dyDescent="0.25">
      <c r="E532" s="757">
        <f t="shared" si="22"/>
        <v>41834</v>
      </c>
      <c r="F532" s="356">
        <f t="shared" si="23"/>
        <v>0</v>
      </c>
      <c r="G532" s="356">
        <f t="shared" si="21"/>
        <v>0</v>
      </c>
      <c r="H532" s="559">
        <f t="shared" si="24"/>
        <v>0</v>
      </c>
    </row>
    <row r="533" spans="5:8" s="559" customFormat="1" hidden="1" x14ac:dyDescent="0.25">
      <c r="E533" s="757">
        <f t="shared" si="22"/>
        <v>41835</v>
      </c>
      <c r="F533" s="356">
        <f t="shared" si="23"/>
        <v>0</v>
      </c>
      <c r="G533" s="356">
        <f t="shared" si="21"/>
        <v>0</v>
      </c>
      <c r="H533" s="559">
        <f t="shared" si="24"/>
        <v>0</v>
      </c>
    </row>
    <row r="534" spans="5:8" s="559" customFormat="1" hidden="1" x14ac:dyDescent="0.25">
      <c r="E534" s="757">
        <f t="shared" si="22"/>
        <v>41836</v>
      </c>
      <c r="F534" s="356">
        <f t="shared" si="23"/>
        <v>0</v>
      </c>
      <c r="G534" s="356">
        <f t="shared" si="21"/>
        <v>0</v>
      </c>
      <c r="H534" s="559">
        <f t="shared" si="24"/>
        <v>0</v>
      </c>
    </row>
    <row r="535" spans="5:8" s="559" customFormat="1" hidden="1" x14ac:dyDescent="0.25">
      <c r="E535" s="757">
        <f t="shared" si="22"/>
        <v>41837</v>
      </c>
      <c r="F535" s="356">
        <f t="shared" si="23"/>
        <v>0</v>
      </c>
      <c r="G535" s="356">
        <f t="shared" si="21"/>
        <v>0</v>
      </c>
      <c r="H535" s="559">
        <f t="shared" si="24"/>
        <v>0</v>
      </c>
    </row>
    <row r="536" spans="5:8" s="559" customFormat="1" hidden="1" x14ac:dyDescent="0.25">
      <c r="E536" s="757">
        <f t="shared" si="22"/>
        <v>41838</v>
      </c>
      <c r="F536" s="356">
        <f t="shared" si="23"/>
        <v>0</v>
      </c>
      <c r="G536" s="356">
        <f t="shared" si="21"/>
        <v>0</v>
      </c>
      <c r="H536" s="559">
        <f t="shared" si="24"/>
        <v>0</v>
      </c>
    </row>
    <row r="537" spans="5:8" s="559" customFormat="1" hidden="1" x14ac:dyDescent="0.25">
      <c r="E537" s="757">
        <f t="shared" si="22"/>
        <v>41839</v>
      </c>
      <c r="F537" s="356">
        <f t="shared" si="23"/>
        <v>0</v>
      </c>
      <c r="G537" s="356">
        <f t="shared" si="21"/>
        <v>0</v>
      </c>
      <c r="H537" s="559">
        <f t="shared" si="24"/>
        <v>0</v>
      </c>
    </row>
    <row r="538" spans="5:8" s="559" customFormat="1" hidden="1" x14ac:dyDescent="0.25">
      <c r="E538" s="757">
        <f t="shared" si="22"/>
        <v>41840</v>
      </c>
      <c r="F538" s="356">
        <f t="shared" si="23"/>
        <v>0</v>
      </c>
      <c r="G538" s="356">
        <f t="shared" si="21"/>
        <v>0</v>
      </c>
      <c r="H538" s="559">
        <f t="shared" si="24"/>
        <v>0</v>
      </c>
    </row>
    <row r="539" spans="5:8" s="559" customFormat="1" hidden="1" x14ac:dyDescent="0.25">
      <c r="E539" s="757">
        <f t="shared" si="22"/>
        <v>41841</v>
      </c>
      <c r="F539" s="356">
        <f t="shared" si="23"/>
        <v>0</v>
      </c>
      <c r="G539" s="356">
        <f t="shared" ref="G539:G602" si="25">ROUND(F539,-2)</f>
        <v>0</v>
      </c>
      <c r="H539" s="559">
        <f t="shared" si="24"/>
        <v>0</v>
      </c>
    </row>
    <row r="540" spans="5:8" s="559" customFormat="1" hidden="1" x14ac:dyDescent="0.25">
      <c r="E540" s="757">
        <f t="shared" ref="E540:E603" si="26">IF(E539&lt;$C$156,E539+1,$C$156)</f>
        <v>41842</v>
      </c>
      <c r="F540" s="356">
        <f t="shared" ref="F540:F603" si="27">IF(E539&lt;$C$156,F539+C$158,F539)</f>
        <v>0</v>
      </c>
      <c r="G540" s="356">
        <f t="shared" si="25"/>
        <v>0</v>
      </c>
      <c r="H540" s="559">
        <f t="shared" ref="H540:H603" si="28">IF(F540&gt;F539,(VLOOKUP(G540,$K$154:$O$160,MATCH($C$159,$K$154:$O$154,0),0)),0)</f>
        <v>0</v>
      </c>
    </row>
    <row r="541" spans="5:8" s="559" customFormat="1" hidden="1" x14ac:dyDescent="0.25">
      <c r="E541" s="757">
        <f t="shared" si="26"/>
        <v>41843</v>
      </c>
      <c r="F541" s="356">
        <f t="shared" si="27"/>
        <v>0</v>
      </c>
      <c r="G541" s="356">
        <f t="shared" si="25"/>
        <v>0</v>
      </c>
      <c r="H541" s="559">
        <f t="shared" si="28"/>
        <v>0</v>
      </c>
    </row>
    <row r="542" spans="5:8" s="559" customFormat="1" hidden="1" x14ac:dyDescent="0.25">
      <c r="E542" s="757">
        <f t="shared" si="26"/>
        <v>41844</v>
      </c>
      <c r="F542" s="356">
        <f t="shared" si="27"/>
        <v>0</v>
      </c>
      <c r="G542" s="356">
        <f t="shared" si="25"/>
        <v>0</v>
      </c>
      <c r="H542" s="559">
        <f t="shared" si="28"/>
        <v>0</v>
      </c>
    </row>
    <row r="543" spans="5:8" s="559" customFormat="1" hidden="1" x14ac:dyDescent="0.25">
      <c r="E543" s="757">
        <f t="shared" si="26"/>
        <v>41845</v>
      </c>
      <c r="F543" s="356">
        <f t="shared" si="27"/>
        <v>0</v>
      </c>
      <c r="G543" s="356">
        <f t="shared" si="25"/>
        <v>0</v>
      </c>
      <c r="H543" s="559">
        <f t="shared" si="28"/>
        <v>0</v>
      </c>
    </row>
    <row r="544" spans="5:8" s="559" customFormat="1" hidden="1" x14ac:dyDescent="0.25">
      <c r="E544" s="757">
        <f t="shared" si="26"/>
        <v>41846</v>
      </c>
      <c r="F544" s="356">
        <f t="shared" si="27"/>
        <v>0</v>
      </c>
      <c r="G544" s="356">
        <f t="shared" si="25"/>
        <v>0</v>
      </c>
      <c r="H544" s="559">
        <f t="shared" si="28"/>
        <v>0</v>
      </c>
    </row>
    <row r="545" spans="5:8" s="559" customFormat="1" hidden="1" x14ac:dyDescent="0.25">
      <c r="E545" s="757">
        <f t="shared" si="26"/>
        <v>41847</v>
      </c>
      <c r="F545" s="356">
        <f t="shared" si="27"/>
        <v>0</v>
      </c>
      <c r="G545" s="356">
        <f t="shared" si="25"/>
        <v>0</v>
      </c>
      <c r="H545" s="559">
        <f t="shared" si="28"/>
        <v>0</v>
      </c>
    </row>
    <row r="546" spans="5:8" s="559" customFormat="1" hidden="1" x14ac:dyDescent="0.25">
      <c r="E546" s="757">
        <f t="shared" si="26"/>
        <v>41848</v>
      </c>
      <c r="F546" s="356">
        <f t="shared" si="27"/>
        <v>0</v>
      </c>
      <c r="G546" s="356">
        <f t="shared" si="25"/>
        <v>0</v>
      </c>
      <c r="H546" s="559">
        <f t="shared" si="28"/>
        <v>0</v>
      </c>
    </row>
    <row r="547" spans="5:8" s="559" customFormat="1" hidden="1" x14ac:dyDescent="0.25">
      <c r="E547" s="757">
        <f t="shared" si="26"/>
        <v>41849</v>
      </c>
      <c r="F547" s="356">
        <f t="shared" si="27"/>
        <v>0</v>
      </c>
      <c r="G547" s="356">
        <f t="shared" si="25"/>
        <v>0</v>
      </c>
      <c r="H547" s="559">
        <f t="shared" si="28"/>
        <v>0</v>
      </c>
    </row>
    <row r="548" spans="5:8" s="559" customFormat="1" hidden="1" x14ac:dyDescent="0.25">
      <c r="E548" s="757">
        <f t="shared" si="26"/>
        <v>41850</v>
      </c>
      <c r="F548" s="356">
        <f t="shared" si="27"/>
        <v>0</v>
      </c>
      <c r="G548" s="356">
        <f t="shared" si="25"/>
        <v>0</v>
      </c>
      <c r="H548" s="559">
        <f t="shared" si="28"/>
        <v>0</v>
      </c>
    </row>
    <row r="549" spans="5:8" s="559" customFormat="1" hidden="1" x14ac:dyDescent="0.25">
      <c r="E549" s="757">
        <f t="shared" si="26"/>
        <v>41851</v>
      </c>
      <c r="F549" s="356">
        <f t="shared" si="27"/>
        <v>0</v>
      </c>
      <c r="G549" s="356">
        <f t="shared" si="25"/>
        <v>0</v>
      </c>
      <c r="H549" s="559">
        <f t="shared" si="28"/>
        <v>0</v>
      </c>
    </row>
    <row r="550" spans="5:8" s="559" customFormat="1" hidden="1" x14ac:dyDescent="0.25">
      <c r="E550" s="757">
        <f t="shared" si="26"/>
        <v>41852</v>
      </c>
      <c r="F550" s="356">
        <f t="shared" si="27"/>
        <v>0</v>
      </c>
      <c r="G550" s="356">
        <f t="shared" si="25"/>
        <v>0</v>
      </c>
      <c r="H550" s="559">
        <f t="shared" si="28"/>
        <v>0</v>
      </c>
    </row>
    <row r="551" spans="5:8" s="559" customFormat="1" hidden="1" x14ac:dyDescent="0.25">
      <c r="E551" s="757">
        <f t="shared" si="26"/>
        <v>41853</v>
      </c>
      <c r="F551" s="356">
        <f t="shared" si="27"/>
        <v>0</v>
      </c>
      <c r="G551" s="356">
        <f t="shared" si="25"/>
        <v>0</v>
      </c>
      <c r="H551" s="559">
        <f t="shared" si="28"/>
        <v>0</v>
      </c>
    </row>
    <row r="552" spans="5:8" s="559" customFormat="1" hidden="1" x14ac:dyDescent="0.25">
      <c r="E552" s="757">
        <f t="shared" si="26"/>
        <v>41854</v>
      </c>
      <c r="F552" s="356">
        <f t="shared" si="27"/>
        <v>0</v>
      </c>
      <c r="G552" s="356">
        <f t="shared" si="25"/>
        <v>0</v>
      </c>
      <c r="H552" s="559">
        <f t="shared" si="28"/>
        <v>0</v>
      </c>
    </row>
    <row r="553" spans="5:8" s="559" customFormat="1" hidden="1" x14ac:dyDescent="0.25">
      <c r="E553" s="757">
        <f t="shared" si="26"/>
        <v>41855</v>
      </c>
      <c r="F553" s="356">
        <f t="shared" si="27"/>
        <v>0</v>
      </c>
      <c r="G553" s="356">
        <f t="shared" si="25"/>
        <v>0</v>
      </c>
      <c r="H553" s="559">
        <f t="shared" si="28"/>
        <v>0</v>
      </c>
    </row>
    <row r="554" spans="5:8" s="559" customFormat="1" hidden="1" x14ac:dyDescent="0.25">
      <c r="E554" s="757">
        <f t="shared" si="26"/>
        <v>41856</v>
      </c>
      <c r="F554" s="356">
        <f t="shared" si="27"/>
        <v>0</v>
      </c>
      <c r="G554" s="356">
        <f t="shared" si="25"/>
        <v>0</v>
      </c>
      <c r="H554" s="559">
        <f t="shared" si="28"/>
        <v>0</v>
      </c>
    </row>
    <row r="555" spans="5:8" s="559" customFormat="1" hidden="1" x14ac:dyDescent="0.25">
      <c r="E555" s="757">
        <f t="shared" si="26"/>
        <v>41857</v>
      </c>
      <c r="F555" s="356">
        <f t="shared" si="27"/>
        <v>0</v>
      </c>
      <c r="G555" s="356">
        <f t="shared" si="25"/>
        <v>0</v>
      </c>
      <c r="H555" s="559">
        <f t="shared" si="28"/>
        <v>0</v>
      </c>
    </row>
    <row r="556" spans="5:8" s="559" customFormat="1" hidden="1" x14ac:dyDescent="0.25">
      <c r="E556" s="757">
        <f t="shared" si="26"/>
        <v>41858</v>
      </c>
      <c r="F556" s="356">
        <f t="shared" si="27"/>
        <v>0</v>
      </c>
      <c r="G556" s="356">
        <f t="shared" si="25"/>
        <v>0</v>
      </c>
      <c r="H556" s="559">
        <f t="shared" si="28"/>
        <v>0</v>
      </c>
    </row>
    <row r="557" spans="5:8" s="559" customFormat="1" hidden="1" x14ac:dyDescent="0.25">
      <c r="E557" s="757">
        <f t="shared" si="26"/>
        <v>41859</v>
      </c>
      <c r="F557" s="356">
        <f t="shared" si="27"/>
        <v>0</v>
      </c>
      <c r="G557" s="356">
        <f t="shared" si="25"/>
        <v>0</v>
      </c>
      <c r="H557" s="559">
        <f t="shared" si="28"/>
        <v>0</v>
      </c>
    </row>
    <row r="558" spans="5:8" s="559" customFormat="1" hidden="1" x14ac:dyDescent="0.25">
      <c r="E558" s="757">
        <f t="shared" si="26"/>
        <v>41860</v>
      </c>
      <c r="F558" s="356">
        <f t="shared" si="27"/>
        <v>0</v>
      </c>
      <c r="G558" s="356">
        <f t="shared" si="25"/>
        <v>0</v>
      </c>
      <c r="H558" s="559">
        <f t="shared" si="28"/>
        <v>0</v>
      </c>
    </row>
    <row r="559" spans="5:8" s="559" customFormat="1" hidden="1" x14ac:dyDescent="0.25">
      <c r="E559" s="757">
        <f t="shared" si="26"/>
        <v>41861</v>
      </c>
      <c r="F559" s="356">
        <f t="shared" si="27"/>
        <v>0</v>
      </c>
      <c r="G559" s="356">
        <f t="shared" si="25"/>
        <v>0</v>
      </c>
      <c r="H559" s="559">
        <f t="shared" si="28"/>
        <v>0</v>
      </c>
    </row>
    <row r="560" spans="5:8" s="559" customFormat="1" hidden="1" x14ac:dyDescent="0.25">
      <c r="E560" s="757">
        <f t="shared" si="26"/>
        <v>41862</v>
      </c>
      <c r="F560" s="356">
        <f t="shared" si="27"/>
        <v>0</v>
      </c>
      <c r="G560" s="356">
        <f t="shared" si="25"/>
        <v>0</v>
      </c>
      <c r="H560" s="559">
        <f t="shared" si="28"/>
        <v>0</v>
      </c>
    </row>
    <row r="561" spans="5:8" s="559" customFormat="1" hidden="1" x14ac:dyDescent="0.25">
      <c r="E561" s="757">
        <f t="shared" si="26"/>
        <v>41863</v>
      </c>
      <c r="F561" s="356">
        <f t="shared" si="27"/>
        <v>0</v>
      </c>
      <c r="G561" s="356">
        <f t="shared" si="25"/>
        <v>0</v>
      </c>
      <c r="H561" s="559">
        <f t="shared" si="28"/>
        <v>0</v>
      </c>
    </row>
    <row r="562" spans="5:8" s="559" customFormat="1" hidden="1" x14ac:dyDescent="0.25">
      <c r="E562" s="757">
        <f t="shared" si="26"/>
        <v>41864</v>
      </c>
      <c r="F562" s="356">
        <f t="shared" si="27"/>
        <v>0</v>
      </c>
      <c r="G562" s="356">
        <f t="shared" si="25"/>
        <v>0</v>
      </c>
      <c r="H562" s="559">
        <f t="shared" si="28"/>
        <v>0</v>
      </c>
    </row>
    <row r="563" spans="5:8" s="559" customFormat="1" hidden="1" x14ac:dyDescent="0.25">
      <c r="E563" s="757">
        <f t="shared" si="26"/>
        <v>41865</v>
      </c>
      <c r="F563" s="356">
        <f t="shared" si="27"/>
        <v>0</v>
      </c>
      <c r="G563" s="356">
        <f t="shared" si="25"/>
        <v>0</v>
      </c>
      <c r="H563" s="559">
        <f t="shared" si="28"/>
        <v>0</v>
      </c>
    </row>
    <row r="564" spans="5:8" s="559" customFormat="1" hidden="1" x14ac:dyDescent="0.25">
      <c r="E564" s="757">
        <f t="shared" si="26"/>
        <v>41866</v>
      </c>
      <c r="F564" s="356">
        <f t="shared" si="27"/>
        <v>0</v>
      </c>
      <c r="G564" s="356">
        <f t="shared" si="25"/>
        <v>0</v>
      </c>
      <c r="H564" s="559">
        <f t="shared" si="28"/>
        <v>0</v>
      </c>
    </row>
    <row r="565" spans="5:8" s="559" customFormat="1" hidden="1" x14ac:dyDescent="0.25">
      <c r="E565" s="757">
        <f t="shared" si="26"/>
        <v>41867</v>
      </c>
      <c r="F565" s="356">
        <f t="shared" si="27"/>
        <v>0</v>
      </c>
      <c r="G565" s="356">
        <f t="shared" si="25"/>
        <v>0</v>
      </c>
      <c r="H565" s="559">
        <f t="shared" si="28"/>
        <v>0</v>
      </c>
    </row>
    <row r="566" spans="5:8" s="559" customFormat="1" hidden="1" x14ac:dyDescent="0.25">
      <c r="E566" s="757">
        <f t="shared" si="26"/>
        <v>41868</v>
      </c>
      <c r="F566" s="356">
        <f t="shared" si="27"/>
        <v>0</v>
      </c>
      <c r="G566" s="356">
        <f t="shared" si="25"/>
        <v>0</v>
      </c>
      <c r="H566" s="559">
        <f t="shared" si="28"/>
        <v>0</v>
      </c>
    </row>
    <row r="567" spans="5:8" s="559" customFormat="1" hidden="1" x14ac:dyDescent="0.25">
      <c r="E567" s="757">
        <f t="shared" si="26"/>
        <v>41869</v>
      </c>
      <c r="F567" s="356">
        <f t="shared" si="27"/>
        <v>0</v>
      </c>
      <c r="G567" s="356">
        <f t="shared" si="25"/>
        <v>0</v>
      </c>
      <c r="H567" s="559">
        <f t="shared" si="28"/>
        <v>0</v>
      </c>
    </row>
    <row r="568" spans="5:8" s="559" customFormat="1" hidden="1" x14ac:dyDescent="0.25">
      <c r="E568" s="757">
        <f t="shared" si="26"/>
        <v>41870</v>
      </c>
      <c r="F568" s="356">
        <f t="shared" si="27"/>
        <v>0</v>
      </c>
      <c r="G568" s="356">
        <f t="shared" si="25"/>
        <v>0</v>
      </c>
      <c r="H568" s="559">
        <f t="shared" si="28"/>
        <v>0</v>
      </c>
    </row>
    <row r="569" spans="5:8" s="559" customFormat="1" hidden="1" x14ac:dyDescent="0.25">
      <c r="E569" s="757">
        <f t="shared" si="26"/>
        <v>41871</v>
      </c>
      <c r="F569" s="356">
        <f t="shared" si="27"/>
        <v>0</v>
      </c>
      <c r="G569" s="356">
        <f t="shared" si="25"/>
        <v>0</v>
      </c>
      <c r="H569" s="559">
        <f t="shared" si="28"/>
        <v>0</v>
      </c>
    </row>
    <row r="570" spans="5:8" s="559" customFormat="1" hidden="1" x14ac:dyDescent="0.25">
      <c r="E570" s="757">
        <f t="shared" si="26"/>
        <v>41872</v>
      </c>
      <c r="F570" s="356">
        <f t="shared" si="27"/>
        <v>0</v>
      </c>
      <c r="G570" s="356">
        <f t="shared" si="25"/>
        <v>0</v>
      </c>
      <c r="H570" s="559">
        <f t="shared" si="28"/>
        <v>0</v>
      </c>
    </row>
    <row r="571" spans="5:8" s="559" customFormat="1" hidden="1" x14ac:dyDescent="0.25">
      <c r="E571" s="757">
        <f t="shared" si="26"/>
        <v>41873</v>
      </c>
      <c r="F571" s="356">
        <f t="shared" si="27"/>
        <v>0</v>
      </c>
      <c r="G571" s="356">
        <f t="shared" si="25"/>
        <v>0</v>
      </c>
      <c r="H571" s="559">
        <f t="shared" si="28"/>
        <v>0</v>
      </c>
    </row>
    <row r="572" spans="5:8" s="559" customFormat="1" hidden="1" x14ac:dyDescent="0.25">
      <c r="E572" s="757">
        <f t="shared" si="26"/>
        <v>41874</v>
      </c>
      <c r="F572" s="356">
        <f t="shared" si="27"/>
        <v>0</v>
      </c>
      <c r="G572" s="356">
        <f t="shared" si="25"/>
        <v>0</v>
      </c>
      <c r="H572" s="559">
        <f t="shared" si="28"/>
        <v>0</v>
      </c>
    </row>
    <row r="573" spans="5:8" s="559" customFormat="1" hidden="1" x14ac:dyDescent="0.25">
      <c r="E573" s="757">
        <f t="shared" si="26"/>
        <v>41875</v>
      </c>
      <c r="F573" s="356">
        <f t="shared" si="27"/>
        <v>0</v>
      </c>
      <c r="G573" s="356">
        <f t="shared" si="25"/>
        <v>0</v>
      </c>
      <c r="H573" s="559">
        <f t="shared" si="28"/>
        <v>0</v>
      </c>
    </row>
    <row r="574" spans="5:8" s="559" customFormat="1" hidden="1" x14ac:dyDescent="0.25">
      <c r="E574" s="757">
        <f t="shared" si="26"/>
        <v>41876</v>
      </c>
      <c r="F574" s="356">
        <f t="shared" si="27"/>
        <v>0</v>
      </c>
      <c r="G574" s="356">
        <f t="shared" si="25"/>
        <v>0</v>
      </c>
      <c r="H574" s="559">
        <f t="shared" si="28"/>
        <v>0</v>
      </c>
    </row>
    <row r="575" spans="5:8" s="559" customFormat="1" hidden="1" x14ac:dyDescent="0.25">
      <c r="E575" s="757">
        <f t="shared" si="26"/>
        <v>41877</v>
      </c>
      <c r="F575" s="356">
        <f t="shared" si="27"/>
        <v>0</v>
      </c>
      <c r="G575" s="356">
        <f t="shared" si="25"/>
        <v>0</v>
      </c>
      <c r="H575" s="559">
        <f t="shared" si="28"/>
        <v>0</v>
      </c>
    </row>
    <row r="576" spans="5:8" s="559" customFormat="1" hidden="1" x14ac:dyDescent="0.25">
      <c r="E576" s="757">
        <f t="shared" si="26"/>
        <v>41878</v>
      </c>
      <c r="F576" s="356">
        <f t="shared" si="27"/>
        <v>0</v>
      </c>
      <c r="G576" s="356">
        <f t="shared" si="25"/>
        <v>0</v>
      </c>
      <c r="H576" s="559">
        <f t="shared" si="28"/>
        <v>0</v>
      </c>
    </row>
    <row r="577" spans="5:8" s="559" customFormat="1" hidden="1" x14ac:dyDescent="0.25">
      <c r="E577" s="757">
        <f t="shared" si="26"/>
        <v>41879</v>
      </c>
      <c r="F577" s="356">
        <f t="shared" si="27"/>
        <v>0</v>
      </c>
      <c r="G577" s="356">
        <f t="shared" si="25"/>
        <v>0</v>
      </c>
      <c r="H577" s="559">
        <f t="shared" si="28"/>
        <v>0</v>
      </c>
    </row>
    <row r="578" spans="5:8" s="559" customFormat="1" hidden="1" x14ac:dyDescent="0.25">
      <c r="E578" s="757">
        <f t="shared" si="26"/>
        <v>41880</v>
      </c>
      <c r="F578" s="356">
        <f t="shared" si="27"/>
        <v>0</v>
      </c>
      <c r="G578" s="356">
        <f t="shared" si="25"/>
        <v>0</v>
      </c>
      <c r="H578" s="559">
        <f t="shared" si="28"/>
        <v>0</v>
      </c>
    </row>
    <row r="579" spans="5:8" s="559" customFormat="1" hidden="1" x14ac:dyDescent="0.25">
      <c r="E579" s="757">
        <f t="shared" si="26"/>
        <v>41881</v>
      </c>
      <c r="F579" s="356">
        <f t="shared" si="27"/>
        <v>0</v>
      </c>
      <c r="G579" s="356">
        <f t="shared" si="25"/>
        <v>0</v>
      </c>
      <c r="H579" s="559">
        <f t="shared" si="28"/>
        <v>0</v>
      </c>
    </row>
    <row r="580" spans="5:8" s="559" customFormat="1" hidden="1" x14ac:dyDescent="0.25">
      <c r="E580" s="757">
        <f t="shared" si="26"/>
        <v>41882</v>
      </c>
      <c r="F580" s="356">
        <f t="shared" si="27"/>
        <v>0</v>
      </c>
      <c r="G580" s="356">
        <f t="shared" si="25"/>
        <v>0</v>
      </c>
      <c r="H580" s="559">
        <f t="shared" si="28"/>
        <v>0</v>
      </c>
    </row>
    <row r="581" spans="5:8" s="559" customFormat="1" hidden="1" x14ac:dyDescent="0.25">
      <c r="E581" s="757">
        <f t="shared" si="26"/>
        <v>41883</v>
      </c>
      <c r="F581" s="356">
        <f t="shared" si="27"/>
        <v>0</v>
      </c>
      <c r="G581" s="356">
        <f t="shared" si="25"/>
        <v>0</v>
      </c>
      <c r="H581" s="559">
        <f t="shared" si="28"/>
        <v>0</v>
      </c>
    </row>
    <row r="582" spans="5:8" s="559" customFormat="1" hidden="1" x14ac:dyDescent="0.25">
      <c r="E582" s="757">
        <f t="shared" si="26"/>
        <v>41884</v>
      </c>
      <c r="F582" s="356">
        <f t="shared" si="27"/>
        <v>0</v>
      </c>
      <c r="G582" s="356">
        <f t="shared" si="25"/>
        <v>0</v>
      </c>
      <c r="H582" s="559">
        <f t="shared" si="28"/>
        <v>0</v>
      </c>
    </row>
    <row r="583" spans="5:8" s="559" customFormat="1" hidden="1" x14ac:dyDescent="0.25">
      <c r="E583" s="757">
        <f t="shared" si="26"/>
        <v>41885</v>
      </c>
      <c r="F583" s="356">
        <f t="shared" si="27"/>
        <v>0</v>
      </c>
      <c r="G583" s="356">
        <f t="shared" si="25"/>
        <v>0</v>
      </c>
      <c r="H583" s="559">
        <f t="shared" si="28"/>
        <v>0</v>
      </c>
    </row>
    <row r="584" spans="5:8" s="559" customFormat="1" hidden="1" x14ac:dyDescent="0.25">
      <c r="E584" s="757">
        <f t="shared" si="26"/>
        <v>41886</v>
      </c>
      <c r="F584" s="356">
        <f t="shared" si="27"/>
        <v>0</v>
      </c>
      <c r="G584" s="356">
        <f t="shared" si="25"/>
        <v>0</v>
      </c>
      <c r="H584" s="559">
        <f t="shared" si="28"/>
        <v>0</v>
      </c>
    </row>
    <row r="585" spans="5:8" s="559" customFormat="1" hidden="1" x14ac:dyDescent="0.25">
      <c r="E585" s="757">
        <f t="shared" si="26"/>
        <v>41887</v>
      </c>
      <c r="F585" s="356">
        <f t="shared" si="27"/>
        <v>0</v>
      </c>
      <c r="G585" s="356">
        <f t="shared" si="25"/>
        <v>0</v>
      </c>
      <c r="H585" s="559">
        <f t="shared" si="28"/>
        <v>0</v>
      </c>
    </row>
    <row r="586" spans="5:8" s="559" customFormat="1" hidden="1" x14ac:dyDescent="0.25">
      <c r="E586" s="757">
        <f t="shared" si="26"/>
        <v>41888</v>
      </c>
      <c r="F586" s="356">
        <f t="shared" si="27"/>
        <v>0</v>
      </c>
      <c r="G586" s="356">
        <f t="shared" si="25"/>
        <v>0</v>
      </c>
      <c r="H586" s="559">
        <f t="shared" si="28"/>
        <v>0</v>
      </c>
    </row>
    <row r="587" spans="5:8" s="559" customFormat="1" hidden="1" x14ac:dyDescent="0.25">
      <c r="E587" s="757">
        <f t="shared" si="26"/>
        <v>41889</v>
      </c>
      <c r="F587" s="356">
        <f t="shared" si="27"/>
        <v>0</v>
      </c>
      <c r="G587" s="356">
        <f t="shared" si="25"/>
        <v>0</v>
      </c>
      <c r="H587" s="559">
        <f t="shared" si="28"/>
        <v>0</v>
      </c>
    </row>
    <row r="588" spans="5:8" s="559" customFormat="1" hidden="1" x14ac:dyDescent="0.25">
      <c r="E588" s="757">
        <f t="shared" si="26"/>
        <v>41890</v>
      </c>
      <c r="F588" s="356">
        <f t="shared" si="27"/>
        <v>0</v>
      </c>
      <c r="G588" s="356">
        <f t="shared" si="25"/>
        <v>0</v>
      </c>
      <c r="H588" s="559">
        <f t="shared" si="28"/>
        <v>0</v>
      </c>
    </row>
    <row r="589" spans="5:8" s="559" customFormat="1" hidden="1" x14ac:dyDescent="0.25">
      <c r="E589" s="757">
        <f t="shared" si="26"/>
        <v>41891</v>
      </c>
      <c r="F589" s="356">
        <f t="shared" si="27"/>
        <v>0</v>
      </c>
      <c r="G589" s="356">
        <f t="shared" si="25"/>
        <v>0</v>
      </c>
      <c r="H589" s="559">
        <f t="shared" si="28"/>
        <v>0</v>
      </c>
    </row>
    <row r="590" spans="5:8" s="559" customFormat="1" hidden="1" x14ac:dyDescent="0.25">
      <c r="E590" s="757">
        <f t="shared" si="26"/>
        <v>41892</v>
      </c>
      <c r="F590" s="356">
        <f t="shared" si="27"/>
        <v>0</v>
      </c>
      <c r="G590" s="356">
        <f t="shared" si="25"/>
        <v>0</v>
      </c>
      <c r="H590" s="559">
        <f t="shared" si="28"/>
        <v>0</v>
      </c>
    </row>
    <row r="591" spans="5:8" s="559" customFormat="1" hidden="1" x14ac:dyDescent="0.25">
      <c r="E591" s="757">
        <f t="shared" si="26"/>
        <v>41893</v>
      </c>
      <c r="F591" s="356">
        <f t="shared" si="27"/>
        <v>0</v>
      </c>
      <c r="G591" s="356">
        <f t="shared" si="25"/>
        <v>0</v>
      </c>
      <c r="H591" s="559">
        <f t="shared" si="28"/>
        <v>0</v>
      </c>
    </row>
    <row r="592" spans="5:8" s="559" customFormat="1" hidden="1" x14ac:dyDescent="0.25">
      <c r="E592" s="757">
        <f t="shared" si="26"/>
        <v>41894</v>
      </c>
      <c r="F592" s="356">
        <f t="shared" si="27"/>
        <v>0</v>
      </c>
      <c r="G592" s="356">
        <f t="shared" si="25"/>
        <v>0</v>
      </c>
      <c r="H592" s="559">
        <f t="shared" si="28"/>
        <v>0</v>
      </c>
    </row>
    <row r="593" spans="5:8" s="559" customFormat="1" hidden="1" x14ac:dyDescent="0.25">
      <c r="E593" s="757">
        <f t="shared" si="26"/>
        <v>41895</v>
      </c>
      <c r="F593" s="356">
        <f t="shared" si="27"/>
        <v>0</v>
      </c>
      <c r="G593" s="356">
        <f t="shared" si="25"/>
        <v>0</v>
      </c>
      <c r="H593" s="559">
        <f t="shared" si="28"/>
        <v>0</v>
      </c>
    </row>
    <row r="594" spans="5:8" s="559" customFormat="1" hidden="1" x14ac:dyDescent="0.25">
      <c r="E594" s="757">
        <f t="shared" si="26"/>
        <v>41896</v>
      </c>
      <c r="F594" s="356">
        <f t="shared" si="27"/>
        <v>0</v>
      </c>
      <c r="G594" s="356">
        <f t="shared" si="25"/>
        <v>0</v>
      </c>
      <c r="H594" s="559">
        <f t="shared" si="28"/>
        <v>0</v>
      </c>
    </row>
    <row r="595" spans="5:8" s="559" customFormat="1" hidden="1" x14ac:dyDescent="0.25">
      <c r="E595" s="757">
        <f t="shared" si="26"/>
        <v>41897</v>
      </c>
      <c r="F595" s="356">
        <f t="shared" si="27"/>
        <v>0</v>
      </c>
      <c r="G595" s="356">
        <f t="shared" si="25"/>
        <v>0</v>
      </c>
      <c r="H595" s="559">
        <f t="shared" si="28"/>
        <v>0</v>
      </c>
    </row>
    <row r="596" spans="5:8" s="559" customFormat="1" hidden="1" x14ac:dyDescent="0.25">
      <c r="E596" s="757">
        <f t="shared" si="26"/>
        <v>41898</v>
      </c>
      <c r="F596" s="356">
        <f t="shared" si="27"/>
        <v>0</v>
      </c>
      <c r="G596" s="356">
        <f t="shared" si="25"/>
        <v>0</v>
      </c>
      <c r="H596" s="559">
        <f t="shared" si="28"/>
        <v>0</v>
      </c>
    </row>
    <row r="597" spans="5:8" s="559" customFormat="1" hidden="1" x14ac:dyDescent="0.25">
      <c r="E597" s="757">
        <f t="shared" si="26"/>
        <v>41899</v>
      </c>
      <c r="F597" s="356">
        <f t="shared" si="27"/>
        <v>0</v>
      </c>
      <c r="G597" s="356">
        <f t="shared" si="25"/>
        <v>0</v>
      </c>
      <c r="H597" s="559">
        <f t="shared" si="28"/>
        <v>0</v>
      </c>
    </row>
    <row r="598" spans="5:8" s="559" customFormat="1" hidden="1" x14ac:dyDescent="0.25">
      <c r="E598" s="757">
        <f t="shared" si="26"/>
        <v>41900</v>
      </c>
      <c r="F598" s="356">
        <f t="shared" si="27"/>
        <v>0</v>
      </c>
      <c r="G598" s="356">
        <f t="shared" si="25"/>
        <v>0</v>
      </c>
      <c r="H598" s="559">
        <f t="shared" si="28"/>
        <v>0</v>
      </c>
    </row>
    <row r="599" spans="5:8" s="559" customFormat="1" hidden="1" x14ac:dyDescent="0.25">
      <c r="E599" s="757">
        <f t="shared" si="26"/>
        <v>41901</v>
      </c>
      <c r="F599" s="356">
        <f t="shared" si="27"/>
        <v>0</v>
      </c>
      <c r="G599" s="356">
        <f t="shared" si="25"/>
        <v>0</v>
      </c>
      <c r="H599" s="559">
        <f t="shared" si="28"/>
        <v>0</v>
      </c>
    </row>
    <row r="600" spans="5:8" s="559" customFormat="1" hidden="1" x14ac:dyDescent="0.25">
      <c r="E600" s="757">
        <f t="shared" si="26"/>
        <v>41902</v>
      </c>
      <c r="F600" s="356">
        <f t="shared" si="27"/>
        <v>0</v>
      </c>
      <c r="G600" s="356">
        <f t="shared" si="25"/>
        <v>0</v>
      </c>
      <c r="H600" s="559">
        <f t="shared" si="28"/>
        <v>0</v>
      </c>
    </row>
    <row r="601" spans="5:8" s="559" customFormat="1" hidden="1" x14ac:dyDescent="0.25">
      <c r="E601" s="757">
        <f t="shared" si="26"/>
        <v>41903</v>
      </c>
      <c r="F601" s="356">
        <f t="shared" si="27"/>
        <v>0</v>
      </c>
      <c r="G601" s="356">
        <f t="shared" si="25"/>
        <v>0</v>
      </c>
      <c r="H601" s="559">
        <f t="shared" si="28"/>
        <v>0</v>
      </c>
    </row>
    <row r="602" spans="5:8" s="559" customFormat="1" hidden="1" x14ac:dyDescent="0.25">
      <c r="E602" s="757">
        <f t="shared" si="26"/>
        <v>41904</v>
      </c>
      <c r="F602" s="356">
        <f t="shared" si="27"/>
        <v>0</v>
      </c>
      <c r="G602" s="356">
        <f t="shared" si="25"/>
        <v>0</v>
      </c>
      <c r="H602" s="559">
        <f t="shared" si="28"/>
        <v>0</v>
      </c>
    </row>
    <row r="603" spans="5:8" s="559" customFormat="1" hidden="1" x14ac:dyDescent="0.25">
      <c r="E603" s="757">
        <f t="shared" si="26"/>
        <v>41905</v>
      </c>
      <c r="F603" s="356">
        <f t="shared" si="27"/>
        <v>0</v>
      </c>
      <c r="G603" s="356">
        <f t="shared" ref="G603:G666" si="29">ROUND(F603,-2)</f>
        <v>0</v>
      </c>
      <c r="H603" s="559">
        <f t="shared" si="28"/>
        <v>0</v>
      </c>
    </row>
    <row r="604" spans="5:8" s="559" customFormat="1" hidden="1" x14ac:dyDescent="0.25">
      <c r="E604" s="757">
        <f t="shared" ref="E604:E667" si="30">IF(E603&lt;$C$156,E603+1,$C$156)</f>
        <v>41906</v>
      </c>
      <c r="F604" s="356">
        <f t="shared" ref="F604:F667" si="31">IF(E603&lt;$C$156,F603+C$158,F603)</f>
        <v>0</v>
      </c>
      <c r="G604" s="356">
        <f t="shared" si="29"/>
        <v>0</v>
      </c>
      <c r="H604" s="559">
        <f t="shared" ref="H604:H667" si="32">IF(F604&gt;F603,(VLOOKUP(G604,$K$154:$O$160,MATCH($C$159,$K$154:$O$154,0),0)),0)</f>
        <v>0</v>
      </c>
    </row>
    <row r="605" spans="5:8" s="559" customFormat="1" hidden="1" x14ac:dyDescent="0.25">
      <c r="E605" s="757">
        <f t="shared" si="30"/>
        <v>41907</v>
      </c>
      <c r="F605" s="356">
        <f t="shared" si="31"/>
        <v>0</v>
      </c>
      <c r="G605" s="356">
        <f t="shared" si="29"/>
        <v>0</v>
      </c>
      <c r="H605" s="559">
        <f t="shared" si="32"/>
        <v>0</v>
      </c>
    </row>
    <row r="606" spans="5:8" s="559" customFormat="1" hidden="1" x14ac:dyDescent="0.25">
      <c r="E606" s="757">
        <f t="shared" si="30"/>
        <v>41908</v>
      </c>
      <c r="F606" s="356">
        <f t="shared" si="31"/>
        <v>0</v>
      </c>
      <c r="G606" s="356">
        <f t="shared" si="29"/>
        <v>0</v>
      </c>
      <c r="H606" s="559">
        <f t="shared" si="32"/>
        <v>0</v>
      </c>
    </row>
    <row r="607" spans="5:8" s="559" customFormat="1" hidden="1" x14ac:dyDescent="0.25">
      <c r="E607" s="757">
        <f t="shared" si="30"/>
        <v>41909</v>
      </c>
      <c r="F607" s="356">
        <f t="shared" si="31"/>
        <v>0</v>
      </c>
      <c r="G607" s="356">
        <f t="shared" si="29"/>
        <v>0</v>
      </c>
      <c r="H607" s="559">
        <f t="shared" si="32"/>
        <v>0</v>
      </c>
    </row>
    <row r="608" spans="5:8" s="559" customFormat="1" hidden="1" x14ac:dyDescent="0.25">
      <c r="E608" s="757">
        <f t="shared" si="30"/>
        <v>41910</v>
      </c>
      <c r="F608" s="356">
        <f t="shared" si="31"/>
        <v>0</v>
      </c>
      <c r="G608" s="356">
        <f t="shared" si="29"/>
        <v>0</v>
      </c>
      <c r="H608" s="559">
        <f t="shared" si="32"/>
        <v>0</v>
      </c>
    </row>
    <row r="609" spans="5:8" s="559" customFormat="1" hidden="1" x14ac:dyDescent="0.25">
      <c r="E609" s="757">
        <f t="shared" si="30"/>
        <v>41911</v>
      </c>
      <c r="F609" s="356">
        <f t="shared" si="31"/>
        <v>0</v>
      </c>
      <c r="G609" s="356">
        <f t="shared" si="29"/>
        <v>0</v>
      </c>
      <c r="H609" s="559">
        <f t="shared" si="32"/>
        <v>0</v>
      </c>
    </row>
    <row r="610" spans="5:8" s="559" customFormat="1" hidden="1" x14ac:dyDescent="0.25">
      <c r="E610" s="757">
        <f t="shared" si="30"/>
        <v>41912</v>
      </c>
      <c r="F610" s="356">
        <f t="shared" si="31"/>
        <v>0</v>
      </c>
      <c r="G610" s="356">
        <f t="shared" si="29"/>
        <v>0</v>
      </c>
      <c r="H610" s="559">
        <f t="shared" si="32"/>
        <v>0</v>
      </c>
    </row>
    <row r="611" spans="5:8" s="559" customFormat="1" hidden="1" x14ac:dyDescent="0.25">
      <c r="E611" s="757">
        <f t="shared" si="30"/>
        <v>41913</v>
      </c>
      <c r="F611" s="356">
        <f t="shared" si="31"/>
        <v>0</v>
      </c>
      <c r="G611" s="356">
        <f t="shared" si="29"/>
        <v>0</v>
      </c>
      <c r="H611" s="559">
        <f t="shared" si="32"/>
        <v>0</v>
      </c>
    </row>
    <row r="612" spans="5:8" s="559" customFormat="1" hidden="1" x14ac:dyDescent="0.25">
      <c r="E612" s="757">
        <f t="shared" si="30"/>
        <v>41914</v>
      </c>
      <c r="F612" s="356">
        <f t="shared" si="31"/>
        <v>0</v>
      </c>
      <c r="G612" s="356">
        <f t="shared" si="29"/>
        <v>0</v>
      </c>
      <c r="H612" s="559">
        <f t="shared" si="32"/>
        <v>0</v>
      </c>
    </row>
    <row r="613" spans="5:8" s="559" customFormat="1" hidden="1" x14ac:dyDescent="0.25">
      <c r="E613" s="757">
        <f t="shared" si="30"/>
        <v>41915</v>
      </c>
      <c r="F613" s="356">
        <f t="shared" si="31"/>
        <v>0</v>
      </c>
      <c r="G613" s="356">
        <f t="shared" si="29"/>
        <v>0</v>
      </c>
      <c r="H613" s="559">
        <f t="shared" si="32"/>
        <v>0</v>
      </c>
    </row>
    <row r="614" spans="5:8" s="559" customFormat="1" hidden="1" x14ac:dyDescent="0.25">
      <c r="E614" s="757">
        <f t="shared" si="30"/>
        <v>41916</v>
      </c>
      <c r="F614" s="356">
        <f t="shared" si="31"/>
        <v>0</v>
      </c>
      <c r="G614" s="356">
        <f t="shared" si="29"/>
        <v>0</v>
      </c>
      <c r="H614" s="559">
        <f t="shared" si="32"/>
        <v>0</v>
      </c>
    </row>
    <row r="615" spans="5:8" s="559" customFormat="1" hidden="1" x14ac:dyDescent="0.25">
      <c r="E615" s="757">
        <f t="shared" si="30"/>
        <v>41917</v>
      </c>
      <c r="F615" s="356">
        <f t="shared" si="31"/>
        <v>0</v>
      </c>
      <c r="G615" s="356">
        <f t="shared" si="29"/>
        <v>0</v>
      </c>
      <c r="H615" s="559">
        <f t="shared" si="32"/>
        <v>0</v>
      </c>
    </row>
    <row r="616" spans="5:8" s="559" customFormat="1" hidden="1" x14ac:dyDescent="0.25">
      <c r="E616" s="757">
        <f t="shared" si="30"/>
        <v>41918</v>
      </c>
      <c r="F616" s="356">
        <f t="shared" si="31"/>
        <v>0</v>
      </c>
      <c r="G616" s="356">
        <f t="shared" si="29"/>
        <v>0</v>
      </c>
      <c r="H616" s="559">
        <f t="shared" si="32"/>
        <v>0</v>
      </c>
    </row>
    <row r="617" spans="5:8" s="559" customFormat="1" hidden="1" x14ac:dyDescent="0.25">
      <c r="E617" s="757">
        <f t="shared" si="30"/>
        <v>41919</v>
      </c>
      <c r="F617" s="356">
        <f t="shared" si="31"/>
        <v>0</v>
      </c>
      <c r="G617" s="356">
        <f t="shared" si="29"/>
        <v>0</v>
      </c>
      <c r="H617" s="559">
        <f t="shared" si="32"/>
        <v>0</v>
      </c>
    </row>
    <row r="618" spans="5:8" s="559" customFormat="1" hidden="1" x14ac:dyDescent="0.25">
      <c r="E618" s="757">
        <f t="shared" si="30"/>
        <v>41920</v>
      </c>
      <c r="F618" s="356">
        <f t="shared" si="31"/>
        <v>0</v>
      </c>
      <c r="G618" s="356">
        <f t="shared" si="29"/>
        <v>0</v>
      </c>
      <c r="H618" s="559">
        <f t="shared" si="32"/>
        <v>0</v>
      </c>
    </row>
    <row r="619" spans="5:8" s="559" customFormat="1" hidden="1" x14ac:dyDescent="0.25">
      <c r="E619" s="757">
        <f t="shared" si="30"/>
        <v>41921</v>
      </c>
      <c r="F619" s="356">
        <f t="shared" si="31"/>
        <v>0</v>
      </c>
      <c r="G619" s="356">
        <f t="shared" si="29"/>
        <v>0</v>
      </c>
      <c r="H619" s="559">
        <f t="shared" si="32"/>
        <v>0</v>
      </c>
    </row>
    <row r="620" spans="5:8" s="559" customFormat="1" hidden="1" x14ac:dyDescent="0.25">
      <c r="E620" s="757">
        <f t="shared" si="30"/>
        <v>41922</v>
      </c>
      <c r="F620" s="356">
        <f t="shared" si="31"/>
        <v>0</v>
      </c>
      <c r="G620" s="356">
        <f t="shared" si="29"/>
        <v>0</v>
      </c>
      <c r="H620" s="559">
        <f t="shared" si="32"/>
        <v>0</v>
      </c>
    </row>
    <row r="621" spans="5:8" s="559" customFormat="1" hidden="1" x14ac:dyDescent="0.25">
      <c r="E621" s="757">
        <f t="shared" si="30"/>
        <v>41923</v>
      </c>
      <c r="F621" s="356">
        <f t="shared" si="31"/>
        <v>0</v>
      </c>
      <c r="G621" s="356">
        <f t="shared" si="29"/>
        <v>0</v>
      </c>
      <c r="H621" s="559">
        <f t="shared" si="32"/>
        <v>0</v>
      </c>
    </row>
    <row r="622" spans="5:8" s="559" customFormat="1" hidden="1" x14ac:dyDescent="0.25">
      <c r="E622" s="757">
        <f t="shared" si="30"/>
        <v>41924</v>
      </c>
      <c r="F622" s="356">
        <f t="shared" si="31"/>
        <v>0</v>
      </c>
      <c r="G622" s="356">
        <f t="shared" si="29"/>
        <v>0</v>
      </c>
      <c r="H622" s="559">
        <f t="shared" si="32"/>
        <v>0</v>
      </c>
    </row>
    <row r="623" spans="5:8" s="559" customFormat="1" hidden="1" x14ac:dyDescent="0.25">
      <c r="E623" s="757">
        <f t="shared" si="30"/>
        <v>41925</v>
      </c>
      <c r="F623" s="356">
        <f t="shared" si="31"/>
        <v>0</v>
      </c>
      <c r="G623" s="356">
        <f t="shared" si="29"/>
        <v>0</v>
      </c>
      <c r="H623" s="559">
        <f t="shared" si="32"/>
        <v>0</v>
      </c>
    </row>
    <row r="624" spans="5:8" s="559" customFormat="1" hidden="1" x14ac:dyDescent="0.25">
      <c r="E624" s="757">
        <f t="shared" si="30"/>
        <v>41926</v>
      </c>
      <c r="F624" s="356">
        <f t="shared" si="31"/>
        <v>0</v>
      </c>
      <c r="G624" s="356">
        <f t="shared" si="29"/>
        <v>0</v>
      </c>
      <c r="H624" s="559">
        <f t="shared" si="32"/>
        <v>0</v>
      </c>
    </row>
    <row r="625" spans="5:8" s="559" customFormat="1" hidden="1" x14ac:dyDescent="0.25">
      <c r="E625" s="757">
        <f t="shared" si="30"/>
        <v>41927</v>
      </c>
      <c r="F625" s="356">
        <f t="shared" si="31"/>
        <v>0</v>
      </c>
      <c r="G625" s="356">
        <f t="shared" si="29"/>
        <v>0</v>
      </c>
      <c r="H625" s="559">
        <f t="shared" si="32"/>
        <v>0</v>
      </c>
    </row>
    <row r="626" spans="5:8" s="559" customFormat="1" hidden="1" x14ac:dyDescent="0.25">
      <c r="E626" s="757">
        <f t="shared" si="30"/>
        <v>41928</v>
      </c>
      <c r="F626" s="356">
        <f t="shared" si="31"/>
        <v>0</v>
      </c>
      <c r="G626" s="356">
        <f t="shared" si="29"/>
        <v>0</v>
      </c>
      <c r="H626" s="559">
        <f t="shared" si="32"/>
        <v>0</v>
      </c>
    </row>
    <row r="627" spans="5:8" s="559" customFormat="1" hidden="1" x14ac:dyDescent="0.25">
      <c r="E627" s="757">
        <f t="shared" si="30"/>
        <v>41929</v>
      </c>
      <c r="F627" s="356">
        <f t="shared" si="31"/>
        <v>0</v>
      </c>
      <c r="G627" s="356">
        <f t="shared" si="29"/>
        <v>0</v>
      </c>
      <c r="H627" s="559">
        <f t="shared" si="32"/>
        <v>0</v>
      </c>
    </row>
    <row r="628" spans="5:8" s="559" customFormat="1" hidden="1" x14ac:dyDescent="0.25">
      <c r="E628" s="757">
        <f t="shared" si="30"/>
        <v>41930</v>
      </c>
      <c r="F628" s="356">
        <f t="shared" si="31"/>
        <v>0</v>
      </c>
      <c r="G628" s="356">
        <f t="shared" si="29"/>
        <v>0</v>
      </c>
      <c r="H628" s="559">
        <f t="shared" si="32"/>
        <v>0</v>
      </c>
    </row>
    <row r="629" spans="5:8" s="559" customFormat="1" hidden="1" x14ac:dyDescent="0.25">
      <c r="E629" s="757">
        <f t="shared" si="30"/>
        <v>41931</v>
      </c>
      <c r="F629" s="356">
        <f t="shared" si="31"/>
        <v>0</v>
      </c>
      <c r="G629" s="356">
        <f t="shared" si="29"/>
        <v>0</v>
      </c>
      <c r="H629" s="559">
        <f t="shared" si="32"/>
        <v>0</v>
      </c>
    </row>
    <row r="630" spans="5:8" s="559" customFormat="1" hidden="1" x14ac:dyDescent="0.25">
      <c r="E630" s="757">
        <f t="shared" si="30"/>
        <v>41932</v>
      </c>
      <c r="F630" s="356">
        <f t="shared" si="31"/>
        <v>0</v>
      </c>
      <c r="G630" s="356">
        <f t="shared" si="29"/>
        <v>0</v>
      </c>
      <c r="H630" s="559">
        <f t="shared" si="32"/>
        <v>0</v>
      </c>
    </row>
    <row r="631" spans="5:8" s="559" customFormat="1" hidden="1" x14ac:dyDescent="0.25">
      <c r="E631" s="757">
        <f t="shared" si="30"/>
        <v>41933</v>
      </c>
      <c r="F631" s="356">
        <f t="shared" si="31"/>
        <v>0</v>
      </c>
      <c r="G631" s="356">
        <f t="shared" si="29"/>
        <v>0</v>
      </c>
      <c r="H631" s="559">
        <f t="shared" si="32"/>
        <v>0</v>
      </c>
    </row>
    <row r="632" spans="5:8" s="559" customFormat="1" hidden="1" x14ac:dyDescent="0.25">
      <c r="E632" s="757">
        <f t="shared" si="30"/>
        <v>41934</v>
      </c>
      <c r="F632" s="356">
        <f t="shared" si="31"/>
        <v>0</v>
      </c>
      <c r="G632" s="356">
        <f t="shared" si="29"/>
        <v>0</v>
      </c>
      <c r="H632" s="559">
        <f t="shared" si="32"/>
        <v>0</v>
      </c>
    </row>
    <row r="633" spans="5:8" s="559" customFormat="1" hidden="1" x14ac:dyDescent="0.25">
      <c r="E633" s="757">
        <f t="shared" si="30"/>
        <v>41935</v>
      </c>
      <c r="F633" s="356">
        <f t="shared" si="31"/>
        <v>0</v>
      </c>
      <c r="G633" s="356">
        <f t="shared" si="29"/>
        <v>0</v>
      </c>
      <c r="H633" s="559">
        <f t="shared" si="32"/>
        <v>0</v>
      </c>
    </row>
    <row r="634" spans="5:8" s="559" customFormat="1" hidden="1" x14ac:dyDescent="0.25">
      <c r="E634" s="757">
        <f t="shared" si="30"/>
        <v>41936</v>
      </c>
      <c r="F634" s="356">
        <f t="shared" si="31"/>
        <v>0</v>
      </c>
      <c r="G634" s="356">
        <f t="shared" si="29"/>
        <v>0</v>
      </c>
      <c r="H634" s="559">
        <f t="shared" si="32"/>
        <v>0</v>
      </c>
    </row>
    <row r="635" spans="5:8" s="559" customFormat="1" hidden="1" x14ac:dyDescent="0.25">
      <c r="E635" s="757">
        <f t="shared" si="30"/>
        <v>41937</v>
      </c>
      <c r="F635" s="356">
        <f t="shared" si="31"/>
        <v>0</v>
      </c>
      <c r="G635" s="356">
        <f t="shared" si="29"/>
        <v>0</v>
      </c>
      <c r="H635" s="559">
        <f t="shared" si="32"/>
        <v>0</v>
      </c>
    </row>
    <row r="636" spans="5:8" s="559" customFormat="1" hidden="1" x14ac:dyDescent="0.25">
      <c r="E636" s="757">
        <f t="shared" si="30"/>
        <v>41938</v>
      </c>
      <c r="F636" s="356">
        <f t="shared" si="31"/>
        <v>0</v>
      </c>
      <c r="G636" s="356">
        <f t="shared" si="29"/>
        <v>0</v>
      </c>
      <c r="H636" s="559">
        <f t="shared" si="32"/>
        <v>0</v>
      </c>
    </row>
    <row r="637" spans="5:8" s="559" customFormat="1" hidden="1" x14ac:dyDescent="0.25">
      <c r="E637" s="757">
        <f t="shared" si="30"/>
        <v>41939</v>
      </c>
      <c r="F637" s="356">
        <f t="shared" si="31"/>
        <v>0</v>
      </c>
      <c r="G637" s="356">
        <f t="shared" si="29"/>
        <v>0</v>
      </c>
      <c r="H637" s="559">
        <f t="shared" si="32"/>
        <v>0</v>
      </c>
    </row>
    <row r="638" spans="5:8" s="559" customFormat="1" hidden="1" x14ac:dyDescent="0.25">
      <c r="E638" s="757">
        <f t="shared" si="30"/>
        <v>41940</v>
      </c>
      <c r="F638" s="356">
        <f t="shared" si="31"/>
        <v>0</v>
      </c>
      <c r="G638" s="356">
        <f t="shared" si="29"/>
        <v>0</v>
      </c>
      <c r="H638" s="559">
        <f t="shared" si="32"/>
        <v>0</v>
      </c>
    </row>
    <row r="639" spans="5:8" s="559" customFormat="1" hidden="1" x14ac:dyDescent="0.25">
      <c r="E639" s="757">
        <f t="shared" si="30"/>
        <v>41941</v>
      </c>
      <c r="F639" s="356">
        <f t="shared" si="31"/>
        <v>0</v>
      </c>
      <c r="G639" s="356">
        <f t="shared" si="29"/>
        <v>0</v>
      </c>
      <c r="H639" s="559">
        <f t="shared" si="32"/>
        <v>0</v>
      </c>
    </row>
    <row r="640" spans="5:8" s="559" customFormat="1" hidden="1" x14ac:dyDescent="0.25">
      <c r="E640" s="757">
        <f t="shared" si="30"/>
        <v>41942</v>
      </c>
      <c r="F640" s="356">
        <f t="shared" si="31"/>
        <v>0</v>
      </c>
      <c r="G640" s="356">
        <f t="shared" si="29"/>
        <v>0</v>
      </c>
      <c r="H640" s="559">
        <f t="shared" si="32"/>
        <v>0</v>
      </c>
    </row>
    <row r="641" spans="5:8" s="559" customFormat="1" hidden="1" x14ac:dyDescent="0.25">
      <c r="E641" s="757">
        <f t="shared" si="30"/>
        <v>41943</v>
      </c>
      <c r="F641" s="356">
        <f t="shared" si="31"/>
        <v>0</v>
      </c>
      <c r="G641" s="356">
        <f t="shared" si="29"/>
        <v>0</v>
      </c>
      <c r="H641" s="559">
        <f t="shared" si="32"/>
        <v>0</v>
      </c>
    </row>
    <row r="642" spans="5:8" s="559" customFormat="1" hidden="1" x14ac:dyDescent="0.25">
      <c r="E642" s="757">
        <f t="shared" si="30"/>
        <v>41944</v>
      </c>
      <c r="F642" s="356">
        <f t="shared" si="31"/>
        <v>0</v>
      </c>
      <c r="G642" s="356">
        <f t="shared" si="29"/>
        <v>0</v>
      </c>
      <c r="H642" s="559">
        <f t="shared" si="32"/>
        <v>0</v>
      </c>
    </row>
    <row r="643" spans="5:8" s="559" customFormat="1" hidden="1" x14ac:dyDescent="0.25">
      <c r="E643" s="757">
        <f t="shared" si="30"/>
        <v>41945</v>
      </c>
      <c r="F643" s="356">
        <f t="shared" si="31"/>
        <v>0</v>
      </c>
      <c r="G643" s="356">
        <f t="shared" si="29"/>
        <v>0</v>
      </c>
      <c r="H643" s="559">
        <f t="shared" si="32"/>
        <v>0</v>
      </c>
    </row>
    <row r="644" spans="5:8" s="559" customFormat="1" hidden="1" x14ac:dyDescent="0.25">
      <c r="E644" s="757">
        <f t="shared" si="30"/>
        <v>41946</v>
      </c>
      <c r="F644" s="356">
        <f t="shared" si="31"/>
        <v>0</v>
      </c>
      <c r="G644" s="356">
        <f t="shared" si="29"/>
        <v>0</v>
      </c>
      <c r="H644" s="559">
        <f t="shared" si="32"/>
        <v>0</v>
      </c>
    </row>
    <row r="645" spans="5:8" s="559" customFormat="1" hidden="1" x14ac:dyDescent="0.25">
      <c r="E645" s="757">
        <f t="shared" si="30"/>
        <v>41947</v>
      </c>
      <c r="F645" s="356">
        <f t="shared" si="31"/>
        <v>0</v>
      </c>
      <c r="G645" s="356">
        <f t="shared" si="29"/>
        <v>0</v>
      </c>
      <c r="H645" s="559">
        <f t="shared" si="32"/>
        <v>0</v>
      </c>
    </row>
    <row r="646" spans="5:8" s="559" customFormat="1" hidden="1" x14ac:dyDescent="0.25">
      <c r="E646" s="757">
        <f t="shared" si="30"/>
        <v>41948</v>
      </c>
      <c r="F646" s="356">
        <f t="shared" si="31"/>
        <v>0</v>
      </c>
      <c r="G646" s="356">
        <f t="shared" si="29"/>
        <v>0</v>
      </c>
      <c r="H646" s="559">
        <f t="shared" si="32"/>
        <v>0</v>
      </c>
    </row>
    <row r="647" spans="5:8" s="559" customFormat="1" hidden="1" x14ac:dyDescent="0.25">
      <c r="E647" s="757">
        <f t="shared" si="30"/>
        <v>41949</v>
      </c>
      <c r="F647" s="356">
        <f t="shared" si="31"/>
        <v>0</v>
      </c>
      <c r="G647" s="356">
        <f t="shared" si="29"/>
        <v>0</v>
      </c>
      <c r="H647" s="559">
        <f t="shared" si="32"/>
        <v>0</v>
      </c>
    </row>
    <row r="648" spans="5:8" s="559" customFormat="1" hidden="1" x14ac:dyDescent="0.25">
      <c r="E648" s="757">
        <f t="shared" si="30"/>
        <v>41950</v>
      </c>
      <c r="F648" s="356">
        <f t="shared" si="31"/>
        <v>0</v>
      </c>
      <c r="G648" s="356">
        <f t="shared" si="29"/>
        <v>0</v>
      </c>
      <c r="H648" s="559">
        <f t="shared" si="32"/>
        <v>0</v>
      </c>
    </row>
    <row r="649" spans="5:8" s="559" customFormat="1" hidden="1" x14ac:dyDescent="0.25">
      <c r="E649" s="757">
        <f t="shared" si="30"/>
        <v>41951</v>
      </c>
      <c r="F649" s="356">
        <f t="shared" si="31"/>
        <v>0</v>
      </c>
      <c r="G649" s="356">
        <f t="shared" si="29"/>
        <v>0</v>
      </c>
      <c r="H649" s="559">
        <f t="shared" si="32"/>
        <v>0</v>
      </c>
    </row>
    <row r="650" spans="5:8" s="559" customFormat="1" hidden="1" x14ac:dyDescent="0.25">
      <c r="E650" s="757">
        <f t="shared" si="30"/>
        <v>41952</v>
      </c>
      <c r="F650" s="356">
        <f t="shared" si="31"/>
        <v>0</v>
      </c>
      <c r="G650" s="356">
        <f t="shared" si="29"/>
        <v>0</v>
      </c>
      <c r="H650" s="559">
        <f t="shared" si="32"/>
        <v>0</v>
      </c>
    </row>
    <row r="651" spans="5:8" s="559" customFormat="1" hidden="1" x14ac:dyDescent="0.25">
      <c r="E651" s="757">
        <f t="shared" si="30"/>
        <v>41953</v>
      </c>
      <c r="F651" s="356">
        <f t="shared" si="31"/>
        <v>0</v>
      </c>
      <c r="G651" s="356">
        <f t="shared" si="29"/>
        <v>0</v>
      </c>
      <c r="H651" s="559">
        <f t="shared" si="32"/>
        <v>0</v>
      </c>
    </row>
    <row r="652" spans="5:8" s="559" customFormat="1" hidden="1" x14ac:dyDescent="0.25">
      <c r="E652" s="757">
        <f t="shared" si="30"/>
        <v>41954</v>
      </c>
      <c r="F652" s="356">
        <f t="shared" si="31"/>
        <v>0</v>
      </c>
      <c r="G652" s="356">
        <f t="shared" si="29"/>
        <v>0</v>
      </c>
      <c r="H652" s="559">
        <f t="shared" si="32"/>
        <v>0</v>
      </c>
    </row>
    <row r="653" spans="5:8" s="559" customFormat="1" hidden="1" x14ac:dyDescent="0.25">
      <c r="E653" s="757">
        <f t="shared" si="30"/>
        <v>41955</v>
      </c>
      <c r="F653" s="356">
        <f t="shared" si="31"/>
        <v>0</v>
      </c>
      <c r="G653" s="356">
        <f t="shared" si="29"/>
        <v>0</v>
      </c>
      <c r="H653" s="559">
        <f t="shared" si="32"/>
        <v>0</v>
      </c>
    </row>
    <row r="654" spans="5:8" s="559" customFormat="1" hidden="1" x14ac:dyDescent="0.25">
      <c r="E654" s="757">
        <f t="shared" si="30"/>
        <v>41956</v>
      </c>
      <c r="F654" s="356">
        <f t="shared" si="31"/>
        <v>0</v>
      </c>
      <c r="G654" s="356">
        <f t="shared" si="29"/>
        <v>0</v>
      </c>
      <c r="H654" s="559">
        <f t="shared" si="32"/>
        <v>0</v>
      </c>
    </row>
    <row r="655" spans="5:8" s="559" customFormat="1" hidden="1" x14ac:dyDescent="0.25">
      <c r="E655" s="757">
        <f t="shared" si="30"/>
        <v>41957</v>
      </c>
      <c r="F655" s="356">
        <f t="shared" si="31"/>
        <v>0</v>
      </c>
      <c r="G655" s="356">
        <f t="shared" si="29"/>
        <v>0</v>
      </c>
      <c r="H655" s="559">
        <f t="shared" si="32"/>
        <v>0</v>
      </c>
    </row>
    <row r="656" spans="5:8" s="559" customFormat="1" hidden="1" x14ac:dyDescent="0.25">
      <c r="E656" s="757">
        <f t="shared" si="30"/>
        <v>41958</v>
      </c>
      <c r="F656" s="356">
        <f t="shared" si="31"/>
        <v>0</v>
      </c>
      <c r="G656" s="356">
        <f t="shared" si="29"/>
        <v>0</v>
      </c>
      <c r="H656" s="559">
        <f t="shared" si="32"/>
        <v>0</v>
      </c>
    </row>
    <row r="657" spans="5:8" s="559" customFormat="1" hidden="1" x14ac:dyDescent="0.25">
      <c r="E657" s="757">
        <f t="shared" si="30"/>
        <v>41959</v>
      </c>
      <c r="F657" s="356">
        <f t="shared" si="31"/>
        <v>0</v>
      </c>
      <c r="G657" s="356">
        <f t="shared" si="29"/>
        <v>0</v>
      </c>
      <c r="H657" s="559">
        <f t="shared" si="32"/>
        <v>0</v>
      </c>
    </row>
    <row r="658" spans="5:8" s="559" customFormat="1" hidden="1" x14ac:dyDescent="0.25">
      <c r="E658" s="757">
        <f t="shared" si="30"/>
        <v>41960</v>
      </c>
      <c r="F658" s="356">
        <f t="shared" si="31"/>
        <v>0</v>
      </c>
      <c r="G658" s="356">
        <f t="shared" si="29"/>
        <v>0</v>
      </c>
      <c r="H658" s="559">
        <f t="shared" si="32"/>
        <v>0</v>
      </c>
    </row>
    <row r="659" spans="5:8" s="559" customFormat="1" hidden="1" x14ac:dyDescent="0.25">
      <c r="E659" s="757">
        <f t="shared" si="30"/>
        <v>41961</v>
      </c>
      <c r="F659" s="356">
        <f t="shared" si="31"/>
        <v>0</v>
      </c>
      <c r="G659" s="356">
        <f t="shared" si="29"/>
        <v>0</v>
      </c>
      <c r="H659" s="559">
        <f t="shared" si="32"/>
        <v>0</v>
      </c>
    </row>
    <row r="660" spans="5:8" s="559" customFormat="1" hidden="1" x14ac:dyDescent="0.25">
      <c r="E660" s="757">
        <f t="shared" si="30"/>
        <v>41962</v>
      </c>
      <c r="F660" s="356">
        <f t="shared" si="31"/>
        <v>0</v>
      </c>
      <c r="G660" s="356">
        <f t="shared" si="29"/>
        <v>0</v>
      </c>
      <c r="H660" s="559">
        <f t="shared" si="32"/>
        <v>0</v>
      </c>
    </row>
    <row r="661" spans="5:8" s="559" customFormat="1" hidden="1" x14ac:dyDescent="0.25">
      <c r="E661" s="757">
        <f t="shared" si="30"/>
        <v>41963</v>
      </c>
      <c r="F661" s="356">
        <f t="shared" si="31"/>
        <v>0</v>
      </c>
      <c r="G661" s="356">
        <f t="shared" si="29"/>
        <v>0</v>
      </c>
      <c r="H661" s="559">
        <f t="shared" si="32"/>
        <v>0</v>
      </c>
    </row>
    <row r="662" spans="5:8" s="559" customFormat="1" hidden="1" x14ac:dyDescent="0.25">
      <c r="E662" s="757">
        <f t="shared" si="30"/>
        <v>41964</v>
      </c>
      <c r="F662" s="356">
        <f t="shared" si="31"/>
        <v>0</v>
      </c>
      <c r="G662" s="356">
        <f t="shared" si="29"/>
        <v>0</v>
      </c>
      <c r="H662" s="559">
        <f t="shared" si="32"/>
        <v>0</v>
      </c>
    </row>
    <row r="663" spans="5:8" s="559" customFormat="1" hidden="1" x14ac:dyDescent="0.25">
      <c r="E663" s="757">
        <f t="shared" si="30"/>
        <v>41965</v>
      </c>
      <c r="F663" s="356">
        <f t="shared" si="31"/>
        <v>0</v>
      </c>
      <c r="G663" s="356">
        <f t="shared" si="29"/>
        <v>0</v>
      </c>
      <c r="H663" s="559">
        <f t="shared" si="32"/>
        <v>0</v>
      </c>
    </row>
    <row r="664" spans="5:8" s="559" customFormat="1" hidden="1" x14ac:dyDescent="0.25">
      <c r="E664" s="757">
        <f t="shared" si="30"/>
        <v>41966</v>
      </c>
      <c r="F664" s="356">
        <f t="shared" si="31"/>
        <v>0</v>
      </c>
      <c r="G664" s="356">
        <f t="shared" si="29"/>
        <v>0</v>
      </c>
      <c r="H664" s="559">
        <f t="shared" si="32"/>
        <v>0</v>
      </c>
    </row>
    <row r="665" spans="5:8" s="559" customFormat="1" hidden="1" x14ac:dyDescent="0.25">
      <c r="E665" s="757">
        <f t="shared" si="30"/>
        <v>41967</v>
      </c>
      <c r="F665" s="356">
        <f t="shared" si="31"/>
        <v>0</v>
      </c>
      <c r="G665" s="356">
        <f t="shared" si="29"/>
        <v>0</v>
      </c>
      <c r="H665" s="559">
        <f t="shared" si="32"/>
        <v>0</v>
      </c>
    </row>
    <row r="666" spans="5:8" s="559" customFormat="1" hidden="1" x14ac:dyDescent="0.25">
      <c r="E666" s="757">
        <f t="shared" si="30"/>
        <v>41968</v>
      </c>
      <c r="F666" s="356">
        <f t="shared" si="31"/>
        <v>0</v>
      </c>
      <c r="G666" s="356">
        <f t="shared" si="29"/>
        <v>0</v>
      </c>
      <c r="H666" s="559">
        <f t="shared" si="32"/>
        <v>0</v>
      </c>
    </row>
    <row r="667" spans="5:8" s="559" customFormat="1" hidden="1" x14ac:dyDescent="0.25">
      <c r="E667" s="757">
        <f t="shared" si="30"/>
        <v>41969</v>
      </c>
      <c r="F667" s="356">
        <f t="shared" si="31"/>
        <v>0</v>
      </c>
      <c r="G667" s="356">
        <f t="shared" ref="G667:G730" si="33">ROUND(F667,-2)</f>
        <v>0</v>
      </c>
      <c r="H667" s="559">
        <f t="shared" si="32"/>
        <v>0</v>
      </c>
    </row>
    <row r="668" spans="5:8" s="559" customFormat="1" hidden="1" x14ac:dyDescent="0.25">
      <c r="E668" s="757">
        <f t="shared" ref="E668:E731" si="34">IF(E667&lt;$C$156,E667+1,$C$156)</f>
        <v>41970</v>
      </c>
      <c r="F668" s="356">
        <f t="shared" ref="F668:F731" si="35">IF(E667&lt;$C$156,F667+C$158,F667)</f>
        <v>0</v>
      </c>
      <c r="G668" s="356">
        <f t="shared" si="33"/>
        <v>0</v>
      </c>
      <c r="H668" s="559">
        <f t="shared" ref="H668:H731" si="36">IF(F668&gt;F667,(VLOOKUP(G668,$K$154:$O$160,MATCH($C$159,$K$154:$O$154,0),0)),0)</f>
        <v>0</v>
      </c>
    </row>
    <row r="669" spans="5:8" s="559" customFormat="1" hidden="1" x14ac:dyDescent="0.25">
      <c r="E669" s="757">
        <f t="shared" si="34"/>
        <v>41971</v>
      </c>
      <c r="F669" s="356">
        <f t="shared" si="35"/>
        <v>0</v>
      </c>
      <c r="G669" s="356">
        <f t="shared" si="33"/>
        <v>0</v>
      </c>
      <c r="H669" s="559">
        <f t="shared" si="36"/>
        <v>0</v>
      </c>
    </row>
    <row r="670" spans="5:8" s="559" customFormat="1" hidden="1" x14ac:dyDescent="0.25">
      <c r="E670" s="757">
        <f t="shared" si="34"/>
        <v>41972</v>
      </c>
      <c r="F670" s="356">
        <f t="shared" si="35"/>
        <v>0</v>
      </c>
      <c r="G670" s="356">
        <f t="shared" si="33"/>
        <v>0</v>
      </c>
      <c r="H670" s="559">
        <f t="shared" si="36"/>
        <v>0</v>
      </c>
    </row>
    <row r="671" spans="5:8" s="559" customFormat="1" hidden="1" x14ac:dyDescent="0.25">
      <c r="E671" s="757">
        <f t="shared" si="34"/>
        <v>41973</v>
      </c>
      <c r="F671" s="356">
        <f t="shared" si="35"/>
        <v>0</v>
      </c>
      <c r="G671" s="356">
        <f t="shared" si="33"/>
        <v>0</v>
      </c>
      <c r="H671" s="559">
        <f t="shared" si="36"/>
        <v>0</v>
      </c>
    </row>
    <row r="672" spans="5:8" s="559" customFormat="1" hidden="1" x14ac:dyDescent="0.25">
      <c r="E672" s="757">
        <f t="shared" si="34"/>
        <v>41974</v>
      </c>
      <c r="F672" s="356">
        <f t="shared" si="35"/>
        <v>0</v>
      </c>
      <c r="G672" s="356">
        <f t="shared" si="33"/>
        <v>0</v>
      </c>
      <c r="H672" s="559">
        <f t="shared" si="36"/>
        <v>0</v>
      </c>
    </row>
    <row r="673" spans="5:8" s="559" customFormat="1" hidden="1" x14ac:dyDescent="0.25">
      <c r="E673" s="757">
        <f t="shared" si="34"/>
        <v>41975</v>
      </c>
      <c r="F673" s="356">
        <f t="shared" si="35"/>
        <v>0</v>
      </c>
      <c r="G673" s="356">
        <f t="shared" si="33"/>
        <v>0</v>
      </c>
      <c r="H673" s="559">
        <f t="shared" si="36"/>
        <v>0</v>
      </c>
    </row>
    <row r="674" spans="5:8" s="559" customFormat="1" hidden="1" x14ac:dyDescent="0.25">
      <c r="E674" s="757">
        <f t="shared" si="34"/>
        <v>41976</v>
      </c>
      <c r="F674" s="356">
        <f t="shared" si="35"/>
        <v>0</v>
      </c>
      <c r="G674" s="356">
        <f t="shared" si="33"/>
        <v>0</v>
      </c>
      <c r="H674" s="559">
        <f t="shared" si="36"/>
        <v>0</v>
      </c>
    </row>
    <row r="675" spans="5:8" s="559" customFormat="1" hidden="1" x14ac:dyDescent="0.25">
      <c r="E675" s="757">
        <f t="shared" si="34"/>
        <v>41977</v>
      </c>
      <c r="F675" s="356">
        <f t="shared" si="35"/>
        <v>0</v>
      </c>
      <c r="G675" s="356">
        <f t="shared" si="33"/>
        <v>0</v>
      </c>
      <c r="H675" s="559">
        <f t="shared" si="36"/>
        <v>0</v>
      </c>
    </row>
    <row r="676" spans="5:8" s="559" customFormat="1" hidden="1" x14ac:dyDescent="0.25">
      <c r="E676" s="757">
        <f t="shared" si="34"/>
        <v>41978</v>
      </c>
      <c r="F676" s="356">
        <f t="shared" si="35"/>
        <v>0</v>
      </c>
      <c r="G676" s="356">
        <f t="shared" si="33"/>
        <v>0</v>
      </c>
      <c r="H676" s="559">
        <f t="shared" si="36"/>
        <v>0</v>
      </c>
    </row>
    <row r="677" spans="5:8" s="559" customFormat="1" hidden="1" x14ac:dyDescent="0.25">
      <c r="E677" s="757">
        <f t="shared" si="34"/>
        <v>41979</v>
      </c>
      <c r="F677" s="356">
        <f t="shared" si="35"/>
        <v>0</v>
      </c>
      <c r="G677" s="356">
        <f t="shared" si="33"/>
        <v>0</v>
      </c>
      <c r="H677" s="559">
        <f t="shared" si="36"/>
        <v>0</v>
      </c>
    </row>
    <row r="678" spans="5:8" s="559" customFormat="1" hidden="1" x14ac:dyDescent="0.25">
      <c r="E678" s="757">
        <f t="shared" si="34"/>
        <v>41980</v>
      </c>
      <c r="F678" s="356">
        <f t="shared" si="35"/>
        <v>0</v>
      </c>
      <c r="G678" s="356">
        <f t="shared" si="33"/>
        <v>0</v>
      </c>
      <c r="H678" s="559">
        <f t="shared" si="36"/>
        <v>0</v>
      </c>
    </row>
    <row r="679" spans="5:8" s="559" customFormat="1" hidden="1" x14ac:dyDescent="0.25">
      <c r="E679" s="757">
        <f t="shared" si="34"/>
        <v>41981</v>
      </c>
      <c r="F679" s="356">
        <f t="shared" si="35"/>
        <v>0</v>
      </c>
      <c r="G679" s="356">
        <f t="shared" si="33"/>
        <v>0</v>
      </c>
      <c r="H679" s="559">
        <f t="shared" si="36"/>
        <v>0</v>
      </c>
    </row>
    <row r="680" spans="5:8" s="559" customFormat="1" hidden="1" x14ac:dyDescent="0.25">
      <c r="E680" s="757">
        <f t="shared" si="34"/>
        <v>41982</v>
      </c>
      <c r="F680" s="356">
        <f t="shared" si="35"/>
        <v>0</v>
      </c>
      <c r="G680" s="356">
        <f t="shared" si="33"/>
        <v>0</v>
      </c>
      <c r="H680" s="559">
        <f t="shared" si="36"/>
        <v>0</v>
      </c>
    </row>
    <row r="681" spans="5:8" s="559" customFormat="1" hidden="1" x14ac:dyDescent="0.25">
      <c r="E681" s="757">
        <f t="shared" si="34"/>
        <v>41983</v>
      </c>
      <c r="F681" s="356">
        <f t="shared" si="35"/>
        <v>0</v>
      </c>
      <c r="G681" s="356">
        <f t="shared" si="33"/>
        <v>0</v>
      </c>
      <c r="H681" s="559">
        <f t="shared" si="36"/>
        <v>0</v>
      </c>
    </row>
    <row r="682" spans="5:8" s="559" customFormat="1" hidden="1" x14ac:dyDescent="0.25">
      <c r="E682" s="757">
        <f t="shared" si="34"/>
        <v>41984</v>
      </c>
      <c r="F682" s="356">
        <f t="shared" si="35"/>
        <v>0</v>
      </c>
      <c r="G682" s="356">
        <f t="shared" si="33"/>
        <v>0</v>
      </c>
      <c r="H682" s="559">
        <f t="shared" si="36"/>
        <v>0</v>
      </c>
    </row>
    <row r="683" spans="5:8" s="559" customFormat="1" hidden="1" x14ac:dyDescent="0.25">
      <c r="E683" s="757">
        <f t="shared" si="34"/>
        <v>41985</v>
      </c>
      <c r="F683" s="356">
        <f t="shared" si="35"/>
        <v>0</v>
      </c>
      <c r="G683" s="356">
        <f t="shared" si="33"/>
        <v>0</v>
      </c>
      <c r="H683" s="559">
        <f t="shared" si="36"/>
        <v>0</v>
      </c>
    </row>
    <row r="684" spans="5:8" s="559" customFormat="1" hidden="1" x14ac:dyDescent="0.25">
      <c r="E684" s="757">
        <f t="shared" si="34"/>
        <v>41986</v>
      </c>
      <c r="F684" s="356">
        <f t="shared" si="35"/>
        <v>0</v>
      </c>
      <c r="G684" s="356">
        <f t="shared" si="33"/>
        <v>0</v>
      </c>
      <c r="H684" s="559">
        <f t="shared" si="36"/>
        <v>0</v>
      </c>
    </row>
    <row r="685" spans="5:8" s="559" customFormat="1" hidden="1" x14ac:dyDescent="0.25">
      <c r="E685" s="757">
        <f t="shared" si="34"/>
        <v>41987</v>
      </c>
      <c r="F685" s="356">
        <f t="shared" si="35"/>
        <v>0</v>
      </c>
      <c r="G685" s="356">
        <f t="shared" si="33"/>
        <v>0</v>
      </c>
      <c r="H685" s="559">
        <f t="shared" si="36"/>
        <v>0</v>
      </c>
    </row>
    <row r="686" spans="5:8" s="559" customFormat="1" hidden="1" x14ac:dyDescent="0.25">
      <c r="E686" s="757">
        <f t="shared" si="34"/>
        <v>41988</v>
      </c>
      <c r="F686" s="356">
        <f t="shared" si="35"/>
        <v>0</v>
      </c>
      <c r="G686" s="356">
        <f t="shared" si="33"/>
        <v>0</v>
      </c>
      <c r="H686" s="559">
        <f t="shared" si="36"/>
        <v>0</v>
      </c>
    </row>
    <row r="687" spans="5:8" s="559" customFormat="1" hidden="1" x14ac:dyDescent="0.25">
      <c r="E687" s="757">
        <f t="shared" si="34"/>
        <v>41989</v>
      </c>
      <c r="F687" s="356">
        <f t="shared" si="35"/>
        <v>0</v>
      </c>
      <c r="G687" s="356">
        <f t="shared" si="33"/>
        <v>0</v>
      </c>
      <c r="H687" s="559">
        <f t="shared" si="36"/>
        <v>0</v>
      </c>
    </row>
    <row r="688" spans="5:8" s="559" customFormat="1" hidden="1" x14ac:dyDescent="0.25">
      <c r="E688" s="757">
        <f t="shared" si="34"/>
        <v>41990</v>
      </c>
      <c r="F688" s="356">
        <f t="shared" si="35"/>
        <v>0</v>
      </c>
      <c r="G688" s="356">
        <f t="shared" si="33"/>
        <v>0</v>
      </c>
      <c r="H688" s="559">
        <f t="shared" si="36"/>
        <v>0</v>
      </c>
    </row>
    <row r="689" spans="5:8" s="559" customFormat="1" hidden="1" x14ac:dyDescent="0.25">
      <c r="E689" s="757">
        <f t="shared" si="34"/>
        <v>41991</v>
      </c>
      <c r="F689" s="356">
        <f t="shared" si="35"/>
        <v>0</v>
      </c>
      <c r="G689" s="356">
        <f t="shared" si="33"/>
        <v>0</v>
      </c>
      <c r="H689" s="559">
        <f t="shared" si="36"/>
        <v>0</v>
      </c>
    </row>
    <row r="690" spans="5:8" s="559" customFormat="1" hidden="1" x14ac:dyDescent="0.25">
      <c r="E690" s="757">
        <f t="shared" si="34"/>
        <v>41992</v>
      </c>
      <c r="F690" s="356">
        <f t="shared" si="35"/>
        <v>0</v>
      </c>
      <c r="G690" s="356">
        <f t="shared" si="33"/>
        <v>0</v>
      </c>
      <c r="H690" s="559">
        <f t="shared" si="36"/>
        <v>0</v>
      </c>
    </row>
    <row r="691" spans="5:8" s="559" customFormat="1" hidden="1" x14ac:dyDescent="0.25">
      <c r="E691" s="757">
        <f t="shared" si="34"/>
        <v>41993</v>
      </c>
      <c r="F691" s="356">
        <f t="shared" si="35"/>
        <v>0</v>
      </c>
      <c r="G691" s="356">
        <f t="shared" si="33"/>
        <v>0</v>
      </c>
      <c r="H691" s="559">
        <f t="shared" si="36"/>
        <v>0</v>
      </c>
    </row>
    <row r="692" spans="5:8" s="559" customFormat="1" hidden="1" x14ac:dyDescent="0.25">
      <c r="E692" s="757">
        <f t="shared" si="34"/>
        <v>41994</v>
      </c>
      <c r="F692" s="356">
        <f t="shared" si="35"/>
        <v>0</v>
      </c>
      <c r="G692" s="356">
        <f t="shared" si="33"/>
        <v>0</v>
      </c>
      <c r="H692" s="559">
        <f t="shared" si="36"/>
        <v>0</v>
      </c>
    </row>
    <row r="693" spans="5:8" s="559" customFormat="1" hidden="1" x14ac:dyDescent="0.25">
      <c r="E693" s="757">
        <f t="shared" si="34"/>
        <v>41995</v>
      </c>
      <c r="F693" s="356">
        <f t="shared" si="35"/>
        <v>0</v>
      </c>
      <c r="G693" s="356">
        <f t="shared" si="33"/>
        <v>0</v>
      </c>
      <c r="H693" s="559">
        <f t="shared" si="36"/>
        <v>0</v>
      </c>
    </row>
    <row r="694" spans="5:8" s="559" customFormat="1" hidden="1" x14ac:dyDescent="0.25">
      <c r="E694" s="757">
        <f t="shared" si="34"/>
        <v>41996</v>
      </c>
      <c r="F694" s="356">
        <f t="shared" si="35"/>
        <v>0</v>
      </c>
      <c r="G694" s="356">
        <f t="shared" si="33"/>
        <v>0</v>
      </c>
      <c r="H694" s="559">
        <f t="shared" si="36"/>
        <v>0</v>
      </c>
    </row>
    <row r="695" spans="5:8" s="559" customFormat="1" hidden="1" x14ac:dyDescent="0.25">
      <c r="E695" s="757">
        <f t="shared" si="34"/>
        <v>41997</v>
      </c>
      <c r="F695" s="356">
        <f t="shared" si="35"/>
        <v>0</v>
      </c>
      <c r="G695" s="356">
        <f t="shared" si="33"/>
        <v>0</v>
      </c>
      <c r="H695" s="559">
        <f t="shared" si="36"/>
        <v>0</v>
      </c>
    </row>
    <row r="696" spans="5:8" s="559" customFormat="1" hidden="1" x14ac:dyDescent="0.25">
      <c r="E696" s="757">
        <f t="shared" si="34"/>
        <v>41998</v>
      </c>
      <c r="F696" s="356">
        <f t="shared" si="35"/>
        <v>0</v>
      </c>
      <c r="G696" s="356">
        <f t="shared" si="33"/>
        <v>0</v>
      </c>
      <c r="H696" s="559">
        <f t="shared" si="36"/>
        <v>0</v>
      </c>
    </row>
    <row r="697" spans="5:8" s="559" customFormat="1" hidden="1" x14ac:dyDescent="0.25">
      <c r="E697" s="757">
        <f t="shared" si="34"/>
        <v>41999</v>
      </c>
      <c r="F697" s="356">
        <f t="shared" si="35"/>
        <v>0</v>
      </c>
      <c r="G697" s="356">
        <f t="shared" si="33"/>
        <v>0</v>
      </c>
      <c r="H697" s="559">
        <f t="shared" si="36"/>
        <v>0</v>
      </c>
    </row>
    <row r="698" spans="5:8" s="559" customFormat="1" hidden="1" x14ac:dyDescent="0.25">
      <c r="E698" s="757">
        <f t="shared" si="34"/>
        <v>42000</v>
      </c>
      <c r="F698" s="356">
        <f t="shared" si="35"/>
        <v>0</v>
      </c>
      <c r="G698" s="356">
        <f t="shared" si="33"/>
        <v>0</v>
      </c>
      <c r="H698" s="559">
        <f t="shared" si="36"/>
        <v>0</v>
      </c>
    </row>
    <row r="699" spans="5:8" s="559" customFormat="1" hidden="1" x14ac:dyDescent="0.25">
      <c r="E699" s="757">
        <f t="shared" si="34"/>
        <v>42001</v>
      </c>
      <c r="F699" s="356">
        <f t="shared" si="35"/>
        <v>0</v>
      </c>
      <c r="G699" s="356">
        <f t="shared" si="33"/>
        <v>0</v>
      </c>
      <c r="H699" s="559">
        <f t="shared" si="36"/>
        <v>0</v>
      </c>
    </row>
    <row r="700" spans="5:8" s="559" customFormat="1" hidden="1" x14ac:dyDescent="0.25">
      <c r="E700" s="757">
        <f t="shared" si="34"/>
        <v>42002</v>
      </c>
      <c r="F700" s="356">
        <f t="shared" si="35"/>
        <v>0</v>
      </c>
      <c r="G700" s="356">
        <f t="shared" si="33"/>
        <v>0</v>
      </c>
      <c r="H700" s="559">
        <f t="shared" si="36"/>
        <v>0</v>
      </c>
    </row>
    <row r="701" spans="5:8" s="559" customFormat="1" hidden="1" x14ac:dyDescent="0.25">
      <c r="E701" s="757">
        <f t="shared" si="34"/>
        <v>42003</v>
      </c>
      <c r="F701" s="356">
        <f t="shared" si="35"/>
        <v>0</v>
      </c>
      <c r="G701" s="356">
        <f t="shared" si="33"/>
        <v>0</v>
      </c>
      <c r="H701" s="559">
        <f t="shared" si="36"/>
        <v>0</v>
      </c>
    </row>
    <row r="702" spans="5:8" s="559" customFormat="1" hidden="1" x14ac:dyDescent="0.25">
      <c r="E702" s="757">
        <f t="shared" si="34"/>
        <v>42004</v>
      </c>
      <c r="F702" s="356">
        <f t="shared" si="35"/>
        <v>0</v>
      </c>
      <c r="G702" s="356">
        <f t="shared" si="33"/>
        <v>0</v>
      </c>
      <c r="H702" s="559">
        <f t="shared" si="36"/>
        <v>0</v>
      </c>
    </row>
    <row r="703" spans="5:8" s="559" customFormat="1" hidden="1" x14ac:dyDescent="0.25">
      <c r="E703" s="757">
        <f t="shared" si="34"/>
        <v>42005</v>
      </c>
      <c r="F703" s="356">
        <f t="shared" si="35"/>
        <v>0</v>
      </c>
      <c r="G703" s="356">
        <f t="shared" si="33"/>
        <v>0</v>
      </c>
      <c r="H703" s="559">
        <f t="shared" si="36"/>
        <v>0</v>
      </c>
    </row>
    <row r="704" spans="5:8" s="559" customFormat="1" hidden="1" x14ac:dyDescent="0.25">
      <c r="E704" s="757">
        <f t="shared" si="34"/>
        <v>42006</v>
      </c>
      <c r="F704" s="356">
        <f t="shared" si="35"/>
        <v>0</v>
      </c>
      <c r="G704" s="356">
        <f t="shared" si="33"/>
        <v>0</v>
      </c>
      <c r="H704" s="559">
        <f t="shared" si="36"/>
        <v>0</v>
      </c>
    </row>
    <row r="705" spans="5:8" s="559" customFormat="1" hidden="1" x14ac:dyDescent="0.25">
      <c r="E705" s="757">
        <f t="shared" si="34"/>
        <v>42007</v>
      </c>
      <c r="F705" s="356">
        <f t="shared" si="35"/>
        <v>0</v>
      </c>
      <c r="G705" s="356">
        <f t="shared" si="33"/>
        <v>0</v>
      </c>
      <c r="H705" s="559">
        <f t="shared" si="36"/>
        <v>0</v>
      </c>
    </row>
    <row r="706" spans="5:8" s="559" customFormat="1" hidden="1" x14ac:dyDescent="0.25">
      <c r="E706" s="757">
        <f t="shared" si="34"/>
        <v>42008</v>
      </c>
      <c r="F706" s="356">
        <f t="shared" si="35"/>
        <v>0</v>
      </c>
      <c r="G706" s="356">
        <f t="shared" si="33"/>
        <v>0</v>
      </c>
      <c r="H706" s="559">
        <f t="shared" si="36"/>
        <v>0</v>
      </c>
    </row>
    <row r="707" spans="5:8" s="559" customFormat="1" hidden="1" x14ac:dyDescent="0.25">
      <c r="E707" s="757">
        <f t="shared" si="34"/>
        <v>42009</v>
      </c>
      <c r="F707" s="356">
        <f t="shared" si="35"/>
        <v>0</v>
      </c>
      <c r="G707" s="356">
        <f t="shared" si="33"/>
        <v>0</v>
      </c>
      <c r="H707" s="559">
        <f t="shared" si="36"/>
        <v>0</v>
      </c>
    </row>
    <row r="708" spans="5:8" s="559" customFormat="1" hidden="1" x14ac:dyDescent="0.25">
      <c r="E708" s="757">
        <f t="shared" si="34"/>
        <v>42010</v>
      </c>
      <c r="F708" s="356">
        <f t="shared" si="35"/>
        <v>0</v>
      </c>
      <c r="G708" s="356">
        <f t="shared" si="33"/>
        <v>0</v>
      </c>
      <c r="H708" s="559">
        <f t="shared" si="36"/>
        <v>0</v>
      </c>
    </row>
    <row r="709" spans="5:8" s="559" customFormat="1" hidden="1" x14ac:dyDescent="0.25">
      <c r="E709" s="757">
        <f t="shared" si="34"/>
        <v>42011</v>
      </c>
      <c r="F709" s="356">
        <f t="shared" si="35"/>
        <v>0</v>
      </c>
      <c r="G709" s="356">
        <f t="shared" si="33"/>
        <v>0</v>
      </c>
      <c r="H709" s="559">
        <f t="shared" si="36"/>
        <v>0</v>
      </c>
    </row>
    <row r="710" spans="5:8" s="559" customFormat="1" hidden="1" x14ac:dyDescent="0.25">
      <c r="E710" s="757">
        <f t="shared" si="34"/>
        <v>42012</v>
      </c>
      <c r="F710" s="356">
        <f t="shared" si="35"/>
        <v>0</v>
      </c>
      <c r="G710" s="356">
        <f t="shared" si="33"/>
        <v>0</v>
      </c>
      <c r="H710" s="559">
        <f t="shared" si="36"/>
        <v>0</v>
      </c>
    </row>
    <row r="711" spans="5:8" s="559" customFormat="1" hidden="1" x14ac:dyDescent="0.25">
      <c r="E711" s="757">
        <f t="shared" si="34"/>
        <v>42013</v>
      </c>
      <c r="F711" s="356">
        <f t="shared" si="35"/>
        <v>0</v>
      </c>
      <c r="G711" s="356">
        <f t="shared" si="33"/>
        <v>0</v>
      </c>
      <c r="H711" s="559">
        <f t="shared" si="36"/>
        <v>0</v>
      </c>
    </row>
    <row r="712" spans="5:8" s="559" customFormat="1" hidden="1" x14ac:dyDescent="0.25">
      <c r="E712" s="757">
        <f t="shared" si="34"/>
        <v>42014</v>
      </c>
      <c r="F712" s="356">
        <f t="shared" si="35"/>
        <v>0</v>
      </c>
      <c r="G712" s="356">
        <f t="shared" si="33"/>
        <v>0</v>
      </c>
      <c r="H712" s="559">
        <f t="shared" si="36"/>
        <v>0</v>
      </c>
    </row>
    <row r="713" spans="5:8" s="559" customFormat="1" hidden="1" x14ac:dyDescent="0.25">
      <c r="E713" s="757">
        <f t="shared" si="34"/>
        <v>42015</v>
      </c>
      <c r="F713" s="356">
        <f t="shared" si="35"/>
        <v>0</v>
      </c>
      <c r="G713" s="356">
        <f t="shared" si="33"/>
        <v>0</v>
      </c>
      <c r="H713" s="559">
        <f t="shared" si="36"/>
        <v>0</v>
      </c>
    </row>
    <row r="714" spans="5:8" s="559" customFormat="1" hidden="1" x14ac:dyDescent="0.25">
      <c r="E714" s="757">
        <f t="shared" si="34"/>
        <v>42016</v>
      </c>
      <c r="F714" s="356">
        <f t="shared" si="35"/>
        <v>0</v>
      </c>
      <c r="G714" s="356">
        <f t="shared" si="33"/>
        <v>0</v>
      </c>
      <c r="H714" s="559">
        <f t="shared" si="36"/>
        <v>0</v>
      </c>
    </row>
    <row r="715" spans="5:8" s="559" customFormat="1" hidden="1" x14ac:dyDescent="0.25">
      <c r="E715" s="757">
        <f t="shared" si="34"/>
        <v>42017</v>
      </c>
      <c r="F715" s="356">
        <f t="shared" si="35"/>
        <v>0</v>
      </c>
      <c r="G715" s="356">
        <f t="shared" si="33"/>
        <v>0</v>
      </c>
      <c r="H715" s="559">
        <f t="shared" si="36"/>
        <v>0</v>
      </c>
    </row>
    <row r="716" spans="5:8" s="559" customFormat="1" hidden="1" x14ac:dyDescent="0.25">
      <c r="E716" s="757">
        <f t="shared" si="34"/>
        <v>42018</v>
      </c>
      <c r="F716" s="356">
        <f t="shared" si="35"/>
        <v>0</v>
      </c>
      <c r="G716" s="356">
        <f t="shared" si="33"/>
        <v>0</v>
      </c>
      <c r="H716" s="559">
        <f t="shared" si="36"/>
        <v>0</v>
      </c>
    </row>
    <row r="717" spans="5:8" s="559" customFormat="1" hidden="1" x14ac:dyDescent="0.25">
      <c r="E717" s="757">
        <f t="shared" si="34"/>
        <v>42019</v>
      </c>
      <c r="F717" s="356">
        <f t="shared" si="35"/>
        <v>0</v>
      </c>
      <c r="G717" s="356">
        <f t="shared" si="33"/>
        <v>0</v>
      </c>
      <c r="H717" s="559">
        <f t="shared" si="36"/>
        <v>0</v>
      </c>
    </row>
    <row r="718" spans="5:8" s="559" customFormat="1" hidden="1" x14ac:dyDescent="0.25">
      <c r="E718" s="757">
        <f t="shared" si="34"/>
        <v>42020</v>
      </c>
      <c r="F718" s="356">
        <f t="shared" si="35"/>
        <v>0</v>
      </c>
      <c r="G718" s="356">
        <f t="shared" si="33"/>
        <v>0</v>
      </c>
      <c r="H718" s="559">
        <f t="shared" si="36"/>
        <v>0</v>
      </c>
    </row>
    <row r="719" spans="5:8" s="559" customFormat="1" hidden="1" x14ac:dyDescent="0.25">
      <c r="E719" s="757">
        <f t="shared" si="34"/>
        <v>42021</v>
      </c>
      <c r="F719" s="356">
        <f t="shared" si="35"/>
        <v>0</v>
      </c>
      <c r="G719" s="356">
        <f t="shared" si="33"/>
        <v>0</v>
      </c>
      <c r="H719" s="559">
        <f t="shared" si="36"/>
        <v>0</v>
      </c>
    </row>
    <row r="720" spans="5:8" s="559" customFormat="1" hidden="1" x14ac:dyDescent="0.25">
      <c r="E720" s="757">
        <f t="shared" si="34"/>
        <v>42022</v>
      </c>
      <c r="F720" s="356">
        <f t="shared" si="35"/>
        <v>0</v>
      </c>
      <c r="G720" s="356">
        <f t="shared" si="33"/>
        <v>0</v>
      </c>
      <c r="H720" s="559">
        <f t="shared" si="36"/>
        <v>0</v>
      </c>
    </row>
    <row r="721" spans="5:8" s="559" customFormat="1" hidden="1" x14ac:dyDescent="0.25">
      <c r="E721" s="757">
        <f t="shared" si="34"/>
        <v>42023</v>
      </c>
      <c r="F721" s="356">
        <f t="shared" si="35"/>
        <v>0</v>
      </c>
      <c r="G721" s="356">
        <f t="shared" si="33"/>
        <v>0</v>
      </c>
      <c r="H721" s="559">
        <f t="shared" si="36"/>
        <v>0</v>
      </c>
    </row>
    <row r="722" spans="5:8" s="559" customFormat="1" hidden="1" x14ac:dyDescent="0.25">
      <c r="E722" s="757">
        <f t="shared" si="34"/>
        <v>42024</v>
      </c>
      <c r="F722" s="356">
        <f t="shared" si="35"/>
        <v>0</v>
      </c>
      <c r="G722" s="356">
        <f t="shared" si="33"/>
        <v>0</v>
      </c>
      <c r="H722" s="559">
        <f t="shared" si="36"/>
        <v>0</v>
      </c>
    </row>
    <row r="723" spans="5:8" s="559" customFormat="1" hidden="1" x14ac:dyDescent="0.25">
      <c r="E723" s="757">
        <f t="shared" si="34"/>
        <v>42025</v>
      </c>
      <c r="F723" s="356">
        <f t="shared" si="35"/>
        <v>0</v>
      </c>
      <c r="G723" s="356">
        <f t="shared" si="33"/>
        <v>0</v>
      </c>
      <c r="H723" s="559">
        <f t="shared" si="36"/>
        <v>0</v>
      </c>
    </row>
    <row r="724" spans="5:8" s="559" customFormat="1" hidden="1" x14ac:dyDescent="0.25">
      <c r="E724" s="757">
        <f t="shared" si="34"/>
        <v>42026</v>
      </c>
      <c r="F724" s="356">
        <f t="shared" si="35"/>
        <v>0</v>
      </c>
      <c r="G724" s="356">
        <f t="shared" si="33"/>
        <v>0</v>
      </c>
      <c r="H724" s="559">
        <f t="shared" si="36"/>
        <v>0</v>
      </c>
    </row>
    <row r="725" spans="5:8" s="559" customFormat="1" hidden="1" x14ac:dyDescent="0.25">
      <c r="E725" s="757">
        <f t="shared" si="34"/>
        <v>42027</v>
      </c>
      <c r="F725" s="356">
        <f t="shared" si="35"/>
        <v>0</v>
      </c>
      <c r="G725" s="356">
        <f t="shared" si="33"/>
        <v>0</v>
      </c>
      <c r="H725" s="559">
        <f t="shared" si="36"/>
        <v>0</v>
      </c>
    </row>
    <row r="726" spans="5:8" s="559" customFormat="1" hidden="1" x14ac:dyDescent="0.25">
      <c r="E726" s="757">
        <f t="shared" si="34"/>
        <v>42028</v>
      </c>
      <c r="F726" s="356">
        <f t="shared" si="35"/>
        <v>0</v>
      </c>
      <c r="G726" s="356">
        <f t="shared" si="33"/>
        <v>0</v>
      </c>
      <c r="H726" s="559">
        <f t="shared" si="36"/>
        <v>0</v>
      </c>
    </row>
    <row r="727" spans="5:8" s="559" customFormat="1" hidden="1" x14ac:dyDescent="0.25">
      <c r="E727" s="757">
        <f t="shared" si="34"/>
        <v>42029</v>
      </c>
      <c r="F727" s="356">
        <f t="shared" si="35"/>
        <v>0</v>
      </c>
      <c r="G727" s="356">
        <f t="shared" si="33"/>
        <v>0</v>
      </c>
      <c r="H727" s="559">
        <f t="shared" si="36"/>
        <v>0</v>
      </c>
    </row>
    <row r="728" spans="5:8" s="559" customFormat="1" hidden="1" x14ac:dyDescent="0.25">
      <c r="E728" s="757">
        <f t="shared" si="34"/>
        <v>42030</v>
      </c>
      <c r="F728" s="356">
        <f t="shared" si="35"/>
        <v>0</v>
      </c>
      <c r="G728" s="356">
        <f t="shared" si="33"/>
        <v>0</v>
      </c>
      <c r="H728" s="559">
        <f t="shared" si="36"/>
        <v>0</v>
      </c>
    </row>
    <row r="729" spans="5:8" s="559" customFormat="1" hidden="1" x14ac:dyDescent="0.25">
      <c r="E729" s="757">
        <f t="shared" si="34"/>
        <v>42031</v>
      </c>
      <c r="F729" s="356">
        <f t="shared" si="35"/>
        <v>0</v>
      </c>
      <c r="G729" s="356">
        <f t="shared" si="33"/>
        <v>0</v>
      </c>
      <c r="H729" s="559">
        <f t="shared" si="36"/>
        <v>0</v>
      </c>
    </row>
    <row r="730" spans="5:8" s="559" customFormat="1" hidden="1" x14ac:dyDescent="0.25">
      <c r="E730" s="757">
        <f t="shared" si="34"/>
        <v>42032</v>
      </c>
      <c r="F730" s="356">
        <f t="shared" si="35"/>
        <v>0</v>
      </c>
      <c r="G730" s="356">
        <f t="shared" si="33"/>
        <v>0</v>
      </c>
      <c r="H730" s="559">
        <f t="shared" si="36"/>
        <v>0</v>
      </c>
    </row>
    <row r="731" spans="5:8" s="559" customFormat="1" hidden="1" x14ac:dyDescent="0.25">
      <c r="E731" s="757">
        <f t="shared" si="34"/>
        <v>42033</v>
      </c>
      <c r="F731" s="356">
        <f t="shared" si="35"/>
        <v>0</v>
      </c>
      <c r="G731" s="356">
        <f t="shared" ref="G731:G794" si="37">ROUND(F731,-2)</f>
        <v>0</v>
      </c>
      <c r="H731" s="559">
        <f t="shared" si="36"/>
        <v>0</v>
      </c>
    </row>
    <row r="732" spans="5:8" s="559" customFormat="1" hidden="1" x14ac:dyDescent="0.25">
      <c r="E732" s="757">
        <f t="shared" ref="E732:E795" si="38">IF(E731&lt;$C$156,E731+1,$C$156)</f>
        <v>42034</v>
      </c>
      <c r="F732" s="356">
        <f t="shared" ref="F732:F795" si="39">IF(E731&lt;$C$156,F731+C$158,F731)</f>
        <v>0</v>
      </c>
      <c r="G732" s="356">
        <f t="shared" si="37"/>
        <v>0</v>
      </c>
      <c r="H732" s="559">
        <f t="shared" ref="H732:H795" si="40">IF(F732&gt;F731,(VLOOKUP(G732,$K$154:$O$160,MATCH($C$159,$K$154:$O$154,0),0)),0)</f>
        <v>0</v>
      </c>
    </row>
    <row r="733" spans="5:8" s="559" customFormat="1" hidden="1" x14ac:dyDescent="0.25">
      <c r="E733" s="757">
        <f t="shared" si="38"/>
        <v>42035</v>
      </c>
      <c r="F733" s="356">
        <f t="shared" si="39"/>
        <v>0</v>
      </c>
      <c r="G733" s="356">
        <f t="shared" si="37"/>
        <v>0</v>
      </c>
      <c r="H733" s="559">
        <f t="shared" si="40"/>
        <v>0</v>
      </c>
    </row>
    <row r="734" spans="5:8" s="559" customFormat="1" hidden="1" x14ac:dyDescent="0.25">
      <c r="E734" s="757">
        <f t="shared" si="38"/>
        <v>42036</v>
      </c>
      <c r="F734" s="356">
        <f t="shared" si="39"/>
        <v>0</v>
      </c>
      <c r="G734" s="356">
        <f t="shared" si="37"/>
        <v>0</v>
      </c>
      <c r="H734" s="559">
        <f t="shared" si="40"/>
        <v>0</v>
      </c>
    </row>
    <row r="735" spans="5:8" s="559" customFormat="1" hidden="1" x14ac:dyDescent="0.25">
      <c r="E735" s="757">
        <f t="shared" si="38"/>
        <v>42037</v>
      </c>
      <c r="F735" s="356">
        <f t="shared" si="39"/>
        <v>0</v>
      </c>
      <c r="G735" s="356">
        <f t="shared" si="37"/>
        <v>0</v>
      </c>
      <c r="H735" s="559">
        <f t="shared" si="40"/>
        <v>0</v>
      </c>
    </row>
    <row r="736" spans="5:8" s="559" customFormat="1" hidden="1" x14ac:dyDescent="0.25">
      <c r="E736" s="757">
        <f t="shared" si="38"/>
        <v>42038</v>
      </c>
      <c r="F736" s="356">
        <f t="shared" si="39"/>
        <v>0</v>
      </c>
      <c r="G736" s="356">
        <f t="shared" si="37"/>
        <v>0</v>
      </c>
      <c r="H736" s="559">
        <f t="shared" si="40"/>
        <v>0</v>
      </c>
    </row>
    <row r="737" spans="5:8" s="559" customFormat="1" hidden="1" x14ac:dyDescent="0.25">
      <c r="E737" s="757">
        <f t="shared" si="38"/>
        <v>42039</v>
      </c>
      <c r="F737" s="356">
        <f t="shared" si="39"/>
        <v>0</v>
      </c>
      <c r="G737" s="356">
        <f t="shared" si="37"/>
        <v>0</v>
      </c>
      <c r="H737" s="559">
        <f t="shared" si="40"/>
        <v>0</v>
      </c>
    </row>
    <row r="738" spans="5:8" s="559" customFormat="1" hidden="1" x14ac:dyDescent="0.25">
      <c r="E738" s="757">
        <f t="shared" si="38"/>
        <v>42040</v>
      </c>
      <c r="F738" s="356">
        <f t="shared" si="39"/>
        <v>0</v>
      </c>
      <c r="G738" s="356">
        <f t="shared" si="37"/>
        <v>0</v>
      </c>
      <c r="H738" s="559">
        <f t="shared" si="40"/>
        <v>0</v>
      </c>
    </row>
    <row r="739" spans="5:8" s="559" customFormat="1" hidden="1" x14ac:dyDescent="0.25">
      <c r="E739" s="757">
        <f t="shared" si="38"/>
        <v>42041</v>
      </c>
      <c r="F739" s="356">
        <f t="shared" si="39"/>
        <v>0</v>
      </c>
      <c r="G739" s="356">
        <f t="shared" si="37"/>
        <v>0</v>
      </c>
      <c r="H739" s="559">
        <f t="shared" si="40"/>
        <v>0</v>
      </c>
    </row>
    <row r="740" spans="5:8" s="559" customFormat="1" hidden="1" x14ac:dyDescent="0.25">
      <c r="E740" s="757">
        <f t="shared" si="38"/>
        <v>42042</v>
      </c>
      <c r="F740" s="356">
        <f t="shared" si="39"/>
        <v>0</v>
      </c>
      <c r="G740" s="356">
        <f t="shared" si="37"/>
        <v>0</v>
      </c>
      <c r="H740" s="559">
        <f t="shared" si="40"/>
        <v>0</v>
      </c>
    </row>
    <row r="741" spans="5:8" s="559" customFormat="1" hidden="1" x14ac:dyDescent="0.25">
      <c r="E741" s="757">
        <f t="shared" si="38"/>
        <v>42043</v>
      </c>
      <c r="F741" s="356">
        <f t="shared" si="39"/>
        <v>0</v>
      </c>
      <c r="G741" s="356">
        <f t="shared" si="37"/>
        <v>0</v>
      </c>
      <c r="H741" s="559">
        <f t="shared" si="40"/>
        <v>0</v>
      </c>
    </row>
    <row r="742" spans="5:8" s="559" customFormat="1" hidden="1" x14ac:dyDescent="0.25">
      <c r="E742" s="757">
        <f t="shared" si="38"/>
        <v>42044</v>
      </c>
      <c r="F742" s="356">
        <f t="shared" si="39"/>
        <v>0</v>
      </c>
      <c r="G742" s="356">
        <f t="shared" si="37"/>
        <v>0</v>
      </c>
      <c r="H742" s="559">
        <f t="shared" si="40"/>
        <v>0</v>
      </c>
    </row>
    <row r="743" spans="5:8" s="559" customFormat="1" hidden="1" x14ac:dyDescent="0.25">
      <c r="E743" s="757">
        <f t="shared" si="38"/>
        <v>42045</v>
      </c>
      <c r="F743" s="356">
        <f t="shared" si="39"/>
        <v>0</v>
      </c>
      <c r="G743" s="356">
        <f t="shared" si="37"/>
        <v>0</v>
      </c>
      <c r="H743" s="559">
        <f t="shared" si="40"/>
        <v>0</v>
      </c>
    </row>
    <row r="744" spans="5:8" s="559" customFormat="1" hidden="1" x14ac:dyDescent="0.25">
      <c r="E744" s="757">
        <f t="shared" si="38"/>
        <v>42046</v>
      </c>
      <c r="F744" s="356">
        <f t="shared" si="39"/>
        <v>0</v>
      </c>
      <c r="G744" s="356">
        <f t="shared" si="37"/>
        <v>0</v>
      </c>
      <c r="H744" s="559">
        <f t="shared" si="40"/>
        <v>0</v>
      </c>
    </row>
    <row r="745" spans="5:8" s="559" customFormat="1" hidden="1" x14ac:dyDescent="0.25">
      <c r="E745" s="757">
        <f t="shared" si="38"/>
        <v>42047</v>
      </c>
      <c r="F745" s="356">
        <f t="shared" si="39"/>
        <v>0</v>
      </c>
      <c r="G745" s="356">
        <f t="shared" si="37"/>
        <v>0</v>
      </c>
      <c r="H745" s="559">
        <f t="shared" si="40"/>
        <v>0</v>
      </c>
    </row>
    <row r="746" spans="5:8" s="559" customFormat="1" hidden="1" x14ac:dyDescent="0.25">
      <c r="E746" s="757">
        <f t="shared" si="38"/>
        <v>42048</v>
      </c>
      <c r="F746" s="356">
        <f t="shared" si="39"/>
        <v>0</v>
      </c>
      <c r="G746" s="356">
        <f t="shared" si="37"/>
        <v>0</v>
      </c>
      <c r="H746" s="559">
        <f t="shared" si="40"/>
        <v>0</v>
      </c>
    </row>
    <row r="747" spans="5:8" s="559" customFormat="1" hidden="1" x14ac:dyDescent="0.25">
      <c r="E747" s="757">
        <f t="shared" si="38"/>
        <v>42049</v>
      </c>
      <c r="F747" s="356">
        <f t="shared" si="39"/>
        <v>0</v>
      </c>
      <c r="G747" s="356">
        <f t="shared" si="37"/>
        <v>0</v>
      </c>
      <c r="H747" s="559">
        <f t="shared" si="40"/>
        <v>0</v>
      </c>
    </row>
    <row r="748" spans="5:8" s="559" customFormat="1" hidden="1" x14ac:dyDescent="0.25">
      <c r="E748" s="757">
        <f t="shared" si="38"/>
        <v>42050</v>
      </c>
      <c r="F748" s="356">
        <f t="shared" si="39"/>
        <v>0</v>
      </c>
      <c r="G748" s="356">
        <f t="shared" si="37"/>
        <v>0</v>
      </c>
      <c r="H748" s="559">
        <f t="shared" si="40"/>
        <v>0</v>
      </c>
    </row>
    <row r="749" spans="5:8" s="559" customFormat="1" hidden="1" x14ac:dyDescent="0.25">
      <c r="E749" s="757">
        <f t="shared" si="38"/>
        <v>42051</v>
      </c>
      <c r="F749" s="356">
        <f t="shared" si="39"/>
        <v>0</v>
      </c>
      <c r="G749" s="356">
        <f t="shared" si="37"/>
        <v>0</v>
      </c>
      <c r="H749" s="559">
        <f t="shared" si="40"/>
        <v>0</v>
      </c>
    </row>
    <row r="750" spans="5:8" s="559" customFormat="1" hidden="1" x14ac:dyDescent="0.25">
      <c r="E750" s="757">
        <f t="shared" si="38"/>
        <v>42052</v>
      </c>
      <c r="F750" s="356">
        <f t="shared" si="39"/>
        <v>0</v>
      </c>
      <c r="G750" s="356">
        <f t="shared" si="37"/>
        <v>0</v>
      </c>
      <c r="H750" s="559">
        <f t="shared" si="40"/>
        <v>0</v>
      </c>
    </row>
    <row r="751" spans="5:8" s="559" customFormat="1" hidden="1" x14ac:dyDescent="0.25">
      <c r="E751" s="757">
        <f t="shared" si="38"/>
        <v>42053</v>
      </c>
      <c r="F751" s="356">
        <f t="shared" si="39"/>
        <v>0</v>
      </c>
      <c r="G751" s="356">
        <f t="shared" si="37"/>
        <v>0</v>
      </c>
      <c r="H751" s="559">
        <f t="shared" si="40"/>
        <v>0</v>
      </c>
    </row>
    <row r="752" spans="5:8" s="559" customFormat="1" hidden="1" x14ac:dyDescent="0.25">
      <c r="E752" s="757">
        <f t="shared" si="38"/>
        <v>42054</v>
      </c>
      <c r="F752" s="356">
        <f t="shared" si="39"/>
        <v>0</v>
      </c>
      <c r="G752" s="356">
        <f t="shared" si="37"/>
        <v>0</v>
      </c>
      <c r="H752" s="559">
        <f t="shared" si="40"/>
        <v>0</v>
      </c>
    </row>
    <row r="753" spans="5:8" s="559" customFormat="1" hidden="1" x14ac:dyDescent="0.25">
      <c r="E753" s="757">
        <f t="shared" si="38"/>
        <v>42055</v>
      </c>
      <c r="F753" s="356">
        <f t="shared" si="39"/>
        <v>0</v>
      </c>
      <c r="G753" s="356">
        <f t="shared" si="37"/>
        <v>0</v>
      </c>
      <c r="H753" s="559">
        <f t="shared" si="40"/>
        <v>0</v>
      </c>
    </row>
    <row r="754" spans="5:8" s="559" customFormat="1" hidden="1" x14ac:dyDescent="0.25">
      <c r="E754" s="757">
        <f t="shared" si="38"/>
        <v>42056</v>
      </c>
      <c r="F754" s="356">
        <f t="shared" si="39"/>
        <v>0</v>
      </c>
      <c r="G754" s="356">
        <f t="shared" si="37"/>
        <v>0</v>
      </c>
      <c r="H754" s="559">
        <f t="shared" si="40"/>
        <v>0</v>
      </c>
    </row>
    <row r="755" spans="5:8" s="559" customFormat="1" hidden="1" x14ac:dyDescent="0.25">
      <c r="E755" s="757">
        <f t="shared" si="38"/>
        <v>42057</v>
      </c>
      <c r="F755" s="356">
        <f t="shared" si="39"/>
        <v>0</v>
      </c>
      <c r="G755" s="356">
        <f t="shared" si="37"/>
        <v>0</v>
      </c>
      <c r="H755" s="559">
        <f t="shared" si="40"/>
        <v>0</v>
      </c>
    </row>
    <row r="756" spans="5:8" s="559" customFormat="1" hidden="1" x14ac:dyDescent="0.25">
      <c r="E756" s="757">
        <f t="shared" si="38"/>
        <v>42058</v>
      </c>
      <c r="F756" s="356">
        <f t="shared" si="39"/>
        <v>0</v>
      </c>
      <c r="G756" s="356">
        <f t="shared" si="37"/>
        <v>0</v>
      </c>
      <c r="H756" s="559">
        <f t="shared" si="40"/>
        <v>0</v>
      </c>
    </row>
    <row r="757" spans="5:8" s="559" customFormat="1" hidden="1" x14ac:dyDescent="0.25">
      <c r="E757" s="757">
        <f t="shared" si="38"/>
        <v>42059</v>
      </c>
      <c r="F757" s="356">
        <f t="shared" si="39"/>
        <v>0</v>
      </c>
      <c r="G757" s="356">
        <f t="shared" si="37"/>
        <v>0</v>
      </c>
      <c r="H757" s="559">
        <f t="shared" si="40"/>
        <v>0</v>
      </c>
    </row>
    <row r="758" spans="5:8" s="559" customFormat="1" hidden="1" x14ac:dyDescent="0.25">
      <c r="E758" s="757">
        <f t="shared" si="38"/>
        <v>42060</v>
      </c>
      <c r="F758" s="356">
        <f t="shared" si="39"/>
        <v>0</v>
      </c>
      <c r="G758" s="356">
        <f t="shared" si="37"/>
        <v>0</v>
      </c>
      <c r="H758" s="559">
        <f t="shared" si="40"/>
        <v>0</v>
      </c>
    </row>
    <row r="759" spans="5:8" s="559" customFormat="1" hidden="1" x14ac:dyDescent="0.25">
      <c r="E759" s="757">
        <f t="shared" si="38"/>
        <v>42061</v>
      </c>
      <c r="F759" s="356">
        <f t="shared" si="39"/>
        <v>0</v>
      </c>
      <c r="G759" s="356">
        <f t="shared" si="37"/>
        <v>0</v>
      </c>
      <c r="H759" s="559">
        <f t="shared" si="40"/>
        <v>0</v>
      </c>
    </row>
    <row r="760" spans="5:8" s="559" customFormat="1" hidden="1" x14ac:dyDescent="0.25">
      <c r="E760" s="757">
        <f t="shared" si="38"/>
        <v>42062</v>
      </c>
      <c r="F760" s="356">
        <f t="shared" si="39"/>
        <v>0</v>
      </c>
      <c r="G760" s="356">
        <f t="shared" si="37"/>
        <v>0</v>
      </c>
      <c r="H760" s="559">
        <f t="shared" si="40"/>
        <v>0</v>
      </c>
    </row>
    <row r="761" spans="5:8" s="559" customFormat="1" hidden="1" x14ac:dyDescent="0.25">
      <c r="E761" s="757">
        <f t="shared" si="38"/>
        <v>42063</v>
      </c>
      <c r="F761" s="356">
        <f t="shared" si="39"/>
        <v>0</v>
      </c>
      <c r="G761" s="356">
        <f t="shared" si="37"/>
        <v>0</v>
      </c>
      <c r="H761" s="559">
        <f t="shared" si="40"/>
        <v>0</v>
      </c>
    </row>
    <row r="762" spans="5:8" s="559" customFormat="1" hidden="1" x14ac:dyDescent="0.25">
      <c r="E762" s="757">
        <f t="shared" si="38"/>
        <v>42064</v>
      </c>
      <c r="F762" s="356">
        <f t="shared" si="39"/>
        <v>0</v>
      </c>
      <c r="G762" s="356">
        <f t="shared" si="37"/>
        <v>0</v>
      </c>
      <c r="H762" s="559">
        <f t="shared" si="40"/>
        <v>0</v>
      </c>
    </row>
    <row r="763" spans="5:8" s="559" customFormat="1" hidden="1" x14ac:dyDescent="0.25">
      <c r="E763" s="757">
        <f t="shared" si="38"/>
        <v>42065</v>
      </c>
      <c r="F763" s="356">
        <f t="shared" si="39"/>
        <v>0</v>
      </c>
      <c r="G763" s="356">
        <f t="shared" si="37"/>
        <v>0</v>
      </c>
      <c r="H763" s="559">
        <f t="shared" si="40"/>
        <v>0</v>
      </c>
    </row>
    <row r="764" spans="5:8" s="559" customFormat="1" hidden="1" x14ac:dyDescent="0.25">
      <c r="E764" s="757">
        <f t="shared" si="38"/>
        <v>42066</v>
      </c>
      <c r="F764" s="356">
        <f t="shared" si="39"/>
        <v>0</v>
      </c>
      <c r="G764" s="356">
        <f t="shared" si="37"/>
        <v>0</v>
      </c>
      <c r="H764" s="559">
        <f t="shared" si="40"/>
        <v>0</v>
      </c>
    </row>
    <row r="765" spans="5:8" s="559" customFormat="1" hidden="1" x14ac:dyDescent="0.25">
      <c r="E765" s="757">
        <f t="shared" si="38"/>
        <v>42067</v>
      </c>
      <c r="F765" s="356">
        <f t="shared" si="39"/>
        <v>0</v>
      </c>
      <c r="G765" s="356">
        <f t="shared" si="37"/>
        <v>0</v>
      </c>
      <c r="H765" s="559">
        <f t="shared" si="40"/>
        <v>0</v>
      </c>
    </row>
    <row r="766" spans="5:8" s="559" customFormat="1" hidden="1" x14ac:dyDescent="0.25">
      <c r="E766" s="757">
        <f t="shared" si="38"/>
        <v>42068</v>
      </c>
      <c r="F766" s="356">
        <f t="shared" si="39"/>
        <v>0</v>
      </c>
      <c r="G766" s="356">
        <f t="shared" si="37"/>
        <v>0</v>
      </c>
      <c r="H766" s="559">
        <f t="shared" si="40"/>
        <v>0</v>
      </c>
    </row>
    <row r="767" spans="5:8" s="559" customFormat="1" hidden="1" x14ac:dyDescent="0.25">
      <c r="E767" s="757">
        <f t="shared" si="38"/>
        <v>42069</v>
      </c>
      <c r="F767" s="356">
        <f t="shared" si="39"/>
        <v>0</v>
      </c>
      <c r="G767" s="356">
        <f t="shared" si="37"/>
        <v>0</v>
      </c>
      <c r="H767" s="559">
        <f t="shared" si="40"/>
        <v>0</v>
      </c>
    </row>
    <row r="768" spans="5:8" s="559" customFormat="1" hidden="1" x14ac:dyDescent="0.25">
      <c r="E768" s="757">
        <f t="shared" si="38"/>
        <v>42070</v>
      </c>
      <c r="F768" s="356">
        <f t="shared" si="39"/>
        <v>0</v>
      </c>
      <c r="G768" s="356">
        <f t="shared" si="37"/>
        <v>0</v>
      </c>
      <c r="H768" s="559">
        <f t="shared" si="40"/>
        <v>0</v>
      </c>
    </row>
    <row r="769" spans="5:8" s="559" customFormat="1" hidden="1" x14ac:dyDescent="0.25">
      <c r="E769" s="757">
        <f t="shared" si="38"/>
        <v>42071</v>
      </c>
      <c r="F769" s="356">
        <f t="shared" si="39"/>
        <v>0</v>
      </c>
      <c r="G769" s="356">
        <f t="shared" si="37"/>
        <v>0</v>
      </c>
      <c r="H769" s="559">
        <f t="shared" si="40"/>
        <v>0</v>
      </c>
    </row>
    <row r="770" spans="5:8" s="559" customFormat="1" hidden="1" x14ac:dyDescent="0.25">
      <c r="E770" s="757">
        <f t="shared" si="38"/>
        <v>42072</v>
      </c>
      <c r="F770" s="356">
        <f t="shared" si="39"/>
        <v>0</v>
      </c>
      <c r="G770" s="356">
        <f t="shared" si="37"/>
        <v>0</v>
      </c>
      <c r="H770" s="559">
        <f t="shared" si="40"/>
        <v>0</v>
      </c>
    </row>
    <row r="771" spans="5:8" s="559" customFormat="1" hidden="1" x14ac:dyDescent="0.25">
      <c r="E771" s="757">
        <f t="shared" si="38"/>
        <v>42073</v>
      </c>
      <c r="F771" s="356">
        <f t="shared" si="39"/>
        <v>0</v>
      </c>
      <c r="G771" s="356">
        <f t="shared" si="37"/>
        <v>0</v>
      </c>
      <c r="H771" s="559">
        <f t="shared" si="40"/>
        <v>0</v>
      </c>
    </row>
    <row r="772" spans="5:8" s="559" customFormat="1" hidden="1" x14ac:dyDescent="0.25">
      <c r="E772" s="757">
        <f t="shared" si="38"/>
        <v>42074</v>
      </c>
      <c r="F772" s="356">
        <f t="shared" si="39"/>
        <v>0</v>
      </c>
      <c r="G772" s="356">
        <f t="shared" si="37"/>
        <v>0</v>
      </c>
      <c r="H772" s="559">
        <f t="shared" si="40"/>
        <v>0</v>
      </c>
    </row>
    <row r="773" spans="5:8" s="559" customFormat="1" hidden="1" x14ac:dyDescent="0.25">
      <c r="E773" s="757">
        <f t="shared" si="38"/>
        <v>42075</v>
      </c>
      <c r="F773" s="356">
        <f t="shared" si="39"/>
        <v>0</v>
      </c>
      <c r="G773" s="356">
        <f t="shared" si="37"/>
        <v>0</v>
      </c>
      <c r="H773" s="559">
        <f t="shared" si="40"/>
        <v>0</v>
      </c>
    </row>
    <row r="774" spans="5:8" s="559" customFormat="1" hidden="1" x14ac:dyDescent="0.25">
      <c r="E774" s="757">
        <f t="shared" si="38"/>
        <v>42076</v>
      </c>
      <c r="F774" s="356">
        <f t="shared" si="39"/>
        <v>0</v>
      </c>
      <c r="G774" s="356">
        <f t="shared" si="37"/>
        <v>0</v>
      </c>
      <c r="H774" s="559">
        <f t="shared" si="40"/>
        <v>0</v>
      </c>
    </row>
    <row r="775" spans="5:8" s="559" customFormat="1" hidden="1" x14ac:dyDescent="0.25">
      <c r="E775" s="757">
        <f t="shared" si="38"/>
        <v>42077</v>
      </c>
      <c r="F775" s="356">
        <f t="shared" si="39"/>
        <v>0</v>
      </c>
      <c r="G775" s="356">
        <f t="shared" si="37"/>
        <v>0</v>
      </c>
      <c r="H775" s="559">
        <f t="shared" si="40"/>
        <v>0</v>
      </c>
    </row>
    <row r="776" spans="5:8" s="559" customFormat="1" hidden="1" x14ac:dyDescent="0.25">
      <c r="E776" s="757">
        <f t="shared" si="38"/>
        <v>42078</v>
      </c>
      <c r="F776" s="356">
        <f t="shared" si="39"/>
        <v>0</v>
      </c>
      <c r="G776" s="356">
        <f t="shared" si="37"/>
        <v>0</v>
      </c>
      <c r="H776" s="559">
        <f t="shared" si="40"/>
        <v>0</v>
      </c>
    </row>
    <row r="777" spans="5:8" s="559" customFormat="1" hidden="1" x14ac:dyDescent="0.25">
      <c r="E777" s="757">
        <f t="shared" si="38"/>
        <v>42079</v>
      </c>
      <c r="F777" s="356">
        <f t="shared" si="39"/>
        <v>0</v>
      </c>
      <c r="G777" s="356">
        <f t="shared" si="37"/>
        <v>0</v>
      </c>
      <c r="H777" s="559">
        <f t="shared" si="40"/>
        <v>0</v>
      </c>
    </row>
    <row r="778" spans="5:8" s="559" customFormat="1" hidden="1" x14ac:dyDescent="0.25">
      <c r="E778" s="757">
        <f t="shared" si="38"/>
        <v>42080</v>
      </c>
      <c r="F778" s="356">
        <f t="shared" si="39"/>
        <v>0</v>
      </c>
      <c r="G778" s="356">
        <f t="shared" si="37"/>
        <v>0</v>
      </c>
      <c r="H778" s="559">
        <f t="shared" si="40"/>
        <v>0</v>
      </c>
    </row>
    <row r="779" spans="5:8" s="559" customFormat="1" hidden="1" x14ac:dyDescent="0.25">
      <c r="E779" s="757">
        <f t="shared" si="38"/>
        <v>42081</v>
      </c>
      <c r="F779" s="356">
        <f t="shared" si="39"/>
        <v>0</v>
      </c>
      <c r="G779" s="356">
        <f t="shared" si="37"/>
        <v>0</v>
      </c>
      <c r="H779" s="559">
        <f t="shared" si="40"/>
        <v>0</v>
      </c>
    </row>
    <row r="780" spans="5:8" s="559" customFormat="1" hidden="1" x14ac:dyDescent="0.25">
      <c r="E780" s="757">
        <f t="shared" si="38"/>
        <v>42082</v>
      </c>
      <c r="F780" s="356">
        <f t="shared" si="39"/>
        <v>0</v>
      </c>
      <c r="G780" s="356">
        <f t="shared" si="37"/>
        <v>0</v>
      </c>
      <c r="H780" s="559">
        <f t="shared" si="40"/>
        <v>0</v>
      </c>
    </row>
    <row r="781" spans="5:8" s="559" customFormat="1" hidden="1" x14ac:dyDescent="0.25">
      <c r="E781" s="757">
        <f t="shared" si="38"/>
        <v>42083</v>
      </c>
      <c r="F781" s="356">
        <f t="shared" si="39"/>
        <v>0</v>
      </c>
      <c r="G781" s="356">
        <f t="shared" si="37"/>
        <v>0</v>
      </c>
      <c r="H781" s="559">
        <f t="shared" si="40"/>
        <v>0</v>
      </c>
    </row>
    <row r="782" spans="5:8" s="559" customFormat="1" hidden="1" x14ac:dyDescent="0.25">
      <c r="E782" s="757">
        <f t="shared" si="38"/>
        <v>42084</v>
      </c>
      <c r="F782" s="356">
        <f t="shared" si="39"/>
        <v>0</v>
      </c>
      <c r="G782" s="356">
        <f t="shared" si="37"/>
        <v>0</v>
      </c>
      <c r="H782" s="559">
        <f t="shared" si="40"/>
        <v>0</v>
      </c>
    </row>
    <row r="783" spans="5:8" s="559" customFormat="1" hidden="1" x14ac:dyDescent="0.25">
      <c r="E783" s="757">
        <f t="shared" si="38"/>
        <v>42085</v>
      </c>
      <c r="F783" s="356">
        <f t="shared" si="39"/>
        <v>0</v>
      </c>
      <c r="G783" s="356">
        <f t="shared" si="37"/>
        <v>0</v>
      </c>
      <c r="H783" s="559">
        <f t="shared" si="40"/>
        <v>0</v>
      </c>
    </row>
    <row r="784" spans="5:8" s="559" customFormat="1" hidden="1" x14ac:dyDescent="0.25">
      <c r="E784" s="757">
        <f t="shared" si="38"/>
        <v>42086</v>
      </c>
      <c r="F784" s="356">
        <f t="shared" si="39"/>
        <v>0</v>
      </c>
      <c r="G784" s="356">
        <f t="shared" si="37"/>
        <v>0</v>
      </c>
      <c r="H784" s="559">
        <f t="shared" si="40"/>
        <v>0</v>
      </c>
    </row>
    <row r="785" spans="5:8" s="559" customFormat="1" hidden="1" x14ac:dyDescent="0.25">
      <c r="E785" s="757">
        <f t="shared" si="38"/>
        <v>42087</v>
      </c>
      <c r="F785" s="356">
        <f t="shared" si="39"/>
        <v>0</v>
      </c>
      <c r="G785" s="356">
        <f t="shared" si="37"/>
        <v>0</v>
      </c>
      <c r="H785" s="559">
        <f t="shared" si="40"/>
        <v>0</v>
      </c>
    </row>
    <row r="786" spans="5:8" s="559" customFormat="1" hidden="1" x14ac:dyDescent="0.25">
      <c r="E786" s="757">
        <f t="shared" si="38"/>
        <v>42088</v>
      </c>
      <c r="F786" s="356">
        <f t="shared" si="39"/>
        <v>0</v>
      </c>
      <c r="G786" s="356">
        <f t="shared" si="37"/>
        <v>0</v>
      </c>
      <c r="H786" s="559">
        <f t="shared" si="40"/>
        <v>0</v>
      </c>
    </row>
    <row r="787" spans="5:8" s="559" customFormat="1" hidden="1" x14ac:dyDescent="0.25">
      <c r="E787" s="757">
        <f t="shared" si="38"/>
        <v>42089</v>
      </c>
      <c r="F787" s="356">
        <f t="shared" si="39"/>
        <v>0</v>
      </c>
      <c r="G787" s="356">
        <f t="shared" si="37"/>
        <v>0</v>
      </c>
      <c r="H787" s="559">
        <f t="shared" si="40"/>
        <v>0</v>
      </c>
    </row>
    <row r="788" spans="5:8" s="559" customFormat="1" hidden="1" x14ac:dyDescent="0.25">
      <c r="E788" s="757">
        <f t="shared" si="38"/>
        <v>42090</v>
      </c>
      <c r="F788" s="356">
        <f t="shared" si="39"/>
        <v>0</v>
      </c>
      <c r="G788" s="356">
        <f t="shared" si="37"/>
        <v>0</v>
      </c>
      <c r="H788" s="559">
        <f t="shared" si="40"/>
        <v>0</v>
      </c>
    </row>
    <row r="789" spans="5:8" s="559" customFormat="1" hidden="1" x14ac:dyDescent="0.25">
      <c r="E789" s="757">
        <f t="shared" si="38"/>
        <v>42091</v>
      </c>
      <c r="F789" s="356">
        <f t="shared" si="39"/>
        <v>0</v>
      </c>
      <c r="G789" s="356">
        <f t="shared" si="37"/>
        <v>0</v>
      </c>
      <c r="H789" s="559">
        <f t="shared" si="40"/>
        <v>0</v>
      </c>
    </row>
    <row r="790" spans="5:8" s="559" customFormat="1" hidden="1" x14ac:dyDescent="0.25">
      <c r="E790" s="757">
        <f t="shared" si="38"/>
        <v>42092</v>
      </c>
      <c r="F790" s="356">
        <f t="shared" si="39"/>
        <v>0</v>
      </c>
      <c r="G790" s="356">
        <f t="shared" si="37"/>
        <v>0</v>
      </c>
      <c r="H790" s="559">
        <f t="shared" si="40"/>
        <v>0</v>
      </c>
    </row>
    <row r="791" spans="5:8" s="559" customFormat="1" hidden="1" x14ac:dyDescent="0.25">
      <c r="E791" s="757">
        <f t="shared" si="38"/>
        <v>42093</v>
      </c>
      <c r="F791" s="356">
        <f t="shared" si="39"/>
        <v>0</v>
      </c>
      <c r="G791" s="356">
        <f t="shared" si="37"/>
        <v>0</v>
      </c>
      <c r="H791" s="559">
        <f t="shared" si="40"/>
        <v>0</v>
      </c>
    </row>
    <row r="792" spans="5:8" s="559" customFormat="1" hidden="1" x14ac:dyDescent="0.25">
      <c r="E792" s="757">
        <f t="shared" si="38"/>
        <v>42094</v>
      </c>
      <c r="F792" s="356">
        <f t="shared" si="39"/>
        <v>0</v>
      </c>
      <c r="G792" s="356">
        <f t="shared" si="37"/>
        <v>0</v>
      </c>
      <c r="H792" s="559">
        <f t="shared" si="40"/>
        <v>0</v>
      </c>
    </row>
    <row r="793" spans="5:8" s="559" customFormat="1" hidden="1" x14ac:dyDescent="0.25">
      <c r="E793" s="757">
        <f t="shared" si="38"/>
        <v>42095</v>
      </c>
      <c r="F793" s="356">
        <f t="shared" si="39"/>
        <v>0</v>
      </c>
      <c r="G793" s="356">
        <f t="shared" si="37"/>
        <v>0</v>
      </c>
      <c r="H793" s="559">
        <f t="shared" si="40"/>
        <v>0</v>
      </c>
    </row>
    <row r="794" spans="5:8" s="559" customFormat="1" hidden="1" x14ac:dyDescent="0.25">
      <c r="E794" s="757">
        <f t="shared" si="38"/>
        <v>42096</v>
      </c>
      <c r="F794" s="356">
        <f t="shared" si="39"/>
        <v>0</v>
      </c>
      <c r="G794" s="356">
        <f t="shared" si="37"/>
        <v>0</v>
      </c>
      <c r="H794" s="559">
        <f t="shared" si="40"/>
        <v>0</v>
      </c>
    </row>
    <row r="795" spans="5:8" s="559" customFormat="1" hidden="1" x14ac:dyDescent="0.25">
      <c r="E795" s="757">
        <f t="shared" si="38"/>
        <v>42097</v>
      </c>
      <c r="F795" s="356">
        <f t="shared" si="39"/>
        <v>0</v>
      </c>
      <c r="G795" s="356">
        <f t="shared" ref="G795:G858" si="41">ROUND(F795,-2)</f>
        <v>0</v>
      </c>
      <c r="H795" s="559">
        <f t="shared" si="40"/>
        <v>0</v>
      </c>
    </row>
    <row r="796" spans="5:8" s="559" customFormat="1" hidden="1" x14ac:dyDescent="0.25">
      <c r="E796" s="757">
        <f t="shared" ref="E796:E859" si="42">IF(E795&lt;$C$156,E795+1,$C$156)</f>
        <v>42098</v>
      </c>
      <c r="F796" s="356">
        <f t="shared" ref="F796:F859" si="43">IF(E795&lt;$C$156,F795+C$158,F795)</f>
        <v>0</v>
      </c>
      <c r="G796" s="356">
        <f t="shared" si="41"/>
        <v>0</v>
      </c>
      <c r="H796" s="559">
        <f t="shared" ref="H796:H859" si="44">IF(F796&gt;F795,(VLOOKUP(G796,$K$154:$O$160,MATCH($C$159,$K$154:$O$154,0),0)),0)</f>
        <v>0</v>
      </c>
    </row>
    <row r="797" spans="5:8" s="559" customFormat="1" hidden="1" x14ac:dyDescent="0.25">
      <c r="E797" s="757">
        <f t="shared" si="42"/>
        <v>42099</v>
      </c>
      <c r="F797" s="356">
        <f t="shared" si="43"/>
        <v>0</v>
      </c>
      <c r="G797" s="356">
        <f t="shared" si="41"/>
        <v>0</v>
      </c>
      <c r="H797" s="559">
        <f t="shared" si="44"/>
        <v>0</v>
      </c>
    </row>
    <row r="798" spans="5:8" s="559" customFormat="1" hidden="1" x14ac:dyDescent="0.25">
      <c r="E798" s="757">
        <f t="shared" si="42"/>
        <v>42100</v>
      </c>
      <c r="F798" s="356">
        <f t="shared" si="43"/>
        <v>0</v>
      </c>
      <c r="G798" s="356">
        <f t="shared" si="41"/>
        <v>0</v>
      </c>
      <c r="H798" s="559">
        <f t="shared" si="44"/>
        <v>0</v>
      </c>
    </row>
    <row r="799" spans="5:8" s="559" customFormat="1" hidden="1" x14ac:dyDescent="0.25">
      <c r="E799" s="757">
        <f t="shared" si="42"/>
        <v>42101</v>
      </c>
      <c r="F799" s="356">
        <f t="shared" si="43"/>
        <v>0</v>
      </c>
      <c r="G799" s="356">
        <f t="shared" si="41"/>
        <v>0</v>
      </c>
      <c r="H799" s="559">
        <f t="shared" si="44"/>
        <v>0</v>
      </c>
    </row>
    <row r="800" spans="5:8" s="559" customFormat="1" hidden="1" x14ac:dyDescent="0.25">
      <c r="E800" s="757">
        <f t="shared" si="42"/>
        <v>42102</v>
      </c>
      <c r="F800" s="356">
        <f t="shared" si="43"/>
        <v>0</v>
      </c>
      <c r="G800" s="356">
        <f t="shared" si="41"/>
        <v>0</v>
      </c>
      <c r="H800" s="559">
        <f t="shared" si="44"/>
        <v>0</v>
      </c>
    </row>
    <row r="801" spans="5:8" s="559" customFormat="1" hidden="1" x14ac:dyDescent="0.25">
      <c r="E801" s="757">
        <f t="shared" si="42"/>
        <v>42103</v>
      </c>
      <c r="F801" s="356">
        <f t="shared" si="43"/>
        <v>0</v>
      </c>
      <c r="G801" s="356">
        <f t="shared" si="41"/>
        <v>0</v>
      </c>
      <c r="H801" s="559">
        <f t="shared" si="44"/>
        <v>0</v>
      </c>
    </row>
    <row r="802" spans="5:8" s="559" customFormat="1" hidden="1" x14ac:dyDescent="0.25">
      <c r="E802" s="757">
        <f t="shared" si="42"/>
        <v>42104</v>
      </c>
      <c r="F802" s="356">
        <f t="shared" si="43"/>
        <v>0</v>
      </c>
      <c r="G802" s="356">
        <f t="shared" si="41"/>
        <v>0</v>
      </c>
      <c r="H802" s="559">
        <f t="shared" si="44"/>
        <v>0</v>
      </c>
    </row>
    <row r="803" spans="5:8" s="559" customFormat="1" hidden="1" x14ac:dyDescent="0.25">
      <c r="E803" s="757">
        <f t="shared" si="42"/>
        <v>42105</v>
      </c>
      <c r="F803" s="356">
        <f t="shared" si="43"/>
        <v>0</v>
      </c>
      <c r="G803" s="356">
        <f t="shared" si="41"/>
        <v>0</v>
      </c>
      <c r="H803" s="559">
        <f t="shared" si="44"/>
        <v>0</v>
      </c>
    </row>
    <row r="804" spans="5:8" s="559" customFormat="1" hidden="1" x14ac:dyDescent="0.25">
      <c r="E804" s="757">
        <f t="shared" si="42"/>
        <v>42106</v>
      </c>
      <c r="F804" s="356">
        <f t="shared" si="43"/>
        <v>0</v>
      </c>
      <c r="G804" s="356">
        <f t="shared" si="41"/>
        <v>0</v>
      </c>
      <c r="H804" s="559">
        <f t="shared" si="44"/>
        <v>0</v>
      </c>
    </row>
    <row r="805" spans="5:8" s="559" customFormat="1" hidden="1" x14ac:dyDescent="0.25">
      <c r="E805" s="757">
        <f t="shared" si="42"/>
        <v>42107</v>
      </c>
      <c r="F805" s="356">
        <f t="shared" si="43"/>
        <v>0</v>
      </c>
      <c r="G805" s="356">
        <f t="shared" si="41"/>
        <v>0</v>
      </c>
      <c r="H805" s="559">
        <f t="shared" si="44"/>
        <v>0</v>
      </c>
    </row>
    <row r="806" spans="5:8" s="559" customFormat="1" hidden="1" x14ac:dyDescent="0.25">
      <c r="E806" s="757">
        <f t="shared" si="42"/>
        <v>42108</v>
      </c>
      <c r="F806" s="356">
        <f t="shared" si="43"/>
        <v>0</v>
      </c>
      <c r="G806" s="356">
        <f t="shared" si="41"/>
        <v>0</v>
      </c>
      <c r="H806" s="559">
        <f t="shared" si="44"/>
        <v>0</v>
      </c>
    </row>
    <row r="807" spans="5:8" s="559" customFormat="1" hidden="1" x14ac:dyDescent="0.25">
      <c r="E807" s="757">
        <f t="shared" si="42"/>
        <v>42109</v>
      </c>
      <c r="F807" s="356">
        <f t="shared" si="43"/>
        <v>0</v>
      </c>
      <c r="G807" s="356">
        <f t="shared" si="41"/>
        <v>0</v>
      </c>
      <c r="H807" s="559">
        <f t="shared" si="44"/>
        <v>0</v>
      </c>
    </row>
    <row r="808" spans="5:8" s="559" customFormat="1" hidden="1" x14ac:dyDescent="0.25">
      <c r="E808" s="757">
        <f t="shared" si="42"/>
        <v>42110</v>
      </c>
      <c r="F808" s="356">
        <f t="shared" si="43"/>
        <v>0</v>
      </c>
      <c r="G808" s="356">
        <f t="shared" si="41"/>
        <v>0</v>
      </c>
      <c r="H808" s="559">
        <f t="shared" si="44"/>
        <v>0</v>
      </c>
    </row>
    <row r="809" spans="5:8" s="559" customFormat="1" hidden="1" x14ac:dyDescent="0.25">
      <c r="E809" s="757">
        <f t="shared" si="42"/>
        <v>42111</v>
      </c>
      <c r="F809" s="356">
        <f t="shared" si="43"/>
        <v>0</v>
      </c>
      <c r="G809" s="356">
        <f t="shared" si="41"/>
        <v>0</v>
      </c>
      <c r="H809" s="559">
        <f t="shared" si="44"/>
        <v>0</v>
      </c>
    </row>
    <row r="810" spans="5:8" s="559" customFormat="1" hidden="1" x14ac:dyDescent="0.25">
      <c r="E810" s="757">
        <f t="shared" si="42"/>
        <v>42112</v>
      </c>
      <c r="F810" s="356">
        <f t="shared" si="43"/>
        <v>0</v>
      </c>
      <c r="G810" s="356">
        <f t="shared" si="41"/>
        <v>0</v>
      </c>
      <c r="H810" s="559">
        <f t="shared" si="44"/>
        <v>0</v>
      </c>
    </row>
    <row r="811" spans="5:8" s="559" customFormat="1" hidden="1" x14ac:dyDescent="0.25">
      <c r="E811" s="757">
        <f t="shared" si="42"/>
        <v>42113</v>
      </c>
      <c r="F811" s="356">
        <f t="shared" si="43"/>
        <v>0</v>
      </c>
      <c r="G811" s="356">
        <f t="shared" si="41"/>
        <v>0</v>
      </c>
      <c r="H811" s="559">
        <f t="shared" si="44"/>
        <v>0</v>
      </c>
    </row>
    <row r="812" spans="5:8" s="559" customFormat="1" hidden="1" x14ac:dyDescent="0.25">
      <c r="E812" s="757">
        <f t="shared" si="42"/>
        <v>42114</v>
      </c>
      <c r="F812" s="356">
        <f t="shared" si="43"/>
        <v>0</v>
      </c>
      <c r="G812" s="356">
        <f t="shared" si="41"/>
        <v>0</v>
      </c>
      <c r="H812" s="559">
        <f t="shared" si="44"/>
        <v>0</v>
      </c>
    </row>
    <row r="813" spans="5:8" s="559" customFormat="1" hidden="1" x14ac:dyDescent="0.25">
      <c r="E813" s="757">
        <f t="shared" si="42"/>
        <v>42115</v>
      </c>
      <c r="F813" s="356">
        <f t="shared" si="43"/>
        <v>0</v>
      </c>
      <c r="G813" s="356">
        <f t="shared" si="41"/>
        <v>0</v>
      </c>
      <c r="H813" s="559">
        <f t="shared" si="44"/>
        <v>0</v>
      </c>
    </row>
    <row r="814" spans="5:8" s="559" customFormat="1" hidden="1" x14ac:dyDescent="0.25">
      <c r="E814" s="757">
        <f t="shared" si="42"/>
        <v>42116</v>
      </c>
      <c r="F814" s="356">
        <f t="shared" si="43"/>
        <v>0</v>
      </c>
      <c r="G814" s="356">
        <f t="shared" si="41"/>
        <v>0</v>
      </c>
      <c r="H814" s="559">
        <f t="shared" si="44"/>
        <v>0</v>
      </c>
    </row>
    <row r="815" spans="5:8" s="559" customFormat="1" hidden="1" x14ac:dyDescent="0.25">
      <c r="E815" s="757">
        <f t="shared" si="42"/>
        <v>42117</v>
      </c>
      <c r="F815" s="356">
        <f t="shared" si="43"/>
        <v>0</v>
      </c>
      <c r="G815" s="356">
        <f t="shared" si="41"/>
        <v>0</v>
      </c>
      <c r="H815" s="559">
        <f t="shared" si="44"/>
        <v>0</v>
      </c>
    </row>
    <row r="816" spans="5:8" s="559" customFormat="1" hidden="1" x14ac:dyDescent="0.25">
      <c r="E816" s="757">
        <f t="shared" si="42"/>
        <v>42118</v>
      </c>
      <c r="F816" s="356">
        <f t="shared" si="43"/>
        <v>0</v>
      </c>
      <c r="G816" s="356">
        <f t="shared" si="41"/>
        <v>0</v>
      </c>
      <c r="H816" s="559">
        <f t="shared" si="44"/>
        <v>0</v>
      </c>
    </row>
    <row r="817" spans="5:8" s="559" customFormat="1" hidden="1" x14ac:dyDescent="0.25">
      <c r="E817" s="757">
        <f t="shared" si="42"/>
        <v>42119</v>
      </c>
      <c r="F817" s="356">
        <f t="shared" si="43"/>
        <v>0</v>
      </c>
      <c r="G817" s="356">
        <f t="shared" si="41"/>
        <v>0</v>
      </c>
      <c r="H817" s="559">
        <f t="shared" si="44"/>
        <v>0</v>
      </c>
    </row>
    <row r="818" spans="5:8" s="559" customFormat="1" hidden="1" x14ac:dyDescent="0.25">
      <c r="E818" s="757">
        <f t="shared" si="42"/>
        <v>42120</v>
      </c>
      <c r="F818" s="356">
        <f t="shared" si="43"/>
        <v>0</v>
      </c>
      <c r="G818" s="356">
        <f t="shared" si="41"/>
        <v>0</v>
      </c>
      <c r="H818" s="559">
        <f t="shared" si="44"/>
        <v>0</v>
      </c>
    </row>
    <row r="819" spans="5:8" s="559" customFormat="1" hidden="1" x14ac:dyDescent="0.25">
      <c r="E819" s="757">
        <f t="shared" si="42"/>
        <v>42121</v>
      </c>
      <c r="F819" s="356">
        <f t="shared" si="43"/>
        <v>0</v>
      </c>
      <c r="G819" s="356">
        <f t="shared" si="41"/>
        <v>0</v>
      </c>
      <c r="H819" s="559">
        <f t="shared" si="44"/>
        <v>0</v>
      </c>
    </row>
    <row r="820" spans="5:8" s="559" customFormat="1" hidden="1" x14ac:dyDescent="0.25">
      <c r="E820" s="757">
        <f t="shared" si="42"/>
        <v>42122</v>
      </c>
      <c r="F820" s="356">
        <f t="shared" si="43"/>
        <v>0</v>
      </c>
      <c r="G820" s="356">
        <f t="shared" si="41"/>
        <v>0</v>
      </c>
      <c r="H820" s="559">
        <f t="shared" si="44"/>
        <v>0</v>
      </c>
    </row>
    <row r="821" spans="5:8" s="559" customFormat="1" hidden="1" x14ac:dyDescent="0.25">
      <c r="E821" s="757">
        <f t="shared" si="42"/>
        <v>42123</v>
      </c>
      <c r="F821" s="356">
        <f t="shared" si="43"/>
        <v>0</v>
      </c>
      <c r="G821" s="356">
        <f t="shared" si="41"/>
        <v>0</v>
      </c>
      <c r="H821" s="559">
        <f t="shared" si="44"/>
        <v>0</v>
      </c>
    </row>
    <row r="822" spans="5:8" s="559" customFormat="1" hidden="1" x14ac:dyDescent="0.25">
      <c r="E822" s="757">
        <f t="shared" si="42"/>
        <v>42124</v>
      </c>
      <c r="F822" s="356">
        <f t="shared" si="43"/>
        <v>0</v>
      </c>
      <c r="G822" s="356">
        <f t="shared" si="41"/>
        <v>0</v>
      </c>
      <c r="H822" s="559">
        <f t="shared" si="44"/>
        <v>0</v>
      </c>
    </row>
    <row r="823" spans="5:8" s="559" customFormat="1" hidden="1" x14ac:dyDescent="0.25">
      <c r="E823" s="757">
        <f t="shared" si="42"/>
        <v>42125</v>
      </c>
      <c r="F823" s="356">
        <f t="shared" si="43"/>
        <v>0</v>
      </c>
      <c r="G823" s="356">
        <f t="shared" si="41"/>
        <v>0</v>
      </c>
      <c r="H823" s="559">
        <f t="shared" si="44"/>
        <v>0</v>
      </c>
    </row>
    <row r="824" spans="5:8" s="559" customFormat="1" hidden="1" x14ac:dyDescent="0.25">
      <c r="E824" s="757">
        <f t="shared" si="42"/>
        <v>42126</v>
      </c>
      <c r="F824" s="356">
        <f t="shared" si="43"/>
        <v>0</v>
      </c>
      <c r="G824" s="356">
        <f t="shared" si="41"/>
        <v>0</v>
      </c>
      <c r="H824" s="559">
        <f t="shared" si="44"/>
        <v>0</v>
      </c>
    </row>
    <row r="825" spans="5:8" s="559" customFormat="1" hidden="1" x14ac:dyDescent="0.25">
      <c r="E825" s="757">
        <f t="shared" si="42"/>
        <v>42127</v>
      </c>
      <c r="F825" s="356">
        <f t="shared" si="43"/>
        <v>0</v>
      </c>
      <c r="G825" s="356">
        <f t="shared" si="41"/>
        <v>0</v>
      </c>
      <c r="H825" s="559">
        <f t="shared" si="44"/>
        <v>0</v>
      </c>
    </row>
    <row r="826" spans="5:8" s="559" customFormat="1" hidden="1" x14ac:dyDescent="0.25">
      <c r="E826" s="757">
        <f t="shared" si="42"/>
        <v>42128</v>
      </c>
      <c r="F826" s="356">
        <f t="shared" si="43"/>
        <v>0</v>
      </c>
      <c r="G826" s="356">
        <f t="shared" si="41"/>
        <v>0</v>
      </c>
      <c r="H826" s="559">
        <f t="shared" si="44"/>
        <v>0</v>
      </c>
    </row>
    <row r="827" spans="5:8" s="559" customFormat="1" hidden="1" x14ac:dyDescent="0.25">
      <c r="E827" s="757">
        <f t="shared" si="42"/>
        <v>42129</v>
      </c>
      <c r="F827" s="356">
        <f t="shared" si="43"/>
        <v>0</v>
      </c>
      <c r="G827" s="356">
        <f t="shared" si="41"/>
        <v>0</v>
      </c>
      <c r="H827" s="559">
        <f t="shared" si="44"/>
        <v>0</v>
      </c>
    </row>
    <row r="828" spans="5:8" s="559" customFormat="1" hidden="1" x14ac:dyDescent="0.25">
      <c r="E828" s="757">
        <f t="shared" si="42"/>
        <v>42130</v>
      </c>
      <c r="F828" s="356">
        <f t="shared" si="43"/>
        <v>0</v>
      </c>
      <c r="G828" s="356">
        <f t="shared" si="41"/>
        <v>0</v>
      </c>
      <c r="H828" s="559">
        <f t="shared" si="44"/>
        <v>0</v>
      </c>
    </row>
    <row r="829" spans="5:8" s="559" customFormat="1" hidden="1" x14ac:dyDescent="0.25">
      <c r="E829" s="757">
        <f t="shared" si="42"/>
        <v>42131</v>
      </c>
      <c r="F829" s="356">
        <f t="shared" si="43"/>
        <v>0</v>
      </c>
      <c r="G829" s="356">
        <f t="shared" si="41"/>
        <v>0</v>
      </c>
      <c r="H829" s="559">
        <f t="shared" si="44"/>
        <v>0</v>
      </c>
    </row>
    <row r="830" spans="5:8" s="559" customFormat="1" hidden="1" x14ac:dyDescent="0.25">
      <c r="E830" s="757">
        <f t="shared" si="42"/>
        <v>42132</v>
      </c>
      <c r="F830" s="356">
        <f t="shared" si="43"/>
        <v>0</v>
      </c>
      <c r="G830" s="356">
        <f t="shared" si="41"/>
        <v>0</v>
      </c>
      <c r="H830" s="559">
        <f t="shared" si="44"/>
        <v>0</v>
      </c>
    </row>
    <row r="831" spans="5:8" s="559" customFormat="1" hidden="1" x14ac:dyDescent="0.25">
      <c r="E831" s="757">
        <f t="shared" si="42"/>
        <v>42133</v>
      </c>
      <c r="F831" s="356">
        <f t="shared" si="43"/>
        <v>0</v>
      </c>
      <c r="G831" s="356">
        <f t="shared" si="41"/>
        <v>0</v>
      </c>
      <c r="H831" s="559">
        <f t="shared" si="44"/>
        <v>0</v>
      </c>
    </row>
    <row r="832" spans="5:8" s="559" customFormat="1" hidden="1" x14ac:dyDescent="0.25">
      <c r="E832" s="757">
        <f t="shared" si="42"/>
        <v>42134</v>
      </c>
      <c r="F832" s="356">
        <f t="shared" si="43"/>
        <v>0</v>
      </c>
      <c r="G832" s="356">
        <f t="shared" si="41"/>
        <v>0</v>
      </c>
      <c r="H832" s="559">
        <f t="shared" si="44"/>
        <v>0</v>
      </c>
    </row>
    <row r="833" spans="5:8" s="559" customFormat="1" hidden="1" x14ac:dyDescent="0.25">
      <c r="E833" s="757">
        <f t="shared" si="42"/>
        <v>42135</v>
      </c>
      <c r="F833" s="356">
        <f t="shared" si="43"/>
        <v>0</v>
      </c>
      <c r="G833" s="356">
        <f t="shared" si="41"/>
        <v>0</v>
      </c>
      <c r="H833" s="559">
        <f t="shared" si="44"/>
        <v>0</v>
      </c>
    </row>
    <row r="834" spans="5:8" s="559" customFormat="1" hidden="1" x14ac:dyDescent="0.25">
      <c r="E834" s="757">
        <f t="shared" si="42"/>
        <v>42136</v>
      </c>
      <c r="F834" s="356">
        <f t="shared" si="43"/>
        <v>0</v>
      </c>
      <c r="G834" s="356">
        <f t="shared" si="41"/>
        <v>0</v>
      </c>
      <c r="H834" s="559">
        <f t="shared" si="44"/>
        <v>0</v>
      </c>
    </row>
    <row r="835" spans="5:8" s="559" customFormat="1" hidden="1" x14ac:dyDescent="0.25">
      <c r="E835" s="757">
        <f t="shared" si="42"/>
        <v>42137</v>
      </c>
      <c r="F835" s="356">
        <f t="shared" si="43"/>
        <v>0</v>
      </c>
      <c r="G835" s="356">
        <f t="shared" si="41"/>
        <v>0</v>
      </c>
      <c r="H835" s="559">
        <f t="shared" si="44"/>
        <v>0</v>
      </c>
    </row>
    <row r="836" spans="5:8" s="559" customFormat="1" hidden="1" x14ac:dyDescent="0.25">
      <c r="E836" s="757">
        <f t="shared" si="42"/>
        <v>42138</v>
      </c>
      <c r="F836" s="356">
        <f t="shared" si="43"/>
        <v>0</v>
      </c>
      <c r="G836" s="356">
        <f t="shared" si="41"/>
        <v>0</v>
      </c>
      <c r="H836" s="559">
        <f t="shared" si="44"/>
        <v>0</v>
      </c>
    </row>
    <row r="837" spans="5:8" s="559" customFormat="1" hidden="1" x14ac:dyDescent="0.25">
      <c r="E837" s="757">
        <f t="shared" si="42"/>
        <v>42139</v>
      </c>
      <c r="F837" s="356">
        <f t="shared" si="43"/>
        <v>0</v>
      </c>
      <c r="G837" s="356">
        <f t="shared" si="41"/>
        <v>0</v>
      </c>
      <c r="H837" s="559">
        <f t="shared" si="44"/>
        <v>0</v>
      </c>
    </row>
    <row r="838" spans="5:8" s="559" customFormat="1" hidden="1" x14ac:dyDescent="0.25">
      <c r="E838" s="757">
        <f t="shared" si="42"/>
        <v>42140</v>
      </c>
      <c r="F838" s="356">
        <f t="shared" si="43"/>
        <v>0</v>
      </c>
      <c r="G838" s="356">
        <f t="shared" si="41"/>
        <v>0</v>
      </c>
      <c r="H838" s="559">
        <f t="shared" si="44"/>
        <v>0</v>
      </c>
    </row>
    <row r="839" spans="5:8" s="559" customFormat="1" hidden="1" x14ac:dyDescent="0.25">
      <c r="E839" s="757">
        <f t="shared" si="42"/>
        <v>42141</v>
      </c>
      <c r="F839" s="356">
        <f t="shared" si="43"/>
        <v>0</v>
      </c>
      <c r="G839" s="356">
        <f t="shared" si="41"/>
        <v>0</v>
      </c>
      <c r="H839" s="559">
        <f t="shared" si="44"/>
        <v>0</v>
      </c>
    </row>
    <row r="840" spans="5:8" s="559" customFormat="1" hidden="1" x14ac:dyDescent="0.25">
      <c r="E840" s="757">
        <f t="shared" si="42"/>
        <v>42142</v>
      </c>
      <c r="F840" s="356">
        <f t="shared" si="43"/>
        <v>0</v>
      </c>
      <c r="G840" s="356">
        <f t="shared" si="41"/>
        <v>0</v>
      </c>
      <c r="H840" s="559">
        <f t="shared" si="44"/>
        <v>0</v>
      </c>
    </row>
    <row r="841" spans="5:8" s="559" customFormat="1" hidden="1" x14ac:dyDescent="0.25">
      <c r="E841" s="757">
        <f t="shared" si="42"/>
        <v>42143</v>
      </c>
      <c r="F841" s="356">
        <f t="shared" si="43"/>
        <v>0</v>
      </c>
      <c r="G841" s="356">
        <f t="shared" si="41"/>
        <v>0</v>
      </c>
      <c r="H841" s="559">
        <f t="shared" si="44"/>
        <v>0</v>
      </c>
    </row>
    <row r="842" spans="5:8" s="559" customFormat="1" hidden="1" x14ac:dyDescent="0.25">
      <c r="E842" s="757">
        <f t="shared" si="42"/>
        <v>42144</v>
      </c>
      <c r="F842" s="356">
        <f t="shared" si="43"/>
        <v>0</v>
      </c>
      <c r="G842" s="356">
        <f t="shared" si="41"/>
        <v>0</v>
      </c>
      <c r="H842" s="559">
        <f t="shared" si="44"/>
        <v>0</v>
      </c>
    </row>
    <row r="843" spans="5:8" s="559" customFormat="1" hidden="1" x14ac:dyDescent="0.25">
      <c r="E843" s="757">
        <f t="shared" si="42"/>
        <v>42145</v>
      </c>
      <c r="F843" s="356">
        <f t="shared" si="43"/>
        <v>0</v>
      </c>
      <c r="G843" s="356">
        <f t="shared" si="41"/>
        <v>0</v>
      </c>
      <c r="H843" s="559">
        <f t="shared" si="44"/>
        <v>0</v>
      </c>
    </row>
    <row r="844" spans="5:8" s="559" customFormat="1" hidden="1" x14ac:dyDescent="0.25">
      <c r="E844" s="757">
        <f t="shared" si="42"/>
        <v>42146</v>
      </c>
      <c r="F844" s="356">
        <f t="shared" si="43"/>
        <v>0</v>
      </c>
      <c r="G844" s="356">
        <f t="shared" si="41"/>
        <v>0</v>
      </c>
      <c r="H844" s="559">
        <f t="shared" si="44"/>
        <v>0</v>
      </c>
    </row>
    <row r="845" spans="5:8" s="559" customFormat="1" hidden="1" x14ac:dyDescent="0.25">
      <c r="E845" s="757">
        <f t="shared" si="42"/>
        <v>42147</v>
      </c>
      <c r="F845" s="356">
        <f t="shared" si="43"/>
        <v>0</v>
      </c>
      <c r="G845" s="356">
        <f t="shared" si="41"/>
        <v>0</v>
      </c>
      <c r="H845" s="559">
        <f t="shared" si="44"/>
        <v>0</v>
      </c>
    </row>
    <row r="846" spans="5:8" s="559" customFormat="1" hidden="1" x14ac:dyDescent="0.25">
      <c r="E846" s="757">
        <f t="shared" si="42"/>
        <v>42148</v>
      </c>
      <c r="F846" s="356">
        <f t="shared" si="43"/>
        <v>0</v>
      </c>
      <c r="G846" s="356">
        <f t="shared" si="41"/>
        <v>0</v>
      </c>
      <c r="H846" s="559">
        <f t="shared" si="44"/>
        <v>0</v>
      </c>
    </row>
    <row r="847" spans="5:8" s="559" customFormat="1" hidden="1" x14ac:dyDescent="0.25">
      <c r="E847" s="757">
        <f t="shared" si="42"/>
        <v>42149</v>
      </c>
      <c r="F847" s="356">
        <f t="shared" si="43"/>
        <v>0</v>
      </c>
      <c r="G847" s="356">
        <f t="shared" si="41"/>
        <v>0</v>
      </c>
      <c r="H847" s="559">
        <f t="shared" si="44"/>
        <v>0</v>
      </c>
    </row>
    <row r="848" spans="5:8" s="559" customFormat="1" hidden="1" x14ac:dyDescent="0.25">
      <c r="E848" s="757">
        <f t="shared" si="42"/>
        <v>42150</v>
      </c>
      <c r="F848" s="356">
        <f t="shared" si="43"/>
        <v>0</v>
      </c>
      <c r="G848" s="356">
        <f t="shared" si="41"/>
        <v>0</v>
      </c>
      <c r="H848" s="559">
        <f t="shared" si="44"/>
        <v>0</v>
      </c>
    </row>
    <row r="849" spans="5:8" s="559" customFormat="1" hidden="1" x14ac:dyDescent="0.25">
      <c r="E849" s="757">
        <f t="shared" si="42"/>
        <v>42151</v>
      </c>
      <c r="F849" s="356">
        <f t="shared" si="43"/>
        <v>0</v>
      </c>
      <c r="G849" s="356">
        <f t="shared" si="41"/>
        <v>0</v>
      </c>
      <c r="H849" s="559">
        <f t="shared" si="44"/>
        <v>0</v>
      </c>
    </row>
    <row r="850" spans="5:8" s="559" customFormat="1" hidden="1" x14ac:dyDescent="0.25">
      <c r="E850" s="757">
        <f t="shared" si="42"/>
        <v>42152</v>
      </c>
      <c r="F850" s="356">
        <f t="shared" si="43"/>
        <v>0</v>
      </c>
      <c r="G850" s="356">
        <f t="shared" si="41"/>
        <v>0</v>
      </c>
      <c r="H850" s="559">
        <f t="shared" si="44"/>
        <v>0</v>
      </c>
    </row>
    <row r="851" spans="5:8" s="559" customFormat="1" hidden="1" x14ac:dyDescent="0.25">
      <c r="E851" s="757">
        <f t="shared" si="42"/>
        <v>42153</v>
      </c>
      <c r="F851" s="356">
        <f t="shared" si="43"/>
        <v>0</v>
      </c>
      <c r="G851" s="356">
        <f t="shared" si="41"/>
        <v>0</v>
      </c>
      <c r="H851" s="559">
        <f t="shared" si="44"/>
        <v>0</v>
      </c>
    </row>
    <row r="852" spans="5:8" s="559" customFormat="1" hidden="1" x14ac:dyDescent="0.25">
      <c r="E852" s="757">
        <f t="shared" si="42"/>
        <v>42154</v>
      </c>
      <c r="F852" s="356">
        <f t="shared" si="43"/>
        <v>0</v>
      </c>
      <c r="G852" s="356">
        <f t="shared" si="41"/>
        <v>0</v>
      </c>
      <c r="H852" s="559">
        <f t="shared" si="44"/>
        <v>0</v>
      </c>
    </row>
    <row r="853" spans="5:8" s="559" customFormat="1" hidden="1" x14ac:dyDescent="0.25">
      <c r="E853" s="757">
        <f t="shared" si="42"/>
        <v>42155</v>
      </c>
      <c r="F853" s="356">
        <f t="shared" si="43"/>
        <v>0</v>
      </c>
      <c r="G853" s="356">
        <f t="shared" si="41"/>
        <v>0</v>
      </c>
      <c r="H853" s="559">
        <f t="shared" si="44"/>
        <v>0</v>
      </c>
    </row>
    <row r="854" spans="5:8" s="559" customFormat="1" hidden="1" x14ac:dyDescent="0.25">
      <c r="E854" s="757">
        <f t="shared" si="42"/>
        <v>42156</v>
      </c>
      <c r="F854" s="356">
        <f t="shared" si="43"/>
        <v>0</v>
      </c>
      <c r="G854" s="356">
        <f t="shared" si="41"/>
        <v>0</v>
      </c>
      <c r="H854" s="559">
        <f t="shared" si="44"/>
        <v>0</v>
      </c>
    </row>
    <row r="855" spans="5:8" s="559" customFormat="1" hidden="1" x14ac:dyDescent="0.25">
      <c r="E855" s="757">
        <f t="shared" si="42"/>
        <v>42157</v>
      </c>
      <c r="F855" s="356">
        <f t="shared" si="43"/>
        <v>0</v>
      </c>
      <c r="G855" s="356">
        <f t="shared" si="41"/>
        <v>0</v>
      </c>
      <c r="H855" s="559">
        <f t="shared" si="44"/>
        <v>0</v>
      </c>
    </row>
    <row r="856" spans="5:8" s="559" customFormat="1" hidden="1" x14ac:dyDescent="0.25">
      <c r="E856" s="757">
        <f t="shared" si="42"/>
        <v>42158</v>
      </c>
      <c r="F856" s="356">
        <f t="shared" si="43"/>
        <v>0</v>
      </c>
      <c r="G856" s="356">
        <f t="shared" si="41"/>
        <v>0</v>
      </c>
      <c r="H856" s="559">
        <f t="shared" si="44"/>
        <v>0</v>
      </c>
    </row>
    <row r="857" spans="5:8" s="559" customFormat="1" hidden="1" x14ac:dyDescent="0.25">
      <c r="E857" s="757">
        <f t="shared" si="42"/>
        <v>42159</v>
      </c>
      <c r="F857" s="356">
        <f t="shared" si="43"/>
        <v>0</v>
      </c>
      <c r="G857" s="356">
        <f t="shared" si="41"/>
        <v>0</v>
      </c>
      <c r="H857" s="559">
        <f t="shared" si="44"/>
        <v>0</v>
      </c>
    </row>
    <row r="858" spans="5:8" s="559" customFormat="1" hidden="1" x14ac:dyDescent="0.25">
      <c r="E858" s="757">
        <f t="shared" si="42"/>
        <v>42160</v>
      </c>
      <c r="F858" s="356">
        <f t="shared" si="43"/>
        <v>0</v>
      </c>
      <c r="G858" s="356">
        <f t="shared" si="41"/>
        <v>0</v>
      </c>
      <c r="H858" s="559">
        <f t="shared" si="44"/>
        <v>0</v>
      </c>
    </row>
    <row r="859" spans="5:8" s="559" customFormat="1" hidden="1" x14ac:dyDescent="0.25">
      <c r="E859" s="757">
        <f t="shared" si="42"/>
        <v>42161</v>
      </c>
      <c r="F859" s="356">
        <f t="shared" si="43"/>
        <v>0</v>
      </c>
      <c r="G859" s="356">
        <f t="shared" ref="G859:G922" si="45">ROUND(F859,-2)</f>
        <v>0</v>
      </c>
      <c r="H859" s="559">
        <f t="shared" si="44"/>
        <v>0</v>
      </c>
    </row>
    <row r="860" spans="5:8" s="559" customFormat="1" hidden="1" x14ac:dyDescent="0.25">
      <c r="E860" s="757">
        <f t="shared" ref="E860:E923" si="46">IF(E859&lt;$C$156,E859+1,$C$156)</f>
        <v>42162</v>
      </c>
      <c r="F860" s="356">
        <f t="shared" ref="F860:F923" si="47">IF(E859&lt;$C$156,F859+C$158,F859)</f>
        <v>0</v>
      </c>
      <c r="G860" s="356">
        <f t="shared" si="45"/>
        <v>0</v>
      </c>
      <c r="H860" s="559">
        <f t="shared" ref="H860:H923" si="48">IF(F860&gt;F859,(VLOOKUP(G860,$K$154:$O$160,MATCH($C$159,$K$154:$O$154,0),0)),0)</f>
        <v>0</v>
      </c>
    </row>
    <row r="861" spans="5:8" s="559" customFormat="1" hidden="1" x14ac:dyDescent="0.25">
      <c r="E861" s="757">
        <f t="shared" si="46"/>
        <v>42163</v>
      </c>
      <c r="F861" s="356">
        <f t="shared" si="47"/>
        <v>0</v>
      </c>
      <c r="G861" s="356">
        <f t="shared" si="45"/>
        <v>0</v>
      </c>
      <c r="H861" s="559">
        <f t="shared" si="48"/>
        <v>0</v>
      </c>
    </row>
    <row r="862" spans="5:8" s="559" customFormat="1" hidden="1" x14ac:dyDescent="0.25">
      <c r="E862" s="757">
        <f t="shared" si="46"/>
        <v>42164</v>
      </c>
      <c r="F862" s="356">
        <f t="shared" si="47"/>
        <v>0</v>
      </c>
      <c r="G862" s="356">
        <f t="shared" si="45"/>
        <v>0</v>
      </c>
      <c r="H862" s="559">
        <f t="shared" si="48"/>
        <v>0</v>
      </c>
    </row>
    <row r="863" spans="5:8" s="559" customFormat="1" hidden="1" x14ac:dyDescent="0.25">
      <c r="E863" s="757">
        <f t="shared" si="46"/>
        <v>42165</v>
      </c>
      <c r="F863" s="356">
        <f t="shared" si="47"/>
        <v>0</v>
      </c>
      <c r="G863" s="356">
        <f t="shared" si="45"/>
        <v>0</v>
      </c>
      <c r="H863" s="559">
        <f t="shared" si="48"/>
        <v>0</v>
      </c>
    </row>
    <row r="864" spans="5:8" s="559" customFormat="1" hidden="1" x14ac:dyDescent="0.25">
      <c r="E864" s="757">
        <f t="shared" si="46"/>
        <v>42166</v>
      </c>
      <c r="F864" s="356">
        <f t="shared" si="47"/>
        <v>0</v>
      </c>
      <c r="G864" s="356">
        <f t="shared" si="45"/>
        <v>0</v>
      </c>
      <c r="H864" s="559">
        <f t="shared" si="48"/>
        <v>0</v>
      </c>
    </row>
    <row r="865" spans="5:8" s="559" customFormat="1" hidden="1" x14ac:dyDescent="0.25">
      <c r="E865" s="757">
        <f t="shared" si="46"/>
        <v>42167</v>
      </c>
      <c r="F865" s="356">
        <f t="shared" si="47"/>
        <v>0</v>
      </c>
      <c r="G865" s="356">
        <f t="shared" si="45"/>
        <v>0</v>
      </c>
      <c r="H865" s="559">
        <f t="shared" si="48"/>
        <v>0</v>
      </c>
    </row>
    <row r="866" spans="5:8" s="559" customFormat="1" hidden="1" x14ac:dyDescent="0.25">
      <c r="E866" s="757">
        <f t="shared" si="46"/>
        <v>42168</v>
      </c>
      <c r="F866" s="356">
        <f t="shared" si="47"/>
        <v>0</v>
      </c>
      <c r="G866" s="356">
        <f t="shared" si="45"/>
        <v>0</v>
      </c>
      <c r="H866" s="559">
        <f t="shared" si="48"/>
        <v>0</v>
      </c>
    </row>
    <row r="867" spans="5:8" s="559" customFormat="1" hidden="1" x14ac:dyDescent="0.25">
      <c r="E867" s="757">
        <f t="shared" si="46"/>
        <v>42169</v>
      </c>
      <c r="F867" s="356">
        <f t="shared" si="47"/>
        <v>0</v>
      </c>
      <c r="G867" s="356">
        <f t="shared" si="45"/>
        <v>0</v>
      </c>
      <c r="H867" s="559">
        <f t="shared" si="48"/>
        <v>0</v>
      </c>
    </row>
    <row r="868" spans="5:8" s="559" customFormat="1" hidden="1" x14ac:dyDescent="0.25">
      <c r="E868" s="757">
        <f t="shared" si="46"/>
        <v>42170</v>
      </c>
      <c r="F868" s="356">
        <f t="shared" si="47"/>
        <v>0</v>
      </c>
      <c r="G868" s="356">
        <f t="shared" si="45"/>
        <v>0</v>
      </c>
      <c r="H868" s="559">
        <f t="shared" si="48"/>
        <v>0</v>
      </c>
    </row>
    <row r="869" spans="5:8" s="559" customFormat="1" hidden="1" x14ac:dyDescent="0.25">
      <c r="E869" s="757">
        <f t="shared" si="46"/>
        <v>42171</v>
      </c>
      <c r="F869" s="356">
        <f t="shared" si="47"/>
        <v>0</v>
      </c>
      <c r="G869" s="356">
        <f t="shared" si="45"/>
        <v>0</v>
      </c>
      <c r="H869" s="559">
        <f t="shared" si="48"/>
        <v>0</v>
      </c>
    </row>
    <row r="870" spans="5:8" s="559" customFormat="1" hidden="1" x14ac:dyDescent="0.25">
      <c r="E870" s="757">
        <f t="shared" si="46"/>
        <v>42172</v>
      </c>
      <c r="F870" s="356">
        <f t="shared" si="47"/>
        <v>0</v>
      </c>
      <c r="G870" s="356">
        <f t="shared" si="45"/>
        <v>0</v>
      </c>
      <c r="H870" s="559">
        <f t="shared" si="48"/>
        <v>0</v>
      </c>
    </row>
    <row r="871" spans="5:8" s="559" customFormat="1" hidden="1" x14ac:dyDescent="0.25">
      <c r="E871" s="757">
        <f t="shared" si="46"/>
        <v>42173</v>
      </c>
      <c r="F871" s="356">
        <f t="shared" si="47"/>
        <v>0</v>
      </c>
      <c r="G871" s="356">
        <f t="shared" si="45"/>
        <v>0</v>
      </c>
      <c r="H871" s="559">
        <f t="shared" si="48"/>
        <v>0</v>
      </c>
    </row>
    <row r="872" spans="5:8" s="559" customFormat="1" hidden="1" x14ac:dyDescent="0.25">
      <c r="E872" s="757">
        <f t="shared" si="46"/>
        <v>42174</v>
      </c>
      <c r="F872" s="356">
        <f t="shared" si="47"/>
        <v>0</v>
      </c>
      <c r="G872" s="356">
        <f t="shared" si="45"/>
        <v>0</v>
      </c>
      <c r="H872" s="559">
        <f t="shared" si="48"/>
        <v>0</v>
      </c>
    </row>
    <row r="873" spans="5:8" s="559" customFormat="1" hidden="1" x14ac:dyDescent="0.25">
      <c r="E873" s="757">
        <f t="shared" si="46"/>
        <v>42175</v>
      </c>
      <c r="F873" s="356">
        <f t="shared" si="47"/>
        <v>0</v>
      </c>
      <c r="G873" s="356">
        <f t="shared" si="45"/>
        <v>0</v>
      </c>
      <c r="H873" s="559">
        <f t="shared" si="48"/>
        <v>0</v>
      </c>
    </row>
    <row r="874" spans="5:8" s="559" customFormat="1" hidden="1" x14ac:dyDescent="0.25">
      <c r="E874" s="757">
        <f t="shared" si="46"/>
        <v>42176</v>
      </c>
      <c r="F874" s="356">
        <f t="shared" si="47"/>
        <v>0</v>
      </c>
      <c r="G874" s="356">
        <f t="shared" si="45"/>
        <v>0</v>
      </c>
      <c r="H874" s="559">
        <f t="shared" si="48"/>
        <v>0</v>
      </c>
    </row>
    <row r="875" spans="5:8" s="559" customFormat="1" hidden="1" x14ac:dyDescent="0.25">
      <c r="E875" s="757">
        <f t="shared" si="46"/>
        <v>42177</v>
      </c>
      <c r="F875" s="356">
        <f t="shared" si="47"/>
        <v>0</v>
      </c>
      <c r="G875" s="356">
        <f t="shared" si="45"/>
        <v>0</v>
      </c>
      <c r="H875" s="559">
        <f t="shared" si="48"/>
        <v>0</v>
      </c>
    </row>
    <row r="876" spans="5:8" s="559" customFormat="1" hidden="1" x14ac:dyDescent="0.25">
      <c r="E876" s="757">
        <f t="shared" si="46"/>
        <v>42178</v>
      </c>
      <c r="F876" s="356">
        <f t="shared" si="47"/>
        <v>0</v>
      </c>
      <c r="G876" s="356">
        <f t="shared" si="45"/>
        <v>0</v>
      </c>
      <c r="H876" s="559">
        <f t="shared" si="48"/>
        <v>0</v>
      </c>
    </row>
    <row r="877" spans="5:8" s="559" customFormat="1" hidden="1" x14ac:dyDescent="0.25">
      <c r="E877" s="757">
        <f t="shared" si="46"/>
        <v>42179</v>
      </c>
      <c r="F877" s="356">
        <f t="shared" si="47"/>
        <v>0</v>
      </c>
      <c r="G877" s="356">
        <f t="shared" si="45"/>
        <v>0</v>
      </c>
      <c r="H877" s="559">
        <f t="shared" si="48"/>
        <v>0</v>
      </c>
    </row>
    <row r="878" spans="5:8" s="559" customFormat="1" hidden="1" x14ac:dyDescent="0.25">
      <c r="E878" s="757">
        <f t="shared" si="46"/>
        <v>42180</v>
      </c>
      <c r="F878" s="356">
        <f t="shared" si="47"/>
        <v>0</v>
      </c>
      <c r="G878" s="356">
        <f t="shared" si="45"/>
        <v>0</v>
      </c>
      <c r="H878" s="559">
        <f t="shared" si="48"/>
        <v>0</v>
      </c>
    </row>
    <row r="879" spans="5:8" s="559" customFormat="1" hidden="1" x14ac:dyDescent="0.25">
      <c r="E879" s="757">
        <f t="shared" si="46"/>
        <v>42181</v>
      </c>
      <c r="F879" s="356">
        <f t="shared" si="47"/>
        <v>0</v>
      </c>
      <c r="G879" s="356">
        <f t="shared" si="45"/>
        <v>0</v>
      </c>
      <c r="H879" s="559">
        <f t="shared" si="48"/>
        <v>0</v>
      </c>
    </row>
    <row r="880" spans="5:8" s="559" customFormat="1" hidden="1" x14ac:dyDescent="0.25">
      <c r="E880" s="757">
        <f t="shared" si="46"/>
        <v>42182</v>
      </c>
      <c r="F880" s="356">
        <f t="shared" si="47"/>
        <v>0</v>
      </c>
      <c r="G880" s="356">
        <f t="shared" si="45"/>
        <v>0</v>
      </c>
      <c r="H880" s="559">
        <f t="shared" si="48"/>
        <v>0</v>
      </c>
    </row>
    <row r="881" spans="5:8" s="559" customFormat="1" hidden="1" x14ac:dyDescent="0.25">
      <c r="E881" s="757">
        <f t="shared" si="46"/>
        <v>42183</v>
      </c>
      <c r="F881" s="356">
        <f t="shared" si="47"/>
        <v>0</v>
      </c>
      <c r="G881" s="356">
        <f t="shared" si="45"/>
        <v>0</v>
      </c>
      <c r="H881" s="559">
        <f t="shared" si="48"/>
        <v>0</v>
      </c>
    </row>
    <row r="882" spans="5:8" s="559" customFormat="1" hidden="1" x14ac:dyDescent="0.25">
      <c r="E882" s="757">
        <f t="shared" si="46"/>
        <v>42184</v>
      </c>
      <c r="F882" s="356">
        <f t="shared" si="47"/>
        <v>0</v>
      </c>
      <c r="G882" s="356">
        <f t="shared" si="45"/>
        <v>0</v>
      </c>
      <c r="H882" s="559">
        <f t="shared" si="48"/>
        <v>0</v>
      </c>
    </row>
    <row r="883" spans="5:8" s="559" customFormat="1" hidden="1" x14ac:dyDescent="0.25">
      <c r="E883" s="757">
        <f t="shared" si="46"/>
        <v>42185</v>
      </c>
      <c r="F883" s="356">
        <f t="shared" si="47"/>
        <v>0</v>
      </c>
      <c r="G883" s="356">
        <f t="shared" si="45"/>
        <v>0</v>
      </c>
      <c r="H883" s="559">
        <f t="shared" si="48"/>
        <v>0</v>
      </c>
    </row>
    <row r="884" spans="5:8" s="559" customFormat="1" hidden="1" x14ac:dyDescent="0.25">
      <c r="E884" s="757">
        <f t="shared" si="46"/>
        <v>42186</v>
      </c>
      <c r="F884" s="356">
        <f t="shared" si="47"/>
        <v>0</v>
      </c>
      <c r="G884" s="356">
        <f t="shared" si="45"/>
        <v>0</v>
      </c>
      <c r="H884" s="559">
        <f t="shared" si="48"/>
        <v>0</v>
      </c>
    </row>
    <row r="885" spans="5:8" s="559" customFormat="1" hidden="1" x14ac:dyDescent="0.25">
      <c r="E885" s="757">
        <f t="shared" si="46"/>
        <v>42186</v>
      </c>
      <c r="F885" s="356">
        <f t="shared" si="47"/>
        <v>0</v>
      </c>
      <c r="G885" s="356">
        <f t="shared" si="45"/>
        <v>0</v>
      </c>
      <c r="H885" s="559">
        <f t="shared" si="48"/>
        <v>0</v>
      </c>
    </row>
    <row r="886" spans="5:8" s="559" customFormat="1" hidden="1" x14ac:dyDescent="0.25">
      <c r="E886" s="757">
        <f t="shared" si="46"/>
        <v>42186</v>
      </c>
      <c r="F886" s="356">
        <f t="shared" si="47"/>
        <v>0</v>
      </c>
      <c r="G886" s="356">
        <f t="shared" si="45"/>
        <v>0</v>
      </c>
      <c r="H886" s="559">
        <f t="shared" si="48"/>
        <v>0</v>
      </c>
    </row>
    <row r="887" spans="5:8" s="559" customFormat="1" hidden="1" x14ac:dyDescent="0.25">
      <c r="E887" s="757">
        <f t="shared" si="46"/>
        <v>42186</v>
      </c>
      <c r="F887" s="356">
        <f t="shared" si="47"/>
        <v>0</v>
      </c>
      <c r="G887" s="356">
        <f t="shared" si="45"/>
        <v>0</v>
      </c>
      <c r="H887" s="559">
        <f t="shared" si="48"/>
        <v>0</v>
      </c>
    </row>
    <row r="888" spans="5:8" s="559" customFormat="1" hidden="1" x14ac:dyDescent="0.25">
      <c r="E888" s="757">
        <f t="shared" si="46"/>
        <v>42186</v>
      </c>
      <c r="F888" s="356">
        <f t="shared" si="47"/>
        <v>0</v>
      </c>
      <c r="G888" s="356">
        <f t="shared" si="45"/>
        <v>0</v>
      </c>
      <c r="H888" s="559">
        <f t="shared" si="48"/>
        <v>0</v>
      </c>
    </row>
    <row r="889" spans="5:8" s="559" customFormat="1" hidden="1" x14ac:dyDescent="0.25">
      <c r="E889" s="757">
        <f t="shared" si="46"/>
        <v>42186</v>
      </c>
      <c r="F889" s="356">
        <f t="shared" si="47"/>
        <v>0</v>
      </c>
      <c r="G889" s="356">
        <f t="shared" si="45"/>
        <v>0</v>
      </c>
      <c r="H889" s="559">
        <f t="shared" si="48"/>
        <v>0</v>
      </c>
    </row>
    <row r="890" spans="5:8" s="559" customFormat="1" hidden="1" x14ac:dyDescent="0.25">
      <c r="E890" s="757">
        <f t="shared" si="46"/>
        <v>42186</v>
      </c>
      <c r="F890" s="356">
        <f t="shared" si="47"/>
        <v>0</v>
      </c>
      <c r="G890" s="356">
        <f t="shared" si="45"/>
        <v>0</v>
      </c>
      <c r="H890" s="559">
        <f t="shared" si="48"/>
        <v>0</v>
      </c>
    </row>
    <row r="891" spans="5:8" s="559" customFormat="1" hidden="1" x14ac:dyDescent="0.25">
      <c r="E891" s="757">
        <f t="shared" si="46"/>
        <v>42186</v>
      </c>
      <c r="F891" s="356">
        <f t="shared" si="47"/>
        <v>0</v>
      </c>
      <c r="G891" s="356">
        <f t="shared" si="45"/>
        <v>0</v>
      </c>
      <c r="H891" s="559">
        <f t="shared" si="48"/>
        <v>0</v>
      </c>
    </row>
    <row r="892" spans="5:8" s="559" customFormat="1" hidden="1" x14ac:dyDescent="0.25">
      <c r="E892" s="757">
        <f t="shared" si="46"/>
        <v>42186</v>
      </c>
      <c r="F892" s="356">
        <f t="shared" si="47"/>
        <v>0</v>
      </c>
      <c r="G892" s="356">
        <f t="shared" si="45"/>
        <v>0</v>
      </c>
      <c r="H892" s="559">
        <f t="shared" si="48"/>
        <v>0</v>
      </c>
    </row>
    <row r="893" spans="5:8" s="559" customFormat="1" hidden="1" x14ac:dyDescent="0.25">
      <c r="E893" s="757">
        <f t="shared" si="46"/>
        <v>42186</v>
      </c>
      <c r="F893" s="356">
        <f t="shared" si="47"/>
        <v>0</v>
      </c>
      <c r="G893" s="356">
        <f t="shared" si="45"/>
        <v>0</v>
      </c>
      <c r="H893" s="559">
        <f t="shared" si="48"/>
        <v>0</v>
      </c>
    </row>
    <row r="894" spans="5:8" s="559" customFormat="1" hidden="1" x14ac:dyDescent="0.25">
      <c r="E894" s="757">
        <f t="shared" si="46"/>
        <v>42186</v>
      </c>
      <c r="F894" s="356">
        <f t="shared" si="47"/>
        <v>0</v>
      </c>
      <c r="G894" s="356">
        <f t="shared" si="45"/>
        <v>0</v>
      </c>
      <c r="H894" s="559">
        <f t="shared" si="48"/>
        <v>0</v>
      </c>
    </row>
    <row r="895" spans="5:8" s="559" customFormat="1" hidden="1" x14ac:dyDescent="0.25">
      <c r="E895" s="757">
        <f t="shared" si="46"/>
        <v>42186</v>
      </c>
      <c r="F895" s="356">
        <f t="shared" si="47"/>
        <v>0</v>
      </c>
      <c r="G895" s="356">
        <f t="shared" si="45"/>
        <v>0</v>
      </c>
      <c r="H895" s="559">
        <f t="shared" si="48"/>
        <v>0</v>
      </c>
    </row>
    <row r="896" spans="5:8" s="559" customFormat="1" hidden="1" x14ac:dyDescent="0.25">
      <c r="E896" s="757">
        <f t="shared" si="46"/>
        <v>42186</v>
      </c>
      <c r="F896" s="356">
        <f t="shared" si="47"/>
        <v>0</v>
      </c>
      <c r="G896" s="356">
        <f t="shared" si="45"/>
        <v>0</v>
      </c>
      <c r="H896" s="559">
        <f t="shared" si="48"/>
        <v>0</v>
      </c>
    </row>
    <row r="897" spans="5:8" s="559" customFormat="1" hidden="1" x14ac:dyDescent="0.25">
      <c r="E897" s="757">
        <f t="shared" si="46"/>
        <v>42186</v>
      </c>
      <c r="F897" s="356">
        <f t="shared" si="47"/>
        <v>0</v>
      </c>
      <c r="G897" s="356">
        <f t="shared" si="45"/>
        <v>0</v>
      </c>
      <c r="H897" s="559">
        <f t="shared" si="48"/>
        <v>0</v>
      </c>
    </row>
    <row r="898" spans="5:8" s="559" customFormat="1" hidden="1" x14ac:dyDescent="0.25">
      <c r="E898" s="757">
        <f t="shared" si="46"/>
        <v>42186</v>
      </c>
      <c r="F898" s="356">
        <f t="shared" si="47"/>
        <v>0</v>
      </c>
      <c r="G898" s="356">
        <f t="shared" si="45"/>
        <v>0</v>
      </c>
      <c r="H898" s="559">
        <f t="shared" si="48"/>
        <v>0</v>
      </c>
    </row>
    <row r="899" spans="5:8" s="559" customFormat="1" hidden="1" x14ac:dyDescent="0.25">
      <c r="E899" s="757">
        <f t="shared" si="46"/>
        <v>42186</v>
      </c>
      <c r="F899" s="356">
        <f t="shared" si="47"/>
        <v>0</v>
      </c>
      <c r="G899" s="356">
        <f t="shared" si="45"/>
        <v>0</v>
      </c>
      <c r="H899" s="559">
        <f t="shared" si="48"/>
        <v>0</v>
      </c>
    </row>
    <row r="900" spans="5:8" s="559" customFormat="1" hidden="1" x14ac:dyDescent="0.25">
      <c r="E900" s="757">
        <f t="shared" si="46"/>
        <v>42186</v>
      </c>
      <c r="F900" s="356">
        <f t="shared" si="47"/>
        <v>0</v>
      </c>
      <c r="G900" s="356">
        <f t="shared" si="45"/>
        <v>0</v>
      </c>
      <c r="H900" s="559">
        <f t="shared" si="48"/>
        <v>0</v>
      </c>
    </row>
    <row r="901" spans="5:8" s="559" customFormat="1" hidden="1" x14ac:dyDescent="0.25">
      <c r="E901" s="757">
        <f t="shared" si="46"/>
        <v>42186</v>
      </c>
      <c r="F901" s="356">
        <f t="shared" si="47"/>
        <v>0</v>
      </c>
      <c r="G901" s="356">
        <f t="shared" si="45"/>
        <v>0</v>
      </c>
      <c r="H901" s="559">
        <f t="shared" si="48"/>
        <v>0</v>
      </c>
    </row>
    <row r="902" spans="5:8" s="559" customFormat="1" hidden="1" x14ac:dyDescent="0.25">
      <c r="E902" s="757">
        <f t="shared" si="46"/>
        <v>42186</v>
      </c>
      <c r="F902" s="356">
        <f t="shared" si="47"/>
        <v>0</v>
      </c>
      <c r="G902" s="356">
        <f t="shared" si="45"/>
        <v>0</v>
      </c>
      <c r="H902" s="559">
        <f t="shared" si="48"/>
        <v>0</v>
      </c>
    </row>
    <row r="903" spans="5:8" s="559" customFormat="1" hidden="1" x14ac:dyDescent="0.25">
      <c r="E903" s="757">
        <f t="shared" si="46"/>
        <v>42186</v>
      </c>
      <c r="F903" s="356">
        <f t="shared" si="47"/>
        <v>0</v>
      </c>
      <c r="G903" s="356">
        <f t="shared" si="45"/>
        <v>0</v>
      </c>
      <c r="H903" s="559">
        <f t="shared" si="48"/>
        <v>0</v>
      </c>
    </row>
    <row r="904" spans="5:8" s="559" customFormat="1" hidden="1" x14ac:dyDescent="0.25">
      <c r="E904" s="757">
        <f t="shared" si="46"/>
        <v>42186</v>
      </c>
      <c r="F904" s="356">
        <f t="shared" si="47"/>
        <v>0</v>
      </c>
      <c r="G904" s="356">
        <f t="shared" si="45"/>
        <v>0</v>
      </c>
      <c r="H904" s="559">
        <f t="shared" si="48"/>
        <v>0</v>
      </c>
    </row>
    <row r="905" spans="5:8" s="559" customFormat="1" hidden="1" x14ac:dyDescent="0.25">
      <c r="E905" s="757">
        <f t="shared" si="46"/>
        <v>42186</v>
      </c>
      <c r="F905" s="356">
        <f t="shared" si="47"/>
        <v>0</v>
      </c>
      <c r="G905" s="356">
        <f t="shared" si="45"/>
        <v>0</v>
      </c>
      <c r="H905" s="559">
        <f t="shared" si="48"/>
        <v>0</v>
      </c>
    </row>
    <row r="906" spans="5:8" s="559" customFormat="1" hidden="1" x14ac:dyDescent="0.25">
      <c r="E906" s="757">
        <f t="shared" si="46"/>
        <v>42186</v>
      </c>
      <c r="F906" s="356">
        <f t="shared" si="47"/>
        <v>0</v>
      </c>
      <c r="G906" s="356">
        <f t="shared" si="45"/>
        <v>0</v>
      </c>
      <c r="H906" s="559">
        <f t="shared" si="48"/>
        <v>0</v>
      </c>
    </row>
    <row r="907" spans="5:8" s="559" customFormat="1" hidden="1" x14ac:dyDescent="0.25">
      <c r="E907" s="757">
        <f t="shared" si="46"/>
        <v>42186</v>
      </c>
      <c r="F907" s="356">
        <f t="shared" si="47"/>
        <v>0</v>
      </c>
      <c r="G907" s="356">
        <f t="shared" si="45"/>
        <v>0</v>
      </c>
      <c r="H907" s="559">
        <f t="shared" si="48"/>
        <v>0</v>
      </c>
    </row>
    <row r="908" spans="5:8" s="559" customFormat="1" hidden="1" x14ac:dyDescent="0.25">
      <c r="E908" s="757">
        <f t="shared" si="46"/>
        <v>42186</v>
      </c>
      <c r="F908" s="356">
        <f t="shared" si="47"/>
        <v>0</v>
      </c>
      <c r="G908" s="356">
        <f t="shared" si="45"/>
        <v>0</v>
      </c>
      <c r="H908" s="559">
        <f t="shared" si="48"/>
        <v>0</v>
      </c>
    </row>
    <row r="909" spans="5:8" s="559" customFormat="1" hidden="1" x14ac:dyDescent="0.25">
      <c r="E909" s="757">
        <f t="shared" si="46"/>
        <v>42186</v>
      </c>
      <c r="F909" s="356">
        <f t="shared" si="47"/>
        <v>0</v>
      </c>
      <c r="G909" s="356">
        <f t="shared" si="45"/>
        <v>0</v>
      </c>
      <c r="H909" s="559">
        <f t="shared" si="48"/>
        <v>0</v>
      </c>
    </row>
    <row r="910" spans="5:8" s="559" customFormat="1" hidden="1" x14ac:dyDescent="0.25">
      <c r="E910" s="757">
        <f t="shared" si="46"/>
        <v>42186</v>
      </c>
      <c r="F910" s="356">
        <f t="shared" si="47"/>
        <v>0</v>
      </c>
      <c r="G910" s="356">
        <f t="shared" si="45"/>
        <v>0</v>
      </c>
      <c r="H910" s="559">
        <f t="shared" si="48"/>
        <v>0</v>
      </c>
    </row>
    <row r="911" spans="5:8" s="559" customFormat="1" hidden="1" x14ac:dyDescent="0.25">
      <c r="E911" s="757">
        <f t="shared" si="46"/>
        <v>42186</v>
      </c>
      <c r="F911" s="356">
        <f t="shared" si="47"/>
        <v>0</v>
      </c>
      <c r="G911" s="356">
        <f t="shared" si="45"/>
        <v>0</v>
      </c>
      <c r="H911" s="559">
        <f t="shared" si="48"/>
        <v>0</v>
      </c>
    </row>
    <row r="912" spans="5:8" s="559" customFormat="1" hidden="1" x14ac:dyDescent="0.25">
      <c r="E912" s="757">
        <f t="shared" si="46"/>
        <v>42186</v>
      </c>
      <c r="F912" s="356">
        <f t="shared" si="47"/>
        <v>0</v>
      </c>
      <c r="G912" s="356">
        <f t="shared" si="45"/>
        <v>0</v>
      </c>
      <c r="H912" s="559">
        <f t="shared" si="48"/>
        <v>0</v>
      </c>
    </row>
    <row r="913" spans="5:8" s="559" customFormat="1" hidden="1" x14ac:dyDescent="0.25">
      <c r="E913" s="757">
        <f t="shared" si="46"/>
        <v>42186</v>
      </c>
      <c r="F913" s="356">
        <f t="shared" si="47"/>
        <v>0</v>
      </c>
      <c r="G913" s="356">
        <f t="shared" si="45"/>
        <v>0</v>
      </c>
      <c r="H913" s="559">
        <f t="shared" si="48"/>
        <v>0</v>
      </c>
    </row>
    <row r="914" spans="5:8" s="559" customFormat="1" hidden="1" x14ac:dyDescent="0.25">
      <c r="E914" s="757">
        <f t="shared" si="46"/>
        <v>42186</v>
      </c>
      <c r="F914" s="356">
        <f t="shared" si="47"/>
        <v>0</v>
      </c>
      <c r="G914" s="356">
        <f t="shared" si="45"/>
        <v>0</v>
      </c>
      <c r="H914" s="559">
        <f t="shared" si="48"/>
        <v>0</v>
      </c>
    </row>
    <row r="915" spans="5:8" s="559" customFormat="1" hidden="1" x14ac:dyDescent="0.25">
      <c r="E915" s="757">
        <f t="shared" si="46"/>
        <v>42186</v>
      </c>
      <c r="F915" s="356">
        <f t="shared" si="47"/>
        <v>0</v>
      </c>
      <c r="G915" s="356">
        <f t="shared" si="45"/>
        <v>0</v>
      </c>
      <c r="H915" s="559">
        <f t="shared" si="48"/>
        <v>0</v>
      </c>
    </row>
    <row r="916" spans="5:8" s="559" customFormat="1" hidden="1" x14ac:dyDescent="0.25">
      <c r="E916" s="757">
        <f t="shared" si="46"/>
        <v>42186</v>
      </c>
      <c r="F916" s="356">
        <f t="shared" si="47"/>
        <v>0</v>
      </c>
      <c r="G916" s="356">
        <f t="shared" si="45"/>
        <v>0</v>
      </c>
      <c r="H916" s="559">
        <f t="shared" si="48"/>
        <v>0</v>
      </c>
    </row>
    <row r="917" spans="5:8" s="559" customFormat="1" hidden="1" x14ac:dyDescent="0.25">
      <c r="E917" s="757">
        <f t="shared" si="46"/>
        <v>42186</v>
      </c>
      <c r="F917" s="356">
        <f t="shared" si="47"/>
        <v>0</v>
      </c>
      <c r="G917" s="356">
        <f t="shared" si="45"/>
        <v>0</v>
      </c>
      <c r="H917" s="559">
        <f t="shared" si="48"/>
        <v>0</v>
      </c>
    </row>
    <row r="918" spans="5:8" s="559" customFormat="1" hidden="1" x14ac:dyDescent="0.25">
      <c r="E918" s="757">
        <f t="shared" si="46"/>
        <v>42186</v>
      </c>
      <c r="F918" s="356">
        <f t="shared" si="47"/>
        <v>0</v>
      </c>
      <c r="G918" s="356">
        <f t="shared" si="45"/>
        <v>0</v>
      </c>
      <c r="H918" s="559">
        <f t="shared" si="48"/>
        <v>0</v>
      </c>
    </row>
    <row r="919" spans="5:8" s="559" customFormat="1" hidden="1" x14ac:dyDescent="0.25">
      <c r="E919" s="757">
        <f t="shared" si="46"/>
        <v>42186</v>
      </c>
      <c r="F919" s="356">
        <f t="shared" si="47"/>
        <v>0</v>
      </c>
      <c r="G919" s="356">
        <f t="shared" si="45"/>
        <v>0</v>
      </c>
      <c r="H919" s="559">
        <f t="shared" si="48"/>
        <v>0</v>
      </c>
    </row>
    <row r="920" spans="5:8" s="559" customFormat="1" hidden="1" x14ac:dyDescent="0.25">
      <c r="E920" s="757">
        <f t="shared" si="46"/>
        <v>42186</v>
      </c>
      <c r="F920" s="356">
        <f t="shared" si="47"/>
        <v>0</v>
      </c>
      <c r="G920" s="356">
        <f t="shared" si="45"/>
        <v>0</v>
      </c>
      <c r="H920" s="559">
        <f t="shared" si="48"/>
        <v>0</v>
      </c>
    </row>
    <row r="921" spans="5:8" s="559" customFormat="1" hidden="1" x14ac:dyDescent="0.25">
      <c r="E921" s="757">
        <f t="shared" si="46"/>
        <v>42186</v>
      </c>
      <c r="F921" s="356">
        <f t="shared" si="47"/>
        <v>0</v>
      </c>
      <c r="G921" s="356">
        <f t="shared" si="45"/>
        <v>0</v>
      </c>
      <c r="H921" s="559">
        <f t="shared" si="48"/>
        <v>0</v>
      </c>
    </row>
    <row r="922" spans="5:8" s="559" customFormat="1" hidden="1" x14ac:dyDescent="0.25">
      <c r="E922" s="757">
        <f t="shared" si="46"/>
        <v>42186</v>
      </c>
      <c r="F922" s="356">
        <f t="shared" si="47"/>
        <v>0</v>
      </c>
      <c r="G922" s="356">
        <f t="shared" si="45"/>
        <v>0</v>
      </c>
      <c r="H922" s="559">
        <f t="shared" si="48"/>
        <v>0</v>
      </c>
    </row>
    <row r="923" spans="5:8" s="559" customFormat="1" hidden="1" x14ac:dyDescent="0.25">
      <c r="E923" s="757">
        <f t="shared" si="46"/>
        <v>42186</v>
      </c>
      <c r="F923" s="356">
        <f t="shared" si="47"/>
        <v>0</v>
      </c>
      <c r="G923" s="356">
        <f t="shared" ref="G923:G986" si="49">ROUND(F923,-2)</f>
        <v>0</v>
      </c>
      <c r="H923" s="559">
        <f t="shared" si="48"/>
        <v>0</v>
      </c>
    </row>
    <row r="924" spans="5:8" s="559" customFormat="1" hidden="1" x14ac:dyDescent="0.25">
      <c r="E924" s="757">
        <f t="shared" ref="E924:E987" si="50">IF(E923&lt;$C$156,E923+1,$C$156)</f>
        <v>42186</v>
      </c>
      <c r="F924" s="356">
        <f t="shared" ref="F924:F987" si="51">IF(E923&lt;$C$156,F923+C$158,F923)</f>
        <v>0</v>
      </c>
      <c r="G924" s="356">
        <f t="shared" si="49"/>
        <v>0</v>
      </c>
      <c r="H924" s="559">
        <f t="shared" ref="H924:H987" si="52">IF(F924&gt;F923,(VLOOKUP(G924,$K$154:$O$160,MATCH($C$159,$K$154:$O$154,0),0)),0)</f>
        <v>0</v>
      </c>
    </row>
    <row r="925" spans="5:8" s="559" customFormat="1" hidden="1" x14ac:dyDescent="0.25">
      <c r="E925" s="757">
        <f t="shared" si="50"/>
        <v>42186</v>
      </c>
      <c r="F925" s="356">
        <f t="shared" si="51"/>
        <v>0</v>
      </c>
      <c r="G925" s="356">
        <f t="shared" si="49"/>
        <v>0</v>
      </c>
      <c r="H925" s="559">
        <f t="shared" si="52"/>
        <v>0</v>
      </c>
    </row>
    <row r="926" spans="5:8" s="559" customFormat="1" hidden="1" x14ac:dyDescent="0.25">
      <c r="E926" s="757">
        <f t="shared" si="50"/>
        <v>42186</v>
      </c>
      <c r="F926" s="356">
        <f t="shared" si="51"/>
        <v>0</v>
      </c>
      <c r="G926" s="356">
        <f t="shared" si="49"/>
        <v>0</v>
      </c>
      <c r="H926" s="559">
        <f t="shared" si="52"/>
        <v>0</v>
      </c>
    </row>
    <row r="927" spans="5:8" s="559" customFormat="1" hidden="1" x14ac:dyDescent="0.25">
      <c r="E927" s="757">
        <f t="shared" si="50"/>
        <v>42186</v>
      </c>
      <c r="F927" s="356">
        <f t="shared" si="51"/>
        <v>0</v>
      </c>
      <c r="G927" s="356">
        <f t="shared" si="49"/>
        <v>0</v>
      </c>
      <c r="H927" s="559">
        <f t="shared" si="52"/>
        <v>0</v>
      </c>
    </row>
    <row r="928" spans="5:8" s="559" customFormat="1" hidden="1" x14ac:dyDescent="0.25">
      <c r="E928" s="757">
        <f t="shared" si="50"/>
        <v>42186</v>
      </c>
      <c r="F928" s="356">
        <f t="shared" si="51"/>
        <v>0</v>
      </c>
      <c r="G928" s="356">
        <f t="shared" si="49"/>
        <v>0</v>
      </c>
      <c r="H928" s="559">
        <f t="shared" si="52"/>
        <v>0</v>
      </c>
    </row>
    <row r="929" spans="5:8" s="559" customFormat="1" hidden="1" x14ac:dyDescent="0.25">
      <c r="E929" s="757">
        <f t="shared" si="50"/>
        <v>42186</v>
      </c>
      <c r="F929" s="356">
        <f t="shared" si="51"/>
        <v>0</v>
      </c>
      <c r="G929" s="356">
        <f t="shared" si="49"/>
        <v>0</v>
      </c>
      <c r="H929" s="559">
        <f t="shared" si="52"/>
        <v>0</v>
      </c>
    </row>
    <row r="930" spans="5:8" s="559" customFormat="1" hidden="1" x14ac:dyDescent="0.25">
      <c r="E930" s="757">
        <f t="shared" si="50"/>
        <v>42186</v>
      </c>
      <c r="F930" s="356">
        <f t="shared" si="51"/>
        <v>0</v>
      </c>
      <c r="G930" s="356">
        <f t="shared" si="49"/>
        <v>0</v>
      </c>
      <c r="H930" s="559">
        <f t="shared" si="52"/>
        <v>0</v>
      </c>
    </row>
    <row r="931" spans="5:8" s="559" customFormat="1" hidden="1" x14ac:dyDescent="0.25">
      <c r="E931" s="757">
        <f t="shared" si="50"/>
        <v>42186</v>
      </c>
      <c r="F931" s="356">
        <f t="shared" si="51"/>
        <v>0</v>
      </c>
      <c r="G931" s="356">
        <f t="shared" si="49"/>
        <v>0</v>
      </c>
      <c r="H931" s="559">
        <f t="shared" si="52"/>
        <v>0</v>
      </c>
    </row>
    <row r="932" spans="5:8" s="559" customFormat="1" hidden="1" x14ac:dyDescent="0.25">
      <c r="E932" s="757">
        <f t="shared" si="50"/>
        <v>42186</v>
      </c>
      <c r="F932" s="356">
        <f t="shared" si="51"/>
        <v>0</v>
      </c>
      <c r="G932" s="356">
        <f t="shared" si="49"/>
        <v>0</v>
      </c>
      <c r="H932" s="559">
        <f t="shared" si="52"/>
        <v>0</v>
      </c>
    </row>
    <row r="933" spans="5:8" s="559" customFormat="1" hidden="1" x14ac:dyDescent="0.25">
      <c r="E933" s="757">
        <f t="shared" si="50"/>
        <v>42186</v>
      </c>
      <c r="F933" s="356">
        <f t="shared" si="51"/>
        <v>0</v>
      </c>
      <c r="G933" s="356">
        <f t="shared" si="49"/>
        <v>0</v>
      </c>
      <c r="H933" s="559">
        <f t="shared" si="52"/>
        <v>0</v>
      </c>
    </row>
    <row r="934" spans="5:8" s="559" customFormat="1" hidden="1" x14ac:dyDescent="0.25">
      <c r="E934" s="757">
        <f t="shared" si="50"/>
        <v>42186</v>
      </c>
      <c r="F934" s="356">
        <f t="shared" si="51"/>
        <v>0</v>
      </c>
      <c r="G934" s="356">
        <f t="shared" si="49"/>
        <v>0</v>
      </c>
      <c r="H934" s="559">
        <f t="shared" si="52"/>
        <v>0</v>
      </c>
    </row>
    <row r="935" spans="5:8" s="559" customFormat="1" hidden="1" x14ac:dyDescent="0.25">
      <c r="E935" s="757">
        <f t="shared" si="50"/>
        <v>42186</v>
      </c>
      <c r="F935" s="356">
        <f t="shared" si="51"/>
        <v>0</v>
      </c>
      <c r="G935" s="356">
        <f t="shared" si="49"/>
        <v>0</v>
      </c>
      <c r="H935" s="559">
        <f t="shared" si="52"/>
        <v>0</v>
      </c>
    </row>
    <row r="936" spans="5:8" s="559" customFormat="1" hidden="1" x14ac:dyDescent="0.25">
      <c r="E936" s="757">
        <f t="shared" si="50"/>
        <v>42186</v>
      </c>
      <c r="F936" s="356">
        <f t="shared" si="51"/>
        <v>0</v>
      </c>
      <c r="G936" s="356">
        <f t="shared" si="49"/>
        <v>0</v>
      </c>
      <c r="H936" s="559">
        <f t="shared" si="52"/>
        <v>0</v>
      </c>
    </row>
    <row r="937" spans="5:8" s="559" customFormat="1" hidden="1" x14ac:dyDescent="0.25">
      <c r="E937" s="757">
        <f t="shared" si="50"/>
        <v>42186</v>
      </c>
      <c r="F937" s="356">
        <f t="shared" si="51"/>
        <v>0</v>
      </c>
      <c r="G937" s="356">
        <f t="shared" si="49"/>
        <v>0</v>
      </c>
      <c r="H937" s="559">
        <f t="shared" si="52"/>
        <v>0</v>
      </c>
    </row>
    <row r="938" spans="5:8" s="559" customFormat="1" hidden="1" x14ac:dyDescent="0.25">
      <c r="E938" s="757">
        <f t="shared" si="50"/>
        <v>42186</v>
      </c>
      <c r="F938" s="356">
        <f t="shared" si="51"/>
        <v>0</v>
      </c>
      <c r="G938" s="356">
        <f t="shared" si="49"/>
        <v>0</v>
      </c>
      <c r="H938" s="559">
        <f t="shared" si="52"/>
        <v>0</v>
      </c>
    </row>
    <row r="939" spans="5:8" s="559" customFormat="1" hidden="1" x14ac:dyDescent="0.25">
      <c r="E939" s="757">
        <f t="shared" si="50"/>
        <v>42186</v>
      </c>
      <c r="F939" s="356">
        <f t="shared" si="51"/>
        <v>0</v>
      </c>
      <c r="G939" s="356">
        <f t="shared" si="49"/>
        <v>0</v>
      </c>
      <c r="H939" s="559">
        <f t="shared" si="52"/>
        <v>0</v>
      </c>
    </row>
    <row r="940" spans="5:8" s="559" customFormat="1" hidden="1" x14ac:dyDescent="0.25">
      <c r="E940" s="757">
        <f t="shared" si="50"/>
        <v>42186</v>
      </c>
      <c r="F940" s="356">
        <f t="shared" si="51"/>
        <v>0</v>
      </c>
      <c r="G940" s="356">
        <f t="shared" si="49"/>
        <v>0</v>
      </c>
      <c r="H940" s="559">
        <f t="shared" si="52"/>
        <v>0</v>
      </c>
    </row>
    <row r="941" spans="5:8" s="559" customFormat="1" hidden="1" x14ac:dyDescent="0.25">
      <c r="E941" s="757">
        <f t="shared" si="50"/>
        <v>42186</v>
      </c>
      <c r="F941" s="356">
        <f t="shared" si="51"/>
        <v>0</v>
      </c>
      <c r="G941" s="356">
        <f t="shared" si="49"/>
        <v>0</v>
      </c>
      <c r="H941" s="559">
        <f t="shared" si="52"/>
        <v>0</v>
      </c>
    </row>
    <row r="942" spans="5:8" s="559" customFormat="1" hidden="1" x14ac:dyDescent="0.25">
      <c r="E942" s="757">
        <f t="shared" si="50"/>
        <v>42186</v>
      </c>
      <c r="F942" s="356">
        <f t="shared" si="51"/>
        <v>0</v>
      </c>
      <c r="G942" s="356">
        <f t="shared" si="49"/>
        <v>0</v>
      </c>
      <c r="H942" s="559">
        <f t="shared" si="52"/>
        <v>0</v>
      </c>
    </row>
    <row r="943" spans="5:8" s="559" customFormat="1" hidden="1" x14ac:dyDescent="0.25">
      <c r="E943" s="757">
        <f t="shared" si="50"/>
        <v>42186</v>
      </c>
      <c r="F943" s="356">
        <f t="shared" si="51"/>
        <v>0</v>
      </c>
      <c r="G943" s="356">
        <f t="shared" si="49"/>
        <v>0</v>
      </c>
      <c r="H943" s="559">
        <f t="shared" si="52"/>
        <v>0</v>
      </c>
    </row>
    <row r="944" spans="5:8" s="559" customFormat="1" hidden="1" x14ac:dyDescent="0.25">
      <c r="E944" s="757">
        <f t="shared" si="50"/>
        <v>42186</v>
      </c>
      <c r="F944" s="356">
        <f t="shared" si="51"/>
        <v>0</v>
      </c>
      <c r="G944" s="356">
        <f t="shared" si="49"/>
        <v>0</v>
      </c>
      <c r="H944" s="559">
        <f t="shared" si="52"/>
        <v>0</v>
      </c>
    </row>
    <row r="945" spans="5:8" s="559" customFormat="1" hidden="1" x14ac:dyDescent="0.25">
      <c r="E945" s="757">
        <f t="shared" si="50"/>
        <v>42186</v>
      </c>
      <c r="F945" s="356">
        <f t="shared" si="51"/>
        <v>0</v>
      </c>
      <c r="G945" s="356">
        <f t="shared" si="49"/>
        <v>0</v>
      </c>
      <c r="H945" s="559">
        <f t="shared" si="52"/>
        <v>0</v>
      </c>
    </row>
    <row r="946" spans="5:8" s="559" customFormat="1" hidden="1" x14ac:dyDescent="0.25">
      <c r="E946" s="757">
        <f t="shared" si="50"/>
        <v>42186</v>
      </c>
      <c r="F946" s="356">
        <f t="shared" si="51"/>
        <v>0</v>
      </c>
      <c r="G946" s="356">
        <f t="shared" si="49"/>
        <v>0</v>
      </c>
      <c r="H946" s="559">
        <f t="shared" si="52"/>
        <v>0</v>
      </c>
    </row>
    <row r="947" spans="5:8" s="559" customFormat="1" hidden="1" x14ac:dyDescent="0.25">
      <c r="E947" s="757">
        <f t="shared" si="50"/>
        <v>42186</v>
      </c>
      <c r="F947" s="356">
        <f t="shared" si="51"/>
        <v>0</v>
      </c>
      <c r="G947" s="356">
        <f t="shared" si="49"/>
        <v>0</v>
      </c>
      <c r="H947" s="559">
        <f t="shared" si="52"/>
        <v>0</v>
      </c>
    </row>
    <row r="948" spans="5:8" s="559" customFormat="1" hidden="1" x14ac:dyDescent="0.25">
      <c r="E948" s="757">
        <f t="shared" si="50"/>
        <v>42186</v>
      </c>
      <c r="F948" s="356">
        <f t="shared" si="51"/>
        <v>0</v>
      </c>
      <c r="G948" s="356">
        <f t="shared" si="49"/>
        <v>0</v>
      </c>
      <c r="H948" s="559">
        <f t="shared" si="52"/>
        <v>0</v>
      </c>
    </row>
    <row r="949" spans="5:8" s="559" customFormat="1" hidden="1" x14ac:dyDescent="0.25">
      <c r="E949" s="757">
        <f t="shared" si="50"/>
        <v>42186</v>
      </c>
      <c r="F949" s="356">
        <f t="shared" si="51"/>
        <v>0</v>
      </c>
      <c r="G949" s="356">
        <f t="shared" si="49"/>
        <v>0</v>
      </c>
      <c r="H949" s="559">
        <f t="shared" si="52"/>
        <v>0</v>
      </c>
    </row>
    <row r="950" spans="5:8" s="559" customFormat="1" hidden="1" x14ac:dyDescent="0.25">
      <c r="E950" s="757">
        <f t="shared" si="50"/>
        <v>42186</v>
      </c>
      <c r="F950" s="356">
        <f t="shared" si="51"/>
        <v>0</v>
      </c>
      <c r="G950" s="356">
        <f t="shared" si="49"/>
        <v>0</v>
      </c>
      <c r="H950" s="559">
        <f t="shared" si="52"/>
        <v>0</v>
      </c>
    </row>
    <row r="951" spans="5:8" s="559" customFormat="1" hidden="1" x14ac:dyDescent="0.25">
      <c r="E951" s="757">
        <f t="shared" si="50"/>
        <v>42186</v>
      </c>
      <c r="F951" s="356">
        <f t="shared" si="51"/>
        <v>0</v>
      </c>
      <c r="G951" s="356">
        <f t="shared" si="49"/>
        <v>0</v>
      </c>
      <c r="H951" s="559">
        <f t="shared" si="52"/>
        <v>0</v>
      </c>
    </row>
    <row r="952" spans="5:8" s="559" customFormat="1" hidden="1" x14ac:dyDescent="0.25">
      <c r="E952" s="757">
        <f t="shared" si="50"/>
        <v>42186</v>
      </c>
      <c r="F952" s="356">
        <f t="shared" si="51"/>
        <v>0</v>
      </c>
      <c r="G952" s="356">
        <f t="shared" si="49"/>
        <v>0</v>
      </c>
      <c r="H952" s="559">
        <f t="shared" si="52"/>
        <v>0</v>
      </c>
    </row>
    <row r="953" spans="5:8" s="559" customFormat="1" hidden="1" x14ac:dyDescent="0.25">
      <c r="E953" s="757">
        <f t="shared" si="50"/>
        <v>42186</v>
      </c>
      <c r="F953" s="356">
        <f t="shared" si="51"/>
        <v>0</v>
      </c>
      <c r="G953" s="356">
        <f t="shared" si="49"/>
        <v>0</v>
      </c>
      <c r="H953" s="559">
        <f t="shared" si="52"/>
        <v>0</v>
      </c>
    </row>
    <row r="954" spans="5:8" s="559" customFormat="1" hidden="1" x14ac:dyDescent="0.25">
      <c r="E954" s="757">
        <f t="shared" si="50"/>
        <v>42186</v>
      </c>
      <c r="F954" s="356">
        <f t="shared" si="51"/>
        <v>0</v>
      </c>
      <c r="G954" s="356">
        <f t="shared" si="49"/>
        <v>0</v>
      </c>
      <c r="H954" s="559">
        <f t="shared" si="52"/>
        <v>0</v>
      </c>
    </row>
    <row r="955" spans="5:8" s="559" customFormat="1" hidden="1" x14ac:dyDescent="0.25">
      <c r="E955" s="757">
        <f t="shared" si="50"/>
        <v>42186</v>
      </c>
      <c r="F955" s="356">
        <f t="shared" si="51"/>
        <v>0</v>
      </c>
      <c r="G955" s="356">
        <f t="shared" si="49"/>
        <v>0</v>
      </c>
      <c r="H955" s="559">
        <f t="shared" si="52"/>
        <v>0</v>
      </c>
    </row>
    <row r="956" spans="5:8" s="559" customFormat="1" hidden="1" x14ac:dyDescent="0.25">
      <c r="E956" s="757">
        <f t="shared" si="50"/>
        <v>42186</v>
      </c>
      <c r="F956" s="356">
        <f t="shared" si="51"/>
        <v>0</v>
      </c>
      <c r="G956" s="356">
        <f t="shared" si="49"/>
        <v>0</v>
      </c>
      <c r="H956" s="559">
        <f t="shared" si="52"/>
        <v>0</v>
      </c>
    </row>
    <row r="957" spans="5:8" s="559" customFormat="1" hidden="1" x14ac:dyDescent="0.25">
      <c r="E957" s="757">
        <f t="shared" si="50"/>
        <v>42186</v>
      </c>
      <c r="F957" s="356">
        <f t="shared" si="51"/>
        <v>0</v>
      </c>
      <c r="G957" s="356">
        <f t="shared" si="49"/>
        <v>0</v>
      </c>
      <c r="H957" s="559">
        <f t="shared" si="52"/>
        <v>0</v>
      </c>
    </row>
    <row r="958" spans="5:8" s="559" customFormat="1" hidden="1" x14ac:dyDescent="0.25">
      <c r="E958" s="757">
        <f t="shared" si="50"/>
        <v>42186</v>
      </c>
      <c r="F958" s="356">
        <f t="shared" si="51"/>
        <v>0</v>
      </c>
      <c r="G958" s="356">
        <f t="shared" si="49"/>
        <v>0</v>
      </c>
      <c r="H958" s="559">
        <f t="shared" si="52"/>
        <v>0</v>
      </c>
    </row>
    <row r="959" spans="5:8" s="559" customFormat="1" hidden="1" x14ac:dyDescent="0.25">
      <c r="E959" s="757">
        <f t="shared" si="50"/>
        <v>42186</v>
      </c>
      <c r="F959" s="356">
        <f t="shared" si="51"/>
        <v>0</v>
      </c>
      <c r="G959" s="356">
        <f t="shared" si="49"/>
        <v>0</v>
      </c>
      <c r="H959" s="559">
        <f t="shared" si="52"/>
        <v>0</v>
      </c>
    </row>
    <row r="960" spans="5:8" s="559" customFormat="1" hidden="1" x14ac:dyDescent="0.25">
      <c r="E960" s="757">
        <f t="shared" si="50"/>
        <v>42186</v>
      </c>
      <c r="F960" s="356">
        <f t="shared" si="51"/>
        <v>0</v>
      </c>
      <c r="G960" s="356">
        <f t="shared" si="49"/>
        <v>0</v>
      </c>
      <c r="H960" s="559">
        <f t="shared" si="52"/>
        <v>0</v>
      </c>
    </row>
    <row r="961" spans="5:8" s="559" customFormat="1" hidden="1" x14ac:dyDescent="0.25">
      <c r="E961" s="757">
        <f t="shared" si="50"/>
        <v>42186</v>
      </c>
      <c r="F961" s="356">
        <f t="shared" si="51"/>
        <v>0</v>
      </c>
      <c r="G961" s="356">
        <f t="shared" si="49"/>
        <v>0</v>
      </c>
      <c r="H961" s="559">
        <f t="shared" si="52"/>
        <v>0</v>
      </c>
    </row>
    <row r="962" spans="5:8" s="559" customFormat="1" hidden="1" x14ac:dyDescent="0.25">
      <c r="E962" s="757">
        <f t="shared" si="50"/>
        <v>42186</v>
      </c>
      <c r="F962" s="356">
        <f t="shared" si="51"/>
        <v>0</v>
      </c>
      <c r="G962" s="356">
        <f t="shared" si="49"/>
        <v>0</v>
      </c>
      <c r="H962" s="559">
        <f t="shared" si="52"/>
        <v>0</v>
      </c>
    </row>
    <row r="963" spans="5:8" s="559" customFormat="1" hidden="1" x14ac:dyDescent="0.25">
      <c r="E963" s="757">
        <f t="shared" si="50"/>
        <v>42186</v>
      </c>
      <c r="F963" s="356">
        <f t="shared" si="51"/>
        <v>0</v>
      </c>
      <c r="G963" s="356">
        <f t="shared" si="49"/>
        <v>0</v>
      </c>
      <c r="H963" s="559">
        <f t="shared" si="52"/>
        <v>0</v>
      </c>
    </row>
    <row r="964" spans="5:8" s="559" customFormat="1" hidden="1" x14ac:dyDescent="0.25">
      <c r="E964" s="757">
        <f t="shared" si="50"/>
        <v>42186</v>
      </c>
      <c r="F964" s="356">
        <f t="shared" si="51"/>
        <v>0</v>
      </c>
      <c r="G964" s="356">
        <f t="shared" si="49"/>
        <v>0</v>
      </c>
      <c r="H964" s="559">
        <f t="shared" si="52"/>
        <v>0</v>
      </c>
    </row>
    <row r="965" spans="5:8" s="559" customFormat="1" hidden="1" x14ac:dyDescent="0.25">
      <c r="E965" s="757">
        <f t="shared" si="50"/>
        <v>42186</v>
      </c>
      <c r="F965" s="356">
        <f t="shared" si="51"/>
        <v>0</v>
      </c>
      <c r="G965" s="356">
        <f t="shared" si="49"/>
        <v>0</v>
      </c>
      <c r="H965" s="559">
        <f t="shared" si="52"/>
        <v>0</v>
      </c>
    </row>
    <row r="966" spans="5:8" s="559" customFormat="1" hidden="1" x14ac:dyDescent="0.25">
      <c r="E966" s="757">
        <f t="shared" si="50"/>
        <v>42186</v>
      </c>
      <c r="F966" s="356">
        <f t="shared" si="51"/>
        <v>0</v>
      </c>
      <c r="G966" s="356">
        <f t="shared" si="49"/>
        <v>0</v>
      </c>
      <c r="H966" s="559">
        <f t="shared" si="52"/>
        <v>0</v>
      </c>
    </row>
    <row r="967" spans="5:8" s="559" customFormat="1" hidden="1" x14ac:dyDescent="0.25">
      <c r="E967" s="757">
        <f t="shared" si="50"/>
        <v>42186</v>
      </c>
      <c r="F967" s="356">
        <f t="shared" si="51"/>
        <v>0</v>
      </c>
      <c r="G967" s="356">
        <f t="shared" si="49"/>
        <v>0</v>
      </c>
      <c r="H967" s="559">
        <f t="shared" si="52"/>
        <v>0</v>
      </c>
    </row>
    <row r="968" spans="5:8" s="559" customFormat="1" hidden="1" x14ac:dyDescent="0.25">
      <c r="E968" s="757">
        <f t="shared" si="50"/>
        <v>42186</v>
      </c>
      <c r="F968" s="356">
        <f t="shared" si="51"/>
        <v>0</v>
      </c>
      <c r="G968" s="356">
        <f t="shared" si="49"/>
        <v>0</v>
      </c>
      <c r="H968" s="559">
        <f t="shared" si="52"/>
        <v>0</v>
      </c>
    </row>
    <row r="969" spans="5:8" s="559" customFormat="1" hidden="1" x14ac:dyDescent="0.25">
      <c r="E969" s="757">
        <f t="shared" si="50"/>
        <v>42186</v>
      </c>
      <c r="F969" s="356">
        <f t="shared" si="51"/>
        <v>0</v>
      </c>
      <c r="G969" s="356">
        <f t="shared" si="49"/>
        <v>0</v>
      </c>
      <c r="H969" s="559">
        <f t="shared" si="52"/>
        <v>0</v>
      </c>
    </row>
    <row r="970" spans="5:8" s="559" customFormat="1" hidden="1" x14ac:dyDescent="0.25">
      <c r="E970" s="757">
        <f t="shared" si="50"/>
        <v>42186</v>
      </c>
      <c r="F970" s="356">
        <f t="shared" si="51"/>
        <v>0</v>
      </c>
      <c r="G970" s="356">
        <f t="shared" si="49"/>
        <v>0</v>
      </c>
      <c r="H970" s="559">
        <f t="shared" si="52"/>
        <v>0</v>
      </c>
    </row>
    <row r="971" spans="5:8" s="559" customFormat="1" hidden="1" x14ac:dyDescent="0.25">
      <c r="E971" s="757">
        <f t="shared" si="50"/>
        <v>42186</v>
      </c>
      <c r="F971" s="356">
        <f t="shared" si="51"/>
        <v>0</v>
      </c>
      <c r="G971" s="356">
        <f t="shared" si="49"/>
        <v>0</v>
      </c>
      <c r="H971" s="559">
        <f t="shared" si="52"/>
        <v>0</v>
      </c>
    </row>
    <row r="972" spans="5:8" s="559" customFormat="1" hidden="1" x14ac:dyDescent="0.25">
      <c r="E972" s="757">
        <f t="shared" si="50"/>
        <v>42186</v>
      </c>
      <c r="F972" s="356">
        <f t="shared" si="51"/>
        <v>0</v>
      </c>
      <c r="G972" s="356">
        <f t="shared" si="49"/>
        <v>0</v>
      </c>
      <c r="H972" s="559">
        <f t="shared" si="52"/>
        <v>0</v>
      </c>
    </row>
    <row r="973" spans="5:8" s="559" customFormat="1" hidden="1" x14ac:dyDescent="0.25">
      <c r="E973" s="757">
        <f t="shared" si="50"/>
        <v>42186</v>
      </c>
      <c r="F973" s="356">
        <f t="shared" si="51"/>
        <v>0</v>
      </c>
      <c r="G973" s="356">
        <f t="shared" si="49"/>
        <v>0</v>
      </c>
      <c r="H973" s="559">
        <f t="shared" si="52"/>
        <v>0</v>
      </c>
    </row>
    <row r="974" spans="5:8" s="559" customFormat="1" hidden="1" x14ac:dyDescent="0.25">
      <c r="E974" s="757">
        <f t="shared" si="50"/>
        <v>42186</v>
      </c>
      <c r="F974" s="356">
        <f t="shared" si="51"/>
        <v>0</v>
      </c>
      <c r="G974" s="356">
        <f t="shared" si="49"/>
        <v>0</v>
      </c>
      <c r="H974" s="559">
        <f t="shared" si="52"/>
        <v>0</v>
      </c>
    </row>
    <row r="975" spans="5:8" s="559" customFormat="1" hidden="1" x14ac:dyDescent="0.25">
      <c r="E975" s="757">
        <f t="shared" si="50"/>
        <v>42186</v>
      </c>
      <c r="F975" s="356">
        <f t="shared" si="51"/>
        <v>0</v>
      </c>
      <c r="G975" s="356">
        <f t="shared" si="49"/>
        <v>0</v>
      </c>
      <c r="H975" s="559">
        <f t="shared" si="52"/>
        <v>0</v>
      </c>
    </row>
    <row r="976" spans="5:8" s="559" customFormat="1" hidden="1" x14ac:dyDescent="0.25">
      <c r="E976" s="757">
        <f t="shared" si="50"/>
        <v>42186</v>
      </c>
      <c r="F976" s="356">
        <f t="shared" si="51"/>
        <v>0</v>
      </c>
      <c r="G976" s="356">
        <f t="shared" si="49"/>
        <v>0</v>
      </c>
      <c r="H976" s="559">
        <f t="shared" si="52"/>
        <v>0</v>
      </c>
    </row>
    <row r="977" spans="5:8" s="559" customFormat="1" hidden="1" x14ac:dyDescent="0.25">
      <c r="E977" s="757">
        <f t="shared" si="50"/>
        <v>42186</v>
      </c>
      <c r="F977" s="356">
        <f t="shared" si="51"/>
        <v>0</v>
      </c>
      <c r="G977" s="356">
        <f t="shared" si="49"/>
        <v>0</v>
      </c>
      <c r="H977" s="559">
        <f t="shared" si="52"/>
        <v>0</v>
      </c>
    </row>
    <row r="978" spans="5:8" s="559" customFormat="1" hidden="1" x14ac:dyDescent="0.25">
      <c r="E978" s="757">
        <f t="shared" si="50"/>
        <v>42186</v>
      </c>
      <c r="F978" s="356">
        <f t="shared" si="51"/>
        <v>0</v>
      </c>
      <c r="G978" s="356">
        <f t="shared" si="49"/>
        <v>0</v>
      </c>
      <c r="H978" s="559">
        <f t="shared" si="52"/>
        <v>0</v>
      </c>
    </row>
    <row r="979" spans="5:8" s="559" customFormat="1" hidden="1" x14ac:dyDescent="0.25">
      <c r="E979" s="757">
        <f t="shared" si="50"/>
        <v>42186</v>
      </c>
      <c r="F979" s="356">
        <f t="shared" si="51"/>
        <v>0</v>
      </c>
      <c r="G979" s="356">
        <f t="shared" si="49"/>
        <v>0</v>
      </c>
      <c r="H979" s="559">
        <f t="shared" si="52"/>
        <v>0</v>
      </c>
    </row>
    <row r="980" spans="5:8" s="559" customFormat="1" hidden="1" x14ac:dyDescent="0.25">
      <c r="E980" s="757">
        <f t="shared" si="50"/>
        <v>42186</v>
      </c>
      <c r="F980" s="356">
        <f t="shared" si="51"/>
        <v>0</v>
      </c>
      <c r="G980" s="356">
        <f t="shared" si="49"/>
        <v>0</v>
      </c>
      <c r="H980" s="559">
        <f t="shared" si="52"/>
        <v>0</v>
      </c>
    </row>
    <row r="981" spans="5:8" s="559" customFormat="1" hidden="1" x14ac:dyDescent="0.25">
      <c r="E981" s="757">
        <f t="shared" si="50"/>
        <v>42186</v>
      </c>
      <c r="F981" s="356">
        <f t="shared" si="51"/>
        <v>0</v>
      </c>
      <c r="G981" s="356">
        <f t="shared" si="49"/>
        <v>0</v>
      </c>
      <c r="H981" s="559">
        <f t="shared" si="52"/>
        <v>0</v>
      </c>
    </row>
    <row r="982" spans="5:8" s="559" customFormat="1" hidden="1" x14ac:dyDescent="0.25">
      <c r="E982" s="757">
        <f t="shared" si="50"/>
        <v>42186</v>
      </c>
      <c r="F982" s="356">
        <f t="shared" si="51"/>
        <v>0</v>
      </c>
      <c r="G982" s="356">
        <f t="shared" si="49"/>
        <v>0</v>
      </c>
      <c r="H982" s="559">
        <f t="shared" si="52"/>
        <v>0</v>
      </c>
    </row>
    <row r="983" spans="5:8" s="559" customFormat="1" hidden="1" x14ac:dyDescent="0.25">
      <c r="E983" s="757">
        <f t="shared" si="50"/>
        <v>42186</v>
      </c>
      <c r="F983" s="356">
        <f t="shared" si="51"/>
        <v>0</v>
      </c>
      <c r="G983" s="356">
        <f t="shared" si="49"/>
        <v>0</v>
      </c>
      <c r="H983" s="559">
        <f t="shared" si="52"/>
        <v>0</v>
      </c>
    </row>
    <row r="984" spans="5:8" s="559" customFormat="1" hidden="1" x14ac:dyDescent="0.25">
      <c r="E984" s="757">
        <f t="shared" si="50"/>
        <v>42186</v>
      </c>
      <c r="F984" s="356">
        <f t="shared" si="51"/>
        <v>0</v>
      </c>
      <c r="G984" s="356">
        <f t="shared" si="49"/>
        <v>0</v>
      </c>
      <c r="H984" s="559">
        <f t="shared" si="52"/>
        <v>0</v>
      </c>
    </row>
    <row r="985" spans="5:8" s="559" customFormat="1" hidden="1" x14ac:dyDescent="0.25">
      <c r="E985" s="757">
        <f t="shared" si="50"/>
        <v>42186</v>
      </c>
      <c r="F985" s="356">
        <f t="shared" si="51"/>
        <v>0</v>
      </c>
      <c r="G985" s="356">
        <f t="shared" si="49"/>
        <v>0</v>
      </c>
      <c r="H985" s="559">
        <f t="shared" si="52"/>
        <v>0</v>
      </c>
    </row>
    <row r="986" spans="5:8" s="559" customFormat="1" hidden="1" x14ac:dyDescent="0.25">
      <c r="E986" s="757">
        <f t="shared" si="50"/>
        <v>42186</v>
      </c>
      <c r="F986" s="356">
        <f t="shared" si="51"/>
        <v>0</v>
      </c>
      <c r="G986" s="356">
        <f t="shared" si="49"/>
        <v>0</v>
      </c>
      <c r="H986" s="559">
        <f t="shared" si="52"/>
        <v>0</v>
      </c>
    </row>
    <row r="987" spans="5:8" s="559" customFormat="1" hidden="1" x14ac:dyDescent="0.25">
      <c r="E987" s="757">
        <f t="shared" si="50"/>
        <v>42186</v>
      </c>
      <c r="F987" s="356">
        <f t="shared" si="51"/>
        <v>0</v>
      </c>
      <c r="G987" s="356">
        <f t="shared" ref="G987:G1050" si="53">ROUND(F987,-2)</f>
        <v>0</v>
      </c>
      <c r="H987" s="559">
        <f t="shared" si="52"/>
        <v>0</v>
      </c>
    </row>
    <row r="988" spans="5:8" s="559" customFormat="1" hidden="1" x14ac:dyDescent="0.25">
      <c r="E988" s="757">
        <f t="shared" ref="E988:E1051" si="54">IF(E987&lt;$C$156,E987+1,$C$156)</f>
        <v>42186</v>
      </c>
      <c r="F988" s="356">
        <f t="shared" ref="F988:F1051" si="55">IF(E987&lt;$C$156,F987+C$158,F987)</f>
        <v>0</v>
      </c>
      <c r="G988" s="356">
        <f t="shared" si="53"/>
        <v>0</v>
      </c>
      <c r="H988" s="559">
        <f t="shared" ref="H988:H1051" si="56">IF(F988&gt;F987,(VLOOKUP(G988,$K$154:$O$160,MATCH($C$159,$K$154:$O$154,0),0)),0)</f>
        <v>0</v>
      </c>
    </row>
    <row r="989" spans="5:8" s="559" customFormat="1" hidden="1" x14ac:dyDescent="0.25">
      <c r="E989" s="757">
        <f t="shared" si="54"/>
        <v>42186</v>
      </c>
      <c r="F989" s="356">
        <f t="shared" si="55"/>
        <v>0</v>
      </c>
      <c r="G989" s="356">
        <f t="shared" si="53"/>
        <v>0</v>
      </c>
      <c r="H989" s="559">
        <f t="shared" si="56"/>
        <v>0</v>
      </c>
    </row>
    <row r="990" spans="5:8" s="559" customFormat="1" hidden="1" x14ac:dyDescent="0.25">
      <c r="E990" s="757">
        <f t="shared" si="54"/>
        <v>42186</v>
      </c>
      <c r="F990" s="356">
        <f t="shared" si="55"/>
        <v>0</v>
      </c>
      <c r="G990" s="356">
        <f t="shared" si="53"/>
        <v>0</v>
      </c>
      <c r="H990" s="559">
        <f t="shared" si="56"/>
        <v>0</v>
      </c>
    </row>
    <row r="991" spans="5:8" s="559" customFormat="1" hidden="1" x14ac:dyDescent="0.25">
      <c r="E991" s="757">
        <f t="shared" si="54"/>
        <v>42186</v>
      </c>
      <c r="F991" s="356">
        <f t="shared" si="55"/>
        <v>0</v>
      </c>
      <c r="G991" s="356">
        <f t="shared" si="53"/>
        <v>0</v>
      </c>
      <c r="H991" s="559">
        <f t="shared" si="56"/>
        <v>0</v>
      </c>
    </row>
    <row r="992" spans="5:8" s="559" customFormat="1" hidden="1" x14ac:dyDescent="0.25">
      <c r="E992" s="757">
        <f t="shared" si="54"/>
        <v>42186</v>
      </c>
      <c r="F992" s="356">
        <f t="shared" si="55"/>
        <v>0</v>
      </c>
      <c r="G992" s="356">
        <f t="shared" si="53"/>
        <v>0</v>
      </c>
      <c r="H992" s="559">
        <f t="shared" si="56"/>
        <v>0</v>
      </c>
    </row>
    <row r="993" spans="5:8" s="559" customFormat="1" hidden="1" x14ac:dyDescent="0.25">
      <c r="E993" s="757">
        <f t="shared" si="54"/>
        <v>42186</v>
      </c>
      <c r="F993" s="356">
        <f t="shared" si="55"/>
        <v>0</v>
      </c>
      <c r="G993" s="356">
        <f t="shared" si="53"/>
        <v>0</v>
      </c>
      <c r="H993" s="559">
        <f t="shared" si="56"/>
        <v>0</v>
      </c>
    </row>
    <row r="994" spans="5:8" s="559" customFormat="1" hidden="1" x14ac:dyDescent="0.25">
      <c r="E994" s="757">
        <f t="shared" si="54"/>
        <v>42186</v>
      </c>
      <c r="F994" s="356">
        <f t="shared" si="55"/>
        <v>0</v>
      </c>
      <c r="G994" s="356">
        <f t="shared" si="53"/>
        <v>0</v>
      </c>
      <c r="H994" s="559">
        <f t="shared" si="56"/>
        <v>0</v>
      </c>
    </row>
    <row r="995" spans="5:8" s="559" customFormat="1" hidden="1" x14ac:dyDescent="0.25">
      <c r="E995" s="757">
        <f t="shared" si="54"/>
        <v>42186</v>
      </c>
      <c r="F995" s="356">
        <f t="shared" si="55"/>
        <v>0</v>
      </c>
      <c r="G995" s="356">
        <f t="shared" si="53"/>
        <v>0</v>
      </c>
      <c r="H995" s="559">
        <f t="shared" si="56"/>
        <v>0</v>
      </c>
    </row>
    <row r="996" spans="5:8" s="559" customFormat="1" hidden="1" x14ac:dyDescent="0.25">
      <c r="E996" s="757">
        <f t="shared" si="54"/>
        <v>42186</v>
      </c>
      <c r="F996" s="356">
        <f t="shared" si="55"/>
        <v>0</v>
      </c>
      <c r="G996" s="356">
        <f t="shared" si="53"/>
        <v>0</v>
      </c>
      <c r="H996" s="559">
        <f t="shared" si="56"/>
        <v>0</v>
      </c>
    </row>
    <row r="997" spans="5:8" s="559" customFormat="1" hidden="1" x14ac:dyDescent="0.25">
      <c r="E997" s="757">
        <f t="shared" si="54"/>
        <v>42186</v>
      </c>
      <c r="F997" s="356">
        <f t="shared" si="55"/>
        <v>0</v>
      </c>
      <c r="G997" s="356">
        <f t="shared" si="53"/>
        <v>0</v>
      </c>
      <c r="H997" s="559">
        <f t="shared" si="56"/>
        <v>0</v>
      </c>
    </row>
    <row r="998" spans="5:8" s="559" customFormat="1" hidden="1" x14ac:dyDescent="0.25">
      <c r="E998" s="757">
        <f t="shared" si="54"/>
        <v>42186</v>
      </c>
      <c r="F998" s="356">
        <f t="shared" si="55"/>
        <v>0</v>
      </c>
      <c r="G998" s="356">
        <f t="shared" si="53"/>
        <v>0</v>
      </c>
      <c r="H998" s="559">
        <f t="shared" si="56"/>
        <v>0</v>
      </c>
    </row>
    <row r="999" spans="5:8" s="559" customFormat="1" hidden="1" x14ac:dyDescent="0.25">
      <c r="E999" s="757">
        <f t="shared" si="54"/>
        <v>42186</v>
      </c>
      <c r="F999" s="356">
        <f t="shared" si="55"/>
        <v>0</v>
      </c>
      <c r="G999" s="356">
        <f t="shared" si="53"/>
        <v>0</v>
      </c>
      <c r="H999" s="559">
        <f t="shared" si="56"/>
        <v>0</v>
      </c>
    </row>
    <row r="1000" spans="5:8" s="559" customFormat="1" hidden="1" x14ac:dyDescent="0.25">
      <c r="E1000" s="757">
        <f t="shared" si="54"/>
        <v>42186</v>
      </c>
      <c r="F1000" s="356">
        <f t="shared" si="55"/>
        <v>0</v>
      </c>
      <c r="G1000" s="356">
        <f t="shared" si="53"/>
        <v>0</v>
      </c>
      <c r="H1000" s="559">
        <f t="shared" si="56"/>
        <v>0</v>
      </c>
    </row>
    <row r="1001" spans="5:8" s="559" customFormat="1" hidden="1" x14ac:dyDescent="0.25">
      <c r="E1001" s="757">
        <f t="shared" si="54"/>
        <v>42186</v>
      </c>
      <c r="F1001" s="356">
        <f t="shared" si="55"/>
        <v>0</v>
      </c>
      <c r="G1001" s="356">
        <f t="shared" si="53"/>
        <v>0</v>
      </c>
      <c r="H1001" s="559">
        <f t="shared" si="56"/>
        <v>0</v>
      </c>
    </row>
    <row r="1002" spans="5:8" s="559" customFormat="1" hidden="1" x14ac:dyDescent="0.25">
      <c r="E1002" s="757">
        <f t="shared" si="54"/>
        <v>42186</v>
      </c>
      <c r="F1002" s="356">
        <f t="shared" si="55"/>
        <v>0</v>
      </c>
      <c r="G1002" s="356">
        <f t="shared" si="53"/>
        <v>0</v>
      </c>
      <c r="H1002" s="559">
        <f t="shared" si="56"/>
        <v>0</v>
      </c>
    </row>
    <row r="1003" spans="5:8" s="559" customFormat="1" hidden="1" x14ac:dyDescent="0.25">
      <c r="E1003" s="757">
        <f t="shared" si="54"/>
        <v>42186</v>
      </c>
      <c r="F1003" s="356">
        <f t="shared" si="55"/>
        <v>0</v>
      </c>
      <c r="G1003" s="356">
        <f t="shared" si="53"/>
        <v>0</v>
      </c>
      <c r="H1003" s="559">
        <f t="shared" si="56"/>
        <v>0</v>
      </c>
    </row>
    <row r="1004" spans="5:8" s="559" customFormat="1" hidden="1" x14ac:dyDescent="0.25">
      <c r="E1004" s="757">
        <f t="shared" si="54"/>
        <v>42186</v>
      </c>
      <c r="F1004" s="356">
        <f t="shared" si="55"/>
        <v>0</v>
      </c>
      <c r="G1004" s="356">
        <f t="shared" si="53"/>
        <v>0</v>
      </c>
      <c r="H1004" s="559">
        <f t="shared" si="56"/>
        <v>0</v>
      </c>
    </row>
    <row r="1005" spans="5:8" s="559" customFormat="1" hidden="1" x14ac:dyDescent="0.25">
      <c r="E1005" s="757">
        <f t="shared" si="54"/>
        <v>42186</v>
      </c>
      <c r="F1005" s="356">
        <f t="shared" si="55"/>
        <v>0</v>
      </c>
      <c r="G1005" s="356">
        <f t="shared" si="53"/>
        <v>0</v>
      </c>
      <c r="H1005" s="559">
        <f t="shared" si="56"/>
        <v>0</v>
      </c>
    </row>
    <row r="1006" spans="5:8" s="559" customFormat="1" hidden="1" x14ac:dyDescent="0.25">
      <c r="E1006" s="757">
        <f t="shared" si="54"/>
        <v>42186</v>
      </c>
      <c r="F1006" s="356">
        <f t="shared" si="55"/>
        <v>0</v>
      </c>
      <c r="G1006" s="356">
        <f t="shared" si="53"/>
        <v>0</v>
      </c>
      <c r="H1006" s="559">
        <f t="shared" si="56"/>
        <v>0</v>
      </c>
    </row>
    <row r="1007" spans="5:8" s="559" customFormat="1" hidden="1" x14ac:dyDescent="0.25">
      <c r="E1007" s="757">
        <f t="shared" si="54"/>
        <v>42186</v>
      </c>
      <c r="F1007" s="356">
        <f t="shared" si="55"/>
        <v>0</v>
      </c>
      <c r="G1007" s="356">
        <f t="shared" si="53"/>
        <v>0</v>
      </c>
      <c r="H1007" s="559">
        <f t="shared" si="56"/>
        <v>0</v>
      </c>
    </row>
    <row r="1008" spans="5:8" s="559" customFormat="1" hidden="1" x14ac:dyDescent="0.25">
      <c r="E1008" s="757">
        <f t="shared" si="54"/>
        <v>42186</v>
      </c>
      <c r="F1008" s="356">
        <f t="shared" si="55"/>
        <v>0</v>
      </c>
      <c r="G1008" s="356">
        <f t="shared" si="53"/>
        <v>0</v>
      </c>
      <c r="H1008" s="559">
        <f t="shared" si="56"/>
        <v>0</v>
      </c>
    </row>
    <row r="1009" spans="5:8" s="559" customFormat="1" hidden="1" x14ac:dyDescent="0.25">
      <c r="E1009" s="757">
        <f t="shared" si="54"/>
        <v>42186</v>
      </c>
      <c r="F1009" s="356">
        <f t="shared" si="55"/>
        <v>0</v>
      </c>
      <c r="G1009" s="356">
        <f t="shared" si="53"/>
        <v>0</v>
      </c>
      <c r="H1009" s="559">
        <f t="shared" si="56"/>
        <v>0</v>
      </c>
    </row>
    <row r="1010" spans="5:8" s="559" customFormat="1" hidden="1" x14ac:dyDescent="0.25">
      <c r="E1010" s="757">
        <f t="shared" si="54"/>
        <v>42186</v>
      </c>
      <c r="F1010" s="356">
        <f t="shared" si="55"/>
        <v>0</v>
      </c>
      <c r="G1010" s="356">
        <f t="shared" si="53"/>
        <v>0</v>
      </c>
      <c r="H1010" s="559">
        <f t="shared" si="56"/>
        <v>0</v>
      </c>
    </row>
    <row r="1011" spans="5:8" s="559" customFormat="1" hidden="1" x14ac:dyDescent="0.25">
      <c r="E1011" s="757">
        <f t="shared" si="54"/>
        <v>42186</v>
      </c>
      <c r="F1011" s="356">
        <f t="shared" si="55"/>
        <v>0</v>
      </c>
      <c r="G1011" s="356">
        <f t="shared" si="53"/>
        <v>0</v>
      </c>
      <c r="H1011" s="559">
        <f t="shared" si="56"/>
        <v>0</v>
      </c>
    </row>
    <row r="1012" spans="5:8" s="559" customFormat="1" hidden="1" x14ac:dyDescent="0.25">
      <c r="E1012" s="757">
        <f t="shared" si="54"/>
        <v>42186</v>
      </c>
      <c r="F1012" s="356">
        <f t="shared" si="55"/>
        <v>0</v>
      </c>
      <c r="G1012" s="356">
        <f t="shared" si="53"/>
        <v>0</v>
      </c>
      <c r="H1012" s="559">
        <f t="shared" si="56"/>
        <v>0</v>
      </c>
    </row>
    <row r="1013" spans="5:8" s="559" customFormat="1" hidden="1" x14ac:dyDescent="0.25">
      <c r="E1013" s="757">
        <f t="shared" si="54"/>
        <v>42186</v>
      </c>
      <c r="F1013" s="356">
        <f t="shared" si="55"/>
        <v>0</v>
      </c>
      <c r="G1013" s="356">
        <f t="shared" si="53"/>
        <v>0</v>
      </c>
      <c r="H1013" s="559">
        <f t="shared" si="56"/>
        <v>0</v>
      </c>
    </row>
    <row r="1014" spans="5:8" s="559" customFormat="1" hidden="1" x14ac:dyDescent="0.25">
      <c r="E1014" s="757">
        <f t="shared" si="54"/>
        <v>42186</v>
      </c>
      <c r="F1014" s="356">
        <f t="shared" si="55"/>
        <v>0</v>
      </c>
      <c r="G1014" s="356">
        <f t="shared" si="53"/>
        <v>0</v>
      </c>
      <c r="H1014" s="559">
        <f t="shared" si="56"/>
        <v>0</v>
      </c>
    </row>
    <row r="1015" spans="5:8" s="559" customFormat="1" hidden="1" x14ac:dyDescent="0.25">
      <c r="E1015" s="757">
        <f t="shared" si="54"/>
        <v>42186</v>
      </c>
      <c r="F1015" s="356">
        <f t="shared" si="55"/>
        <v>0</v>
      </c>
      <c r="G1015" s="356">
        <f t="shared" si="53"/>
        <v>0</v>
      </c>
      <c r="H1015" s="559">
        <f t="shared" si="56"/>
        <v>0</v>
      </c>
    </row>
    <row r="1016" spans="5:8" s="559" customFormat="1" hidden="1" x14ac:dyDescent="0.25">
      <c r="E1016" s="757">
        <f t="shared" si="54"/>
        <v>42186</v>
      </c>
      <c r="F1016" s="356">
        <f t="shared" si="55"/>
        <v>0</v>
      </c>
      <c r="G1016" s="356">
        <f t="shared" si="53"/>
        <v>0</v>
      </c>
      <c r="H1016" s="559">
        <f t="shared" si="56"/>
        <v>0</v>
      </c>
    </row>
    <row r="1017" spans="5:8" s="559" customFormat="1" hidden="1" x14ac:dyDescent="0.25">
      <c r="E1017" s="757">
        <f t="shared" si="54"/>
        <v>42186</v>
      </c>
      <c r="F1017" s="356">
        <f t="shared" si="55"/>
        <v>0</v>
      </c>
      <c r="G1017" s="356">
        <f t="shared" si="53"/>
        <v>0</v>
      </c>
      <c r="H1017" s="559">
        <f t="shared" si="56"/>
        <v>0</v>
      </c>
    </row>
    <row r="1018" spans="5:8" s="559" customFormat="1" hidden="1" x14ac:dyDescent="0.25">
      <c r="E1018" s="757">
        <f t="shared" si="54"/>
        <v>42186</v>
      </c>
      <c r="F1018" s="356">
        <f t="shared" si="55"/>
        <v>0</v>
      </c>
      <c r="G1018" s="356">
        <f t="shared" si="53"/>
        <v>0</v>
      </c>
      <c r="H1018" s="559">
        <f t="shared" si="56"/>
        <v>0</v>
      </c>
    </row>
    <row r="1019" spans="5:8" s="559" customFormat="1" hidden="1" x14ac:dyDescent="0.25">
      <c r="E1019" s="757">
        <f t="shared" si="54"/>
        <v>42186</v>
      </c>
      <c r="F1019" s="356">
        <f t="shared" si="55"/>
        <v>0</v>
      </c>
      <c r="G1019" s="356">
        <f t="shared" si="53"/>
        <v>0</v>
      </c>
      <c r="H1019" s="559">
        <f t="shared" si="56"/>
        <v>0</v>
      </c>
    </row>
    <row r="1020" spans="5:8" s="559" customFormat="1" hidden="1" x14ac:dyDescent="0.25">
      <c r="E1020" s="757">
        <f t="shared" si="54"/>
        <v>42186</v>
      </c>
      <c r="F1020" s="356">
        <f t="shared" si="55"/>
        <v>0</v>
      </c>
      <c r="G1020" s="356">
        <f t="shared" si="53"/>
        <v>0</v>
      </c>
      <c r="H1020" s="559">
        <f t="shared" si="56"/>
        <v>0</v>
      </c>
    </row>
    <row r="1021" spans="5:8" s="559" customFormat="1" hidden="1" x14ac:dyDescent="0.25">
      <c r="E1021" s="757">
        <f t="shared" si="54"/>
        <v>42186</v>
      </c>
      <c r="F1021" s="356">
        <f t="shared" si="55"/>
        <v>0</v>
      </c>
      <c r="G1021" s="356">
        <f t="shared" si="53"/>
        <v>0</v>
      </c>
      <c r="H1021" s="559">
        <f t="shared" si="56"/>
        <v>0</v>
      </c>
    </row>
    <row r="1022" spans="5:8" s="559" customFormat="1" hidden="1" x14ac:dyDescent="0.25">
      <c r="E1022" s="757">
        <f t="shared" si="54"/>
        <v>42186</v>
      </c>
      <c r="F1022" s="356">
        <f t="shared" si="55"/>
        <v>0</v>
      </c>
      <c r="G1022" s="356">
        <f t="shared" si="53"/>
        <v>0</v>
      </c>
      <c r="H1022" s="559">
        <f t="shared" si="56"/>
        <v>0</v>
      </c>
    </row>
    <row r="1023" spans="5:8" s="559" customFormat="1" hidden="1" x14ac:dyDescent="0.25">
      <c r="E1023" s="757">
        <f t="shared" si="54"/>
        <v>42186</v>
      </c>
      <c r="F1023" s="356">
        <f t="shared" si="55"/>
        <v>0</v>
      </c>
      <c r="G1023" s="356">
        <f t="shared" si="53"/>
        <v>0</v>
      </c>
      <c r="H1023" s="559">
        <f t="shared" si="56"/>
        <v>0</v>
      </c>
    </row>
    <row r="1024" spans="5:8" s="559" customFormat="1" hidden="1" x14ac:dyDescent="0.25">
      <c r="E1024" s="757">
        <f t="shared" si="54"/>
        <v>42186</v>
      </c>
      <c r="F1024" s="356">
        <f t="shared" si="55"/>
        <v>0</v>
      </c>
      <c r="G1024" s="356">
        <f t="shared" si="53"/>
        <v>0</v>
      </c>
      <c r="H1024" s="559">
        <f t="shared" si="56"/>
        <v>0</v>
      </c>
    </row>
    <row r="1025" spans="5:8" s="559" customFormat="1" hidden="1" x14ac:dyDescent="0.25">
      <c r="E1025" s="757">
        <f t="shared" si="54"/>
        <v>42186</v>
      </c>
      <c r="F1025" s="356">
        <f t="shared" si="55"/>
        <v>0</v>
      </c>
      <c r="G1025" s="356">
        <f t="shared" si="53"/>
        <v>0</v>
      </c>
      <c r="H1025" s="559">
        <f t="shared" si="56"/>
        <v>0</v>
      </c>
    </row>
    <row r="1026" spans="5:8" s="559" customFormat="1" hidden="1" x14ac:dyDescent="0.25">
      <c r="E1026" s="757">
        <f t="shared" si="54"/>
        <v>42186</v>
      </c>
      <c r="F1026" s="356">
        <f t="shared" si="55"/>
        <v>0</v>
      </c>
      <c r="G1026" s="356">
        <f t="shared" si="53"/>
        <v>0</v>
      </c>
      <c r="H1026" s="559">
        <f t="shared" si="56"/>
        <v>0</v>
      </c>
    </row>
    <row r="1027" spans="5:8" s="559" customFormat="1" hidden="1" x14ac:dyDescent="0.25">
      <c r="E1027" s="757">
        <f t="shared" si="54"/>
        <v>42186</v>
      </c>
      <c r="F1027" s="356">
        <f t="shared" si="55"/>
        <v>0</v>
      </c>
      <c r="G1027" s="356">
        <f t="shared" si="53"/>
        <v>0</v>
      </c>
      <c r="H1027" s="559">
        <f t="shared" si="56"/>
        <v>0</v>
      </c>
    </row>
    <row r="1028" spans="5:8" s="559" customFormat="1" hidden="1" x14ac:dyDescent="0.25">
      <c r="E1028" s="757">
        <f t="shared" si="54"/>
        <v>42186</v>
      </c>
      <c r="F1028" s="356">
        <f t="shared" si="55"/>
        <v>0</v>
      </c>
      <c r="G1028" s="356">
        <f t="shared" si="53"/>
        <v>0</v>
      </c>
      <c r="H1028" s="559">
        <f t="shared" si="56"/>
        <v>0</v>
      </c>
    </row>
    <row r="1029" spans="5:8" s="559" customFormat="1" hidden="1" x14ac:dyDescent="0.25">
      <c r="E1029" s="757">
        <f t="shared" si="54"/>
        <v>42186</v>
      </c>
      <c r="F1029" s="356">
        <f t="shared" si="55"/>
        <v>0</v>
      </c>
      <c r="G1029" s="356">
        <f t="shared" si="53"/>
        <v>0</v>
      </c>
      <c r="H1029" s="559">
        <f t="shared" si="56"/>
        <v>0</v>
      </c>
    </row>
    <row r="1030" spans="5:8" s="559" customFormat="1" hidden="1" x14ac:dyDescent="0.25">
      <c r="E1030" s="757">
        <f t="shared" si="54"/>
        <v>42186</v>
      </c>
      <c r="F1030" s="356">
        <f t="shared" si="55"/>
        <v>0</v>
      </c>
      <c r="G1030" s="356">
        <f t="shared" si="53"/>
        <v>0</v>
      </c>
      <c r="H1030" s="559">
        <f t="shared" si="56"/>
        <v>0</v>
      </c>
    </row>
    <row r="1031" spans="5:8" s="559" customFormat="1" hidden="1" x14ac:dyDescent="0.25">
      <c r="E1031" s="757">
        <f t="shared" si="54"/>
        <v>42186</v>
      </c>
      <c r="F1031" s="356">
        <f t="shared" si="55"/>
        <v>0</v>
      </c>
      <c r="G1031" s="356">
        <f t="shared" si="53"/>
        <v>0</v>
      </c>
      <c r="H1031" s="559">
        <f t="shared" si="56"/>
        <v>0</v>
      </c>
    </row>
    <row r="1032" spans="5:8" s="559" customFormat="1" hidden="1" x14ac:dyDescent="0.25">
      <c r="E1032" s="757">
        <f t="shared" si="54"/>
        <v>42186</v>
      </c>
      <c r="F1032" s="356">
        <f t="shared" si="55"/>
        <v>0</v>
      </c>
      <c r="G1032" s="356">
        <f t="shared" si="53"/>
        <v>0</v>
      </c>
      <c r="H1032" s="559">
        <f t="shared" si="56"/>
        <v>0</v>
      </c>
    </row>
    <row r="1033" spans="5:8" s="559" customFormat="1" hidden="1" x14ac:dyDescent="0.25">
      <c r="E1033" s="757">
        <f t="shared" si="54"/>
        <v>42186</v>
      </c>
      <c r="F1033" s="356">
        <f t="shared" si="55"/>
        <v>0</v>
      </c>
      <c r="G1033" s="356">
        <f t="shared" si="53"/>
        <v>0</v>
      </c>
      <c r="H1033" s="559">
        <f t="shared" si="56"/>
        <v>0</v>
      </c>
    </row>
    <row r="1034" spans="5:8" s="559" customFormat="1" hidden="1" x14ac:dyDescent="0.25">
      <c r="E1034" s="757">
        <f t="shared" si="54"/>
        <v>42186</v>
      </c>
      <c r="F1034" s="356">
        <f t="shared" si="55"/>
        <v>0</v>
      </c>
      <c r="G1034" s="356">
        <f t="shared" si="53"/>
        <v>0</v>
      </c>
      <c r="H1034" s="559">
        <f t="shared" si="56"/>
        <v>0</v>
      </c>
    </row>
    <row r="1035" spans="5:8" s="559" customFormat="1" hidden="1" x14ac:dyDescent="0.25">
      <c r="E1035" s="757">
        <f t="shared" si="54"/>
        <v>42186</v>
      </c>
      <c r="F1035" s="356">
        <f t="shared" si="55"/>
        <v>0</v>
      </c>
      <c r="G1035" s="356">
        <f t="shared" si="53"/>
        <v>0</v>
      </c>
      <c r="H1035" s="559">
        <f t="shared" si="56"/>
        <v>0</v>
      </c>
    </row>
    <row r="1036" spans="5:8" s="559" customFormat="1" hidden="1" x14ac:dyDescent="0.25">
      <c r="E1036" s="757">
        <f t="shared" si="54"/>
        <v>42186</v>
      </c>
      <c r="F1036" s="356">
        <f t="shared" si="55"/>
        <v>0</v>
      </c>
      <c r="G1036" s="356">
        <f t="shared" si="53"/>
        <v>0</v>
      </c>
      <c r="H1036" s="559">
        <f t="shared" si="56"/>
        <v>0</v>
      </c>
    </row>
    <row r="1037" spans="5:8" s="559" customFormat="1" hidden="1" x14ac:dyDescent="0.25">
      <c r="E1037" s="757">
        <f t="shared" si="54"/>
        <v>42186</v>
      </c>
      <c r="F1037" s="356">
        <f t="shared" si="55"/>
        <v>0</v>
      </c>
      <c r="G1037" s="356">
        <f t="shared" si="53"/>
        <v>0</v>
      </c>
      <c r="H1037" s="559">
        <f t="shared" si="56"/>
        <v>0</v>
      </c>
    </row>
    <row r="1038" spans="5:8" s="559" customFormat="1" hidden="1" x14ac:dyDescent="0.25">
      <c r="E1038" s="757">
        <f t="shared" si="54"/>
        <v>42186</v>
      </c>
      <c r="F1038" s="356">
        <f t="shared" si="55"/>
        <v>0</v>
      </c>
      <c r="G1038" s="356">
        <f t="shared" si="53"/>
        <v>0</v>
      </c>
      <c r="H1038" s="559">
        <f t="shared" si="56"/>
        <v>0</v>
      </c>
    </row>
    <row r="1039" spans="5:8" s="559" customFormat="1" hidden="1" x14ac:dyDescent="0.25">
      <c r="E1039" s="757">
        <f t="shared" si="54"/>
        <v>42186</v>
      </c>
      <c r="F1039" s="356">
        <f t="shared" si="55"/>
        <v>0</v>
      </c>
      <c r="G1039" s="356">
        <f t="shared" si="53"/>
        <v>0</v>
      </c>
      <c r="H1039" s="559">
        <f t="shared" si="56"/>
        <v>0</v>
      </c>
    </row>
    <row r="1040" spans="5:8" s="559" customFormat="1" hidden="1" x14ac:dyDescent="0.25">
      <c r="E1040" s="757">
        <f t="shared" si="54"/>
        <v>42186</v>
      </c>
      <c r="F1040" s="356">
        <f t="shared" si="55"/>
        <v>0</v>
      </c>
      <c r="G1040" s="356">
        <f t="shared" si="53"/>
        <v>0</v>
      </c>
      <c r="H1040" s="559">
        <f t="shared" si="56"/>
        <v>0</v>
      </c>
    </row>
    <row r="1041" spans="5:8" s="559" customFormat="1" hidden="1" x14ac:dyDescent="0.25">
      <c r="E1041" s="757">
        <f t="shared" si="54"/>
        <v>42186</v>
      </c>
      <c r="F1041" s="356">
        <f t="shared" si="55"/>
        <v>0</v>
      </c>
      <c r="G1041" s="356">
        <f t="shared" si="53"/>
        <v>0</v>
      </c>
      <c r="H1041" s="559">
        <f t="shared" si="56"/>
        <v>0</v>
      </c>
    </row>
    <row r="1042" spans="5:8" s="559" customFormat="1" hidden="1" x14ac:dyDescent="0.25">
      <c r="E1042" s="757">
        <f t="shared" si="54"/>
        <v>42186</v>
      </c>
      <c r="F1042" s="356">
        <f t="shared" si="55"/>
        <v>0</v>
      </c>
      <c r="G1042" s="356">
        <f t="shared" si="53"/>
        <v>0</v>
      </c>
      <c r="H1042" s="559">
        <f t="shared" si="56"/>
        <v>0</v>
      </c>
    </row>
    <row r="1043" spans="5:8" s="559" customFormat="1" hidden="1" x14ac:dyDescent="0.25">
      <c r="E1043" s="757">
        <f t="shared" si="54"/>
        <v>42186</v>
      </c>
      <c r="F1043" s="356">
        <f t="shared" si="55"/>
        <v>0</v>
      </c>
      <c r="G1043" s="356">
        <f t="shared" si="53"/>
        <v>0</v>
      </c>
      <c r="H1043" s="559">
        <f t="shared" si="56"/>
        <v>0</v>
      </c>
    </row>
    <row r="1044" spans="5:8" s="559" customFormat="1" hidden="1" x14ac:dyDescent="0.25">
      <c r="E1044" s="757">
        <f t="shared" si="54"/>
        <v>42186</v>
      </c>
      <c r="F1044" s="356">
        <f t="shared" si="55"/>
        <v>0</v>
      </c>
      <c r="G1044" s="356">
        <f t="shared" si="53"/>
        <v>0</v>
      </c>
      <c r="H1044" s="559">
        <f t="shared" si="56"/>
        <v>0</v>
      </c>
    </row>
    <row r="1045" spans="5:8" s="559" customFormat="1" hidden="1" x14ac:dyDescent="0.25">
      <c r="E1045" s="757">
        <f t="shared" si="54"/>
        <v>42186</v>
      </c>
      <c r="F1045" s="356">
        <f t="shared" si="55"/>
        <v>0</v>
      </c>
      <c r="G1045" s="356">
        <f t="shared" si="53"/>
        <v>0</v>
      </c>
      <c r="H1045" s="559">
        <f t="shared" si="56"/>
        <v>0</v>
      </c>
    </row>
    <row r="1046" spans="5:8" s="559" customFormat="1" hidden="1" x14ac:dyDescent="0.25">
      <c r="E1046" s="757">
        <f t="shared" si="54"/>
        <v>42186</v>
      </c>
      <c r="F1046" s="356">
        <f t="shared" si="55"/>
        <v>0</v>
      </c>
      <c r="G1046" s="356">
        <f t="shared" si="53"/>
        <v>0</v>
      </c>
      <c r="H1046" s="559">
        <f t="shared" si="56"/>
        <v>0</v>
      </c>
    </row>
    <row r="1047" spans="5:8" s="559" customFormat="1" hidden="1" x14ac:dyDescent="0.25">
      <c r="E1047" s="757">
        <f t="shared" si="54"/>
        <v>42186</v>
      </c>
      <c r="F1047" s="356">
        <f t="shared" si="55"/>
        <v>0</v>
      </c>
      <c r="G1047" s="356">
        <f t="shared" si="53"/>
        <v>0</v>
      </c>
      <c r="H1047" s="559">
        <f t="shared" si="56"/>
        <v>0</v>
      </c>
    </row>
    <row r="1048" spans="5:8" s="559" customFormat="1" hidden="1" x14ac:dyDescent="0.25">
      <c r="E1048" s="757">
        <f t="shared" si="54"/>
        <v>42186</v>
      </c>
      <c r="F1048" s="356">
        <f t="shared" si="55"/>
        <v>0</v>
      </c>
      <c r="G1048" s="356">
        <f t="shared" si="53"/>
        <v>0</v>
      </c>
      <c r="H1048" s="559">
        <f t="shared" si="56"/>
        <v>0</v>
      </c>
    </row>
    <row r="1049" spans="5:8" s="559" customFormat="1" hidden="1" x14ac:dyDescent="0.25">
      <c r="E1049" s="757">
        <f t="shared" si="54"/>
        <v>42186</v>
      </c>
      <c r="F1049" s="356">
        <f t="shared" si="55"/>
        <v>0</v>
      </c>
      <c r="G1049" s="356">
        <f t="shared" si="53"/>
        <v>0</v>
      </c>
      <c r="H1049" s="559">
        <f t="shared" si="56"/>
        <v>0</v>
      </c>
    </row>
    <row r="1050" spans="5:8" s="559" customFormat="1" hidden="1" x14ac:dyDescent="0.25">
      <c r="E1050" s="757">
        <f t="shared" si="54"/>
        <v>42186</v>
      </c>
      <c r="F1050" s="356">
        <f t="shared" si="55"/>
        <v>0</v>
      </c>
      <c r="G1050" s="356">
        <f t="shared" si="53"/>
        <v>0</v>
      </c>
      <c r="H1050" s="559">
        <f t="shared" si="56"/>
        <v>0</v>
      </c>
    </row>
    <row r="1051" spans="5:8" s="559" customFormat="1" hidden="1" x14ac:dyDescent="0.25">
      <c r="E1051" s="757">
        <f t="shared" si="54"/>
        <v>42186</v>
      </c>
      <c r="F1051" s="356">
        <f t="shared" si="55"/>
        <v>0</v>
      </c>
      <c r="G1051" s="356">
        <f t="shared" ref="G1051:G1114" si="57">ROUND(F1051,-2)</f>
        <v>0</v>
      </c>
      <c r="H1051" s="559">
        <f t="shared" si="56"/>
        <v>0</v>
      </c>
    </row>
    <row r="1052" spans="5:8" s="559" customFormat="1" hidden="1" x14ac:dyDescent="0.25">
      <c r="E1052" s="757">
        <f t="shared" ref="E1052:E1115" si="58">IF(E1051&lt;$C$156,E1051+1,$C$156)</f>
        <v>42186</v>
      </c>
      <c r="F1052" s="356">
        <f t="shared" ref="F1052:F1115" si="59">IF(E1051&lt;$C$156,F1051+C$158,F1051)</f>
        <v>0</v>
      </c>
      <c r="G1052" s="356">
        <f t="shared" si="57"/>
        <v>0</v>
      </c>
      <c r="H1052" s="559">
        <f t="shared" ref="H1052:H1115" si="60">IF(F1052&gt;F1051,(VLOOKUP(G1052,$K$154:$O$160,MATCH($C$159,$K$154:$O$154,0),0)),0)</f>
        <v>0</v>
      </c>
    </row>
    <row r="1053" spans="5:8" s="559" customFormat="1" hidden="1" x14ac:dyDescent="0.25">
      <c r="E1053" s="757">
        <f t="shared" si="58"/>
        <v>42186</v>
      </c>
      <c r="F1053" s="356">
        <f t="shared" si="59"/>
        <v>0</v>
      </c>
      <c r="G1053" s="356">
        <f t="shared" si="57"/>
        <v>0</v>
      </c>
      <c r="H1053" s="559">
        <f t="shared" si="60"/>
        <v>0</v>
      </c>
    </row>
    <row r="1054" spans="5:8" s="559" customFormat="1" hidden="1" x14ac:dyDescent="0.25">
      <c r="E1054" s="757">
        <f t="shared" si="58"/>
        <v>42186</v>
      </c>
      <c r="F1054" s="356">
        <f t="shared" si="59"/>
        <v>0</v>
      </c>
      <c r="G1054" s="356">
        <f t="shared" si="57"/>
        <v>0</v>
      </c>
      <c r="H1054" s="559">
        <f t="shared" si="60"/>
        <v>0</v>
      </c>
    </row>
    <row r="1055" spans="5:8" s="559" customFormat="1" hidden="1" x14ac:dyDescent="0.25">
      <c r="E1055" s="757">
        <f t="shared" si="58"/>
        <v>42186</v>
      </c>
      <c r="F1055" s="356">
        <f t="shared" si="59"/>
        <v>0</v>
      </c>
      <c r="G1055" s="356">
        <f t="shared" si="57"/>
        <v>0</v>
      </c>
      <c r="H1055" s="559">
        <f t="shared" si="60"/>
        <v>0</v>
      </c>
    </row>
    <row r="1056" spans="5:8" s="559" customFormat="1" hidden="1" x14ac:dyDescent="0.25">
      <c r="E1056" s="757">
        <f t="shared" si="58"/>
        <v>42186</v>
      </c>
      <c r="F1056" s="356">
        <f t="shared" si="59"/>
        <v>0</v>
      </c>
      <c r="G1056" s="356">
        <f t="shared" si="57"/>
        <v>0</v>
      </c>
      <c r="H1056" s="559">
        <f t="shared" si="60"/>
        <v>0</v>
      </c>
    </row>
    <row r="1057" spans="5:8" s="559" customFormat="1" hidden="1" x14ac:dyDescent="0.25">
      <c r="E1057" s="757">
        <f t="shared" si="58"/>
        <v>42186</v>
      </c>
      <c r="F1057" s="356">
        <f t="shared" si="59"/>
        <v>0</v>
      </c>
      <c r="G1057" s="356">
        <f t="shared" si="57"/>
        <v>0</v>
      </c>
      <c r="H1057" s="559">
        <f t="shared" si="60"/>
        <v>0</v>
      </c>
    </row>
    <row r="1058" spans="5:8" s="559" customFormat="1" hidden="1" x14ac:dyDescent="0.25">
      <c r="E1058" s="757">
        <f t="shared" si="58"/>
        <v>42186</v>
      </c>
      <c r="F1058" s="356">
        <f t="shared" si="59"/>
        <v>0</v>
      </c>
      <c r="G1058" s="356">
        <f t="shared" si="57"/>
        <v>0</v>
      </c>
      <c r="H1058" s="559">
        <f t="shared" si="60"/>
        <v>0</v>
      </c>
    </row>
    <row r="1059" spans="5:8" s="559" customFormat="1" hidden="1" x14ac:dyDescent="0.25">
      <c r="E1059" s="757">
        <f t="shared" si="58"/>
        <v>42186</v>
      </c>
      <c r="F1059" s="356">
        <f t="shared" si="59"/>
        <v>0</v>
      </c>
      <c r="G1059" s="356">
        <f t="shared" si="57"/>
        <v>0</v>
      </c>
      <c r="H1059" s="559">
        <f t="shared" si="60"/>
        <v>0</v>
      </c>
    </row>
    <row r="1060" spans="5:8" s="559" customFormat="1" hidden="1" x14ac:dyDescent="0.25">
      <c r="E1060" s="757">
        <f t="shared" si="58"/>
        <v>42186</v>
      </c>
      <c r="F1060" s="356">
        <f t="shared" si="59"/>
        <v>0</v>
      </c>
      <c r="G1060" s="356">
        <f t="shared" si="57"/>
        <v>0</v>
      </c>
      <c r="H1060" s="559">
        <f t="shared" si="60"/>
        <v>0</v>
      </c>
    </row>
    <row r="1061" spans="5:8" s="559" customFormat="1" hidden="1" x14ac:dyDescent="0.25">
      <c r="E1061" s="757">
        <f t="shared" si="58"/>
        <v>42186</v>
      </c>
      <c r="F1061" s="356">
        <f t="shared" si="59"/>
        <v>0</v>
      </c>
      <c r="G1061" s="356">
        <f t="shared" si="57"/>
        <v>0</v>
      </c>
      <c r="H1061" s="559">
        <f t="shared" si="60"/>
        <v>0</v>
      </c>
    </row>
    <row r="1062" spans="5:8" s="559" customFormat="1" hidden="1" x14ac:dyDescent="0.25">
      <c r="E1062" s="757">
        <f t="shared" si="58"/>
        <v>42186</v>
      </c>
      <c r="F1062" s="356">
        <f t="shared" si="59"/>
        <v>0</v>
      </c>
      <c r="G1062" s="356">
        <f t="shared" si="57"/>
        <v>0</v>
      </c>
      <c r="H1062" s="559">
        <f t="shared" si="60"/>
        <v>0</v>
      </c>
    </row>
    <row r="1063" spans="5:8" s="559" customFormat="1" hidden="1" x14ac:dyDescent="0.25">
      <c r="E1063" s="757">
        <f t="shared" si="58"/>
        <v>42186</v>
      </c>
      <c r="F1063" s="356">
        <f t="shared" si="59"/>
        <v>0</v>
      </c>
      <c r="G1063" s="356">
        <f t="shared" si="57"/>
        <v>0</v>
      </c>
      <c r="H1063" s="559">
        <f t="shared" si="60"/>
        <v>0</v>
      </c>
    </row>
    <row r="1064" spans="5:8" s="559" customFormat="1" hidden="1" x14ac:dyDescent="0.25">
      <c r="E1064" s="757">
        <f t="shared" si="58"/>
        <v>42186</v>
      </c>
      <c r="F1064" s="356">
        <f t="shared" si="59"/>
        <v>0</v>
      </c>
      <c r="G1064" s="356">
        <f t="shared" si="57"/>
        <v>0</v>
      </c>
      <c r="H1064" s="559">
        <f t="shared" si="60"/>
        <v>0</v>
      </c>
    </row>
    <row r="1065" spans="5:8" s="559" customFormat="1" hidden="1" x14ac:dyDescent="0.25">
      <c r="E1065" s="757">
        <f t="shared" si="58"/>
        <v>42186</v>
      </c>
      <c r="F1065" s="356">
        <f t="shared" si="59"/>
        <v>0</v>
      </c>
      <c r="G1065" s="356">
        <f t="shared" si="57"/>
        <v>0</v>
      </c>
      <c r="H1065" s="559">
        <f t="shared" si="60"/>
        <v>0</v>
      </c>
    </row>
    <row r="1066" spans="5:8" s="559" customFormat="1" hidden="1" x14ac:dyDescent="0.25">
      <c r="E1066" s="757">
        <f t="shared" si="58"/>
        <v>42186</v>
      </c>
      <c r="F1066" s="356">
        <f t="shared" si="59"/>
        <v>0</v>
      </c>
      <c r="G1066" s="356">
        <f t="shared" si="57"/>
        <v>0</v>
      </c>
      <c r="H1066" s="559">
        <f t="shared" si="60"/>
        <v>0</v>
      </c>
    </row>
    <row r="1067" spans="5:8" s="559" customFormat="1" hidden="1" x14ac:dyDescent="0.25">
      <c r="E1067" s="757">
        <f t="shared" si="58"/>
        <v>42186</v>
      </c>
      <c r="F1067" s="356">
        <f t="shared" si="59"/>
        <v>0</v>
      </c>
      <c r="G1067" s="356">
        <f t="shared" si="57"/>
        <v>0</v>
      </c>
      <c r="H1067" s="559">
        <f t="shared" si="60"/>
        <v>0</v>
      </c>
    </row>
    <row r="1068" spans="5:8" s="559" customFormat="1" hidden="1" x14ac:dyDescent="0.25">
      <c r="E1068" s="757">
        <f t="shared" si="58"/>
        <v>42186</v>
      </c>
      <c r="F1068" s="356">
        <f t="shared" si="59"/>
        <v>0</v>
      </c>
      <c r="G1068" s="356">
        <f t="shared" si="57"/>
        <v>0</v>
      </c>
      <c r="H1068" s="559">
        <f t="shared" si="60"/>
        <v>0</v>
      </c>
    </row>
    <row r="1069" spans="5:8" s="559" customFormat="1" hidden="1" x14ac:dyDescent="0.25">
      <c r="E1069" s="757">
        <f t="shared" si="58"/>
        <v>42186</v>
      </c>
      <c r="F1069" s="356">
        <f t="shared" si="59"/>
        <v>0</v>
      </c>
      <c r="G1069" s="356">
        <f t="shared" si="57"/>
        <v>0</v>
      </c>
      <c r="H1069" s="559">
        <f t="shared" si="60"/>
        <v>0</v>
      </c>
    </row>
    <row r="1070" spans="5:8" s="559" customFormat="1" hidden="1" x14ac:dyDescent="0.25">
      <c r="E1070" s="757">
        <f t="shared" si="58"/>
        <v>42186</v>
      </c>
      <c r="F1070" s="356">
        <f t="shared" si="59"/>
        <v>0</v>
      </c>
      <c r="G1070" s="356">
        <f t="shared" si="57"/>
        <v>0</v>
      </c>
      <c r="H1070" s="559">
        <f t="shared" si="60"/>
        <v>0</v>
      </c>
    </row>
    <row r="1071" spans="5:8" s="559" customFormat="1" hidden="1" x14ac:dyDescent="0.25">
      <c r="E1071" s="757">
        <f t="shared" si="58"/>
        <v>42186</v>
      </c>
      <c r="F1071" s="356">
        <f t="shared" si="59"/>
        <v>0</v>
      </c>
      <c r="G1071" s="356">
        <f t="shared" si="57"/>
        <v>0</v>
      </c>
      <c r="H1071" s="559">
        <f t="shared" si="60"/>
        <v>0</v>
      </c>
    </row>
    <row r="1072" spans="5:8" s="559" customFormat="1" hidden="1" x14ac:dyDescent="0.25">
      <c r="E1072" s="757">
        <f t="shared" si="58"/>
        <v>42186</v>
      </c>
      <c r="F1072" s="356">
        <f t="shared" si="59"/>
        <v>0</v>
      </c>
      <c r="G1072" s="356">
        <f t="shared" si="57"/>
        <v>0</v>
      </c>
      <c r="H1072" s="559">
        <f t="shared" si="60"/>
        <v>0</v>
      </c>
    </row>
    <row r="1073" spans="5:8" s="559" customFormat="1" hidden="1" x14ac:dyDescent="0.25">
      <c r="E1073" s="757">
        <f t="shared" si="58"/>
        <v>42186</v>
      </c>
      <c r="F1073" s="356">
        <f t="shared" si="59"/>
        <v>0</v>
      </c>
      <c r="G1073" s="356">
        <f t="shared" si="57"/>
        <v>0</v>
      </c>
      <c r="H1073" s="559">
        <f t="shared" si="60"/>
        <v>0</v>
      </c>
    </row>
    <row r="1074" spans="5:8" s="559" customFormat="1" hidden="1" x14ac:dyDescent="0.25">
      <c r="E1074" s="757">
        <f t="shared" si="58"/>
        <v>42186</v>
      </c>
      <c r="F1074" s="356">
        <f t="shared" si="59"/>
        <v>0</v>
      </c>
      <c r="G1074" s="356">
        <f t="shared" si="57"/>
        <v>0</v>
      </c>
      <c r="H1074" s="559">
        <f t="shared" si="60"/>
        <v>0</v>
      </c>
    </row>
    <row r="1075" spans="5:8" s="559" customFormat="1" hidden="1" x14ac:dyDescent="0.25">
      <c r="E1075" s="757">
        <f t="shared" si="58"/>
        <v>42186</v>
      </c>
      <c r="F1075" s="356">
        <f t="shared" si="59"/>
        <v>0</v>
      </c>
      <c r="G1075" s="356">
        <f t="shared" si="57"/>
        <v>0</v>
      </c>
      <c r="H1075" s="559">
        <f t="shared" si="60"/>
        <v>0</v>
      </c>
    </row>
    <row r="1076" spans="5:8" s="559" customFormat="1" hidden="1" x14ac:dyDescent="0.25">
      <c r="E1076" s="757">
        <f t="shared" si="58"/>
        <v>42186</v>
      </c>
      <c r="F1076" s="356">
        <f t="shared" si="59"/>
        <v>0</v>
      </c>
      <c r="G1076" s="356">
        <f t="shared" si="57"/>
        <v>0</v>
      </c>
      <c r="H1076" s="559">
        <f t="shared" si="60"/>
        <v>0</v>
      </c>
    </row>
    <row r="1077" spans="5:8" s="559" customFormat="1" hidden="1" x14ac:dyDescent="0.25">
      <c r="E1077" s="757">
        <f t="shared" si="58"/>
        <v>42186</v>
      </c>
      <c r="F1077" s="356">
        <f t="shared" si="59"/>
        <v>0</v>
      </c>
      <c r="G1077" s="356">
        <f t="shared" si="57"/>
        <v>0</v>
      </c>
      <c r="H1077" s="559">
        <f t="shared" si="60"/>
        <v>0</v>
      </c>
    </row>
    <row r="1078" spans="5:8" s="559" customFormat="1" hidden="1" x14ac:dyDescent="0.25">
      <c r="E1078" s="757">
        <f t="shared" si="58"/>
        <v>42186</v>
      </c>
      <c r="F1078" s="356">
        <f t="shared" si="59"/>
        <v>0</v>
      </c>
      <c r="G1078" s="356">
        <f t="shared" si="57"/>
        <v>0</v>
      </c>
      <c r="H1078" s="559">
        <f t="shared" si="60"/>
        <v>0</v>
      </c>
    </row>
    <row r="1079" spans="5:8" s="559" customFormat="1" hidden="1" x14ac:dyDescent="0.25">
      <c r="E1079" s="757">
        <f t="shared" si="58"/>
        <v>42186</v>
      </c>
      <c r="F1079" s="356">
        <f t="shared" si="59"/>
        <v>0</v>
      </c>
      <c r="G1079" s="356">
        <f t="shared" si="57"/>
        <v>0</v>
      </c>
      <c r="H1079" s="559">
        <f t="shared" si="60"/>
        <v>0</v>
      </c>
    </row>
    <row r="1080" spans="5:8" s="559" customFormat="1" hidden="1" x14ac:dyDescent="0.25">
      <c r="E1080" s="757">
        <f t="shared" si="58"/>
        <v>42186</v>
      </c>
      <c r="F1080" s="356">
        <f t="shared" si="59"/>
        <v>0</v>
      </c>
      <c r="G1080" s="356">
        <f t="shared" si="57"/>
        <v>0</v>
      </c>
      <c r="H1080" s="559">
        <f t="shared" si="60"/>
        <v>0</v>
      </c>
    </row>
    <row r="1081" spans="5:8" s="559" customFormat="1" hidden="1" x14ac:dyDescent="0.25">
      <c r="E1081" s="757">
        <f t="shared" si="58"/>
        <v>42186</v>
      </c>
      <c r="F1081" s="356">
        <f t="shared" si="59"/>
        <v>0</v>
      </c>
      <c r="G1081" s="356">
        <f t="shared" si="57"/>
        <v>0</v>
      </c>
      <c r="H1081" s="559">
        <f t="shared" si="60"/>
        <v>0</v>
      </c>
    </row>
    <row r="1082" spans="5:8" s="559" customFormat="1" hidden="1" x14ac:dyDescent="0.25">
      <c r="E1082" s="757">
        <f t="shared" si="58"/>
        <v>42186</v>
      </c>
      <c r="F1082" s="356">
        <f t="shared" si="59"/>
        <v>0</v>
      </c>
      <c r="G1082" s="356">
        <f t="shared" si="57"/>
        <v>0</v>
      </c>
      <c r="H1082" s="559">
        <f t="shared" si="60"/>
        <v>0</v>
      </c>
    </row>
    <row r="1083" spans="5:8" s="559" customFormat="1" hidden="1" x14ac:dyDescent="0.25">
      <c r="E1083" s="757">
        <f t="shared" si="58"/>
        <v>42186</v>
      </c>
      <c r="F1083" s="356">
        <f t="shared" si="59"/>
        <v>0</v>
      </c>
      <c r="G1083" s="356">
        <f t="shared" si="57"/>
        <v>0</v>
      </c>
      <c r="H1083" s="559">
        <f t="shared" si="60"/>
        <v>0</v>
      </c>
    </row>
    <row r="1084" spans="5:8" s="559" customFormat="1" hidden="1" x14ac:dyDescent="0.25">
      <c r="E1084" s="757">
        <f t="shared" si="58"/>
        <v>42186</v>
      </c>
      <c r="F1084" s="356">
        <f t="shared" si="59"/>
        <v>0</v>
      </c>
      <c r="G1084" s="356">
        <f t="shared" si="57"/>
        <v>0</v>
      </c>
      <c r="H1084" s="559">
        <f t="shared" si="60"/>
        <v>0</v>
      </c>
    </row>
    <row r="1085" spans="5:8" s="559" customFormat="1" hidden="1" x14ac:dyDescent="0.25">
      <c r="E1085" s="757">
        <f t="shared" si="58"/>
        <v>42186</v>
      </c>
      <c r="F1085" s="356">
        <f t="shared" si="59"/>
        <v>0</v>
      </c>
      <c r="G1085" s="356">
        <f t="shared" si="57"/>
        <v>0</v>
      </c>
      <c r="H1085" s="559">
        <f t="shared" si="60"/>
        <v>0</v>
      </c>
    </row>
    <row r="1086" spans="5:8" s="559" customFormat="1" hidden="1" x14ac:dyDescent="0.25">
      <c r="E1086" s="757">
        <f t="shared" si="58"/>
        <v>42186</v>
      </c>
      <c r="F1086" s="356">
        <f t="shared" si="59"/>
        <v>0</v>
      </c>
      <c r="G1086" s="356">
        <f t="shared" si="57"/>
        <v>0</v>
      </c>
      <c r="H1086" s="559">
        <f t="shared" si="60"/>
        <v>0</v>
      </c>
    </row>
    <row r="1087" spans="5:8" s="559" customFormat="1" hidden="1" x14ac:dyDescent="0.25">
      <c r="E1087" s="757">
        <f t="shared" si="58"/>
        <v>42186</v>
      </c>
      <c r="F1087" s="356">
        <f t="shared" si="59"/>
        <v>0</v>
      </c>
      <c r="G1087" s="356">
        <f t="shared" si="57"/>
        <v>0</v>
      </c>
      <c r="H1087" s="559">
        <f t="shared" si="60"/>
        <v>0</v>
      </c>
    </row>
    <row r="1088" spans="5:8" s="559" customFormat="1" hidden="1" x14ac:dyDescent="0.25">
      <c r="E1088" s="757">
        <f t="shared" si="58"/>
        <v>42186</v>
      </c>
      <c r="F1088" s="356">
        <f t="shared" si="59"/>
        <v>0</v>
      </c>
      <c r="G1088" s="356">
        <f t="shared" si="57"/>
        <v>0</v>
      </c>
      <c r="H1088" s="559">
        <f t="shared" si="60"/>
        <v>0</v>
      </c>
    </row>
    <row r="1089" spans="5:8" s="559" customFormat="1" hidden="1" x14ac:dyDescent="0.25">
      <c r="E1089" s="757">
        <f t="shared" si="58"/>
        <v>42186</v>
      </c>
      <c r="F1089" s="356">
        <f t="shared" si="59"/>
        <v>0</v>
      </c>
      <c r="G1089" s="356">
        <f t="shared" si="57"/>
        <v>0</v>
      </c>
      <c r="H1089" s="559">
        <f t="shared" si="60"/>
        <v>0</v>
      </c>
    </row>
    <row r="1090" spans="5:8" s="559" customFormat="1" hidden="1" x14ac:dyDescent="0.25">
      <c r="E1090" s="757">
        <f t="shared" si="58"/>
        <v>42186</v>
      </c>
      <c r="F1090" s="356">
        <f t="shared" si="59"/>
        <v>0</v>
      </c>
      <c r="G1090" s="356">
        <f t="shared" si="57"/>
        <v>0</v>
      </c>
      <c r="H1090" s="559">
        <f t="shared" si="60"/>
        <v>0</v>
      </c>
    </row>
    <row r="1091" spans="5:8" s="559" customFormat="1" hidden="1" x14ac:dyDescent="0.25">
      <c r="E1091" s="757">
        <f t="shared" si="58"/>
        <v>42186</v>
      </c>
      <c r="F1091" s="356">
        <f t="shared" si="59"/>
        <v>0</v>
      </c>
      <c r="G1091" s="356">
        <f t="shared" si="57"/>
        <v>0</v>
      </c>
      <c r="H1091" s="559">
        <f t="shared" si="60"/>
        <v>0</v>
      </c>
    </row>
    <row r="1092" spans="5:8" s="559" customFormat="1" hidden="1" x14ac:dyDescent="0.25">
      <c r="E1092" s="757">
        <f t="shared" si="58"/>
        <v>42186</v>
      </c>
      <c r="F1092" s="356">
        <f t="shared" si="59"/>
        <v>0</v>
      </c>
      <c r="G1092" s="356">
        <f t="shared" si="57"/>
        <v>0</v>
      </c>
      <c r="H1092" s="559">
        <f t="shared" si="60"/>
        <v>0</v>
      </c>
    </row>
    <row r="1093" spans="5:8" s="559" customFormat="1" hidden="1" x14ac:dyDescent="0.25">
      <c r="E1093" s="757">
        <f t="shared" si="58"/>
        <v>42186</v>
      </c>
      <c r="F1093" s="356">
        <f t="shared" si="59"/>
        <v>0</v>
      </c>
      <c r="G1093" s="356">
        <f t="shared" si="57"/>
        <v>0</v>
      </c>
      <c r="H1093" s="559">
        <f t="shared" si="60"/>
        <v>0</v>
      </c>
    </row>
    <row r="1094" spans="5:8" s="559" customFormat="1" hidden="1" x14ac:dyDescent="0.25">
      <c r="E1094" s="757">
        <f t="shared" si="58"/>
        <v>42186</v>
      </c>
      <c r="F1094" s="356">
        <f t="shared" si="59"/>
        <v>0</v>
      </c>
      <c r="G1094" s="356">
        <f t="shared" si="57"/>
        <v>0</v>
      </c>
      <c r="H1094" s="559">
        <f t="shared" si="60"/>
        <v>0</v>
      </c>
    </row>
    <row r="1095" spans="5:8" s="559" customFormat="1" hidden="1" x14ac:dyDescent="0.25">
      <c r="E1095" s="757">
        <f t="shared" si="58"/>
        <v>42186</v>
      </c>
      <c r="F1095" s="356">
        <f t="shared" si="59"/>
        <v>0</v>
      </c>
      <c r="G1095" s="356">
        <f t="shared" si="57"/>
        <v>0</v>
      </c>
      <c r="H1095" s="559">
        <f t="shared" si="60"/>
        <v>0</v>
      </c>
    </row>
    <row r="1096" spans="5:8" s="559" customFormat="1" hidden="1" x14ac:dyDescent="0.25">
      <c r="E1096" s="757">
        <f t="shared" si="58"/>
        <v>42186</v>
      </c>
      <c r="F1096" s="356">
        <f t="shared" si="59"/>
        <v>0</v>
      </c>
      <c r="G1096" s="356">
        <f t="shared" si="57"/>
        <v>0</v>
      </c>
      <c r="H1096" s="559">
        <f t="shared" si="60"/>
        <v>0</v>
      </c>
    </row>
    <row r="1097" spans="5:8" s="559" customFormat="1" hidden="1" x14ac:dyDescent="0.25">
      <c r="E1097" s="757">
        <f t="shared" si="58"/>
        <v>42186</v>
      </c>
      <c r="F1097" s="356">
        <f t="shared" si="59"/>
        <v>0</v>
      </c>
      <c r="G1097" s="356">
        <f t="shared" si="57"/>
        <v>0</v>
      </c>
      <c r="H1097" s="559">
        <f t="shared" si="60"/>
        <v>0</v>
      </c>
    </row>
    <row r="1098" spans="5:8" s="559" customFormat="1" hidden="1" x14ac:dyDescent="0.25">
      <c r="E1098" s="757">
        <f t="shared" si="58"/>
        <v>42186</v>
      </c>
      <c r="F1098" s="356">
        <f t="shared" si="59"/>
        <v>0</v>
      </c>
      <c r="G1098" s="356">
        <f t="shared" si="57"/>
        <v>0</v>
      </c>
      <c r="H1098" s="559">
        <f t="shared" si="60"/>
        <v>0</v>
      </c>
    </row>
    <row r="1099" spans="5:8" s="559" customFormat="1" hidden="1" x14ac:dyDescent="0.25">
      <c r="E1099" s="757">
        <f t="shared" si="58"/>
        <v>42186</v>
      </c>
      <c r="F1099" s="356">
        <f t="shared" si="59"/>
        <v>0</v>
      </c>
      <c r="G1099" s="356">
        <f t="shared" si="57"/>
        <v>0</v>
      </c>
      <c r="H1099" s="559">
        <f t="shared" si="60"/>
        <v>0</v>
      </c>
    </row>
    <row r="1100" spans="5:8" s="559" customFormat="1" hidden="1" x14ac:dyDescent="0.25">
      <c r="E1100" s="757">
        <f t="shared" si="58"/>
        <v>42186</v>
      </c>
      <c r="F1100" s="356">
        <f t="shared" si="59"/>
        <v>0</v>
      </c>
      <c r="G1100" s="356">
        <f t="shared" si="57"/>
        <v>0</v>
      </c>
      <c r="H1100" s="559">
        <f t="shared" si="60"/>
        <v>0</v>
      </c>
    </row>
    <row r="1101" spans="5:8" s="559" customFormat="1" hidden="1" x14ac:dyDescent="0.25">
      <c r="E1101" s="757">
        <f t="shared" si="58"/>
        <v>42186</v>
      </c>
      <c r="F1101" s="356">
        <f t="shared" si="59"/>
        <v>0</v>
      </c>
      <c r="G1101" s="356">
        <f t="shared" si="57"/>
        <v>0</v>
      </c>
      <c r="H1101" s="559">
        <f t="shared" si="60"/>
        <v>0</v>
      </c>
    </row>
    <row r="1102" spans="5:8" s="559" customFormat="1" hidden="1" x14ac:dyDescent="0.25">
      <c r="E1102" s="757">
        <f t="shared" si="58"/>
        <v>42186</v>
      </c>
      <c r="F1102" s="356">
        <f t="shared" si="59"/>
        <v>0</v>
      </c>
      <c r="G1102" s="356">
        <f t="shared" si="57"/>
        <v>0</v>
      </c>
      <c r="H1102" s="559">
        <f t="shared" si="60"/>
        <v>0</v>
      </c>
    </row>
    <row r="1103" spans="5:8" s="559" customFormat="1" hidden="1" x14ac:dyDescent="0.25">
      <c r="E1103" s="757">
        <f t="shared" si="58"/>
        <v>42186</v>
      </c>
      <c r="F1103" s="356">
        <f t="shared" si="59"/>
        <v>0</v>
      </c>
      <c r="G1103" s="356">
        <f t="shared" si="57"/>
        <v>0</v>
      </c>
      <c r="H1103" s="559">
        <f t="shared" si="60"/>
        <v>0</v>
      </c>
    </row>
    <row r="1104" spans="5:8" s="559" customFormat="1" hidden="1" x14ac:dyDescent="0.25">
      <c r="E1104" s="757">
        <f t="shared" si="58"/>
        <v>42186</v>
      </c>
      <c r="F1104" s="356">
        <f t="shared" si="59"/>
        <v>0</v>
      </c>
      <c r="G1104" s="356">
        <f t="shared" si="57"/>
        <v>0</v>
      </c>
      <c r="H1104" s="559">
        <f t="shared" si="60"/>
        <v>0</v>
      </c>
    </row>
    <row r="1105" spans="5:8" s="559" customFormat="1" hidden="1" x14ac:dyDescent="0.25">
      <c r="E1105" s="757">
        <f t="shared" si="58"/>
        <v>42186</v>
      </c>
      <c r="F1105" s="356">
        <f t="shared" si="59"/>
        <v>0</v>
      </c>
      <c r="G1105" s="356">
        <f t="shared" si="57"/>
        <v>0</v>
      </c>
      <c r="H1105" s="559">
        <f t="shared" si="60"/>
        <v>0</v>
      </c>
    </row>
    <row r="1106" spans="5:8" s="559" customFormat="1" hidden="1" x14ac:dyDescent="0.25">
      <c r="E1106" s="757">
        <f t="shared" si="58"/>
        <v>42186</v>
      </c>
      <c r="F1106" s="356">
        <f t="shared" si="59"/>
        <v>0</v>
      </c>
      <c r="G1106" s="356">
        <f t="shared" si="57"/>
        <v>0</v>
      </c>
      <c r="H1106" s="559">
        <f t="shared" si="60"/>
        <v>0</v>
      </c>
    </row>
    <row r="1107" spans="5:8" s="559" customFormat="1" hidden="1" x14ac:dyDescent="0.25">
      <c r="E1107" s="757">
        <f t="shared" si="58"/>
        <v>42186</v>
      </c>
      <c r="F1107" s="356">
        <f t="shared" si="59"/>
        <v>0</v>
      </c>
      <c r="G1107" s="356">
        <f t="shared" si="57"/>
        <v>0</v>
      </c>
      <c r="H1107" s="559">
        <f t="shared" si="60"/>
        <v>0</v>
      </c>
    </row>
    <row r="1108" spans="5:8" s="559" customFormat="1" hidden="1" x14ac:dyDescent="0.25">
      <c r="E1108" s="757">
        <f t="shared" si="58"/>
        <v>42186</v>
      </c>
      <c r="F1108" s="356">
        <f t="shared" si="59"/>
        <v>0</v>
      </c>
      <c r="G1108" s="356">
        <f t="shared" si="57"/>
        <v>0</v>
      </c>
      <c r="H1108" s="559">
        <f t="shared" si="60"/>
        <v>0</v>
      </c>
    </row>
    <row r="1109" spans="5:8" s="559" customFormat="1" hidden="1" x14ac:dyDescent="0.25">
      <c r="E1109" s="757">
        <f t="shared" si="58"/>
        <v>42186</v>
      </c>
      <c r="F1109" s="356">
        <f t="shared" si="59"/>
        <v>0</v>
      </c>
      <c r="G1109" s="356">
        <f t="shared" si="57"/>
        <v>0</v>
      </c>
      <c r="H1109" s="559">
        <f t="shared" si="60"/>
        <v>0</v>
      </c>
    </row>
    <row r="1110" spans="5:8" s="559" customFormat="1" hidden="1" x14ac:dyDescent="0.25">
      <c r="E1110" s="757">
        <f t="shared" si="58"/>
        <v>42186</v>
      </c>
      <c r="F1110" s="356">
        <f t="shared" si="59"/>
        <v>0</v>
      </c>
      <c r="G1110" s="356">
        <f t="shared" si="57"/>
        <v>0</v>
      </c>
      <c r="H1110" s="559">
        <f t="shared" si="60"/>
        <v>0</v>
      </c>
    </row>
    <row r="1111" spans="5:8" s="559" customFormat="1" hidden="1" x14ac:dyDescent="0.25">
      <c r="E1111" s="757">
        <f t="shared" si="58"/>
        <v>42186</v>
      </c>
      <c r="F1111" s="356">
        <f t="shared" si="59"/>
        <v>0</v>
      </c>
      <c r="G1111" s="356">
        <f t="shared" si="57"/>
        <v>0</v>
      </c>
      <c r="H1111" s="559">
        <f t="shared" si="60"/>
        <v>0</v>
      </c>
    </row>
    <row r="1112" spans="5:8" s="559" customFormat="1" hidden="1" x14ac:dyDescent="0.25">
      <c r="E1112" s="757">
        <f t="shared" si="58"/>
        <v>42186</v>
      </c>
      <c r="F1112" s="356">
        <f t="shared" si="59"/>
        <v>0</v>
      </c>
      <c r="G1112" s="356">
        <f t="shared" si="57"/>
        <v>0</v>
      </c>
      <c r="H1112" s="559">
        <f t="shared" si="60"/>
        <v>0</v>
      </c>
    </row>
    <row r="1113" spans="5:8" s="559" customFormat="1" hidden="1" x14ac:dyDescent="0.25">
      <c r="E1113" s="757">
        <f t="shared" si="58"/>
        <v>42186</v>
      </c>
      <c r="F1113" s="356">
        <f t="shared" si="59"/>
        <v>0</v>
      </c>
      <c r="G1113" s="356">
        <f t="shared" si="57"/>
        <v>0</v>
      </c>
      <c r="H1113" s="559">
        <f t="shared" si="60"/>
        <v>0</v>
      </c>
    </row>
    <row r="1114" spans="5:8" s="559" customFormat="1" hidden="1" x14ac:dyDescent="0.25">
      <c r="E1114" s="757">
        <f t="shared" si="58"/>
        <v>42186</v>
      </c>
      <c r="F1114" s="356">
        <f t="shared" si="59"/>
        <v>0</v>
      </c>
      <c r="G1114" s="356">
        <f t="shared" si="57"/>
        <v>0</v>
      </c>
      <c r="H1114" s="559">
        <f t="shared" si="60"/>
        <v>0</v>
      </c>
    </row>
    <row r="1115" spans="5:8" s="559" customFormat="1" hidden="1" x14ac:dyDescent="0.25">
      <c r="E1115" s="757">
        <f t="shared" si="58"/>
        <v>42186</v>
      </c>
      <c r="F1115" s="356">
        <f t="shared" si="59"/>
        <v>0</v>
      </c>
      <c r="G1115" s="356">
        <f t="shared" ref="G1115:G1178" si="61">ROUND(F1115,-2)</f>
        <v>0</v>
      </c>
      <c r="H1115" s="559">
        <f t="shared" si="60"/>
        <v>0</v>
      </c>
    </row>
    <row r="1116" spans="5:8" s="559" customFormat="1" hidden="1" x14ac:dyDescent="0.25">
      <c r="E1116" s="757">
        <f t="shared" ref="E1116:E1179" si="62">IF(E1115&lt;$C$156,E1115+1,$C$156)</f>
        <v>42186</v>
      </c>
      <c r="F1116" s="356">
        <f t="shared" ref="F1116:F1179" si="63">IF(E1115&lt;$C$156,F1115+C$158,F1115)</f>
        <v>0</v>
      </c>
      <c r="G1116" s="356">
        <f t="shared" si="61"/>
        <v>0</v>
      </c>
      <c r="H1116" s="559">
        <f t="shared" ref="H1116:H1179" si="64">IF(F1116&gt;F1115,(VLOOKUP(G1116,$K$154:$O$160,MATCH($C$159,$K$154:$O$154,0),0)),0)</f>
        <v>0</v>
      </c>
    </row>
    <row r="1117" spans="5:8" s="559" customFormat="1" hidden="1" x14ac:dyDescent="0.25">
      <c r="E1117" s="757">
        <f t="shared" si="62"/>
        <v>42186</v>
      </c>
      <c r="F1117" s="356">
        <f t="shared" si="63"/>
        <v>0</v>
      </c>
      <c r="G1117" s="356">
        <f t="shared" si="61"/>
        <v>0</v>
      </c>
      <c r="H1117" s="559">
        <f t="shared" si="64"/>
        <v>0</v>
      </c>
    </row>
    <row r="1118" spans="5:8" s="559" customFormat="1" hidden="1" x14ac:dyDescent="0.25">
      <c r="E1118" s="757">
        <f t="shared" si="62"/>
        <v>42186</v>
      </c>
      <c r="F1118" s="356">
        <f t="shared" si="63"/>
        <v>0</v>
      </c>
      <c r="G1118" s="356">
        <f t="shared" si="61"/>
        <v>0</v>
      </c>
      <c r="H1118" s="559">
        <f t="shared" si="64"/>
        <v>0</v>
      </c>
    </row>
    <row r="1119" spans="5:8" s="559" customFormat="1" hidden="1" x14ac:dyDescent="0.25">
      <c r="E1119" s="757">
        <f t="shared" si="62"/>
        <v>42186</v>
      </c>
      <c r="F1119" s="356">
        <f t="shared" si="63"/>
        <v>0</v>
      </c>
      <c r="G1119" s="356">
        <f t="shared" si="61"/>
        <v>0</v>
      </c>
      <c r="H1119" s="559">
        <f t="shared" si="64"/>
        <v>0</v>
      </c>
    </row>
    <row r="1120" spans="5:8" s="559" customFormat="1" hidden="1" x14ac:dyDescent="0.25">
      <c r="E1120" s="757">
        <f t="shared" si="62"/>
        <v>42186</v>
      </c>
      <c r="F1120" s="356">
        <f t="shared" si="63"/>
        <v>0</v>
      </c>
      <c r="G1120" s="356">
        <f t="shared" si="61"/>
        <v>0</v>
      </c>
      <c r="H1120" s="559">
        <f t="shared" si="64"/>
        <v>0</v>
      </c>
    </row>
    <row r="1121" spans="5:8" s="559" customFormat="1" hidden="1" x14ac:dyDescent="0.25">
      <c r="E1121" s="757">
        <f t="shared" si="62"/>
        <v>42186</v>
      </c>
      <c r="F1121" s="356">
        <f t="shared" si="63"/>
        <v>0</v>
      </c>
      <c r="G1121" s="356">
        <f t="shared" si="61"/>
        <v>0</v>
      </c>
      <c r="H1121" s="559">
        <f t="shared" si="64"/>
        <v>0</v>
      </c>
    </row>
    <row r="1122" spans="5:8" s="559" customFormat="1" hidden="1" x14ac:dyDescent="0.25">
      <c r="E1122" s="757">
        <f t="shared" si="62"/>
        <v>42186</v>
      </c>
      <c r="F1122" s="356">
        <f t="shared" si="63"/>
        <v>0</v>
      </c>
      <c r="G1122" s="356">
        <f t="shared" si="61"/>
        <v>0</v>
      </c>
      <c r="H1122" s="559">
        <f t="shared" si="64"/>
        <v>0</v>
      </c>
    </row>
    <row r="1123" spans="5:8" s="559" customFormat="1" hidden="1" x14ac:dyDescent="0.25">
      <c r="E1123" s="757">
        <f t="shared" si="62"/>
        <v>42186</v>
      </c>
      <c r="F1123" s="356">
        <f t="shared" si="63"/>
        <v>0</v>
      </c>
      <c r="G1123" s="356">
        <f t="shared" si="61"/>
        <v>0</v>
      </c>
      <c r="H1123" s="559">
        <f t="shared" si="64"/>
        <v>0</v>
      </c>
    </row>
    <row r="1124" spans="5:8" s="559" customFormat="1" hidden="1" x14ac:dyDescent="0.25">
      <c r="E1124" s="757">
        <f t="shared" si="62"/>
        <v>42186</v>
      </c>
      <c r="F1124" s="356">
        <f t="shared" si="63"/>
        <v>0</v>
      </c>
      <c r="G1124" s="356">
        <f t="shared" si="61"/>
        <v>0</v>
      </c>
      <c r="H1124" s="559">
        <f t="shared" si="64"/>
        <v>0</v>
      </c>
    </row>
    <row r="1125" spans="5:8" s="559" customFormat="1" hidden="1" x14ac:dyDescent="0.25">
      <c r="E1125" s="757">
        <f t="shared" si="62"/>
        <v>42186</v>
      </c>
      <c r="F1125" s="356">
        <f t="shared" si="63"/>
        <v>0</v>
      </c>
      <c r="G1125" s="356">
        <f t="shared" si="61"/>
        <v>0</v>
      </c>
      <c r="H1125" s="559">
        <f t="shared" si="64"/>
        <v>0</v>
      </c>
    </row>
    <row r="1126" spans="5:8" s="559" customFormat="1" hidden="1" x14ac:dyDescent="0.25">
      <c r="E1126" s="757">
        <f t="shared" si="62"/>
        <v>42186</v>
      </c>
      <c r="F1126" s="356">
        <f t="shared" si="63"/>
        <v>0</v>
      </c>
      <c r="G1126" s="356">
        <f t="shared" si="61"/>
        <v>0</v>
      </c>
      <c r="H1126" s="559">
        <f t="shared" si="64"/>
        <v>0</v>
      </c>
    </row>
    <row r="1127" spans="5:8" s="559" customFormat="1" hidden="1" x14ac:dyDescent="0.25">
      <c r="E1127" s="757">
        <f t="shared" si="62"/>
        <v>42186</v>
      </c>
      <c r="F1127" s="356">
        <f t="shared" si="63"/>
        <v>0</v>
      </c>
      <c r="G1127" s="356">
        <f t="shared" si="61"/>
        <v>0</v>
      </c>
      <c r="H1127" s="559">
        <f t="shared" si="64"/>
        <v>0</v>
      </c>
    </row>
    <row r="1128" spans="5:8" s="559" customFormat="1" hidden="1" x14ac:dyDescent="0.25">
      <c r="E1128" s="757">
        <f t="shared" si="62"/>
        <v>42186</v>
      </c>
      <c r="F1128" s="356">
        <f t="shared" si="63"/>
        <v>0</v>
      </c>
      <c r="G1128" s="356">
        <f t="shared" si="61"/>
        <v>0</v>
      </c>
      <c r="H1128" s="559">
        <f t="shared" si="64"/>
        <v>0</v>
      </c>
    </row>
    <row r="1129" spans="5:8" s="559" customFormat="1" hidden="1" x14ac:dyDescent="0.25">
      <c r="E1129" s="757">
        <f t="shared" si="62"/>
        <v>42186</v>
      </c>
      <c r="F1129" s="356">
        <f t="shared" si="63"/>
        <v>0</v>
      </c>
      <c r="G1129" s="356">
        <f t="shared" si="61"/>
        <v>0</v>
      </c>
      <c r="H1129" s="559">
        <f t="shared" si="64"/>
        <v>0</v>
      </c>
    </row>
    <row r="1130" spans="5:8" s="559" customFormat="1" hidden="1" x14ac:dyDescent="0.25">
      <c r="E1130" s="757">
        <f t="shared" si="62"/>
        <v>42186</v>
      </c>
      <c r="F1130" s="356">
        <f t="shared" si="63"/>
        <v>0</v>
      </c>
      <c r="G1130" s="356">
        <f t="shared" si="61"/>
        <v>0</v>
      </c>
      <c r="H1130" s="559">
        <f t="shared" si="64"/>
        <v>0</v>
      </c>
    </row>
    <row r="1131" spans="5:8" s="559" customFormat="1" hidden="1" x14ac:dyDescent="0.25">
      <c r="E1131" s="757">
        <f t="shared" si="62"/>
        <v>42186</v>
      </c>
      <c r="F1131" s="356">
        <f t="shared" si="63"/>
        <v>0</v>
      </c>
      <c r="G1131" s="356">
        <f t="shared" si="61"/>
        <v>0</v>
      </c>
      <c r="H1131" s="559">
        <f t="shared" si="64"/>
        <v>0</v>
      </c>
    </row>
    <row r="1132" spans="5:8" s="559" customFormat="1" hidden="1" x14ac:dyDescent="0.25">
      <c r="E1132" s="757">
        <f t="shared" si="62"/>
        <v>42186</v>
      </c>
      <c r="F1132" s="356">
        <f t="shared" si="63"/>
        <v>0</v>
      </c>
      <c r="G1132" s="356">
        <f t="shared" si="61"/>
        <v>0</v>
      </c>
      <c r="H1132" s="559">
        <f t="shared" si="64"/>
        <v>0</v>
      </c>
    </row>
    <row r="1133" spans="5:8" s="559" customFormat="1" hidden="1" x14ac:dyDescent="0.25">
      <c r="E1133" s="757">
        <f t="shared" si="62"/>
        <v>42186</v>
      </c>
      <c r="F1133" s="356">
        <f t="shared" si="63"/>
        <v>0</v>
      </c>
      <c r="G1133" s="356">
        <f t="shared" si="61"/>
        <v>0</v>
      </c>
      <c r="H1133" s="559">
        <f t="shared" si="64"/>
        <v>0</v>
      </c>
    </row>
    <row r="1134" spans="5:8" s="559" customFormat="1" hidden="1" x14ac:dyDescent="0.25">
      <c r="E1134" s="757">
        <f t="shared" si="62"/>
        <v>42186</v>
      </c>
      <c r="F1134" s="356">
        <f t="shared" si="63"/>
        <v>0</v>
      </c>
      <c r="G1134" s="356">
        <f t="shared" si="61"/>
        <v>0</v>
      </c>
      <c r="H1134" s="559">
        <f t="shared" si="64"/>
        <v>0</v>
      </c>
    </row>
    <row r="1135" spans="5:8" s="559" customFormat="1" hidden="1" x14ac:dyDescent="0.25">
      <c r="E1135" s="757">
        <f t="shared" si="62"/>
        <v>42186</v>
      </c>
      <c r="F1135" s="356">
        <f t="shared" si="63"/>
        <v>0</v>
      </c>
      <c r="G1135" s="356">
        <f t="shared" si="61"/>
        <v>0</v>
      </c>
      <c r="H1135" s="559">
        <f t="shared" si="64"/>
        <v>0</v>
      </c>
    </row>
    <row r="1136" spans="5:8" s="559" customFormat="1" hidden="1" x14ac:dyDescent="0.25">
      <c r="E1136" s="757">
        <f t="shared" si="62"/>
        <v>42186</v>
      </c>
      <c r="F1136" s="356">
        <f t="shared" si="63"/>
        <v>0</v>
      </c>
      <c r="G1136" s="356">
        <f t="shared" si="61"/>
        <v>0</v>
      </c>
      <c r="H1136" s="559">
        <f t="shared" si="64"/>
        <v>0</v>
      </c>
    </row>
    <row r="1137" spans="5:8" s="559" customFormat="1" hidden="1" x14ac:dyDescent="0.25">
      <c r="E1137" s="757">
        <f t="shared" si="62"/>
        <v>42186</v>
      </c>
      <c r="F1137" s="356">
        <f t="shared" si="63"/>
        <v>0</v>
      </c>
      <c r="G1137" s="356">
        <f t="shared" si="61"/>
        <v>0</v>
      </c>
      <c r="H1137" s="559">
        <f t="shared" si="64"/>
        <v>0</v>
      </c>
    </row>
    <row r="1138" spans="5:8" s="559" customFormat="1" hidden="1" x14ac:dyDescent="0.25">
      <c r="E1138" s="757">
        <f t="shared" si="62"/>
        <v>42186</v>
      </c>
      <c r="F1138" s="356">
        <f t="shared" si="63"/>
        <v>0</v>
      </c>
      <c r="G1138" s="356">
        <f t="shared" si="61"/>
        <v>0</v>
      </c>
      <c r="H1138" s="559">
        <f t="shared" si="64"/>
        <v>0</v>
      </c>
    </row>
    <row r="1139" spans="5:8" s="559" customFormat="1" hidden="1" x14ac:dyDescent="0.25">
      <c r="E1139" s="757">
        <f t="shared" si="62"/>
        <v>42186</v>
      </c>
      <c r="F1139" s="356">
        <f t="shared" si="63"/>
        <v>0</v>
      </c>
      <c r="G1139" s="356">
        <f t="shared" si="61"/>
        <v>0</v>
      </c>
      <c r="H1139" s="559">
        <f t="shared" si="64"/>
        <v>0</v>
      </c>
    </row>
    <row r="1140" spans="5:8" s="559" customFormat="1" hidden="1" x14ac:dyDescent="0.25">
      <c r="E1140" s="757">
        <f t="shared" si="62"/>
        <v>42186</v>
      </c>
      <c r="F1140" s="356">
        <f t="shared" si="63"/>
        <v>0</v>
      </c>
      <c r="G1140" s="356">
        <f t="shared" si="61"/>
        <v>0</v>
      </c>
      <c r="H1140" s="559">
        <f t="shared" si="64"/>
        <v>0</v>
      </c>
    </row>
    <row r="1141" spans="5:8" s="559" customFormat="1" hidden="1" x14ac:dyDescent="0.25">
      <c r="E1141" s="757">
        <f t="shared" si="62"/>
        <v>42186</v>
      </c>
      <c r="F1141" s="356">
        <f t="shared" si="63"/>
        <v>0</v>
      </c>
      <c r="G1141" s="356">
        <f t="shared" si="61"/>
        <v>0</v>
      </c>
      <c r="H1141" s="559">
        <f t="shared" si="64"/>
        <v>0</v>
      </c>
    </row>
    <row r="1142" spans="5:8" s="559" customFormat="1" hidden="1" x14ac:dyDescent="0.25">
      <c r="E1142" s="757">
        <f t="shared" si="62"/>
        <v>42186</v>
      </c>
      <c r="F1142" s="356">
        <f t="shared" si="63"/>
        <v>0</v>
      </c>
      <c r="G1142" s="356">
        <f t="shared" si="61"/>
        <v>0</v>
      </c>
      <c r="H1142" s="559">
        <f t="shared" si="64"/>
        <v>0</v>
      </c>
    </row>
    <row r="1143" spans="5:8" s="559" customFormat="1" hidden="1" x14ac:dyDescent="0.25">
      <c r="E1143" s="757">
        <f t="shared" si="62"/>
        <v>42186</v>
      </c>
      <c r="F1143" s="356">
        <f t="shared" si="63"/>
        <v>0</v>
      </c>
      <c r="G1143" s="356">
        <f t="shared" si="61"/>
        <v>0</v>
      </c>
      <c r="H1143" s="559">
        <f t="shared" si="64"/>
        <v>0</v>
      </c>
    </row>
    <row r="1144" spans="5:8" s="559" customFormat="1" hidden="1" x14ac:dyDescent="0.25">
      <c r="E1144" s="757">
        <f t="shared" si="62"/>
        <v>42186</v>
      </c>
      <c r="F1144" s="356">
        <f t="shared" si="63"/>
        <v>0</v>
      </c>
      <c r="G1144" s="356">
        <f t="shared" si="61"/>
        <v>0</v>
      </c>
      <c r="H1144" s="559">
        <f t="shared" si="64"/>
        <v>0</v>
      </c>
    </row>
    <row r="1145" spans="5:8" s="559" customFormat="1" hidden="1" x14ac:dyDescent="0.25">
      <c r="E1145" s="757">
        <f t="shared" si="62"/>
        <v>42186</v>
      </c>
      <c r="F1145" s="356">
        <f t="shared" si="63"/>
        <v>0</v>
      </c>
      <c r="G1145" s="356">
        <f t="shared" si="61"/>
        <v>0</v>
      </c>
      <c r="H1145" s="559">
        <f t="shared" si="64"/>
        <v>0</v>
      </c>
    </row>
    <row r="1146" spans="5:8" s="559" customFormat="1" hidden="1" x14ac:dyDescent="0.25">
      <c r="E1146" s="757">
        <f t="shared" si="62"/>
        <v>42186</v>
      </c>
      <c r="F1146" s="356">
        <f t="shared" si="63"/>
        <v>0</v>
      </c>
      <c r="G1146" s="356">
        <f t="shared" si="61"/>
        <v>0</v>
      </c>
      <c r="H1146" s="559">
        <f t="shared" si="64"/>
        <v>0</v>
      </c>
    </row>
    <row r="1147" spans="5:8" s="559" customFormat="1" hidden="1" x14ac:dyDescent="0.25">
      <c r="E1147" s="757">
        <f t="shared" si="62"/>
        <v>42186</v>
      </c>
      <c r="F1147" s="356">
        <f t="shared" si="63"/>
        <v>0</v>
      </c>
      <c r="G1147" s="356">
        <f t="shared" si="61"/>
        <v>0</v>
      </c>
      <c r="H1147" s="559">
        <f t="shared" si="64"/>
        <v>0</v>
      </c>
    </row>
    <row r="1148" spans="5:8" s="559" customFormat="1" hidden="1" x14ac:dyDescent="0.25">
      <c r="E1148" s="757">
        <f t="shared" si="62"/>
        <v>42186</v>
      </c>
      <c r="F1148" s="356">
        <f t="shared" si="63"/>
        <v>0</v>
      </c>
      <c r="G1148" s="356">
        <f t="shared" si="61"/>
        <v>0</v>
      </c>
      <c r="H1148" s="559">
        <f t="shared" si="64"/>
        <v>0</v>
      </c>
    </row>
    <row r="1149" spans="5:8" s="559" customFormat="1" hidden="1" x14ac:dyDescent="0.25">
      <c r="E1149" s="757">
        <f t="shared" si="62"/>
        <v>42186</v>
      </c>
      <c r="F1149" s="356">
        <f t="shared" si="63"/>
        <v>0</v>
      </c>
      <c r="G1149" s="356">
        <f t="shared" si="61"/>
        <v>0</v>
      </c>
      <c r="H1149" s="559">
        <f t="shared" si="64"/>
        <v>0</v>
      </c>
    </row>
    <row r="1150" spans="5:8" s="559" customFormat="1" hidden="1" x14ac:dyDescent="0.25">
      <c r="E1150" s="757">
        <f t="shared" si="62"/>
        <v>42186</v>
      </c>
      <c r="F1150" s="356">
        <f t="shared" si="63"/>
        <v>0</v>
      </c>
      <c r="G1150" s="356">
        <f t="shared" si="61"/>
        <v>0</v>
      </c>
      <c r="H1150" s="559">
        <f t="shared" si="64"/>
        <v>0</v>
      </c>
    </row>
    <row r="1151" spans="5:8" s="559" customFormat="1" hidden="1" x14ac:dyDescent="0.25">
      <c r="E1151" s="757">
        <f t="shared" si="62"/>
        <v>42186</v>
      </c>
      <c r="F1151" s="356">
        <f t="shared" si="63"/>
        <v>0</v>
      </c>
      <c r="G1151" s="356">
        <f t="shared" si="61"/>
        <v>0</v>
      </c>
      <c r="H1151" s="559">
        <f t="shared" si="64"/>
        <v>0</v>
      </c>
    </row>
    <row r="1152" spans="5:8" s="559" customFormat="1" hidden="1" x14ac:dyDescent="0.25">
      <c r="E1152" s="757">
        <f t="shared" si="62"/>
        <v>42186</v>
      </c>
      <c r="F1152" s="356">
        <f t="shared" si="63"/>
        <v>0</v>
      </c>
      <c r="G1152" s="356">
        <f t="shared" si="61"/>
        <v>0</v>
      </c>
      <c r="H1152" s="559">
        <f t="shared" si="64"/>
        <v>0</v>
      </c>
    </row>
    <row r="1153" spans="5:8" s="559" customFormat="1" hidden="1" x14ac:dyDescent="0.25">
      <c r="E1153" s="757">
        <f t="shared" si="62"/>
        <v>42186</v>
      </c>
      <c r="F1153" s="356">
        <f t="shared" si="63"/>
        <v>0</v>
      </c>
      <c r="G1153" s="356">
        <f t="shared" si="61"/>
        <v>0</v>
      </c>
      <c r="H1153" s="559">
        <f t="shared" si="64"/>
        <v>0</v>
      </c>
    </row>
    <row r="1154" spans="5:8" s="559" customFormat="1" hidden="1" x14ac:dyDescent="0.25">
      <c r="E1154" s="757">
        <f t="shared" si="62"/>
        <v>42186</v>
      </c>
      <c r="F1154" s="356">
        <f t="shared" si="63"/>
        <v>0</v>
      </c>
      <c r="G1154" s="356">
        <f t="shared" si="61"/>
        <v>0</v>
      </c>
      <c r="H1154" s="559">
        <f t="shared" si="64"/>
        <v>0</v>
      </c>
    </row>
    <row r="1155" spans="5:8" s="559" customFormat="1" hidden="1" x14ac:dyDescent="0.25">
      <c r="E1155" s="757">
        <f t="shared" si="62"/>
        <v>42186</v>
      </c>
      <c r="F1155" s="356">
        <f t="shared" si="63"/>
        <v>0</v>
      </c>
      <c r="G1155" s="356">
        <f t="shared" si="61"/>
        <v>0</v>
      </c>
      <c r="H1155" s="559">
        <f t="shared" si="64"/>
        <v>0</v>
      </c>
    </row>
    <row r="1156" spans="5:8" s="559" customFormat="1" hidden="1" x14ac:dyDescent="0.25">
      <c r="E1156" s="757">
        <f t="shared" si="62"/>
        <v>42186</v>
      </c>
      <c r="F1156" s="356">
        <f t="shared" si="63"/>
        <v>0</v>
      </c>
      <c r="G1156" s="356">
        <f t="shared" si="61"/>
        <v>0</v>
      </c>
      <c r="H1156" s="559">
        <f t="shared" si="64"/>
        <v>0</v>
      </c>
    </row>
    <row r="1157" spans="5:8" s="559" customFormat="1" hidden="1" x14ac:dyDescent="0.25">
      <c r="E1157" s="757">
        <f t="shared" si="62"/>
        <v>42186</v>
      </c>
      <c r="F1157" s="356">
        <f t="shared" si="63"/>
        <v>0</v>
      </c>
      <c r="G1157" s="356">
        <f t="shared" si="61"/>
        <v>0</v>
      </c>
      <c r="H1157" s="559">
        <f t="shared" si="64"/>
        <v>0</v>
      </c>
    </row>
    <row r="1158" spans="5:8" s="559" customFormat="1" hidden="1" x14ac:dyDescent="0.25">
      <c r="E1158" s="757">
        <f t="shared" si="62"/>
        <v>42186</v>
      </c>
      <c r="F1158" s="356">
        <f t="shared" si="63"/>
        <v>0</v>
      </c>
      <c r="G1158" s="356">
        <f t="shared" si="61"/>
        <v>0</v>
      </c>
      <c r="H1158" s="559">
        <f t="shared" si="64"/>
        <v>0</v>
      </c>
    </row>
    <row r="1159" spans="5:8" s="559" customFormat="1" hidden="1" x14ac:dyDescent="0.25">
      <c r="E1159" s="757">
        <f t="shared" si="62"/>
        <v>42186</v>
      </c>
      <c r="F1159" s="356">
        <f t="shared" si="63"/>
        <v>0</v>
      </c>
      <c r="G1159" s="356">
        <f t="shared" si="61"/>
        <v>0</v>
      </c>
      <c r="H1159" s="559">
        <f t="shared" si="64"/>
        <v>0</v>
      </c>
    </row>
    <row r="1160" spans="5:8" s="559" customFormat="1" hidden="1" x14ac:dyDescent="0.25">
      <c r="E1160" s="757">
        <f t="shared" si="62"/>
        <v>42186</v>
      </c>
      <c r="F1160" s="356">
        <f t="shared" si="63"/>
        <v>0</v>
      </c>
      <c r="G1160" s="356">
        <f t="shared" si="61"/>
        <v>0</v>
      </c>
      <c r="H1160" s="559">
        <f t="shared" si="64"/>
        <v>0</v>
      </c>
    </row>
    <row r="1161" spans="5:8" s="559" customFormat="1" hidden="1" x14ac:dyDescent="0.25">
      <c r="E1161" s="757">
        <f t="shared" si="62"/>
        <v>42186</v>
      </c>
      <c r="F1161" s="356">
        <f t="shared" si="63"/>
        <v>0</v>
      </c>
      <c r="G1161" s="356">
        <f t="shared" si="61"/>
        <v>0</v>
      </c>
      <c r="H1161" s="559">
        <f t="shared" si="64"/>
        <v>0</v>
      </c>
    </row>
    <row r="1162" spans="5:8" s="559" customFormat="1" hidden="1" x14ac:dyDescent="0.25">
      <c r="E1162" s="757">
        <f t="shared" si="62"/>
        <v>42186</v>
      </c>
      <c r="F1162" s="356">
        <f t="shared" si="63"/>
        <v>0</v>
      </c>
      <c r="G1162" s="356">
        <f t="shared" si="61"/>
        <v>0</v>
      </c>
      <c r="H1162" s="559">
        <f t="shared" si="64"/>
        <v>0</v>
      </c>
    </row>
    <row r="1163" spans="5:8" s="559" customFormat="1" hidden="1" x14ac:dyDescent="0.25">
      <c r="E1163" s="757">
        <f t="shared" si="62"/>
        <v>42186</v>
      </c>
      <c r="F1163" s="356">
        <f t="shared" si="63"/>
        <v>0</v>
      </c>
      <c r="G1163" s="356">
        <f t="shared" si="61"/>
        <v>0</v>
      </c>
      <c r="H1163" s="559">
        <f t="shared" si="64"/>
        <v>0</v>
      </c>
    </row>
    <row r="1164" spans="5:8" s="559" customFormat="1" hidden="1" x14ac:dyDescent="0.25">
      <c r="E1164" s="757">
        <f t="shared" si="62"/>
        <v>42186</v>
      </c>
      <c r="F1164" s="356">
        <f t="shared" si="63"/>
        <v>0</v>
      </c>
      <c r="G1164" s="356">
        <f t="shared" si="61"/>
        <v>0</v>
      </c>
      <c r="H1164" s="559">
        <f t="shared" si="64"/>
        <v>0</v>
      </c>
    </row>
    <row r="1165" spans="5:8" s="559" customFormat="1" hidden="1" x14ac:dyDescent="0.25">
      <c r="E1165" s="757">
        <f t="shared" si="62"/>
        <v>42186</v>
      </c>
      <c r="F1165" s="356">
        <f t="shared" si="63"/>
        <v>0</v>
      </c>
      <c r="G1165" s="356">
        <f t="shared" si="61"/>
        <v>0</v>
      </c>
      <c r="H1165" s="559">
        <f t="shared" si="64"/>
        <v>0</v>
      </c>
    </row>
    <row r="1166" spans="5:8" s="559" customFormat="1" hidden="1" x14ac:dyDescent="0.25">
      <c r="E1166" s="757">
        <f t="shared" si="62"/>
        <v>42186</v>
      </c>
      <c r="F1166" s="356">
        <f t="shared" si="63"/>
        <v>0</v>
      </c>
      <c r="G1166" s="356">
        <f t="shared" si="61"/>
        <v>0</v>
      </c>
      <c r="H1166" s="559">
        <f t="shared" si="64"/>
        <v>0</v>
      </c>
    </row>
    <row r="1167" spans="5:8" s="559" customFormat="1" hidden="1" x14ac:dyDescent="0.25">
      <c r="E1167" s="757">
        <f t="shared" si="62"/>
        <v>42186</v>
      </c>
      <c r="F1167" s="356">
        <f t="shared" si="63"/>
        <v>0</v>
      </c>
      <c r="G1167" s="356">
        <f t="shared" si="61"/>
        <v>0</v>
      </c>
      <c r="H1167" s="559">
        <f t="shared" si="64"/>
        <v>0</v>
      </c>
    </row>
    <row r="1168" spans="5:8" s="559" customFormat="1" hidden="1" x14ac:dyDescent="0.25">
      <c r="E1168" s="757">
        <f t="shared" si="62"/>
        <v>42186</v>
      </c>
      <c r="F1168" s="356">
        <f t="shared" si="63"/>
        <v>0</v>
      </c>
      <c r="G1168" s="356">
        <f t="shared" si="61"/>
        <v>0</v>
      </c>
      <c r="H1168" s="559">
        <f t="shared" si="64"/>
        <v>0</v>
      </c>
    </row>
    <row r="1169" spans="5:8" s="559" customFormat="1" hidden="1" x14ac:dyDescent="0.25">
      <c r="E1169" s="757">
        <f t="shared" si="62"/>
        <v>42186</v>
      </c>
      <c r="F1169" s="356">
        <f t="shared" si="63"/>
        <v>0</v>
      </c>
      <c r="G1169" s="356">
        <f t="shared" si="61"/>
        <v>0</v>
      </c>
      <c r="H1169" s="559">
        <f t="shared" si="64"/>
        <v>0</v>
      </c>
    </row>
    <row r="1170" spans="5:8" s="559" customFormat="1" hidden="1" x14ac:dyDescent="0.25">
      <c r="E1170" s="757">
        <f t="shared" si="62"/>
        <v>42186</v>
      </c>
      <c r="F1170" s="356">
        <f t="shared" si="63"/>
        <v>0</v>
      </c>
      <c r="G1170" s="356">
        <f t="shared" si="61"/>
        <v>0</v>
      </c>
      <c r="H1170" s="559">
        <f t="shared" si="64"/>
        <v>0</v>
      </c>
    </row>
    <row r="1171" spans="5:8" s="559" customFormat="1" hidden="1" x14ac:dyDescent="0.25">
      <c r="E1171" s="757">
        <f t="shared" si="62"/>
        <v>42186</v>
      </c>
      <c r="F1171" s="356">
        <f t="shared" si="63"/>
        <v>0</v>
      </c>
      <c r="G1171" s="356">
        <f t="shared" si="61"/>
        <v>0</v>
      </c>
      <c r="H1171" s="559">
        <f t="shared" si="64"/>
        <v>0</v>
      </c>
    </row>
    <row r="1172" spans="5:8" s="559" customFormat="1" hidden="1" x14ac:dyDescent="0.25">
      <c r="E1172" s="757">
        <f t="shared" si="62"/>
        <v>42186</v>
      </c>
      <c r="F1172" s="356">
        <f t="shared" si="63"/>
        <v>0</v>
      </c>
      <c r="G1172" s="356">
        <f t="shared" si="61"/>
        <v>0</v>
      </c>
      <c r="H1172" s="559">
        <f t="shared" si="64"/>
        <v>0</v>
      </c>
    </row>
    <row r="1173" spans="5:8" s="559" customFormat="1" hidden="1" x14ac:dyDescent="0.25">
      <c r="E1173" s="757">
        <f t="shared" si="62"/>
        <v>42186</v>
      </c>
      <c r="F1173" s="356">
        <f t="shared" si="63"/>
        <v>0</v>
      </c>
      <c r="G1173" s="356">
        <f t="shared" si="61"/>
        <v>0</v>
      </c>
      <c r="H1173" s="559">
        <f t="shared" si="64"/>
        <v>0</v>
      </c>
    </row>
    <row r="1174" spans="5:8" s="559" customFormat="1" hidden="1" x14ac:dyDescent="0.25">
      <c r="E1174" s="757">
        <f t="shared" si="62"/>
        <v>42186</v>
      </c>
      <c r="F1174" s="356">
        <f t="shared" si="63"/>
        <v>0</v>
      </c>
      <c r="G1174" s="356">
        <f t="shared" si="61"/>
        <v>0</v>
      </c>
      <c r="H1174" s="559">
        <f t="shared" si="64"/>
        <v>0</v>
      </c>
    </row>
    <row r="1175" spans="5:8" s="559" customFormat="1" hidden="1" x14ac:dyDescent="0.25">
      <c r="E1175" s="757">
        <f t="shared" si="62"/>
        <v>42186</v>
      </c>
      <c r="F1175" s="356">
        <f t="shared" si="63"/>
        <v>0</v>
      </c>
      <c r="G1175" s="356">
        <f t="shared" si="61"/>
        <v>0</v>
      </c>
      <c r="H1175" s="559">
        <f t="shared" si="64"/>
        <v>0</v>
      </c>
    </row>
    <row r="1176" spans="5:8" s="559" customFormat="1" hidden="1" x14ac:dyDescent="0.25">
      <c r="E1176" s="757">
        <f t="shared" si="62"/>
        <v>42186</v>
      </c>
      <c r="F1176" s="356">
        <f t="shared" si="63"/>
        <v>0</v>
      </c>
      <c r="G1176" s="356">
        <f t="shared" si="61"/>
        <v>0</v>
      </c>
      <c r="H1176" s="559">
        <f t="shared" si="64"/>
        <v>0</v>
      </c>
    </row>
    <row r="1177" spans="5:8" s="559" customFormat="1" hidden="1" x14ac:dyDescent="0.25">
      <c r="E1177" s="757">
        <f t="shared" si="62"/>
        <v>42186</v>
      </c>
      <c r="F1177" s="356">
        <f t="shared" si="63"/>
        <v>0</v>
      </c>
      <c r="G1177" s="356">
        <f t="shared" si="61"/>
        <v>0</v>
      </c>
      <c r="H1177" s="559">
        <f t="shared" si="64"/>
        <v>0</v>
      </c>
    </row>
    <row r="1178" spans="5:8" s="559" customFormat="1" hidden="1" x14ac:dyDescent="0.25">
      <c r="E1178" s="757">
        <f t="shared" si="62"/>
        <v>42186</v>
      </c>
      <c r="F1178" s="356">
        <f t="shared" si="63"/>
        <v>0</v>
      </c>
      <c r="G1178" s="356">
        <f t="shared" si="61"/>
        <v>0</v>
      </c>
      <c r="H1178" s="559">
        <f t="shared" si="64"/>
        <v>0</v>
      </c>
    </row>
    <row r="1179" spans="5:8" s="559" customFormat="1" hidden="1" x14ac:dyDescent="0.25">
      <c r="E1179" s="757">
        <f t="shared" si="62"/>
        <v>42186</v>
      </c>
      <c r="F1179" s="356">
        <f t="shared" si="63"/>
        <v>0</v>
      </c>
      <c r="G1179" s="356">
        <f t="shared" ref="G1179:G1242" si="65">ROUND(F1179,-2)</f>
        <v>0</v>
      </c>
      <c r="H1179" s="559">
        <f t="shared" si="64"/>
        <v>0</v>
      </c>
    </row>
    <row r="1180" spans="5:8" s="559" customFormat="1" hidden="1" x14ac:dyDescent="0.25">
      <c r="E1180" s="757">
        <f t="shared" ref="E1180:E1243" si="66">IF(E1179&lt;$C$156,E1179+1,$C$156)</f>
        <v>42186</v>
      </c>
      <c r="F1180" s="356">
        <f t="shared" ref="F1180:F1243" si="67">IF(E1179&lt;$C$156,F1179+C$158,F1179)</f>
        <v>0</v>
      </c>
      <c r="G1180" s="356">
        <f t="shared" si="65"/>
        <v>0</v>
      </c>
      <c r="H1180" s="559">
        <f t="shared" ref="H1180:H1243" si="68">IF(F1180&gt;F1179,(VLOOKUP(G1180,$K$154:$O$160,MATCH($C$159,$K$154:$O$154,0),0)),0)</f>
        <v>0</v>
      </c>
    </row>
    <row r="1181" spans="5:8" s="559" customFormat="1" hidden="1" x14ac:dyDescent="0.25">
      <c r="E1181" s="757">
        <f t="shared" si="66"/>
        <v>42186</v>
      </c>
      <c r="F1181" s="356">
        <f t="shared" si="67"/>
        <v>0</v>
      </c>
      <c r="G1181" s="356">
        <f t="shared" si="65"/>
        <v>0</v>
      </c>
      <c r="H1181" s="559">
        <f t="shared" si="68"/>
        <v>0</v>
      </c>
    </row>
    <row r="1182" spans="5:8" s="559" customFormat="1" hidden="1" x14ac:dyDescent="0.25">
      <c r="E1182" s="757">
        <f t="shared" si="66"/>
        <v>42186</v>
      </c>
      <c r="F1182" s="356">
        <f t="shared" si="67"/>
        <v>0</v>
      </c>
      <c r="G1182" s="356">
        <f t="shared" si="65"/>
        <v>0</v>
      </c>
      <c r="H1182" s="559">
        <f t="shared" si="68"/>
        <v>0</v>
      </c>
    </row>
    <row r="1183" spans="5:8" s="559" customFormat="1" hidden="1" x14ac:dyDescent="0.25">
      <c r="E1183" s="757">
        <f t="shared" si="66"/>
        <v>42186</v>
      </c>
      <c r="F1183" s="356">
        <f t="shared" si="67"/>
        <v>0</v>
      </c>
      <c r="G1183" s="356">
        <f t="shared" si="65"/>
        <v>0</v>
      </c>
      <c r="H1183" s="559">
        <f t="shared" si="68"/>
        <v>0</v>
      </c>
    </row>
    <row r="1184" spans="5:8" s="559" customFormat="1" hidden="1" x14ac:dyDescent="0.25">
      <c r="E1184" s="757">
        <f t="shared" si="66"/>
        <v>42186</v>
      </c>
      <c r="F1184" s="356">
        <f t="shared" si="67"/>
        <v>0</v>
      </c>
      <c r="G1184" s="356">
        <f t="shared" si="65"/>
        <v>0</v>
      </c>
      <c r="H1184" s="559">
        <f t="shared" si="68"/>
        <v>0</v>
      </c>
    </row>
    <row r="1185" spans="5:8" s="559" customFormat="1" hidden="1" x14ac:dyDescent="0.25">
      <c r="E1185" s="757">
        <f t="shared" si="66"/>
        <v>42186</v>
      </c>
      <c r="F1185" s="356">
        <f t="shared" si="67"/>
        <v>0</v>
      </c>
      <c r="G1185" s="356">
        <f t="shared" si="65"/>
        <v>0</v>
      </c>
      <c r="H1185" s="559">
        <f t="shared" si="68"/>
        <v>0</v>
      </c>
    </row>
    <row r="1186" spans="5:8" s="559" customFormat="1" hidden="1" x14ac:dyDescent="0.25">
      <c r="E1186" s="757">
        <f t="shared" si="66"/>
        <v>42186</v>
      </c>
      <c r="F1186" s="356">
        <f t="shared" si="67"/>
        <v>0</v>
      </c>
      <c r="G1186" s="356">
        <f t="shared" si="65"/>
        <v>0</v>
      </c>
      <c r="H1186" s="559">
        <f t="shared" si="68"/>
        <v>0</v>
      </c>
    </row>
    <row r="1187" spans="5:8" s="559" customFormat="1" hidden="1" x14ac:dyDescent="0.25">
      <c r="E1187" s="757">
        <f t="shared" si="66"/>
        <v>42186</v>
      </c>
      <c r="F1187" s="356">
        <f t="shared" si="67"/>
        <v>0</v>
      </c>
      <c r="G1187" s="356">
        <f t="shared" si="65"/>
        <v>0</v>
      </c>
      <c r="H1187" s="559">
        <f t="shared" si="68"/>
        <v>0</v>
      </c>
    </row>
    <row r="1188" spans="5:8" s="559" customFormat="1" hidden="1" x14ac:dyDescent="0.25">
      <c r="E1188" s="757">
        <f t="shared" si="66"/>
        <v>42186</v>
      </c>
      <c r="F1188" s="356">
        <f t="shared" si="67"/>
        <v>0</v>
      </c>
      <c r="G1188" s="356">
        <f t="shared" si="65"/>
        <v>0</v>
      </c>
      <c r="H1188" s="559">
        <f t="shared" si="68"/>
        <v>0</v>
      </c>
    </row>
    <row r="1189" spans="5:8" s="559" customFormat="1" hidden="1" x14ac:dyDescent="0.25">
      <c r="E1189" s="757">
        <f t="shared" si="66"/>
        <v>42186</v>
      </c>
      <c r="F1189" s="356">
        <f t="shared" si="67"/>
        <v>0</v>
      </c>
      <c r="G1189" s="356">
        <f t="shared" si="65"/>
        <v>0</v>
      </c>
      <c r="H1189" s="559">
        <f t="shared" si="68"/>
        <v>0</v>
      </c>
    </row>
    <row r="1190" spans="5:8" s="559" customFormat="1" hidden="1" x14ac:dyDescent="0.25">
      <c r="E1190" s="757">
        <f t="shared" si="66"/>
        <v>42186</v>
      </c>
      <c r="F1190" s="356">
        <f t="shared" si="67"/>
        <v>0</v>
      </c>
      <c r="G1190" s="356">
        <f t="shared" si="65"/>
        <v>0</v>
      </c>
      <c r="H1190" s="559">
        <f t="shared" si="68"/>
        <v>0</v>
      </c>
    </row>
    <row r="1191" spans="5:8" s="559" customFormat="1" hidden="1" x14ac:dyDescent="0.25">
      <c r="E1191" s="757">
        <f t="shared" si="66"/>
        <v>42186</v>
      </c>
      <c r="F1191" s="356">
        <f t="shared" si="67"/>
        <v>0</v>
      </c>
      <c r="G1191" s="356">
        <f t="shared" si="65"/>
        <v>0</v>
      </c>
      <c r="H1191" s="559">
        <f t="shared" si="68"/>
        <v>0</v>
      </c>
    </row>
    <row r="1192" spans="5:8" s="559" customFormat="1" hidden="1" x14ac:dyDescent="0.25">
      <c r="E1192" s="757">
        <f t="shared" si="66"/>
        <v>42186</v>
      </c>
      <c r="F1192" s="356">
        <f t="shared" si="67"/>
        <v>0</v>
      </c>
      <c r="G1192" s="356">
        <f t="shared" si="65"/>
        <v>0</v>
      </c>
      <c r="H1192" s="559">
        <f t="shared" si="68"/>
        <v>0</v>
      </c>
    </row>
    <row r="1193" spans="5:8" s="559" customFormat="1" hidden="1" x14ac:dyDescent="0.25">
      <c r="E1193" s="757">
        <f t="shared" si="66"/>
        <v>42186</v>
      </c>
      <c r="F1193" s="356">
        <f t="shared" si="67"/>
        <v>0</v>
      </c>
      <c r="G1193" s="356">
        <f t="shared" si="65"/>
        <v>0</v>
      </c>
      <c r="H1193" s="559">
        <f t="shared" si="68"/>
        <v>0</v>
      </c>
    </row>
    <row r="1194" spans="5:8" s="559" customFormat="1" hidden="1" x14ac:dyDescent="0.25">
      <c r="E1194" s="757">
        <f t="shared" si="66"/>
        <v>42186</v>
      </c>
      <c r="F1194" s="356">
        <f t="shared" si="67"/>
        <v>0</v>
      </c>
      <c r="G1194" s="356">
        <f t="shared" si="65"/>
        <v>0</v>
      </c>
      <c r="H1194" s="559">
        <f t="shared" si="68"/>
        <v>0</v>
      </c>
    </row>
    <row r="1195" spans="5:8" s="559" customFormat="1" hidden="1" x14ac:dyDescent="0.25">
      <c r="E1195" s="757">
        <f t="shared" si="66"/>
        <v>42186</v>
      </c>
      <c r="F1195" s="356">
        <f t="shared" si="67"/>
        <v>0</v>
      </c>
      <c r="G1195" s="356">
        <f t="shared" si="65"/>
        <v>0</v>
      </c>
      <c r="H1195" s="559">
        <f t="shared" si="68"/>
        <v>0</v>
      </c>
    </row>
    <row r="1196" spans="5:8" s="559" customFormat="1" hidden="1" x14ac:dyDescent="0.25">
      <c r="E1196" s="757">
        <f t="shared" si="66"/>
        <v>42186</v>
      </c>
      <c r="F1196" s="356">
        <f t="shared" si="67"/>
        <v>0</v>
      </c>
      <c r="G1196" s="356">
        <f t="shared" si="65"/>
        <v>0</v>
      </c>
      <c r="H1196" s="559">
        <f t="shared" si="68"/>
        <v>0</v>
      </c>
    </row>
    <row r="1197" spans="5:8" s="559" customFormat="1" hidden="1" x14ac:dyDescent="0.25">
      <c r="E1197" s="757">
        <f t="shared" si="66"/>
        <v>42186</v>
      </c>
      <c r="F1197" s="356">
        <f t="shared" si="67"/>
        <v>0</v>
      </c>
      <c r="G1197" s="356">
        <f t="shared" si="65"/>
        <v>0</v>
      </c>
      <c r="H1197" s="559">
        <f t="shared" si="68"/>
        <v>0</v>
      </c>
    </row>
    <row r="1198" spans="5:8" s="559" customFormat="1" hidden="1" x14ac:dyDescent="0.25">
      <c r="E1198" s="757">
        <f t="shared" si="66"/>
        <v>42186</v>
      </c>
      <c r="F1198" s="356">
        <f t="shared" si="67"/>
        <v>0</v>
      </c>
      <c r="G1198" s="356">
        <f t="shared" si="65"/>
        <v>0</v>
      </c>
      <c r="H1198" s="559">
        <f t="shared" si="68"/>
        <v>0</v>
      </c>
    </row>
    <row r="1199" spans="5:8" s="559" customFormat="1" hidden="1" x14ac:dyDescent="0.25">
      <c r="E1199" s="757">
        <f t="shared" si="66"/>
        <v>42186</v>
      </c>
      <c r="F1199" s="356">
        <f t="shared" si="67"/>
        <v>0</v>
      </c>
      <c r="G1199" s="356">
        <f t="shared" si="65"/>
        <v>0</v>
      </c>
      <c r="H1199" s="559">
        <f t="shared" si="68"/>
        <v>0</v>
      </c>
    </row>
    <row r="1200" spans="5:8" s="559" customFormat="1" hidden="1" x14ac:dyDescent="0.25">
      <c r="E1200" s="757">
        <f t="shared" si="66"/>
        <v>42186</v>
      </c>
      <c r="F1200" s="356">
        <f t="shared" si="67"/>
        <v>0</v>
      </c>
      <c r="G1200" s="356">
        <f t="shared" si="65"/>
        <v>0</v>
      </c>
      <c r="H1200" s="559">
        <f t="shared" si="68"/>
        <v>0</v>
      </c>
    </row>
    <row r="1201" spans="5:8" s="559" customFormat="1" hidden="1" x14ac:dyDescent="0.25">
      <c r="E1201" s="757">
        <f t="shared" si="66"/>
        <v>42186</v>
      </c>
      <c r="F1201" s="356">
        <f t="shared" si="67"/>
        <v>0</v>
      </c>
      <c r="G1201" s="356">
        <f t="shared" si="65"/>
        <v>0</v>
      </c>
      <c r="H1201" s="559">
        <f t="shared" si="68"/>
        <v>0</v>
      </c>
    </row>
    <row r="1202" spans="5:8" s="559" customFormat="1" hidden="1" x14ac:dyDescent="0.25">
      <c r="E1202" s="757">
        <f t="shared" si="66"/>
        <v>42186</v>
      </c>
      <c r="F1202" s="356">
        <f t="shared" si="67"/>
        <v>0</v>
      </c>
      <c r="G1202" s="356">
        <f t="shared" si="65"/>
        <v>0</v>
      </c>
      <c r="H1202" s="559">
        <f t="shared" si="68"/>
        <v>0</v>
      </c>
    </row>
    <row r="1203" spans="5:8" s="559" customFormat="1" hidden="1" x14ac:dyDescent="0.25">
      <c r="E1203" s="757">
        <f t="shared" si="66"/>
        <v>42186</v>
      </c>
      <c r="F1203" s="356">
        <f t="shared" si="67"/>
        <v>0</v>
      </c>
      <c r="G1203" s="356">
        <f t="shared" si="65"/>
        <v>0</v>
      </c>
      <c r="H1203" s="559">
        <f t="shared" si="68"/>
        <v>0</v>
      </c>
    </row>
    <row r="1204" spans="5:8" s="559" customFormat="1" hidden="1" x14ac:dyDescent="0.25">
      <c r="E1204" s="757">
        <f t="shared" si="66"/>
        <v>42186</v>
      </c>
      <c r="F1204" s="356">
        <f t="shared" si="67"/>
        <v>0</v>
      </c>
      <c r="G1204" s="356">
        <f t="shared" si="65"/>
        <v>0</v>
      </c>
      <c r="H1204" s="559">
        <f t="shared" si="68"/>
        <v>0</v>
      </c>
    </row>
    <row r="1205" spans="5:8" s="559" customFormat="1" hidden="1" x14ac:dyDescent="0.25">
      <c r="E1205" s="757">
        <f t="shared" si="66"/>
        <v>42186</v>
      </c>
      <c r="F1205" s="356">
        <f t="shared" si="67"/>
        <v>0</v>
      </c>
      <c r="G1205" s="356">
        <f t="shared" si="65"/>
        <v>0</v>
      </c>
      <c r="H1205" s="559">
        <f t="shared" si="68"/>
        <v>0</v>
      </c>
    </row>
    <row r="1206" spans="5:8" s="559" customFormat="1" hidden="1" x14ac:dyDescent="0.25">
      <c r="E1206" s="757">
        <f t="shared" si="66"/>
        <v>42186</v>
      </c>
      <c r="F1206" s="356">
        <f t="shared" si="67"/>
        <v>0</v>
      </c>
      <c r="G1206" s="356">
        <f t="shared" si="65"/>
        <v>0</v>
      </c>
      <c r="H1206" s="559">
        <f t="shared" si="68"/>
        <v>0</v>
      </c>
    </row>
    <row r="1207" spans="5:8" s="559" customFormat="1" hidden="1" x14ac:dyDescent="0.25">
      <c r="E1207" s="757">
        <f t="shared" si="66"/>
        <v>42186</v>
      </c>
      <c r="F1207" s="356">
        <f t="shared" si="67"/>
        <v>0</v>
      </c>
      <c r="G1207" s="356">
        <f t="shared" si="65"/>
        <v>0</v>
      </c>
      <c r="H1207" s="559">
        <f t="shared" si="68"/>
        <v>0</v>
      </c>
    </row>
    <row r="1208" spans="5:8" s="559" customFormat="1" hidden="1" x14ac:dyDescent="0.25">
      <c r="E1208" s="757">
        <f t="shared" si="66"/>
        <v>42186</v>
      </c>
      <c r="F1208" s="356">
        <f t="shared" si="67"/>
        <v>0</v>
      </c>
      <c r="G1208" s="356">
        <f t="shared" si="65"/>
        <v>0</v>
      </c>
      <c r="H1208" s="559">
        <f t="shared" si="68"/>
        <v>0</v>
      </c>
    </row>
    <row r="1209" spans="5:8" s="559" customFormat="1" hidden="1" x14ac:dyDescent="0.25">
      <c r="E1209" s="757">
        <f t="shared" si="66"/>
        <v>42186</v>
      </c>
      <c r="F1209" s="356">
        <f t="shared" si="67"/>
        <v>0</v>
      </c>
      <c r="G1209" s="356">
        <f t="shared" si="65"/>
        <v>0</v>
      </c>
      <c r="H1209" s="559">
        <f t="shared" si="68"/>
        <v>0</v>
      </c>
    </row>
    <row r="1210" spans="5:8" s="559" customFormat="1" hidden="1" x14ac:dyDescent="0.25">
      <c r="E1210" s="757">
        <f t="shared" si="66"/>
        <v>42186</v>
      </c>
      <c r="F1210" s="356">
        <f t="shared" si="67"/>
        <v>0</v>
      </c>
      <c r="G1210" s="356">
        <f t="shared" si="65"/>
        <v>0</v>
      </c>
      <c r="H1210" s="559">
        <f t="shared" si="68"/>
        <v>0</v>
      </c>
    </row>
    <row r="1211" spans="5:8" s="559" customFormat="1" hidden="1" x14ac:dyDescent="0.25">
      <c r="E1211" s="757">
        <f t="shared" si="66"/>
        <v>42186</v>
      </c>
      <c r="F1211" s="356">
        <f t="shared" si="67"/>
        <v>0</v>
      </c>
      <c r="G1211" s="356">
        <f t="shared" si="65"/>
        <v>0</v>
      </c>
      <c r="H1211" s="559">
        <f t="shared" si="68"/>
        <v>0</v>
      </c>
    </row>
    <row r="1212" spans="5:8" s="559" customFormat="1" hidden="1" x14ac:dyDescent="0.25">
      <c r="E1212" s="757">
        <f t="shared" si="66"/>
        <v>42186</v>
      </c>
      <c r="F1212" s="356">
        <f t="shared" si="67"/>
        <v>0</v>
      </c>
      <c r="G1212" s="356">
        <f t="shared" si="65"/>
        <v>0</v>
      </c>
      <c r="H1212" s="559">
        <f t="shared" si="68"/>
        <v>0</v>
      </c>
    </row>
    <row r="1213" spans="5:8" s="559" customFormat="1" hidden="1" x14ac:dyDescent="0.25">
      <c r="E1213" s="757">
        <f t="shared" si="66"/>
        <v>42186</v>
      </c>
      <c r="F1213" s="356">
        <f t="shared" si="67"/>
        <v>0</v>
      </c>
      <c r="G1213" s="356">
        <f t="shared" si="65"/>
        <v>0</v>
      </c>
      <c r="H1213" s="559">
        <f t="shared" si="68"/>
        <v>0</v>
      </c>
    </row>
    <row r="1214" spans="5:8" s="559" customFormat="1" hidden="1" x14ac:dyDescent="0.25">
      <c r="E1214" s="757">
        <f t="shared" si="66"/>
        <v>42186</v>
      </c>
      <c r="F1214" s="356">
        <f t="shared" si="67"/>
        <v>0</v>
      </c>
      <c r="G1214" s="356">
        <f t="shared" si="65"/>
        <v>0</v>
      </c>
      <c r="H1214" s="559">
        <f t="shared" si="68"/>
        <v>0</v>
      </c>
    </row>
    <row r="1215" spans="5:8" s="559" customFormat="1" hidden="1" x14ac:dyDescent="0.25">
      <c r="E1215" s="757">
        <f t="shared" si="66"/>
        <v>42186</v>
      </c>
      <c r="F1215" s="356">
        <f t="shared" si="67"/>
        <v>0</v>
      </c>
      <c r="G1215" s="356">
        <f t="shared" si="65"/>
        <v>0</v>
      </c>
      <c r="H1215" s="559">
        <f t="shared" si="68"/>
        <v>0</v>
      </c>
    </row>
    <row r="1216" spans="5:8" s="559" customFormat="1" hidden="1" x14ac:dyDescent="0.25">
      <c r="E1216" s="757">
        <f t="shared" si="66"/>
        <v>42186</v>
      </c>
      <c r="F1216" s="356">
        <f t="shared" si="67"/>
        <v>0</v>
      </c>
      <c r="G1216" s="356">
        <f t="shared" si="65"/>
        <v>0</v>
      </c>
      <c r="H1216" s="559">
        <f t="shared" si="68"/>
        <v>0</v>
      </c>
    </row>
    <row r="1217" spans="5:8" s="559" customFormat="1" hidden="1" x14ac:dyDescent="0.25">
      <c r="E1217" s="757">
        <f t="shared" si="66"/>
        <v>42186</v>
      </c>
      <c r="F1217" s="356">
        <f t="shared" si="67"/>
        <v>0</v>
      </c>
      <c r="G1217" s="356">
        <f t="shared" si="65"/>
        <v>0</v>
      </c>
      <c r="H1217" s="559">
        <f t="shared" si="68"/>
        <v>0</v>
      </c>
    </row>
    <row r="1218" spans="5:8" s="559" customFormat="1" hidden="1" x14ac:dyDescent="0.25">
      <c r="E1218" s="757">
        <f t="shared" si="66"/>
        <v>42186</v>
      </c>
      <c r="F1218" s="356">
        <f t="shared" si="67"/>
        <v>0</v>
      </c>
      <c r="G1218" s="356">
        <f t="shared" si="65"/>
        <v>0</v>
      </c>
      <c r="H1218" s="559">
        <f t="shared" si="68"/>
        <v>0</v>
      </c>
    </row>
    <row r="1219" spans="5:8" s="559" customFormat="1" hidden="1" x14ac:dyDescent="0.25">
      <c r="E1219" s="757">
        <f t="shared" si="66"/>
        <v>42186</v>
      </c>
      <c r="F1219" s="356">
        <f t="shared" si="67"/>
        <v>0</v>
      </c>
      <c r="G1219" s="356">
        <f t="shared" si="65"/>
        <v>0</v>
      </c>
      <c r="H1219" s="559">
        <f t="shared" si="68"/>
        <v>0</v>
      </c>
    </row>
    <row r="1220" spans="5:8" s="559" customFormat="1" hidden="1" x14ac:dyDescent="0.25">
      <c r="E1220" s="757">
        <f t="shared" si="66"/>
        <v>42186</v>
      </c>
      <c r="F1220" s="356">
        <f t="shared" si="67"/>
        <v>0</v>
      </c>
      <c r="G1220" s="356">
        <f t="shared" si="65"/>
        <v>0</v>
      </c>
      <c r="H1220" s="559">
        <f t="shared" si="68"/>
        <v>0</v>
      </c>
    </row>
    <row r="1221" spans="5:8" s="559" customFormat="1" hidden="1" x14ac:dyDescent="0.25">
      <c r="E1221" s="757">
        <f t="shared" si="66"/>
        <v>42186</v>
      </c>
      <c r="F1221" s="356">
        <f t="shared" si="67"/>
        <v>0</v>
      </c>
      <c r="G1221" s="356">
        <f t="shared" si="65"/>
        <v>0</v>
      </c>
      <c r="H1221" s="559">
        <f t="shared" si="68"/>
        <v>0</v>
      </c>
    </row>
    <row r="1222" spans="5:8" s="559" customFormat="1" hidden="1" x14ac:dyDescent="0.25">
      <c r="E1222" s="757">
        <f t="shared" si="66"/>
        <v>42186</v>
      </c>
      <c r="F1222" s="356">
        <f t="shared" si="67"/>
        <v>0</v>
      </c>
      <c r="G1222" s="356">
        <f t="shared" si="65"/>
        <v>0</v>
      </c>
      <c r="H1222" s="559">
        <f t="shared" si="68"/>
        <v>0</v>
      </c>
    </row>
    <row r="1223" spans="5:8" s="559" customFormat="1" hidden="1" x14ac:dyDescent="0.25">
      <c r="E1223" s="757">
        <f t="shared" si="66"/>
        <v>42186</v>
      </c>
      <c r="F1223" s="356">
        <f t="shared" si="67"/>
        <v>0</v>
      </c>
      <c r="G1223" s="356">
        <f t="shared" si="65"/>
        <v>0</v>
      </c>
      <c r="H1223" s="559">
        <f t="shared" si="68"/>
        <v>0</v>
      </c>
    </row>
    <row r="1224" spans="5:8" s="559" customFormat="1" hidden="1" x14ac:dyDescent="0.25">
      <c r="E1224" s="757">
        <f t="shared" si="66"/>
        <v>42186</v>
      </c>
      <c r="F1224" s="356">
        <f t="shared" si="67"/>
        <v>0</v>
      </c>
      <c r="G1224" s="356">
        <f t="shared" si="65"/>
        <v>0</v>
      </c>
      <c r="H1224" s="559">
        <f t="shared" si="68"/>
        <v>0</v>
      </c>
    </row>
    <row r="1225" spans="5:8" s="559" customFormat="1" hidden="1" x14ac:dyDescent="0.25">
      <c r="E1225" s="757">
        <f t="shared" si="66"/>
        <v>42186</v>
      </c>
      <c r="F1225" s="356">
        <f t="shared" si="67"/>
        <v>0</v>
      </c>
      <c r="G1225" s="356">
        <f t="shared" si="65"/>
        <v>0</v>
      </c>
      <c r="H1225" s="559">
        <f t="shared" si="68"/>
        <v>0</v>
      </c>
    </row>
    <row r="1226" spans="5:8" s="559" customFormat="1" hidden="1" x14ac:dyDescent="0.25">
      <c r="E1226" s="757">
        <f t="shared" si="66"/>
        <v>42186</v>
      </c>
      <c r="F1226" s="356">
        <f t="shared" si="67"/>
        <v>0</v>
      </c>
      <c r="G1226" s="356">
        <f t="shared" si="65"/>
        <v>0</v>
      </c>
      <c r="H1226" s="559">
        <f t="shared" si="68"/>
        <v>0</v>
      </c>
    </row>
    <row r="1227" spans="5:8" s="559" customFormat="1" hidden="1" x14ac:dyDescent="0.25">
      <c r="E1227" s="757">
        <f t="shared" si="66"/>
        <v>42186</v>
      </c>
      <c r="F1227" s="356">
        <f t="shared" si="67"/>
        <v>0</v>
      </c>
      <c r="G1227" s="356">
        <f t="shared" si="65"/>
        <v>0</v>
      </c>
      <c r="H1227" s="559">
        <f t="shared" si="68"/>
        <v>0</v>
      </c>
    </row>
    <row r="1228" spans="5:8" s="559" customFormat="1" hidden="1" x14ac:dyDescent="0.25">
      <c r="E1228" s="757">
        <f t="shared" si="66"/>
        <v>42186</v>
      </c>
      <c r="F1228" s="356">
        <f t="shared" si="67"/>
        <v>0</v>
      </c>
      <c r="G1228" s="356">
        <f t="shared" si="65"/>
        <v>0</v>
      </c>
      <c r="H1228" s="559">
        <f t="shared" si="68"/>
        <v>0</v>
      </c>
    </row>
    <row r="1229" spans="5:8" s="559" customFormat="1" hidden="1" x14ac:dyDescent="0.25">
      <c r="E1229" s="757">
        <f t="shared" si="66"/>
        <v>42186</v>
      </c>
      <c r="F1229" s="356">
        <f t="shared" si="67"/>
        <v>0</v>
      </c>
      <c r="G1229" s="356">
        <f t="shared" si="65"/>
        <v>0</v>
      </c>
      <c r="H1229" s="559">
        <f t="shared" si="68"/>
        <v>0</v>
      </c>
    </row>
    <row r="1230" spans="5:8" s="559" customFormat="1" hidden="1" x14ac:dyDescent="0.25">
      <c r="E1230" s="757">
        <f t="shared" si="66"/>
        <v>42186</v>
      </c>
      <c r="F1230" s="356">
        <f t="shared" si="67"/>
        <v>0</v>
      </c>
      <c r="G1230" s="356">
        <f t="shared" si="65"/>
        <v>0</v>
      </c>
      <c r="H1230" s="559">
        <f t="shared" si="68"/>
        <v>0</v>
      </c>
    </row>
    <row r="1231" spans="5:8" s="559" customFormat="1" hidden="1" x14ac:dyDescent="0.25">
      <c r="E1231" s="757">
        <f t="shared" si="66"/>
        <v>42186</v>
      </c>
      <c r="F1231" s="356">
        <f t="shared" si="67"/>
        <v>0</v>
      </c>
      <c r="G1231" s="356">
        <f t="shared" si="65"/>
        <v>0</v>
      </c>
      <c r="H1231" s="559">
        <f t="shared" si="68"/>
        <v>0</v>
      </c>
    </row>
    <row r="1232" spans="5:8" s="559" customFormat="1" hidden="1" x14ac:dyDescent="0.25">
      <c r="E1232" s="757">
        <f t="shared" si="66"/>
        <v>42186</v>
      </c>
      <c r="F1232" s="356">
        <f t="shared" si="67"/>
        <v>0</v>
      </c>
      <c r="G1232" s="356">
        <f t="shared" si="65"/>
        <v>0</v>
      </c>
      <c r="H1232" s="559">
        <f t="shared" si="68"/>
        <v>0</v>
      </c>
    </row>
    <row r="1233" spans="5:8" s="559" customFormat="1" hidden="1" x14ac:dyDescent="0.25">
      <c r="E1233" s="757">
        <f t="shared" si="66"/>
        <v>42186</v>
      </c>
      <c r="F1233" s="356">
        <f t="shared" si="67"/>
        <v>0</v>
      </c>
      <c r="G1233" s="356">
        <f t="shared" si="65"/>
        <v>0</v>
      </c>
      <c r="H1233" s="559">
        <f t="shared" si="68"/>
        <v>0</v>
      </c>
    </row>
    <row r="1234" spans="5:8" s="559" customFormat="1" hidden="1" x14ac:dyDescent="0.25">
      <c r="E1234" s="757">
        <f t="shared" si="66"/>
        <v>42186</v>
      </c>
      <c r="F1234" s="356">
        <f t="shared" si="67"/>
        <v>0</v>
      </c>
      <c r="G1234" s="356">
        <f t="shared" si="65"/>
        <v>0</v>
      </c>
      <c r="H1234" s="559">
        <f t="shared" si="68"/>
        <v>0</v>
      </c>
    </row>
    <row r="1235" spans="5:8" s="559" customFormat="1" hidden="1" x14ac:dyDescent="0.25">
      <c r="E1235" s="757">
        <f t="shared" si="66"/>
        <v>42186</v>
      </c>
      <c r="F1235" s="356">
        <f t="shared" si="67"/>
        <v>0</v>
      </c>
      <c r="G1235" s="356">
        <f t="shared" si="65"/>
        <v>0</v>
      </c>
      <c r="H1235" s="559">
        <f t="shared" si="68"/>
        <v>0</v>
      </c>
    </row>
    <row r="1236" spans="5:8" s="559" customFormat="1" hidden="1" x14ac:dyDescent="0.25">
      <c r="E1236" s="757">
        <f t="shared" si="66"/>
        <v>42186</v>
      </c>
      <c r="F1236" s="356">
        <f t="shared" si="67"/>
        <v>0</v>
      </c>
      <c r="G1236" s="356">
        <f t="shared" si="65"/>
        <v>0</v>
      </c>
      <c r="H1236" s="559">
        <f t="shared" si="68"/>
        <v>0</v>
      </c>
    </row>
    <row r="1237" spans="5:8" s="559" customFormat="1" hidden="1" x14ac:dyDescent="0.25">
      <c r="E1237" s="757">
        <f t="shared" si="66"/>
        <v>42186</v>
      </c>
      <c r="F1237" s="356">
        <f t="shared" si="67"/>
        <v>0</v>
      </c>
      <c r="G1237" s="356">
        <f t="shared" si="65"/>
        <v>0</v>
      </c>
      <c r="H1237" s="559">
        <f t="shared" si="68"/>
        <v>0</v>
      </c>
    </row>
    <row r="1238" spans="5:8" s="559" customFormat="1" hidden="1" x14ac:dyDescent="0.25">
      <c r="E1238" s="757">
        <f t="shared" si="66"/>
        <v>42186</v>
      </c>
      <c r="F1238" s="356">
        <f t="shared" si="67"/>
        <v>0</v>
      </c>
      <c r="G1238" s="356">
        <f t="shared" si="65"/>
        <v>0</v>
      </c>
      <c r="H1238" s="559">
        <f t="shared" si="68"/>
        <v>0</v>
      </c>
    </row>
    <row r="1239" spans="5:8" s="559" customFormat="1" hidden="1" x14ac:dyDescent="0.25">
      <c r="E1239" s="757">
        <f t="shared" si="66"/>
        <v>42186</v>
      </c>
      <c r="F1239" s="356">
        <f t="shared" si="67"/>
        <v>0</v>
      </c>
      <c r="G1239" s="356">
        <f t="shared" si="65"/>
        <v>0</v>
      </c>
      <c r="H1239" s="559">
        <f t="shared" si="68"/>
        <v>0</v>
      </c>
    </row>
    <row r="1240" spans="5:8" s="559" customFormat="1" hidden="1" x14ac:dyDescent="0.25">
      <c r="E1240" s="757">
        <f t="shared" si="66"/>
        <v>42186</v>
      </c>
      <c r="F1240" s="356">
        <f t="shared" si="67"/>
        <v>0</v>
      </c>
      <c r="G1240" s="356">
        <f t="shared" si="65"/>
        <v>0</v>
      </c>
      <c r="H1240" s="559">
        <f t="shared" si="68"/>
        <v>0</v>
      </c>
    </row>
    <row r="1241" spans="5:8" s="559" customFormat="1" hidden="1" x14ac:dyDescent="0.25">
      <c r="E1241" s="757">
        <f t="shared" si="66"/>
        <v>42186</v>
      </c>
      <c r="F1241" s="356">
        <f t="shared" si="67"/>
        <v>0</v>
      </c>
      <c r="G1241" s="356">
        <f t="shared" si="65"/>
        <v>0</v>
      </c>
      <c r="H1241" s="559">
        <f t="shared" si="68"/>
        <v>0</v>
      </c>
    </row>
    <row r="1242" spans="5:8" s="559" customFormat="1" hidden="1" x14ac:dyDescent="0.25">
      <c r="E1242" s="757">
        <f t="shared" si="66"/>
        <v>42186</v>
      </c>
      <c r="F1242" s="356">
        <f t="shared" si="67"/>
        <v>0</v>
      </c>
      <c r="G1242" s="356">
        <f t="shared" si="65"/>
        <v>0</v>
      </c>
      <c r="H1242" s="559">
        <f t="shared" si="68"/>
        <v>0</v>
      </c>
    </row>
    <row r="1243" spans="5:8" s="559" customFormat="1" hidden="1" x14ac:dyDescent="0.25">
      <c r="E1243" s="757">
        <f t="shared" si="66"/>
        <v>42186</v>
      </c>
      <c r="F1243" s="356">
        <f t="shared" si="67"/>
        <v>0</v>
      </c>
      <c r="G1243" s="356">
        <f t="shared" ref="G1243:G1282" si="69">ROUND(F1243,-2)</f>
        <v>0</v>
      </c>
      <c r="H1243" s="559">
        <f t="shared" si="68"/>
        <v>0</v>
      </c>
    </row>
    <row r="1244" spans="5:8" s="559" customFormat="1" hidden="1" x14ac:dyDescent="0.25">
      <c r="E1244" s="757">
        <f t="shared" ref="E1244:E1283" si="70">IF(E1243&lt;$C$156,E1243+1,$C$156)</f>
        <v>42186</v>
      </c>
      <c r="F1244" s="356">
        <f t="shared" ref="F1244:F1282" si="71">IF(E1243&lt;$C$156,F1243+C$158,F1243)</f>
        <v>0</v>
      </c>
      <c r="G1244" s="356">
        <f t="shared" si="69"/>
        <v>0</v>
      </c>
      <c r="H1244" s="559">
        <f t="shared" ref="H1244:H1283" si="72">IF(F1244&gt;F1243,(VLOOKUP(G1244,$K$154:$O$160,MATCH($C$159,$K$154:$O$154,0),0)),0)</f>
        <v>0</v>
      </c>
    </row>
    <row r="1245" spans="5:8" s="559" customFormat="1" hidden="1" x14ac:dyDescent="0.25">
      <c r="E1245" s="757">
        <f t="shared" si="70"/>
        <v>42186</v>
      </c>
      <c r="F1245" s="356">
        <f t="shared" si="71"/>
        <v>0</v>
      </c>
      <c r="G1245" s="356">
        <f t="shared" si="69"/>
        <v>0</v>
      </c>
      <c r="H1245" s="559">
        <f t="shared" si="72"/>
        <v>0</v>
      </c>
    </row>
    <row r="1246" spans="5:8" s="559" customFormat="1" hidden="1" x14ac:dyDescent="0.25">
      <c r="E1246" s="757">
        <f t="shared" si="70"/>
        <v>42186</v>
      </c>
      <c r="F1246" s="356">
        <f t="shared" si="71"/>
        <v>0</v>
      </c>
      <c r="G1246" s="356">
        <f t="shared" si="69"/>
        <v>0</v>
      </c>
      <c r="H1246" s="559">
        <f t="shared" si="72"/>
        <v>0</v>
      </c>
    </row>
    <row r="1247" spans="5:8" s="559" customFormat="1" hidden="1" x14ac:dyDescent="0.25">
      <c r="E1247" s="757">
        <f t="shared" si="70"/>
        <v>42186</v>
      </c>
      <c r="F1247" s="356">
        <f t="shared" si="71"/>
        <v>0</v>
      </c>
      <c r="G1247" s="356">
        <f t="shared" si="69"/>
        <v>0</v>
      </c>
      <c r="H1247" s="559">
        <f t="shared" si="72"/>
        <v>0</v>
      </c>
    </row>
    <row r="1248" spans="5:8" s="559" customFormat="1" hidden="1" x14ac:dyDescent="0.25">
      <c r="E1248" s="757">
        <f t="shared" si="70"/>
        <v>42186</v>
      </c>
      <c r="F1248" s="356">
        <f t="shared" si="71"/>
        <v>0</v>
      </c>
      <c r="G1248" s="356">
        <f t="shared" si="69"/>
        <v>0</v>
      </c>
      <c r="H1248" s="559">
        <f t="shared" si="72"/>
        <v>0</v>
      </c>
    </row>
    <row r="1249" spans="5:8" s="559" customFormat="1" hidden="1" x14ac:dyDescent="0.25">
      <c r="E1249" s="757">
        <f t="shared" si="70"/>
        <v>42186</v>
      </c>
      <c r="F1249" s="356">
        <f t="shared" si="71"/>
        <v>0</v>
      </c>
      <c r="G1249" s="356">
        <f t="shared" si="69"/>
        <v>0</v>
      </c>
      <c r="H1249" s="559">
        <f t="shared" si="72"/>
        <v>0</v>
      </c>
    </row>
    <row r="1250" spans="5:8" s="559" customFormat="1" hidden="1" x14ac:dyDescent="0.25">
      <c r="E1250" s="757">
        <f t="shared" si="70"/>
        <v>42186</v>
      </c>
      <c r="F1250" s="356">
        <f t="shared" si="71"/>
        <v>0</v>
      </c>
      <c r="G1250" s="356">
        <f t="shared" si="69"/>
        <v>0</v>
      </c>
      <c r="H1250" s="559">
        <f t="shared" si="72"/>
        <v>0</v>
      </c>
    </row>
    <row r="1251" spans="5:8" s="559" customFormat="1" hidden="1" x14ac:dyDescent="0.25">
      <c r="E1251" s="757">
        <f t="shared" si="70"/>
        <v>42186</v>
      </c>
      <c r="F1251" s="356">
        <f t="shared" si="71"/>
        <v>0</v>
      </c>
      <c r="G1251" s="356">
        <f t="shared" si="69"/>
        <v>0</v>
      </c>
      <c r="H1251" s="559">
        <f t="shared" si="72"/>
        <v>0</v>
      </c>
    </row>
    <row r="1252" spans="5:8" s="559" customFormat="1" hidden="1" x14ac:dyDescent="0.25">
      <c r="E1252" s="757">
        <f t="shared" si="70"/>
        <v>42186</v>
      </c>
      <c r="F1252" s="356">
        <f t="shared" si="71"/>
        <v>0</v>
      </c>
      <c r="G1252" s="356">
        <f t="shared" si="69"/>
        <v>0</v>
      </c>
      <c r="H1252" s="559">
        <f t="shared" si="72"/>
        <v>0</v>
      </c>
    </row>
    <row r="1253" spans="5:8" s="559" customFormat="1" hidden="1" x14ac:dyDescent="0.25">
      <c r="E1253" s="757">
        <f t="shared" si="70"/>
        <v>42186</v>
      </c>
      <c r="F1253" s="356">
        <f t="shared" si="71"/>
        <v>0</v>
      </c>
      <c r="G1253" s="356">
        <f t="shared" si="69"/>
        <v>0</v>
      </c>
      <c r="H1253" s="559">
        <f t="shared" si="72"/>
        <v>0</v>
      </c>
    </row>
    <row r="1254" spans="5:8" s="559" customFormat="1" hidden="1" x14ac:dyDescent="0.25">
      <c r="E1254" s="757">
        <f t="shared" si="70"/>
        <v>42186</v>
      </c>
      <c r="F1254" s="356">
        <f t="shared" si="71"/>
        <v>0</v>
      </c>
      <c r="G1254" s="356">
        <f t="shared" si="69"/>
        <v>0</v>
      </c>
      <c r="H1254" s="559">
        <f t="shared" si="72"/>
        <v>0</v>
      </c>
    </row>
    <row r="1255" spans="5:8" s="559" customFormat="1" hidden="1" x14ac:dyDescent="0.25">
      <c r="E1255" s="757">
        <f t="shared" si="70"/>
        <v>42186</v>
      </c>
      <c r="F1255" s="356">
        <f t="shared" si="71"/>
        <v>0</v>
      </c>
      <c r="G1255" s="356">
        <f t="shared" si="69"/>
        <v>0</v>
      </c>
      <c r="H1255" s="559">
        <f t="shared" si="72"/>
        <v>0</v>
      </c>
    </row>
    <row r="1256" spans="5:8" s="559" customFormat="1" hidden="1" x14ac:dyDescent="0.25">
      <c r="E1256" s="757">
        <f t="shared" si="70"/>
        <v>42186</v>
      </c>
      <c r="F1256" s="356">
        <f t="shared" si="71"/>
        <v>0</v>
      </c>
      <c r="G1256" s="356">
        <f t="shared" si="69"/>
        <v>0</v>
      </c>
      <c r="H1256" s="559">
        <f t="shared" si="72"/>
        <v>0</v>
      </c>
    </row>
    <row r="1257" spans="5:8" s="559" customFormat="1" hidden="1" x14ac:dyDescent="0.25">
      <c r="E1257" s="757">
        <f t="shared" si="70"/>
        <v>42186</v>
      </c>
      <c r="F1257" s="356">
        <f t="shared" si="71"/>
        <v>0</v>
      </c>
      <c r="G1257" s="356">
        <f t="shared" si="69"/>
        <v>0</v>
      </c>
      <c r="H1257" s="559">
        <f t="shared" si="72"/>
        <v>0</v>
      </c>
    </row>
    <row r="1258" spans="5:8" s="559" customFormat="1" hidden="1" x14ac:dyDescent="0.25">
      <c r="E1258" s="757">
        <f t="shared" si="70"/>
        <v>42186</v>
      </c>
      <c r="F1258" s="356">
        <f t="shared" si="71"/>
        <v>0</v>
      </c>
      <c r="G1258" s="356">
        <f t="shared" si="69"/>
        <v>0</v>
      </c>
      <c r="H1258" s="559">
        <f t="shared" si="72"/>
        <v>0</v>
      </c>
    </row>
    <row r="1259" spans="5:8" s="559" customFormat="1" hidden="1" x14ac:dyDescent="0.25">
      <c r="E1259" s="757">
        <f t="shared" si="70"/>
        <v>42186</v>
      </c>
      <c r="F1259" s="356">
        <f t="shared" si="71"/>
        <v>0</v>
      </c>
      <c r="G1259" s="356">
        <f t="shared" si="69"/>
        <v>0</v>
      </c>
      <c r="H1259" s="559">
        <f t="shared" si="72"/>
        <v>0</v>
      </c>
    </row>
    <row r="1260" spans="5:8" s="559" customFormat="1" hidden="1" x14ac:dyDescent="0.25">
      <c r="E1260" s="757">
        <f t="shared" si="70"/>
        <v>42186</v>
      </c>
      <c r="F1260" s="356">
        <f t="shared" si="71"/>
        <v>0</v>
      </c>
      <c r="G1260" s="356">
        <f t="shared" si="69"/>
        <v>0</v>
      </c>
      <c r="H1260" s="559">
        <f t="shared" si="72"/>
        <v>0</v>
      </c>
    </row>
    <row r="1261" spans="5:8" s="559" customFormat="1" hidden="1" x14ac:dyDescent="0.25">
      <c r="E1261" s="757">
        <f t="shared" si="70"/>
        <v>42186</v>
      </c>
      <c r="F1261" s="356">
        <f t="shared" si="71"/>
        <v>0</v>
      </c>
      <c r="G1261" s="356">
        <f t="shared" si="69"/>
        <v>0</v>
      </c>
      <c r="H1261" s="559">
        <f t="shared" si="72"/>
        <v>0</v>
      </c>
    </row>
    <row r="1262" spans="5:8" s="559" customFormat="1" hidden="1" x14ac:dyDescent="0.25">
      <c r="E1262" s="757">
        <f t="shared" si="70"/>
        <v>42186</v>
      </c>
      <c r="F1262" s="356">
        <f t="shared" si="71"/>
        <v>0</v>
      </c>
      <c r="G1262" s="356">
        <f t="shared" si="69"/>
        <v>0</v>
      </c>
      <c r="H1262" s="559">
        <f t="shared" si="72"/>
        <v>0</v>
      </c>
    </row>
    <row r="1263" spans="5:8" s="559" customFormat="1" hidden="1" x14ac:dyDescent="0.25">
      <c r="E1263" s="757">
        <f t="shared" si="70"/>
        <v>42186</v>
      </c>
      <c r="F1263" s="356">
        <f t="shared" si="71"/>
        <v>0</v>
      </c>
      <c r="G1263" s="356">
        <f t="shared" si="69"/>
        <v>0</v>
      </c>
      <c r="H1263" s="559">
        <f t="shared" si="72"/>
        <v>0</v>
      </c>
    </row>
    <row r="1264" spans="5:8" s="559" customFormat="1" hidden="1" x14ac:dyDescent="0.25">
      <c r="E1264" s="757">
        <f t="shared" si="70"/>
        <v>42186</v>
      </c>
      <c r="F1264" s="356">
        <f t="shared" si="71"/>
        <v>0</v>
      </c>
      <c r="G1264" s="356">
        <f t="shared" si="69"/>
        <v>0</v>
      </c>
      <c r="H1264" s="559">
        <f t="shared" si="72"/>
        <v>0</v>
      </c>
    </row>
    <row r="1265" spans="5:8" s="559" customFormat="1" hidden="1" x14ac:dyDescent="0.25">
      <c r="E1265" s="757">
        <f t="shared" si="70"/>
        <v>42186</v>
      </c>
      <c r="F1265" s="356">
        <f t="shared" si="71"/>
        <v>0</v>
      </c>
      <c r="G1265" s="356">
        <f t="shared" si="69"/>
        <v>0</v>
      </c>
      <c r="H1265" s="559">
        <f t="shared" si="72"/>
        <v>0</v>
      </c>
    </row>
    <row r="1266" spans="5:8" s="559" customFormat="1" hidden="1" x14ac:dyDescent="0.25">
      <c r="E1266" s="757">
        <f t="shared" si="70"/>
        <v>42186</v>
      </c>
      <c r="F1266" s="356">
        <f t="shared" si="71"/>
        <v>0</v>
      </c>
      <c r="G1266" s="356">
        <f t="shared" si="69"/>
        <v>0</v>
      </c>
      <c r="H1266" s="559">
        <f t="shared" si="72"/>
        <v>0</v>
      </c>
    </row>
    <row r="1267" spans="5:8" s="559" customFormat="1" hidden="1" x14ac:dyDescent="0.25">
      <c r="E1267" s="757">
        <f t="shared" si="70"/>
        <v>42186</v>
      </c>
      <c r="F1267" s="356">
        <f t="shared" si="71"/>
        <v>0</v>
      </c>
      <c r="G1267" s="356">
        <f t="shared" si="69"/>
        <v>0</v>
      </c>
      <c r="H1267" s="559">
        <f t="shared" si="72"/>
        <v>0</v>
      </c>
    </row>
    <row r="1268" spans="5:8" s="559" customFormat="1" hidden="1" x14ac:dyDescent="0.25">
      <c r="E1268" s="757">
        <f t="shared" si="70"/>
        <v>42186</v>
      </c>
      <c r="F1268" s="356">
        <f t="shared" si="71"/>
        <v>0</v>
      </c>
      <c r="G1268" s="356">
        <f t="shared" si="69"/>
        <v>0</v>
      </c>
      <c r="H1268" s="559">
        <f t="shared" si="72"/>
        <v>0</v>
      </c>
    </row>
    <row r="1269" spans="5:8" s="559" customFormat="1" hidden="1" x14ac:dyDescent="0.25">
      <c r="E1269" s="757">
        <f t="shared" si="70"/>
        <v>42186</v>
      </c>
      <c r="F1269" s="356">
        <f t="shared" si="71"/>
        <v>0</v>
      </c>
      <c r="G1269" s="356">
        <f t="shared" si="69"/>
        <v>0</v>
      </c>
      <c r="H1269" s="559">
        <f t="shared" si="72"/>
        <v>0</v>
      </c>
    </row>
    <row r="1270" spans="5:8" s="559" customFormat="1" hidden="1" x14ac:dyDescent="0.25">
      <c r="E1270" s="757">
        <f t="shared" si="70"/>
        <v>42186</v>
      </c>
      <c r="F1270" s="356">
        <f t="shared" si="71"/>
        <v>0</v>
      </c>
      <c r="G1270" s="356">
        <f t="shared" si="69"/>
        <v>0</v>
      </c>
      <c r="H1270" s="559">
        <f t="shared" si="72"/>
        <v>0</v>
      </c>
    </row>
    <row r="1271" spans="5:8" s="559" customFormat="1" hidden="1" x14ac:dyDescent="0.25">
      <c r="E1271" s="757">
        <f t="shared" si="70"/>
        <v>42186</v>
      </c>
      <c r="F1271" s="356">
        <f t="shared" si="71"/>
        <v>0</v>
      </c>
      <c r="G1271" s="356">
        <f t="shared" si="69"/>
        <v>0</v>
      </c>
      <c r="H1271" s="559">
        <f t="shared" si="72"/>
        <v>0</v>
      </c>
    </row>
    <row r="1272" spans="5:8" s="559" customFormat="1" hidden="1" x14ac:dyDescent="0.25">
      <c r="E1272" s="757">
        <f t="shared" si="70"/>
        <v>42186</v>
      </c>
      <c r="F1272" s="356">
        <f t="shared" si="71"/>
        <v>0</v>
      </c>
      <c r="G1272" s="356">
        <f t="shared" si="69"/>
        <v>0</v>
      </c>
      <c r="H1272" s="559">
        <f t="shared" si="72"/>
        <v>0</v>
      </c>
    </row>
    <row r="1273" spans="5:8" s="559" customFormat="1" hidden="1" x14ac:dyDescent="0.25">
      <c r="E1273" s="757">
        <f t="shared" si="70"/>
        <v>42186</v>
      </c>
      <c r="F1273" s="356">
        <f t="shared" si="71"/>
        <v>0</v>
      </c>
      <c r="G1273" s="356">
        <f t="shared" si="69"/>
        <v>0</v>
      </c>
      <c r="H1273" s="559">
        <f t="shared" si="72"/>
        <v>0</v>
      </c>
    </row>
    <row r="1274" spans="5:8" s="559" customFormat="1" hidden="1" x14ac:dyDescent="0.25">
      <c r="E1274" s="757">
        <f t="shared" si="70"/>
        <v>42186</v>
      </c>
      <c r="F1274" s="356">
        <f t="shared" si="71"/>
        <v>0</v>
      </c>
      <c r="G1274" s="356">
        <f t="shared" si="69"/>
        <v>0</v>
      </c>
      <c r="H1274" s="559">
        <f t="shared" si="72"/>
        <v>0</v>
      </c>
    </row>
    <row r="1275" spans="5:8" s="559" customFormat="1" hidden="1" x14ac:dyDescent="0.25">
      <c r="E1275" s="757">
        <f t="shared" si="70"/>
        <v>42186</v>
      </c>
      <c r="F1275" s="356">
        <f t="shared" si="71"/>
        <v>0</v>
      </c>
      <c r="G1275" s="356">
        <f t="shared" si="69"/>
        <v>0</v>
      </c>
      <c r="H1275" s="559">
        <f t="shared" si="72"/>
        <v>0</v>
      </c>
    </row>
    <row r="1276" spans="5:8" s="559" customFormat="1" hidden="1" x14ac:dyDescent="0.25">
      <c r="E1276" s="757">
        <f t="shared" si="70"/>
        <v>42186</v>
      </c>
      <c r="F1276" s="356">
        <f t="shared" si="71"/>
        <v>0</v>
      </c>
      <c r="G1276" s="356">
        <f t="shared" si="69"/>
        <v>0</v>
      </c>
      <c r="H1276" s="559">
        <f t="shared" si="72"/>
        <v>0</v>
      </c>
    </row>
    <row r="1277" spans="5:8" s="559" customFormat="1" hidden="1" x14ac:dyDescent="0.25">
      <c r="E1277" s="757">
        <f t="shared" si="70"/>
        <v>42186</v>
      </c>
      <c r="F1277" s="356">
        <f t="shared" si="71"/>
        <v>0</v>
      </c>
      <c r="G1277" s="356">
        <f t="shared" si="69"/>
        <v>0</v>
      </c>
      <c r="H1277" s="559">
        <f t="shared" si="72"/>
        <v>0</v>
      </c>
    </row>
    <row r="1278" spans="5:8" s="559" customFormat="1" hidden="1" x14ac:dyDescent="0.25">
      <c r="E1278" s="757">
        <f t="shared" si="70"/>
        <v>42186</v>
      </c>
      <c r="F1278" s="356">
        <f t="shared" si="71"/>
        <v>0</v>
      </c>
      <c r="G1278" s="356">
        <f t="shared" si="69"/>
        <v>0</v>
      </c>
      <c r="H1278" s="559">
        <f t="shared" si="72"/>
        <v>0</v>
      </c>
    </row>
    <row r="1279" spans="5:8" s="559" customFormat="1" hidden="1" x14ac:dyDescent="0.25">
      <c r="E1279" s="757">
        <f t="shared" si="70"/>
        <v>42186</v>
      </c>
      <c r="F1279" s="356">
        <f t="shared" si="71"/>
        <v>0</v>
      </c>
      <c r="G1279" s="356">
        <f t="shared" si="69"/>
        <v>0</v>
      </c>
      <c r="H1279" s="559">
        <f t="shared" si="72"/>
        <v>0</v>
      </c>
    </row>
    <row r="1280" spans="5:8" s="559" customFormat="1" hidden="1" x14ac:dyDescent="0.25">
      <c r="E1280" s="757">
        <f t="shared" si="70"/>
        <v>42186</v>
      </c>
      <c r="F1280" s="356">
        <f t="shared" si="71"/>
        <v>0</v>
      </c>
      <c r="G1280" s="356">
        <f t="shared" si="69"/>
        <v>0</v>
      </c>
      <c r="H1280" s="559">
        <f t="shared" si="72"/>
        <v>0</v>
      </c>
    </row>
    <row r="1281" spans="5:8" s="559" customFormat="1" hidden="1" x14ac:dyDescent="0.25">
      <c r="E1281" s="757">
        <f t="shared" si="70"/>
        <v>42186</v>
      </c>
      <c r="F1281" s="356">
        <f t="shared" si="71"/>
        <v>0</v>
      </c>
      <c r="G1281" s="356">
        <f t="shared" si="69"/>
        <v>0</v>
      </c>
      <c r="H1281" s="559">
        <f t="shared" si="72"/>
        <v>0</v>
      </c>
    </row>
    <row r="1282" spans="5:8" s="559" customFormat="1" hidden="1" x14ac:dyDescent="0.25">
      <c r="E1282" s="757">
        <f t="shared" si="70"/>
        <v>42186</v>
      </c>
      <c r="F1282" s="356">
        <f t="shared" si="71"/>
        <v>0</v>
      </c>
      <c r="G1282" s="356">
        <f t="shared" si="69"/>
        <v>0</v>
      </c>
      <c r="H1282" s="559">
        <f t="shared" si="72"/>
        <v>0</v>
      </c>
    </row>
    <row r="1283" spans="5:8" s="559" customFormat="1" hidden="1" x14ac:dyDescent="0.25">
      <c r="E1283" s="757">
        <f t="shared" si="70"/>
        <v>42186</v>
      </c>
      <c r="H1283" s="559">
        <f t="shared" si="72"/>
        <v>0</v>
      </c>
    </row>
    <row r="1284" spans="5:8" s="559" customFormat="1" hidden="1" x14ac:dyDescent="0.25">
      <c r="E1284" s="559" t="s">
        <v>531</v>
      </c>
      <c r="H1284" s="559" t="e">
        <f>SUM(H154:H1283)</f>
        <v>#N/A</v>
      </c>
    </row>
    <row r="1285" spans="5:8" s="559" customFormat="1" hidden="1" x14ac:dyDescent="0.25"/>
    <row r="1286" spans="5:8" s="559" customFormat="1" hidden="1" x14ac:dyDescent="0.25"/>
    <row r="1287" spans="5:8" s="559" customFormat="1" x14ac:dyDescent="0.25"/>
    <row r="1288" spans="5:8" s="559" customFormat="1" x14ac:dyDescent="0.25"/>
    <row r="1289" spans="5:8" s="559" customFormat="1" x14ac:dyDescent="0.25"/>
    <row r="1290" spans="5:8" s="559" customFormat="1" x14ac:dyDescent="0.25"/>
    <row r="1291" spans="5:8" s="559" customFormat="1" x14ac:dyDescent="0.25"/>
    <row r="1292" spans="5:8" s="559" customFormat="1" x14ac:dyDescent="0.25"/>
    <row r="1293" spans="5:8" s="559" customFormat="1" x14ac:dyDescent="0.25"/>
    <row r="1294" spans="5:8" s="559" customFormat="1" x14ac:dyDescent="0.25"/>
    <row r="1295" spans="5:8" s="559" customFormat="1" x14ac:dyDescent="0.25"/>
    <row r="1296" spans="5:8" s="559" customFormat="1" x14ac:dyDescent="0.25"/>
    <row r="1297" s="559" customFormat="1" x14ac:dyDescent="0.25"/>
    <row r="1298" s="559" customFormat="1" x14ac:dyDescent="0.25"/>
    <row r="1299" s="559" customFormat="1" x14ac:dyDescent="0.25"/>
    <row r="1300" s="559" customFormat="1" x14ac:dyDescent="0.25"/>
    <row r="1301" s="559" customFormat="1" x14ac:dyDescent="0.25"/>
    <row r="1302" s="559" customFormat="1" x14ac:dyDescent="0.25"/>
    <row r="1303" s="559" customFormat="1" x14ac:dyDescent="0.25"/>
    <row r="1304" s="559" customFormat="1" x14ac:dyDescent="0.25"/>
    <row r="1305" s="559" customFormat="1" x14ac:dyDescent="0.25"/>
    <row r="1306" s="559" customFormat="1" x14ac:dyDescent="0.25"/>
    <row r="1307" s="559" customFormat="1" x14ac:dyDescent="0.25"/>
    <row r="1308" s="559" customFormat="1" x14ac:dyDescent="0.25"/>
    <row r="1309" s="559" customFormat="1" x14ac:dyDescent="0.25"/>
    <row r="1310" s="559" customFormat="1" x14ac:dyDescent="0.25"/>
    <row r="1311" s="559" customFormat="1" x14ac:dyDescent="0.25"/>
    <row r="1312" s="559" customFormat="1" x14ac:dyDescent="0.25"/>
    <row r="1313" s="559" customFormat="1" x14ac:dyDescent="0.25"/>
    <row r="1314" s="559" customFormat="1" x14ac:dyDescent="0.25"/>
    <row r="1315" s="559" customFormat="1" x14ac:dyDescent="0.25"/>
    <row r="1316" s="559" customFormat="1" x14ac:dyDescent="0.25"/>
    <row r="1317" s="559" customFormat="1" x14ac:dyDescent="0.25"/>
    <row r="1318" s="559" customFormat="1" x14ac:dyDescent="0.25"/>
    <row r="1319" s="559" customFormat="1" x14ac:dyDescent="0.25"/>
    <row r="1320" s="559" customFormat="1" x14ac:dyDescent="0.25"/>
    <row r="1321" s="559" customFormat="1" x14ac:dyDescent="0.25"/>
    <row r="1322" s="559" customFormat="1" x14ac:dyDescent="0.25"/>
    <row r="1323" s="559" customFormat="1" x14ac:dyDescent="0.25"/>
    <row r="1324" s="559" customFormat="1" x14ac:dyDescent="0.25"/>
    <row r="1325" s="559" customFormat="1" x14ac:dyDescent="0.25"/>
    <row r="1326" s="559" customFormat="1" x14ac:dyDescent="0.25"/>
    <row r="1327" s="559" customFormat="1" x14ac:dyDescent="0.25"/>
    <row r="1328" s="559" customFormat="1" x14ac:dyDescent="0.25"/>
    <row r="1329" s="559" customFormat="1" x14ac:dyDescent="0.25"/>
    <row r="1330" s="559" customFormat="1" x14ac:dyDescent="0.25"/>
    <row r="1331" s="559" customFormat="1" x14ac:dyDescent="0.25"/>
    <row r="1332" s="559" customFormat="1" x14ac:dyDescent="0.25"/>
    <row r="1333" s="559" customFormat="1" x14ac:dyDescent="0.25"/>
    <row r="1334" s="559" customFormat="1" x14ac:dyDescent="0.25"/>
    <row r="1335" s="559" customFormat="1" x14ac:dyDescent="0.25"/>
    <row r="1336" s="559" customFormat="1" x14ac:dyDescent="0.25"/>
    <row r="1337" s="559" customFormat="1" x14ac:dyDescent="0.25"/>
    <row r="1338" s="559" customFormat="1" x14ac:dyDescent="0.25"/>
    <row r="1339" s="559" customFormat="1" x14ac:dyDescent="0.25"/>
    <row r="1340" s="559" customFormat="1" x14ac:dyDescent="0.25"/>
    <row r="1341" s="559" customFormat="1" x14ac:dyDescent="0.25"/>
    <row r="1342" s="559" customFormat="1" x14ac:dyDescent="0.25"/>
    <row r="1343" s="559" customFormat="1" x14ac:dyDescent="0.25"/>
    <row r="1344" s="559" customFormat="1" x14ac:dyDescent="0.25"/>
    <row r="1345" s="559" customFormat="1" x14ac:dyDescent="0.25"/>
    <row r="1346" s="559" customFormat="1" x14ac:dyDescent="0.25"/>
    <row r="1347" s="559" customFormat="1" x14ac:dyDescent="0.25"/>
    <row r="1348" s="559" customFormat="1" x14ac:dyDescent="0.25"/>
    <row r="1349" s="559" customFormat="1" x14ac:dyDescent="0.25"/>
    <row r="1350" s="559" customFormat="1" x14ac:dyDescent="0.25"/>
    <row r="1351" s="559" customFormat="1" x14ac:dyDescent="0.25"/>
    <row r="1352" s="559" customFormat="1" x14ac:dyDescent="0.25"/>
    <row r="1353" s="559" customFormat="1" x14ac:dyDescent="0.25"/>
    <row r="1354" s="559" customFormat="1" x14ac:dyDescent="0.25"/>
    <row r="1355" s="559" customFormat="1" x14ac:dyDescent="0.25"/>
    <row r="1356" s="559" customFormat="1" x14ac:dyDescent="0.25"/>
    <row r="1357" s="559" customFormat="1" x14ac:dyDescent="0.25"/>
    <row r="1358" s="559" customFormat="1" x14ac:dyDescent="0.25"/>
    <row r="1359" s="559" customFormat="1" x14ac:dyDescent="0.25"/>
    <row r="1360" s="559" customFormat="1" x14ac:dyDescent="0.25"/>
    <row r="1361" s="559" customFormat="1" x14ac:dyDescent="0.25"/>
    <row r="1362" s="559" customFormat="1" x14ac:dyDescent="0.25"/>
    <row r="1363" s="559" customFormat="1" x14ac:dyDescent="0.25"/>
    <row r="1364" s="559" customFormat="1" x14ac:dyDescent="0.25"/>
    <row r="1365" s="559" customFormat="1" x14ac:dyDescent="0.25"/>
    <row r="1366" s="559" customFormat="1" x14ac:dyDescent="0.25"/>
    <row r="1367" s="559" customFormat="1" x14ac:dyDescent="0.25"/>
    <row r="1368" s="559" customFormat="1" x14ac:dyDescent="0.25"/>
    <row r="1369" s="559" customFormat="1" x14ac:dyDescent="0.25"/>
    <row r="1370" s="559" customFormat="1" x14ac:dyDescent="0.25"/>
    <row r="1371" s="559" customFormat="1" x14ac:dyDescent="0.25"/>
    <row r="1372" s="559" customFormat="1" x14ac:dyDescent="0.25"/>
    <row r="1373" s="559" customFormat="1" x14ac:dyDescent="0.25"/>
    <row r="1374" s="559" customFormat="1" x14ac:dyDescent="0.25"/>
    <row r="1375" s="559" customFormat="1" x14ac:dyDescent="0.25"/>
    <row r="1376" s="559" customFormat="1" x14ac:dyDescent="0.25"/>
    <row r="1377" s="559" customFormat="1" x14ac:dyDescent="0.25"/>
    <row r="1378" s="559" customFormat="1" x14ac:dyDescent="0.25"/>
    <row r="1379" s="559" customFormat="1" x14ac:dyDescent="0.25"/>
    <row r="1380" s="559" customFormat="1" x14ac:dyDescent="0.25"/>
    <row r="1381" s="559" customFormat="1" x14ac:dyDescent="0.25"/>
    <row r="1382" s="559" customFormat="1" x14ac:dyDescent="0.25"/>
    <row r="1383" s="559" customFormat="1" x14ac:dyDescent="0.25"/>
    <row r="1384" s="559" customFormat="1" x14ac:dyDescent="0.25"/>
    <row r="1385" s="559" customFormat="1" x14ac:dyDescent="0.25"/>
    <row r="1386" s="559" customFormat="1" x14ac:dyDescent="0.25"/>
    <row r="1387" s="559" customFormat="1" x14ac:dyDescent="0.25"/>
    <row r="1388" s="559" customFormat="1" x14ac:dyDescent="0.25"/>
    <row r="1389" s="559" customFormat="1" x14ac:dyDescent="0.25"/>
    <row r="1390" s="559" customFormat="1" x14ac:dyDescent="0.25"/>
    <row r="1391" s="559" customFormat="1" x14ac:dyDescent="0.25"/>
    <row r="1392" s="559" customFormat="1" x14ac:dyDescent="0.25"/>
    <row r="1393" s="559" customFormat="1" x14ac:dyDescent="0.25"/>
    <row r="1394" s="559" customFormat="1" x14ac:dyDescent="0.25"/>
    <row r="1395" s="559" customFormat="1" x14ac:dyDescent="0.25"/>
    <row r="1396" s="559" customFormat="1" x14ac:dyDescent="0.25"/>
    <row r="1397" s="559" customFormat="1" x14ac:dyDescent="0.25"/>
    <row r="1398" s="559" customFormat="1" x14ac:dyDescent="0.25"/>
    <row r="1399" s="559" customFormat="1" x14ac:dyDescent="0.25"/>
    <row r="1400" s="559" customFormat="1" x14ac:dyDescent="0.25"/>
    <row r="1401" s="559" customFormat="1" x14ac:dyDescent="0.25"/>
    <row r="1402" s="559" customFormat="1" x14ac:dyDescent="0.25"/>
    <row r="1403" s="559" customFormat="1" x14ac:dyDescent="0.25"/>
    <row r="1404" s="559" customFormat="1" x14ac:dyDescent="0.25"/>
    <row r="1405" s="559" customFormat="1" x14ac:dyDescent="0.25"/>
    <row r="1406" s="559" customFormat="1" x14ac:dyDescent="0.25"/>
    <row r="1407" s="559" customFormat="1" x14ac:dyDescent="0.25"/>
    <row r="1408" s="559" customFormat="1" x14ac:dyDescent="0.25"/>
    <row r="1409" s="559" customFormat="1" x14ac:dyDescent="0.25"/>
    <row r="1410" s="559" customFormat="1" x14ac:dyDescent="0.25"/>
    <row r="1411" s="559" customFormat="1" x14ac:dyDescent="0.25"/>
    <row r="1412" s="559" customFormat="1" x14ac:dyDescent="0.25"/>
    <row r="1413" s="559" customFormat="1" x14ac:dyDescent="0.25"/>
    <row r="1414" s="559" customFormat="1" x14ac:dyDescent="0.25"/>
    <row r="1415" s="559" customFormat="1" x14ac:dyDescent="0.25"/>
    <row r="1416" s="559" customFormat="1" x14ac:dyDescent="0.25"/>
    <row r="1417" s="559" customFormat="1" x14ac:dyDescent="0.25"/>
    <row r="1418" s="559" customFormat="1" x14ac:dyDescent="0.25"/>
    <row r="1419" s="559" customFormat="1" x14ac:dyDescent="0.25"/>
    <row r="1420" s="559" customFormat="1" x14ac:dyDescent="0.25"/>
    <row r="1421" s="559" customFormat="1" x14ac:dyDescent="0.25"/>
    <row r="1422" s="559" customFormat="1" x14ac:dyDescent="0.25"/>
    <row r="1423" s="559" customFormat="1" x14ac:dyDescent="0.25"/>
    <row r="1424" s="559" customFormat="1" x14ac:dyDescent="0.25"/>
    <row r="1425" s="559" customFormat="1" x14ac:dyDescent="0.25"/>
    <row r="1426" s="559" customFormat="1" x14ac:dyDescent="0.25"/>
    <row r="1427" s="559" customFormat="1" x14ac:dyDescent="0.25"/>
    <row r="1428" s="559" customFormat="1" x14ac:dyDescent="0.25"/>
    <row r="1429" s="559" customFormat="1" x14ac:dyDescent="0.25"/>
    <row r="1430" s="559" customFormat="1" x14ac:dyDescent="0.25"/>
    <row r="1431" s="559" customFormat="1" x14ac:dyDescent="0.25"/>
    <row r="1432" s="559" customFormat="1" x14ac:dyDescent="0.25"/>
    <row r="1433" s="559" customFormat="1" x14ac:dyDescent="0.25"/>
    <row r="1434" s="559" customFormat="1" x14ac:dyDescent="0.25"/>
    <row r="1435" s="559" customFormat="1" x14ac:dyDescent="0.25"/>
    <row r="1436" s="559" customFormat="1" x14ac:dyDescent="0.25"/>
    <row r="1437" s="559" customFormat="1" x14ac:dyDescent="0.25"/>
    <row r="1438" s="559" customFormat="1" x14ac:dyDescent="0.25"/>
    <row r="1439" s="559" customFormat="1" x14ac:dyDescent="0.25"/>
    <row r="1440" s="559" customFormat="1" x14ac:dyDescent="0.25"/>
    <row r="1441" s="559" customFormat="1" x14ac:dyDescent="0.25"/>
    <row r="1442" s="559" customFormat="1" x14ac:dyDescent="0.25"/>
    <row r="1443" s="559" customFormat="1" x14ac:dyDescent="0.25"/>
    <row r="1444" s="559" customFormat="1" x14ac:dyDescent="0.25"/>
    <row r="1445" s="559" customFormat="1" x14ac:dyDescent="0.25"/>
    <row r="1446" s="559" customFormat="1" x14ac:dyDescent="0.25"/>
    <row r="1447" s="559" customFormat="1" x14ac:dyDescent="0.25"/>
    <row r="1448" s="559" customFormat="1" x14ac:dyDescent="0.25"/>
    <row r="1449" s="559" customFormat="1" x14ac:dyDescent="0.25"/>
    <row r="1450" s="559" customFormat="1" x14ac:dyDescent="0.25"/>
    <row r="1451" s="559" customFormat="1" x14ac:dyDescent="0.25"/>
    <row r="1452" s="559" customFormat="1" x14ac:dyDescent="0.25"/>
    <row r="1453" s="559" customFormat="1" x14ac:dyDescent="0.25"/>
    <row r="1454" s="559" customFormat="1" x14ac:dyDescent="0.25"/>
    <row r="1455" s="559" customFormat="1" x14ac:dyDescent="0.25"/>
    <row r="1456" s="559" customFormat="1" x14ac:dyDescent="0.25"/>
    <row r="1457" s="559" customFormat="1" x14ac:dyDescent="0.25"/>
    <row r="1458" s="559" customFormat="1" x14ac:dyDescent="0.25"/>
    <row r="1459" s="559" customFormat="1" x14ac:dyDescent="0.25"/>
    <row r="1460" s="559" customFormat="1" x14ac:dyDescent="0.25"/>
    <row r="1461" s="559" customFormat="1" x14ac:dyDescent="0.25"/>
    <row r="1462" s="559" customFormat="1" x14ac:dyDescent="0.25"/>
    <row r="1463" s="559" customFormat="1" x14ac:dyDescent="0.25"/>
    <row r="1464" s="559" customFormat="1" x14ac:dyDescent="0.25"/>
    <row r="1465" s="559" customFormat="1" x14ac:dyDescent="0.25"/>
    <row r="1466" s="559" customFormat="1" x14ac:dyDescent="0.25"/>
    <row r="1467" s="559" customFormat="1" x14ac:dyDescent="0.25"/>
    <row r="1468" s="559" customFormat="1" x14ac:dyDescent="0.25"/>
    <row r="1469" s="559" customFormat="1" x14ac:dyDescent="0.25"/>
    <row r="1470" s="559" customFormat="1" x14ac:dyDescent="0.25"/>
    <row r="1471" s="559" customFormat="1" x14ac:dyDescent="0.25"/>
    <row r="1472" s="559" customFormat="1" x14ac:dyDescent="0.25"/>
    <row r="1473" s="559" customFormat="1" x14ac:dyDescent="0.25"/>
    <row r="1474" s="559" customFormat="1" x14ac:dyDescent="0.25"/>
    <row r="1475" s="559" customFormat="1" x14ac:dyDescent="0.25"/>
    <row r="1476" s="559" customFormat="1" x14ac:dyDescent="0.25"/>
    <row r="1477" s="559" customFormat="1" x14ac:dyDescent="0.25"/>
    <row r="1478" s="559" customFormat="1" x14ac:dyDescent="0.25"/>
    <row r="1479" s="559" customFormat="1" x14ac:dyDescent="0.25"/>
    <row r="1480" s="559" customFormat="1" x14ac:dyDescent="0.25"/>
    <row r="1481" s="559" customFormat="1" x14ac:dyDescent="0.25"/>
    <row r="1482" s="559" customFormat="1" x14ac:dyDescent="0.25"/>
    <row r="1483" s="559" customFormat="1" x14ac:dyDescent="0.25"/>
    <row r="1484" s="559" customFormat="1" x14ac:dyDescent="0.25"/>
    <row r="1485" s="559" customFormat="1" x14ac:dyDescent="0.25"/>
    <row r="1486" s="559" customFormat="1" x14ac:dyDescent="0.25"/>
    <row r="1487" s="559" customFormat="1" x14ac:dyDescent="0.25"/>
    <row r="1488" s="559" customFormat="1" x14ac:dyDescent="0.25"/>
    <row r="1489" s="559" customFormat="1" x14ac:dyDescent="0.25"/>
    <row r="1490" s="559" customFormat="1" x14ac:dyDescent="0.25"/>
    <row r="1491" s="559" customFormat="1" x14ac:dyDescent="0.25"/>
    <row r="1492" s="559" customFormat="1" x14ac:dyDescent="0.25"/>
    <row r="1493" s="559" customFormat="1" x14ac:dyDescent="0.25"/>
    <row r="1494" s="559" customFormat="1" x14ac:dyDescent="0.25"/>
    <row r="1495" s="559" customFormat="1" x14ac:dyDescent="0.25"/>
    <row r="1496" s="559" customFormat="1" x14ac:dyDescent="0.25"/>
    <row r="1497" s="559" customFormat="1" x14ac:dyDescent="0.25"/>
    <row r="1498" s="559" customFormat="1" x14ac:dyDescent="0.25"/>
    <row r="1499" s="559" customFormat="1" x14ac:dyDescent="0.25"/>
    <row r="1500" s="559" customFormat="1" x14ac:dyDescent="0.25"/>
    <row r="1501" s="559" customFormat="1" x14ac:dyDescent="0.25"/>
    <row r="1502" s="559" customFormat="1" x14ac:dyDescent="0.25"/>
    <row r="1503" s="559" customFormat="1" x14ac:dyDescent="0.25"/>
    <row r="1504" s="559" customFormat="1" x14ac:dyDescent="0.25"/>
    <row r="1505" s="559" customFormat="1" x14ac:dyDescent="0.25"/>
    <row r="1506" s="559" customFormat="1" x14ac:dyDescent="0.25"/>
    <row r="1507" s="559" customFormat="1" x14ac:dyDescent="0.25"/>
    <row r="1508" s="559" customFormat="1" x14ac:dyDescent="0.25"/>
    <row r="1509" s="559" customFormat="1" x14ac:dyDescent="0.25"/>
    <row r="1510" s="559" customFormat="1" x14ac:dyDescent="0.25"/>
    <row r="1511" s="559" customFormat="1" x14ac:dyDescent="0.25"/>
    <row r="1512" s="559" customFormat="1" x14ac:dyDescent="0.25"/>
    <row r="1513" s="559" customFormat="1" x14ac:dyDescent="0.25"/>
    <row r="1514" s="559" customFormat="1" x14ac:dyDescent="0.25"/>
    <row r="1515" s="559" customFormat="1" x14ac:dyDescent="0.25"/>
    <row r="1516" s="559" customFormat="1" x14ac:dyDescent="0.25"/>
    <row r="1517" s="559" customFormat="1" x14ac:dyDescent="0.25"/>
    <row r="1518" s="559" customFormat="1" x14ac:dyDescent="0.25"/>
    <row r="1519" s="559" customFormat="1" x14ac:dyDescent="0.25"/>
    <row r="1520" s="559" customFormat="1" x14ac:dyDescent="0.25"/>
    <row r="1521" s="559" customFormat="1" x14ac:dyDescent="0.25"/>
    <row r="1522" s="559" customFormat="1" x14ac:dyDescent="0.25"/>
    <row r="1523" s="559" customFormat="1" x14ac:dyDescent="0.25"/>
    <row r="1524" s="559" customFormat="1" x14ac:dyDescent="0.25"/>
    <row r="1525" s="559" customFormat="1" x14ac:dyDescent="0.25"/>
    <row r="1526" s="559" customFormat="1" x14ac:dyDescent="0.25"/>
    <row r="1527" s="559" customFormat="1" x14ac:dyDescent="0.25"/>
    <row r="1528" s="559" customFormat="1" x14ac:dyDescent="0.25"/>
    <row r="1529" s="559" customFormat="1" x14ac:dyDescent="0.25"/>
    <row r="1530" s="559" customFormat="1" x14ac:dyDescent="0.25"/>
    <row r="1531" s="559" customFormat="1" x14ac:dyDescent="0.25"/>
    <row r="1532" s="559" customFormat="1" x14ac:dyDescent="0.25"/>
    <row r="1533" s="559" customFormat="1" x14ac:dyDescent="0.25"/>
    <row r="1534" s="559" customFormat="1" x14ac:dyDescent="0.25"/>
    <row r="1535" s="559" customFormat="1" x14ac:dyDescent="0.25"/>
    <row r="1536" s="559" customFormat="1" x14ac:dyDescent="0.25"/>
    <row r="1537" s="559" customFormat="1" x14ac:dyDescent="0.25"/>
    <row r="1538" s="559" customFormat="1" x14ac:dyDescent="0.25"/>
  </sheetData>
  <sheetProtection algorithmName="SHA-512" hashValue="7emZ6Xt4LDkbLmNHPYy4X44dBHq8eQWqmv6uyX28B/4B7bnDosEHwAsa25q0OvMqQt3MPkWcLRsVMGh29cTkDQ==" saltValue="iVybIFBC3zYeoaraWlZgwg==" spinCount="100000" sheet="1" objects="1" scenarios="1"/>
  <mergeCells count="1">
    <mergeCell ref="L153:O15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Spinner 1">
              <controlPr defaultSize="0" autoPict="0">
                <anchor moveWithCells="1" sizeWithCells="1">
                  <from>
                    <xdr:col>2</xdr:col>
                    <xdr:colOff>1181100</xdr:colOff>
                    <xdr:row>21</xdr:row>
                    <xdr:rowOff>38100</xdr:rowOff>
                  </from>
                  <to>
                    <xdr:col>2</xdr:col>
                    <xdr:colOff>1524000</xdr:colOff>
                    <xdr:row>21</xdr:row>
                    <xdr:rowOff>219075</xdr:rowOff>
                  </to>
                </anchor>
              </controlPr>
            </control>
          </mc:Choice>
        </mc:AlternateContent>
        <mc:AlternateContent xmlns:mc="http://schemas.openxmlformats.org/markup-compatibility/2006">
          <mc:Choice Requires="x14">
            <control shapeId="32770" r:id="rId5" name="Spinner 2">
              <controlPr defaultSize="0" autoPict="0">
                <anchor moveWithCells="1" sizeWithCells="1">
                  <from>
                    <xdr:col>2</xdr:col>
                    <xdr:colOff>1181100</xdr:colOff>
                    <xdr:row>23</xdr:row>
                    <xdr:rowOff>38100</xdr:rowOff>
                  </from>
                  <to>
                    <xdr:col>2</xdr:col>
                    <xdr:colOff>1524000</xdr:colOff>
                    <xdr:row>23</xdr:row>
                    <xdr:rowOff>219075</xdr:rowOff>
                  </to>
                </anchor>
              </controlPr>
            </control>
          </mc:Choice>
        </mc:AlternateContent>
        <mc:AlternateContent xmlns:mc="http://schemas.openxmlformats.org/markup-compatibility/2006">
          <mc:Choice Requires="x14">
            <control shapeId="32771" r:id="rId6" name="Spinner 3">
              <controlPr defaultSize="0" autoPict="0">
                <anchor moveWithCells="1" sizeWithCells="1">
                  <from>
                    <xdr:col>2</xdr:col>
                    <xdr:colOff>1181100</xdr:colOff>
                    <xdr:row>25</xdr:row>
                    <xdr:rowOff>19050</xdr:rowOff>
                  </from>
                  <to>
                    <xdr:col>2</xdr:col>
                    <xdr:colOff>1524000</xdr:colOff>
                    <xdr:row>25</xdr:row>
                    <xdr:rowOff>219075</xdr:rowOff>
                  </to>
                </anchor>
              </controlPr>
            </control>
          </mc:Choice>
        </mc:AlternateContent>
        <mc:AlternateContent xmlns:mc="http://schemas.openxmlformats.org/markup-compatibility/2006">
          <mc:Choice Requires="x14">
            <control shapeId="32772" r:id="rId7" name="Spinner 4">
              <controlPr defaultSize="0" autoPict="0">
                <anchor moveWithCells="1" sizeWithCells="1">
                  <from>
                    <xdr:col>2</xdr:col>
                    <xdr:colOff>1181100</xdr:colOff>
                    <xdr:row>33</xdr:row>
                    <xdr:rowOff>38100</xdr:rowOff>
                  </from>
                  <to>
                    <xdr:col>2</xdr:col>
                    <xdr:colOff>1524000</xdr:colOff>
                    <xdr:row>33</xdr:row>
                    <xdr:rowOff>247650</xdr:rowOff>
                  </to>
                </anchor>
              </controlPr>
            </control>
          </mc:Choice>
        </mc:AlternateContent>
        <mc:AlternateContent xmlns:mc="http://schemas.openxmlformats.org/markup-compatibility/2006">
          <mc:Choice Requires="x14">
            <control shapeId="32773" r:id="rId8" name="Spinner 5">
              <controlPr defaultSize="0" autoPict="0">
                <anchor moveWithCells="1" sizeWithCells="1">
                  <from>
                    <xdr:col>2</xdr:col>
                    <xdr:colOff>1181100</xdr:colOff>
                    <xdr:row>35</xdr:row>
                    <xdr:rowOff>19050</xdr:rowOff>
                  </from>
                  <to>
                    <xdr:col>2</xdr:col>
                    <xdr:colOff>1524000</xdr:colOff>
                    <xdr:row>35</xdr:row>
                    <xdr:rowOff>219075</xdr:rowOff>
                  </to>
                </anchor>
              </controlPr>
            </control>
          </mc:Choice>
        </mc:AlternateContent>
        <mc:AlternateContent xmlns:mc="http://schemas.openxmlformats.org/markup-compatibility/2006">
          <mc:Choice Requires="x14">
            <control shapeId="32774" r:id="rId9" name="Spinner 6">
              <controlPr defaultSize="0" autoPict="0">
                <anchor moveWithCells="1" sizeWithCells="1">
                  <from>
                    <xdr:col>2</xdr:col>
                    <xdr:colOff>1181100</xdr:colOff>
                    <xdr:row>27</xdr:row>
                    <xdr:rowOff>38100</xdr:rowOff>
                  </from>
                  <to>
                    <xdr:col>2</xdr:col>
                    <xdr:colOff>1524000</xdr:colOff>
                    <xdr:row>27</xdr:row>
                    <xdr:rowOff>238125</xdr:rowOff>
                  </to>
                </anchor>
              </controlPr>
            </control>
          </mc:Choice>
        </mc:AlternateContent>
        <mc:AlternateContent xmlns:mc="http://schemas.openxmlformats.org/markup-compatibility/2006">
          <mc:Choice Requires="x14">
            <control shapeId="32775" r:id="rId10" name="Spinner 7">
              <controlPr defaultSize="0" autoPict="0">
                <anchor moveWithCells="1" sizeWithCells="1">
                  <from>
                    <xdr:col>2</xdr:col>
                    <xdr:colOff>1190625</xdr:colOff>
                    <xdr:row>29</xdr:row>
                    <xdr:rowOff>28575</xdr:rowOff>
                  </from>
                  <to>
                    <xdr:col>2</xdr:col>
                    <xdr:colOff>1533525</xdr:colOff>
                    <xdr:row>29</xdr:row>
                    <xdr:rowOff>238125</xdr:rowOff>
                  </to>
                </anchor>
              </controlPr>
            </control>
          </mc:Choice>
        </mc:AlternateContent>
        <mc:AlternateContent xmlns:mc="http://schemas.openxmlformats.org/markup-compatibility/2006">
          <mc:Choice Requires="x14">
            <control shapeId="32825" r:id="rId11" name="Spinner 57">
              <controlPr defaultSize="0" autoPict="0">
                <anchor moveWithCells="1" sizeWithCells="1">
                  <from>
                    <xdr:col>2</xdr:col>
                    <xdr:colOff>1190625</xdr:colOff>
                    <xdr:row>31</xdr:row>
                    <xdr:rowOff>19050</xdr:rowOff>
                  </from>
                  <to>
                    <xdr:col>2</xdr:col>
                    <xdr:colOff>1533525</xdr:colOff>
                    <xdr:row>31</xdr:row>
                    <xdr:rowOff>228600</xdr:rowOff>
                  </to>
                </anchor>
              </controlPr>
            </control>
          </mc:Choice>
        </mc:AlternateContent>
        <mc:AlternateContent xmlns:mc="http://schemas.openxmlformats.org/markup-compatibility/2006">
          <mc:Choice Requires="x14">
            <control shapeId="32828" r:id="rId12" name="Spinner 60">
              <controlPr defaultSize="0" autoPict="0">
                <anchor moveWithCells="1" sizeWithCells="1">
                  <from>
                    <xdr:col>2</xdr:col>
                    <xdr:colOff>1181100</xdr:colOff>
                    <xdr:row>31</xdr:row>
                    <xdr:rowOff>38100</xdr:rowOff>
                  </from>
                  <to>
                    <xdr:col>2</xdr:col>
                    <xdr:colOff>1524000</xdr:colOff>
                    <xdr:row>31</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EP589"/>
  <sheetViews>
    <sheetView zoomScale="110" zoomScaleNormal="110" workbookViewId="0">
      <selection activeCell="C60" sqref="C60"/>
    </sheetView>
  </sheetViews>
  <sheetFormatPr defaultColWidth="9.140625" defaultRowHeight="15" x14ac:dyDescent="0.25"/>
  <cols>
    <col min="1" max="1" width="3.28515625" style="17" customWidth="1"/>
    <col min="2" max="2" width="42.7109375" style="17" customWidth="1"/>
    <col min="3" max="3" width="41.140625" style="17" customWidth="1"/>
    <col min="4" max="9" width="19.7109375" style="17" customWidth="1"/>
    <col min="10" max="10" width="16.28515625" style="17" customWidth="1"/>
    <col min="11" max="11" width="22.28515625" style="17" customWidth="1"/>
    <col min="12" max="12" width="34.7109375" style="17" customWidth="1"/>
    <col min="13" max="13" width="14" style="17" bestFit="1" customWidth="1"/>
    <col min="14" max="14" width="14.28515625" style="17" bestFit="1" customWidth="1"/>
    <col min="15" max="15" width="17.7109375" style="17" customWidth="1"/>
    <col min="16" max="16" width="15" style="17" bestFit="1" customWidth="1"/>
    <col min="17" max="17" width="10.85546875" style="17" bestFit="1" customWidth="1"/>
    <col min="18" max="18" width="11.7109375" style="17" bestFit="1" customWidth="1"/>
    <col min="19" max="19" width="41.28515625" style="17" bestFit="1" customWidth="1"/>
    <col min="20" max="20" width="32.140625" style="17" bestFit="1" customWidth="1"/>
    <col min="21" max="21" width="10.7109375" style="17" bestFit="1" customWidth="1"/>
    <col min="22" max="22" width="13.42578125" style="17" bestFit="1" customWidth="1"/>
    <col min="23" max="23" width="9.140625" style="17"/>
    <col min="24" max="24" width="10.7109375" style="17" customWidth="1"/>
    <col min="25" max="25" width="9.140625" style="17"/>
    <col min="26" max="26" width="22.42578125" style="17" bestFit="1" customWidth="1"/>
    <col min="27" max="28" width="9.140625" style="17"/>
    <col min="29" max="29" width="10.140625" style="17" bestFit="1" customWidth="1"/>
    <col min="30" max="30" width="12.28515625" style="17" customWidth="1"/>
    <col min="31" max="31" width="9.140625" style="17"/>
    <col min="32" max="32" width="11.140625" style="17" customWidth="1"/>
    <col min="33" max="33" width="13.7109375" style="17" bestFit="1" customWidth="1"/>
    <col min="34" max="34" width="20.42578125" style="17" bestFit="1" customWidth="1"/>
    <col min="35" max="35" width="22.42578125" style="17" customWidth="1"/>
    <col min="36" max="36" width="14.28515625" style="17" customWidth="1"/>
    <col min="37" max="37" width="9.140625" style="17"/>
    <col min="38" max="38" width="14.42578125" style="17" customWidth="1"/>
    <col min="39" max="39" width="9.140625" style="17"/>
    <col min="40" max="40" width="18.140625" style="17" bestFit="1" customWidth="1"/>
    <col min="41" max="41" width="9.140625" style="17"/>
    <col min="42" max="42" width="12" style="17" customWidth="1"/>
    <col min="43" max="43" width="13.85546875" style="17" customWidth="1"/>
    <col min="44" max="44" width="18.140625" style="17" customWidth="1"/>
    <col min="45" max="45" width="9.140625" style="17"/>
    <col min="46" max="46" width="26.7109375" style="17" customWidth="1"/>
    <col min="47" max="47" width="9.140625" style="17"/>
    <col min="48" max="48" width="37.7109375" style="17" bestFit="1" customWidth="1"/>
    <col min="49" max="49" width="9.140625" style="17"/>
    <col min="50" max="50" width="37.7109375" style="17" bestFit="1" customWidth="1"/>
    <col min="51" max="52" width="9.140625" style="17"/>
    <col min="53" max="53" width="10.5703125" style="17" customWidth="1"/>
    <col min="54" max="57" width="10.5703125" style="17" bestFit="1" customWidth="1"/>
    <col min="58" max="16384" width="9.140625" style="17"/>
  </cols>
  <sheetData>
    <row r="1" spans="1:10" ht="20.25" x14ac:dyDescent="0.3">
      <c r="A1" s="1019"/>
      <c r="J1" s="891"/>
    </row>
    <row r="2" spans="1:10" ht="15" customHeight="1" x14ac:dyDescent="0.25">
      <c r="B2" s="2123" t="s">
        <v>1697</v>
      </c>
      <c r="C2" s="2123"/>
      <c r="D2" s="2123"/>
      <c r="E2" s="2123"/>
      <c r="F2" s="2123"/>
      <c r="G2" s="2123"/>
      <c r="H2" s="2123"/>
      <c r="I2" s="377"/>
    </row>
    <row r="3" spans="1:10" ht="15" customHeight="1" x14ac:dyDescent="0.25">
      <c r="B3" s="2123"/>
      <c r="C3" s="2123"/>
      <c r="D3" s="2123"/>
      <c r="E3" s="2123"/>
      <c r="F3" s="2123"/>
      <c r="G3" s="2123"/>
      <c r="H3" s="2123"/>
      <c r="I3" s="377"/>
    </row>
    <row r="4" spans="1:10" ht="15" customHeight="1" x14ac:dyDescent="0.25">
      <c r="B4" s="2123"/>
      <c r="C4" s="2123"/>
      <c r="D4" s="2123"/>
      <c r="E4" s="2123"/>
      <c r="F4" s="2123"/>
      <c r="G4" s="2123"/>
      <c r="H4" s="2123"/>
      <c r="I4" s="377"/>
    </row>
    <row r="5" spans="1:10" ht="15" customHeight="1" x14ac:dyDescent="0.25">
      <c r="B5" s="2123"/>
      <c r="C5" s="2123"/>
      <c r="D5" s="2123"/>
      <c r="E5" s="2123"/>
      <c r="F5" s="2123"/>
      <c r="G5" s="2123"/>
      <c r="H5" s="2123"/>
      <c r="I5" s="377"/>
    </row>
    <row r="6" spans="1:10" x14ac:dyDescent="0.25">
      <c r="F6" s="558"/>
      <c r="G6" s="558"/>
      <c r="H6" s="558"/>
      <c r="I6" s="558"/>
    </row>
    <row r="7" spans="1:10" ht="18.75" x14ac:dyDescent="0.3">
      <c r="B7" s="55" t="s">
        <v>1035</v>
      </c>
      <c r="C7" s="56"/>
      <c r="E7" s="276"/>
      <c r="F7" s="558"/>
      <c r="G7" s="558"/>
      <c r="H7" s="558"/>
      <c r="I7" s="558"/>
    </row>
    <row r="8" spans="1:10" s="559" customFormat="1" ht="18.75" x14ac:dyDescent="0.3">
      <c r="B8" s="55" t="s">
        <v>1374</v>
      </c>
      <c r="C8" s="56"/>
      <c r="E8" s="276"/>
      <c r="F8" s="558"/>
      <c r="G8" s="558"/>
      <c r="H8" s="558"/>
      <c r="I8" s="558"/>
    </row>
    <row r="9" spans="1:10" s="1299" customFormat="1" ht="18.75" x14ac:dyDescent="0.3">
      <c r="B9" s="599"/>
      <c r="C9" s="545"/>
      <c r="D9" s="545"/>
      <c r="E9" s="587"/>
      <c r="F9" s="545"/>
      <c r="G9" s="600"/>
      <c r="H9" s="545"/>
      <c r="I9" s="601"/>
    </row>
    <row r="10" spans="1:10" s="1299" customFormat="1" ht="18.75" x14ac:dyDescent="0.3">
      <c r="B10" s="602" t="s">
        <v>912</v>
      </c>
      <c r="C10" s="603" t="s">
        <v>1074</v>
      </c>
      <c r="D10" s="2128"/>
      <c r="E10" s="2128"/>
      <c r="F10" s="2128"/>
      <c r="G10" s="598" t="s">
        <v>913</v>
      </c>
      <c r="H10" s="2086"/>
      <c r="I10" s="594"/>
    </row>
    <row r="11" spans="1:10" s="1299" customFormat="1" ht="18.75" x14ac:dyDescent="0.3">
      <c r="B11" s="602"/>
      <c r="C11" s="543"/>
      <c r="D11" s="543"/>
      <c r="E11" s="588"/>
      <c r="F11" s="543"/>
      <c r="G11" s="2090"/>
      <c r="H11" s="543"/>
      <c r="I11" s="594"/>
    </row>
    <row r="12" spans="1:10" s="1299" customFormat="1" ht="18.75" x14ac:dyDescent="0.3">
      <c r="B12" s="602"/>
      <c r="C12" s="603" t="s">
        <v>914</v>
      </c>
      <c r="D12" s="2185"/>
      <c r="E12" s="2185"/>
      <c r="F12" s="2185"/>
      <c r="G12" s="598" t="s">
        <v>1006</v>
      </c>
      <c r="H12" s="619"/>
      <c r="I12" s="593"/>
    </row>
    <row r="13" spans="1:10" s="1299" customFormat="1" ht="18.75" x14ac:dyDescent="0.3">
      <c r="B13" s="602"/>
      <c r="C13" s="543"/>
      <c r="D13" s="543"/>
      <c r="E13" s="588"/>
      <c r="F13" s="543"/>
      <c r="G13" s="588"/>
      <c r="H13" s="588"/>
      <c r="I13" s="593"/>
      <c r="J13" s="1499"/>
    </row>
    <row r="14" spans="1:10" s="1299" customFormat="1" ht="15.75" x14ac:dyDescent="0.25">
      <c r="B14" s="604"/>
      <c r="C14" s="487" t="s">
        <v>915</v>
      </c>
      <c r="D14" s="2086"/>
      <c r="E14" s="2021"/>
      <c r="F14" s="2125" t="s">
        <v>963</v>
      </c>
      <c r="G14" s="2125"/>
      <c r="H14" s="843"/>
      <c r="I14" s="2022"/>
      <c r="J14" s="1954"/>
    </row>
    <row r="15" spans="1:10" s="1299" customFormat="1" ht="18.75" x14ac:dyDescent="0.3">
      <c r="B15" s="605"/>
      <c r="C15" s="542"/>
      <c r="D15" s="542"/>
      <c r="E15" s="542"/>
      <c r="F15" s="542"/>
      <c r="G15" s="542"/>
      <c r="H15" s="542"/>
      <c r="I15" s="606"/>
    </row>
    <row r="16" spans="1:10" s="1299" customFormat="1" ht="15.75" x14ac:dyDescent="0.25">
      <c r="B16" s="544"/>
      <c r="C16" s="545"/>
      <c r="D16" s="2023" t="s">
        <v>249</v>
      </c>
      <c r="E16" s="2023" t="s">
        <v>250</v>
      </c>
      <c r="F16" s="2023" t="s">
        <v>251</v>
      </c>
      <c r="G16" s="2023" t="s">
        <v>1129</v>
      </c>
      <c r="H16" s="2023" t="s">
        <v>1128</v>
      </c>
      <c r="I16" s="2024"/>
    </row>
    <row r="17" spans="2:33" s="1299" customFormat="1" ht="15.75" x14ac:dyDescent="0.25">
      <c r="B17" s="2025" t="s">
        <v>254</v>
      </c>
      <c r="C17" s="543"/>
      <c r="D17" s="2089"/>
      <c r="E17" s="2089"/>
      <c r="F17" s="2089"/>
      <c r="G17" s="2089"/>
      <c r="H17" s="2089"/>
      <c r="I17" s="2026" t="s">
        <v>255</v>
      </c>
    </row>
    <row r="18" spans="2:33" s="1299" customFormat="1" ht="15.75" x14ac:dyDescent="0.25">
      <c r="B18" s="2025"/>
      <c r="C18" s="543"/>
      <c r="D18" s="807"/>
      <c r="E18" s="807"/>
      <c r="F18" s="807"/>
      <c r="G18" s="807"/>
      <c r="H18" s="807"/>
      <c r="I18" s="2026"/>
      <c r="J18" s="1021"/>
    </row>
    <row r="19" spans="2:33" s="1299" customFormat="1" ht="15.75" x14ac:dyDescent="0.25">
      <c r="B19" s="2025" t="s">
        <v>256</v>
      </c>
      <c r="C19" s="543"/>
      <c r="D19" s="2089"/>
      <c r="E19" s="2089"/>
      <c r="F19" s="2089"/>
      <c r="G19" s="2089"/>
      <c r="H19" s="2089"/>
      <c r="I19" s="2026" t="s">
        <v>257</v>
      </c>
    </row>
    <row r="20" spans="2:33" s="1299" customFormat="1" ht="17.25" x14ac:dyDescent="0.3">
      <c r="B20" s="2025"/>
      <c r="C20" s="488"/>
      <c r="D20" s="807"/>
      <c r="E20" s="807"/>
      <c r="F20" s="807"/>
      <c r="G20" s="807"/>
      <c r="H20" s="807"/>
      <c r="I20" s="2026"/>
      <c r="K20" s="961"/>
    </row>
    <row r="21" spans="2:33" s="1299" customFormat="1" ht="15.75" x14ac:dyDescent="0.25">
      <c r="B21" s="2025" t="s">
        <v>895</v>
      </c>
      <c r="C21" s="543"/>
      <c r="D21" s="807"/>
      <c r="E21" s="2089"/>
      <c r="F21" s="2089"/>
      <c r="G21" s="807"/>
      <c r="H21" s="1500"/>
      <c r="I21" s="2026" t="s">
        <v>258</v>
      </c>
      <c r="K21" s="960"/>
    </row>
    <row r="22" spans="2:33" s="1299" customFormat="1" ht="15.75" x14ac:dyDescent="0.25">
      <c r="B22" s="2027"/>
      <c r="C22" s="542"/>
      <c r="D22" s="2028"/>
      <c r="E22" s="800"/>
      <c r="F22" s="800"/>
      <c r="G22" s="800"/>
      <c r="H22" s="800"/>
      <c r="I22" s="2029"/>
    </row>
    <row r="23" spans="2:33" s="1299" customFormat="1" ht="15.75" x14ac:dyDescent="0.25">
      <c r="B23" s="2030" t="s">
        <v>820</v>
      </c>
      <c r="C23" s="587"/>
      <c r="D23" s="587"/>
      <c r="E23" s="587"/>
      <c r="F23" s="587"/>
      <c r="G23" s="587"/>
      <c r="H23" s="587"/>
      <c r="I23" s="2031"/>
    </row>
    <row r="24" spans="2:33" s="1299" customFormat="1" ht="15.75" x14ac:dyDescent="0.25">
      <c r="B24" s="2032"/>
      <c r="C24" s="543" t="s">
        <v>1111</v>
      </c>
      <c r="D24" s="2119"/>
      <c r="E24" s="2119"/>
      <c r="F24" s="2129" t="s">
        <v>1304</v>
      </c>
      <c r="G24" s="2129"/>
      <c r="H24" s="2010"/>
      <c r="I24" s="2026" t="str">
        <f>IF(S181="1","litres of milk","kg milksolids")</f>
        <v>kg milksolids</v>
      </c>
    </row>
    <row r="25" spans="2:33" s="1299" customFormat="1" ht="18.75" x14ac:dyDescent="0.3">
      <c r="B25" s="2033"/>
      <c r="C25" s="543"/>
      <c r="D25" s="804"/>
      <c r="E25" s="2034"/>
      <c r="F25" s="2034"/>
      <c r="G25" s="2035"/>
      <c r="H25" s="2088"/>
      <c r="I25" s="2036"/>
      <c r="K25" s="1020"/>
    </row>
    <row r="26" spans="2:33" s="1299" customFormat="1" ht="15.75" x14ac:dyDescent="0.25">
      <c r="B26" s="2033"/>
      <c r="C26" s="543" t="s">
        <v>1377</v>
      </c>
      <c r="D26" s="2087"/>
      <c r="E26" s="2034" t="s">
        <v>259</v>
      </c>
      <c r="F26" s="2130" t="s">
        <v>1378</v>
      </c>
      <c r="G26" s="2130"/>
      <c r="H26" s="666"/>
      <c r="I26" s="2026" t="s">
        <v>259</v>
      </c>
      <c r="Z26" s="1300"/>
      <c r="AA26" s="1300"/>
      <c r="AB26" s="1300"/>
      <c r="AC26" s="1300"/>
      <c r="AD26" s="1300"/>
      <c r="AE26" s="1300"/>
      <c r="AF26" s="1300"/>
      <c r="AG26" s="1300"/>
    </row>
    <row r="27" spans="2:33" s="1299" customFormat="1" ht="15.75" x14ac:dyDescent="0.25">
      <c r="B27" s="2037"/>
      <c r="C27" s="543"/>
      <c r="D27" s="804"/>
      <c r="E27" s="2035"/>
      <c r="F27" s="807"/>
      <c r="G27" s="807"/>
      <c r="H27" s="2035"/>
      <c r="I27" s="2036"/>
      <c r="Z27" s="1300"/>
      <c r="AA27" s="1300"/>
      <c r="AB27" s="1300"/>
      <c r="AC27" s="1300"/>
      <c r="AD27" s="1300"/>
      <c r="AE27" s="1300"/>
      <c r="AF27" s="1300"/>
      <c r="AG27" s="1300"/>
    </row>
    <row r="28" spans="2:33" s="1299" customFormat="1" ht="15.75" x14ac:dyDescent="0.25">
      <c r="B28" s="2037"/>
      <c r="C28" s="543" t="s">
        <v>515</v>
      </c>
      <c r="D28" s="510"/>
      <c r="E28" s="2035" t="s">
        <v>1308</v>
      </c>
      <c r="F28" s="2131" t="s">
        <v>829</v>
      </c>
      <c r="G28" s="2131"/>
      <c r="H28" s="2093" t="e">
        <f>P178</f>
        <v>#DIV/0!</v>
      </c>
      <c r="I28" s="2036"/>
      <c r="L28" s="1328"/>
      <c r="Z28" s="1300"/>
      <c r="AA28" s="1300"/>
      <c r="AB28" s="1300"/>
      <c r="AC28" s="1300"/>
      <c r="AD28" s="1300"/>
      <c r="AE28" s="1300"/>
      <c r="AF28" s="1300"/>
      <c r="AG28" s="1300"/>
    </row>
    <row r="29" spans="2:33" s="1299" customFormat="1" ht="15.75" x14ac:dyDescent="0.25">
      <c r="B29" s="2038" t="s">
        <v>1135</v>
      </c>
      <c r="C29" s="545"/>
      <c r="D29" s="2126" t="s">
        <v>899</v>
      </c>
      <c r="E29" s="2126"/>
      <c r="F29" s="2120" t="s">
        <v>949</v>
      </c>
      <c r="G29" s="2120"/>
      <c r="H29" s="2120" t="s">
        <v>950</v>
      </c>
      <c r="I29" s="2124"/>
    </row>
    <row r="30" spans="2:33" s="1299" customFormat="1" ht="15.75" x14ac:dyDescent="0.25">
      <c r="B30" s="2039"/>
      <c r="C30" s="543" t="s">
        <v>900</v>
      </c>
      <c r="D30" s="2121"/>
      <c r="E30" s="2121"/>
      <c r="F30" s="2121"/>
      <c r="G30" s="2121"/>
      <c r="H30" s="2121"/>
      <c r="I30" s="2122"/>
      <c r="J30" s="2040"/>
    </row>
    <row r="31" spans="2:33" s="1299" customFormat="1" ht="15.75" x14ac:dyDescent="0.25">
      <c r="B31" s="2041" t="s">
        <v>1072</v>
      </c>
      <c r="C31" s="543" t="s">
        <v>901</v>
      </c>
      <c r="D31" s="2121"/>
      <c r="E31" s="2121"/>
      <c r="F31" s="2121"/>
      <c r="G31" s="2121"/>
      <c r="H31" s="2121"/>
      <c r="I31" s="2122"/>
    </row>
    <row r="32" spans="2:33" s="1299" customFormat="1" ht="15.75" x14ac:dyDescent="0.25">
      <c r="B32" s="2041" t="s">
        <v>1073</v>
      </c>
      <c r="C32" s="543" t="s">
        <v>902</v>
      </c>
      <c r="D32" s="2121"/>
      <c r="E32" s="2121"/>
      <c r="F32" s="2121"/>
      <c r="G32" s="2121"/>
      <c r="H32" s="2121"/>
      <c r="I32" s="2122"/>
    </row>
    <row r="33" spans="2:33" s="1299" customFormat="1" ht="15.75" x14ac:dyDescent="0.25">
      <c r="B33" s="1782" t="e">
        <f>P182 &amp;" kg DM/cow.day"</f>
        <v>#DIV/0!</v>
      </c>
      <c r="C33" s="543" t="s">
        <v>903</v>
      </c>
      <c r="D33" s="2121"/>
      <c r="E33" s="2121"/>
      <c r="F33" s="2121"/>
      <c r="G33" s="2121"/>
      <c r="H33" s="2121"/>
      <c r="I33" s="2127"/>
    </row>
    <row r="34" spans="2:33" s="1299" customFormat="1" ht="15.6" customHeight="1" x14ac:dyDescent="0.25">
      <c r="B34" s="2039"/>
      <c r="C34" s="543" t="s">
        <v>904</v>
      </c>
      <c r="D34" s="2121"/>
      <c r="E34" s="2121"/>
      <c r="F34" s="2121"/>
      <c r="G34" s="2121"/>
      <c r="H34" s="2121"/>
      <c r="I34" s="2127"/>
    </row>
    <row r="35" spans="2:33" s="1299" customFormat="1" ht="15.6" customHeight="1" x14ac:dyDescent="0.25">
      <c r="B35" s="2107" t="s">
        <v>1350</v>
      </c>
      <c r="C35" s="543" t="s">
        <v>905</v>
      </c>
      <c r="D35" s="2121"/>
      <c r="E35" s="2121"/>
      <c r="F35" s="2121"/>
      <c r="G35" s="2121"/>
      <c r="H35" s="2121"/>
      <c r="I35" s="2122"/>
    </row>
    <row r="36" spans="2:33" s="1299" customFormat="1" ht="15.6" customHeight="1" x14ac:dyDescent="0.25">
      <c r="B36" s="2108"/>
      <c r="C36" s="2042" t="s">
        <v>908</v>
      </c>
      <c r="D36" s="2115">
        <f>SUM(D30:E35)</f>
        <v>0</v>
      </c>
      <c r="E36" s="2115"/>
      <c r="F36" s="2115" t="e">
        <f>P180</f>
        <v>#DIV/0!</v>
      </c>
      <c r="G36" s="2115"/>
      <c r="H36" s="2115" t="e">
        <f>P181</f>
        <v>#DIV/0!</v>
      </c>
      <c r="I36" s="2116"/>
    </row>
    <row r="37" spans="2:33" s="1299" customFormat="1" ht="15.75" x14ac:dyDescent="0.25">
      <c r="B37" s="2039"/>
      <c r="C37" s="603"/>
      <c r="D37" s="804"/>
      <c r="E37" s="804"/>
      <c r="F37" s="804"/>
      <c r="G37" s="804"/>
      <c r="H37" s="804"/>
      <c r="I37" s="805"/>
      <c r="K37" s="646"/>
    </row>
    <row r="38" spans="2:33" s="1299" customFormat="1" ht="15.75" x14ac:dyDescent="0.25">
      <c r="B38" s="2025" t="s">
        <v>1136</v>
      </c>
      <c r="C38" s="2043"/>
      <c r="D38" s="2087"/>
      <c r="E38" s="1005" t="s">
        <v>259</v>
      </c>
      <c r="F38" s="804"/>
      <c r="G38" s="804"/>
      <c r="H38" s="804"/>
      <c r="I38" s="2036"/>
      <c r="K38" s="994"/>
    </row>
    <row r="39" spans="2:33" s="1299" customFormat="1" ht="15.75" x14ac:dyDescent="0.25">
      <c r="B39" s="2025" t="s">
        <v>1137</v>
      </c>
      <c r="C39" s="2043"/>
      <c r="D39" s="2087"/>
      <c r="E39" s="1005" t="s">
        <v>259</v>
      </c>
      <c r="F39" s="809"/>
      <c r="G39" s="809"/>
      <c r="H39" s="809"/>
      <c r="I39" s="2036"/>
    </row>
    <row r="40" spans="2:33" s="1299" customFormat="1" ht="17.25" x14ac:dyDescent="0.3">
      <c r="B40" s="2027"/>
      <c r="C40" s="2044"/>
      <c r="D40" s="806"/>
      <c r="E40" s="806"/>
      <c r="F40" s="806"/>
      <c r="G40" s="806"/>
      <c r="H40" s="806"/>
      <c r="I40" s="2036"/>
      <c r="L40" s="961"/>
    </row>
    <row r="41" spans="2:33" s="1299" customFormat="1" ht="15.6" customHeight="1" x14ac:dyDescent="0.25">
      <c r="B41" s="2045" t="s">
        <v>921</v>
      </c>
      <c r="C41" s="2133"/>
      <c r="D41" s="2133"/>
      <c r="E41" s="2046"/>
      <c r="F41" s="2047"/>
      <c r="G41" s="2133"/>
      <c r="H41" s="2133"/>
      <c r="I41" s="2135"/>
      <c r="K41" s="1022"/>
      <c r="L41" s="568"/>
      <c r="Z41" s="1300"/>
      <c r="AA41" s="1300"/>
      <c r="AB41" s="1300"/>
      <c r="AC41" s="1300"/>
      <c r="AD41" s="1300"/>
      <c r="AE41" s="1300"/>
      <c r="AF41" s="1300"/>
      <c r="AG41" s="1300"/>
    </row>
    <row r="42" spans="2:33" s="1299" customFormat="1" ht="15.6" customHeight="1" x14ac:dyDescent="0.25">
      <c r="B42" s="2048"/>
      <c r="C42" s="543" t="s">
        <v>922</v>
      </c>
      <c r="D42" s="2049"/>
      <c r="E42" s="2128"/>
      <c r="F42" s="2128"/>
      <c r="G42" s="2049"/>
      <c r="H42" s="2138" t="s">
        <v>1254</v>
      </c>
      <c r="I42" s="2139"/>
      <c r="L42" s="568"/>
      <c r="Z42" s="1300"/>
      <c r="AA42" s="1300"/>
      <c r="AB42" s="1300"/>
      <c r="AC42" s="1300"/>
      <c r="AD42" s="1300"/>
      <c r="AE42" s="1300"/>
      <c r="AF42" s="1300"/>
      <c r="AG42" s="1300"/>
    </row>
    <row r="43" spans="2:33" s="1299" customFormat="1" ht="15.6" customHeight="1" x14ac:dyDescent="0.25">
      <c r="B43" s="2048"/>
      <c r="C43" s="2049"/>
      <c r="D43" s="2049"/>
      <c r="E43" s="2050"/>
      <c r="F43" s="2051"/>
      <c r="G43" s="2049"/>
      <c r="H43" s="2140"/>
      <c r="I43" s="2141"/>
      <c r="L43" s="568"/>
      <c r="Z43" s="1300"/>
      <c r="AA43" s="1300"/>
      <c r="AB43" s="1300"/>
      <c r="AC43" s="1300"/>
      <c r="AD43" s="1300"/>
      <c r="AE43" s="1300"/>
      <c r="AF43" s="1300"/>
      <c r="AG43" s="1300"/>
    </row>
    <row r="44" spans="2:33" s="1299" customFormat="1" ht="15.6" customHeight="1" x14ac:dyDescent="0.25">
      <c r="B44" s="2048"/>
      <c r="C44" s="598" t="s">
        <v>1221</v>
      </c>
      <c r="D44" s="2049"/>
      <c r="E44" s="2050"/>
      <c r="F44" s="2051"/>
      <c r="G44" s="2052" t="s">
        <v>1223</v>
      </c>
      <c r="H44" s="2052"/>
      <c r="I44" s="2053"/>
      <c r="L44" s="568"/>
      <c r="Z44" s="1300"/>
      <c r="AA44" s="1300"/>
      <c r="AB44" s="1300"/>
      <c r="AC44" s="1300"/>
      <c r="AD44" s="1300"/>
      <c r="AE44" s="1300"/>
      <c r="AF44" s="1300"/>
      <c r="AG44" s="1300"/>
    </row>
    <row r="45" spans="2:33" s="1299" customFormat="1" ht="15.75" x14ac:dyDescent="0.25">
      <c r="B45" s="2054" t="s">
        <v>1123</v>
      </c>
      <c r="C45" s="2092"/>
      <c r="D45" s="543" t="s">
        <v>261</v>
      </c>
      <c r="E45" s="2055" t="s">
        <v>1224</v>
      </c>
      <c r="F45" s="2056"/>
      <c r="G45" s="1976"/>
      <c r="H45" s="2057" t="str">
        <f>IF($T$170="1","kg per ha per annum","t per annum")</f>
        <v>t per annum</v>
      </c>
      <c r="I45" s="2058"/>
      <c r="L45" s="568"/>
      <c r="Z45" s="1300"/>
      <c r="AA45" s="1300"/>
      <c r="AB45" s="1300"/>
      <c r="AC45" s="1300"/>
      <c r="AD45" s="1300"/>
      <c r="AE45" s="1300"/>
      <c r="AF45" s="1300"/>
      <c r="AG45" s="1300"/>
    </row>
    <row r="46" spans="2:33" s="1299" customFormat="1" ht="15.75" x14ac:dyDescent="0.25">
      <c r="B46" s="2054" t="s">
        <v>1124</v>
      </c>
      <c r="C46" s="2092"/>
      <c r="D46" s="543" t="s">
        <v>261</v>
      </c>
      <c r="E46" s="2055" t="s">
        <v>1253</v>
      </c>
      <c r="F46" s="2056"/>
      <c r="G46" s="2085"/>
      <c r="H46" s="543" t="str">
        <f>H45</f>
        <v>t per annum</v>
      </c>
      <c r="I46" s="2058"/>
      <c r="L46" s="568"/>
      <c r="Z46" s="1300"/>
      <c r="AA46" s="1300"/>
      <c r="AB46" s="1300"/>
      <c r="AC46" s="1300"/>
      <c r="AD46" s="1300"/>
      <c r="AE46" s="1300"/>
      <c r="AF46" s="1300"/>
      <c r="AG46" s="1300"/>
    </row>
    <row r="47" spans="2:33" s="1299" customFormat="1" ht="15.75" x14ac:dyDescent="0.25">
      <c r="B47" s="1303"/>
      <c r="C47" s="543"/>
      <c r="D47" s="543"/>
      <c r="E47" s="543"/>
      <c r="F47" s="543"/>
      <c r="G47" s="543"/>
      <c r="H47" s="543"/>
      <c r="I47" s="2036"/>
      <c r="L47" s="568"/>
      <c r="Z47" s="1300"/>
      <c r="AA47" s="1300"/>
      <c r="AB47" s="1300"/>
      <c r="AC47" s="1300"/>
      <c r="AD47" s="1300"/>
      <c r="AE47" s="1300"/>
      <c r="AF47" s="1300"/>
      <c r="AG47" s="1300"/>
    </row>
    <row r="48" spans="2:33" s="1299" customFormat="1" ht="15.75" x14ac:dyDescent="0.25">
      <c r="B48" s="1303"/>
      <c r="C48" s="1962" t="s">
        <v>1220</v>
      </c>
      <c r="D48" s="489"/>
      <c r="E48" s="1962" t="s">
        <v>1226</v>
      </c>
      <c r="F48" s="1962" t="s">
        <v>1227</v>
      </c>
      <c r="G48" s="1962" t="s">
        <v>1228</v>
      </c>
      <c r="H48" s="1962" t="s">
        <v>1229</v>
      </c>
      <c r="I48" s="593"/>
      <c r="L48" s="568"/>
      <c r="Z48" s="1300"/>
      <c r="AA48" s="1300"/>
      <c r="AB48" s="1300"/>
      <c r="AC48" s="1300"/>
      <c r="AD48" s="1300"/>
      <c r="AE48" s="1300"/>
      <c r="AF48" s="1300"/>
      <c r="AG48" s="1300"/>
    </row>
    <row r="49" spans="2:33" s="1299" customFormat="1" ht="15.75" x14ac:dyDescent="0.25">
      <c r="B49" s="1303" t="s">
        <v>1125</v>
      </c>
      <c r="C49" s="2086"/>
      <c r="D49" s="2059" t="s">
        <v>1225</v>
      </c>
      <c r="E49" s="2094"/>
      <c r="F49" s="2094"/>
      <c r="G49" s="2094"/>
      <c r="H49" s="2094"/>
      <c r="I49" s="2060" t="str">
        <f>H45</f>
        <v>t per annum</v>
      </c>
      <c r="L49" s="568"/>
      <c r="Z49" s="1300"/>
      <c r="AA49" s="1300"/>
      <c r="AB49" s="1300"/>
      <c r="AC49" s="1300"/>
      <c r="AD49" s="1300"/>
      <c r="AE49" s="1300"/>
      <c r="AF49" s="1300"/>
      <c r="AG49" s="1300"/>
    </row>
    <row r="50" spans="2:33" s="1299" customFormat="1" ht="15.75" x14ac:dyDescent="0.25">
      <c r="B50" s="1303" t="s">
        <v>1126</v>
      </c>
      <c r="C50" s="2086"/>
      <c r="D50" s="2059" t="s">
        <v>1225</v>
      </c>
      <c r="E50" s="2094"/>
      <c r="F50" s="2094"/>
      <c r="G50" s="2094"/>
      <c r="H50" s="2094"/>
      <c r="I50" s="2060" t="str">
        <f>H45</f>
        <v>t per annum</v>
      </c>
      <c r="L50" s="568"/>
      <c r="Z50" s="1300"/>
      <c r="AA50" s="1300"/>
      <c r="AB50" s="1300"/>
      <c r="AC50" s="1300"/>
      <c r="AD50" s="1300"/>
      <c r="AE50" s="1300"/>
      <c r="AF50" s="1300"/>
      <c r="AG50" s="1300"/>
    </row>
    <row r="51" spans="2:33" s="1299" customFormat="1" ht="15.75" x14ac:dyDescent="0.25">
      <c r="B51" s="2061"/>
      <c r="C51" s="2090"/>
      <c r="D51" s="588"/>
      <c r="E51" s="588"/>
      <c r="F51" s="588"/>
      <c r="G51" s="588"/>
      <c r="H51" s="588"/>
      <c r="I51" s="593"/>
      <c r="L51" s="568"/>
      <c r="Z51" s="1300"/>
      <c r="AA51" s="1300"/>
      <c r="AB51" s="1300"/>
      <c r="AC51" s="1300"/>
      <c r="AD51" s="1300"/>
      <c r="AE51" s="1300"/>
      <c r="AF51" s="1300"/>
      <c r="AG51" s="1300"/>
    </row>
    <row r="52" spans="2:33" s="1299" customFormat="1" ht="15.75" x14ac:dyDescent="0.25">
      <c r="B52" s="2062" t="s">
        <v>948</v>
      </c>
      <c r="C52" s="600"/>
      <c r="D52" s="587"/>
      <c r="E52" s="587"/>
      <c r="F52" s="587"/>
      <c r="G52" s="587"/>
      <c r="H52" s="587"/>
      <c r="I52" s="592"/>
      <c r="L52" s="568"/>
      <c r="Z52" s="1300"/>
      <c r="AA52" s="1300"/>
      <c r="AB52" s="1300"/>
      <c r="AC52" s="1300"/>
      <c r="AD52" s="1300"/>
      <c r="AE52" s="1300"/>
      <c r="AF52" s="1300"/>
      <c r="AG52" s="1300"/>
    </row>
    <row r="53" spans="2:33" s="1299" customFormat="1" ht="15.75" x14ac:dyDescent="0.25">
      <c r="B53" s="2054" t="s">
        <v>886</v>
      </c>
      <c r="C53" s="637"/>
      <c r="D53" s="2091" t="s">
        <v>639</v>
      </c>
      <c r="E53" s="2129" t="s">
        <v>1029</v>
      </c>
      <c r="F53" s="2129"/>
      <c r="G53" s="2119"/>
      <c r="H53" s="2119"/>
      <c r="I53" s="2063"/>
      <c r="L53" s="568"/>
      <c r="Z53" s="1300"/>
      <c r="AA53" s="1300"/>
      <c r="AB53" s="1300"/>
      <c r="AC53" s="1300"/>
      <c r="AD53" s="1300"/>
      <c r="AE53" s="1300"/>
      <c r="AF53" s="1300"/>
      <c r="AG53" s="1300"/>
    </row>
    <row r="54" spans="2:33" s="1299" customFormat="1" ht="15.75" x14ac:dyDescent="0.25">
      <c r="B54" s="2064" t="s">
        <v>894</v>
      </c>
      <c r="C54" s="2011"/>
      <c r="D54" s="2065" t="s">
        <v>1305</v>
      </c>
      <c r="E54" s="633"/>
      <c r="F54" s="633"/>
      <c r="G54" s="634"/>
      <c r="H54" s="634"/>
      <c r="I54" s="2066"/>
      <c r="L54" s="568"/>
      <c r="Z54" s="1300"/>
      <c r="AA54" s="1300"/>
      <c r="AB54" s="1300"/>
      <c r="AC54" s="1300"/>
      <c r="AD54" s="1300"/>
      <c r="AE54" s="1300"/>
      <c r="AF54" s="1300"/>
      <c r="AG54" s="1300"/>
    </row>
    <row r="55" spans="2:33" s="1299" customFormat="1" ht="15.75" x14ac:dyDescent="0.25">
      <c r="B55" s="544" t="s">
        <v>920</v>
      </c>
      <c r="C55" s="545"/>
      <c r="D55" s="545"/>
      <c r="E55" s="545"/>
      <c r="F55" s="545"/>
      <c r="G55" s="543"/>
      <c r="H55" s="543"/>
      <c r="I55" s="2067"/>
    </row>
    <row r="56" spans="2:33" s="1299" customFormat="1" ht="15.75" x14ac:dyDescent="0.25">
      <c r="B56" s="1303" t="s">
        <v>1222</v>
      </c>
      <c r="C56" s="1995"/>
      <c r="D56" s="2021" t="s">
        <v>1306</v>
      </c>
      <c r="E56" s="2118" t="s">
        <v>916</v>
      </c>
      <c r="F56" s="2118"/>
      <c r="G56" s="2117"/>
      <c r="H56" s="2117"/>
      <c r="I56" s="2068" t="s">
        <v>1306</v>
      </c>
    </row>
    <row r="57" spans="2:33" s="1299" customFormat="1" ht="15.75" x14ac:dyDescent="0.25">
      <c r="B57" s="1303"/>
      <c r="C57" s="1994"/>
      <c r="D57" s="543"/>
      <c r="E57" s="543"/>
      <c r="F57" s="543"/>
      <c r="G57" s="543"/>
      <c r="H57" s="543"/>
      <c r="I57" s="2069"/>
    </row>
    <row r="58" spans="2:33" s="1299" customFormat="1" ht="15.75" x14ac:dyDescent="0.25">
      <c r="B58" s="1303" t="s">
        <v>917</v>
      </c>
      <c r="C58" s="1995"/>
      <c r="D58" s="2021" t="s">
        <v>1306</v>
      </c>
      <c r="E58" s="2118" t="s">
        <v>918</v>
      </c>
      <c r="F58" s="2118"/>
      <c r="G58" s="2117"/>
      <c r="H58" s="2117"/>
      <c r="I58" s="2068" t="s">
        <v>1306</v>
      </c>
    </row>
    <row r="59" spans="2:33" s="1299" customFormat="1" ht="15.75" x14ac:dyDescent="0.25">
      <c r="B59" s="1303"/>
      <c r="C59" s="1994"/>
      <c r="D59" s="543"/>
      <c r="E59" s="543"/>
      <c r="F59" s="543"/>
      <c r="G59" s="543"/>
      <c r="H59" s="543"/>
      <c r="I59" s="2069"/>
    </row>
    <row r="60" spans="2:33" s="1299" customFormat="1" ht="15.75" x14ac:dyDescent="0.25">
      <c r="B60" s="1307" t="s">
        <v>919</v>
      </c>
      <c r="C60" s="1995"/>
      <c r="D60" s="2021" t="s">
        <v>1306</v>
      </c>
      <c r="E60" s="543" t="s">
        <v>1041</v>
      </c>
      <c r="F60" s="543"/>
      <c r="G60" s="2117"/>
      <c r="H60" s="2117"/>
      <c r="I60" s="2068" t="s">
        <v>1306</v>
      </c>
    </row>
    <row r="61" spans="2:33" s="1299" customFormat="1" ht="15.75" x14ac:dyDescent="0.25">
      <c r="B61" s="547"/>
      <c r="C61" s="542"/>
      <c r="D61" s="542"/>
      <c r="E61" s="542"/>
      <c r="F61" s="542"/>
      <c r="G61" s="542"/>
      <c r="H61" s="542"/>
      <c r="I61" s="2066"/>
    </row>
    <row r="62" spans="2:33" s="1299" customFormat="1" ht="15.75" x14ac:dyDescent="0.25">
      <c r="B62" s="544" t="s">
        <v>887</v>
      </c>
      <c r="C62" s="489"/>
      <c r="D62" s="489"/>
      <c r="E62" s="2070"/>
      <c r="F62" s="488"/>
      <c r="G62" s="2071"/>
      <c r="H62" s="545"/>
      <c r="I62" s="2067"/>
    </row>
    <row r="63" spans="2:33" s="1299" customFormat="1" ht="15.75" x14ac:dyDescent="0.25">
      <c r="B63" s="1303" t="s">
        <v>1132</v>
      </c>
      <c r="C63" s="2128" t="s">
        <v>1162</v>
      </c>
      <c r="D63" s="2128"/>
      <c r="E63" s="2072"/>
      <c r="F63" s="488"/>
      <c r="G63" s="2073"/>
      <c r="H63" s="543"/>
      <c r="I63" s="2069"/>
    </row>
    <row r="64" spans="2:33" s="1299" customFormat="1" ht="15.75" x14ac:dyDescent="0.25">
      <c r="B64" s="1303"/>
      <c r="C64" s="543"/>
      <c r="D64" s="543"/>
      <c r="E64" s="2072"/>
      <c r="F64" s="2073"/>
      <c r="G64" s="2073"/>
      <c r="H64" s="543"/>
      <c r="I64" s="2069"/>
    </row>
    <row r="65" spans="1:33" s="1299" customFormat="1" ht="18.75" x14ac:dyDescent="0.35">
      <c r="B65" s="1303" t="s">
        <v>967</v>
      </c>
      <c r="C65" s="488"/>
      <c r="D65" s="2092"/>
      <c r="E65" s="488" t="s">
        <v>1307</v>
      </c>
      <c r="F65" s="2072" t="s">
        <v>1158</v>
      </c>
      <c r="G65" s="2073"/>
      <c r="H65" s="2086"/>
      <c r="I65" s="2069" t="s">
        <v>261</v>
      </c>
      <c r="L65" s="568"/>
      <c r="Z65" s="1300"/>
      <c r="AA65" s="1300"/>
      <c r="AB65" s="1300"/>
      <c r="AC65" s="1300"/>
      <c r="AD65" s="1300"/>
      <c r="AE65" s="1300"/>
      <c r="AF65" s="1300"/>
      <c r="AG65" s="1300"/>
    </row>
    <row r="66" spans="1:33" s="1299" customFormat="1" ht="15.75" x14ac:dyDescent="0.25">
      <c r="B66" s="2074"/>
      <c r="C66" s="541"/>
      <c r="D66" s="543"/>
      <c r="E66" s="488"/>
      <c r="F66" s="2072"/>
      <c r="G66" s="2073"/>
      <c r="H66" s="543"/>
      <c r="I66" s="2069"/>
      <c r="L66" s="568"/>
      <c r="Z66" s="1300"/>
      <c r="AA66" s="1300"/>
      <c r="AB66" s="1300"/>
      <c r="AC66" s="1300"/>
      <c r="AD66" s="1300"/>
      <c r="AE66" s="1300"/>
      <c r="AF66" s="1300"/>
      <c r="AG66" s="1300"/>
    </row>
    <row r="67" spans="1:33" s="1299" customFormat="1" ht="15.75" x14ac:dyDescent="0.25">
      <c r="B67" s="590" t="s">
        <v>594</v>
      </c>
      <c r="C67" s="2136"/>
      <c r="D67" s="2136"/>
      <c r="E67" s="488"/>
      <c r="F67" s="543" t="s">
        <v>770</v>
      </c>
      <c r="G67" s="2073"/>
      <c r="H67" s="2086"/>
      <c r="I67" s="2069"/>
      <c r="L67" s="568"/>
      <c r="Z67" s="1300"/>
      <c r="AA67" s="1300"/>
      <c r="AB67" s="1300"/>
      <c r="AC67" s="1300"/>
      <c r="AD67" s="1300"/>
      <c r="AE67" s="1300"/>
      <c r="AF67" s="1300"/>
      <c r="AG67" s="1300"/>
    </row>
    <row r="68" spans="1:33" s="1299" customFormat="1" ht="15.75" x14ac:dyDescent="0.25">
      <c r="B68" s="547"/>
      <c r="C68" s="542"/>
      <c r="D68" s="542"/>
      <c r="E68" s="542"/>
      <c r="F68" s="542"/>
      <c r="G68" s="542"/>
      <c r="H68" s="542"/>
      <c r="I68" s="2066"/>
      <c r="L68" s="568"/>
      <c r="Z68" s="1300"/>
      <c r="AA68" s="1300"/>
      <c r="AB68" s="1300"/>
      <c r="AC68" s="1300"/>
      <c r="AD68" s="1300"/>
      <c r="AE68" s="1300"/>
      <c r="AF68" s="1300"/>
      <c r="AG68" s="1300"/>
    </row>
    <row r="69" spans="1:33" s="1299" customFormat="1" ht="15.75" x14ac:dyDescent="0.25">
      <c r="A69" s="1300"/>
      <c r="B69" s="544" t="s">
        <v>954</v>
      </c>
      <c r="C69" s="587"/>
      <c r="D69" s="587"/>
      <c r="E69" s="587"/>
      <c r="F69" s="587"/>
      <c r="G69" s="587"/>
      <c r="H69" s="587"/>
      <c r="I69" s="592"/>
      <c r="J69" s="1300"/>
      <c r="M69" s="568"/>
    </row>
    <row r="70" spans="1:33" s="1299" customFormat="1" ht="15.75" x14ac:dyDescent="0.25">
      <c r="A70" s="1300"/>
      <c r="B70" s="2075"/>
      <c r="C70" s="2134" t="s">
        <v>956</v>
      </c>
      <c r="D70" s="2134"/>
      <c r="E70" s="2134"/>
      <c r="F70" s="2137" t="s">
        <v>958</v>
      </c>
      <c r="G70" s="2137"/>
      <c r="H70" s="2076" t="s">
        <v>1380</v>
      </c>
      <c r="I70" s="1326" t="e">
        <f>D214</f>
        <v>#DIV/0!</v>
      </c>
      <c r="J70" s="1300"/>
      <c r="M70" s="568"/>
    </row>
    <row r="71" spans="1:33" s="1299" customFormat="1" ht="15.6" customHeight="1" x14ac:dyDescent="0.25">
      <c r="A71" s="1300"/>
      <c r="B71" s="2132" t="s">
        <v>1004</v>
      </c>
      <c r="C71" s="588"/>
      <c r="D71" s="588"/>
      <c r="E71" s="588"/>
      <c r="F71" s="588"/>
      <c r="G71" s="588"/>
      <c r="H71" s="588"/>
      <c r="I71" s="593"/>
      <c r="J71" s="1300"/>
      <c r="M71" s="568"/>
    </row>
    <row r="72" spans="1:33" s="1299" customFormat="1" ht="15.75" x14ac:dyDescent="0.25">
      <c r="A72" s="1300"/>
      <c r="B72" s="2132"/>
      <c r="C72" s="598" t="s">
        <v>1407</v>
      </c>
      <c r="D72" s="598" t="s">
        <v>1408</v>
      </c>
      <c r="E72" s="598" t="s">
        <v>1409</v>
      </c>
      <c r="F72" s="598" t="s">
        <v>263</v>
      </c>
      <c r="G72" s="598" t="s">
        <v>264</v>
      </c>
      <c r="H72" s="598"/>
      <c r="I72" s="2077"/>
      <c r="J72" s="1300"/>
      <c r="M72" s="568"/>
    </row>
    <row r="73" spans="1:33" s="1299" customFormat="1" ht="15.75" x14ac:dyDescent="0.25">
      <c r="A73" s="1300"/>
      <c r="B73" s="1303" t="s">
        <v>489</v>
      </c>
      <c r="C73" s="1791" t="e">
        <f>AH196</f>
        <v>#N/A</v>
      </c>
      <c r="D73" s="1791" t="e">
        <f>AI196</f>
        <v>#N/A</v>
      </c>
      <c r="E73" s="1494" t="e">
        <f>AJ196</f>
        <v>#N/A</v>
      </c>
      <c r="F73" s="1791" t="e">
        <f>AL196</f>
        <v>#N/A</v>
      </c>
      <c r="G73" s="1497" t="e">
        <f>AG196</f>
        <v>#N/A</v>
      </c>
      <c r="H73" s="2078"/>
      <c r="I73" s="2079"/>
      <c r="J73" s="1300"/>
      <c r="M73" s="568"/>
    </row>
    <row r="74" spans="1:33" s="1299" customFormat="1" ht="15.6" customHeight="1" x14ac:dyDescent="0.25">
      <c r="A74" s="1300"/>
      <c r="B74" s="1303" t="s">
        <v>955</v>
      </c>
      <c r="C74" s="1791">
        <f>IF($G$70=1,0,AH199)</f>
        <v>0</v>
      </c>
      <c r="D74" s="1791">
        <f>IF($G$70=1,0,AI199)</f>
        <v>0</v>
      </c>
      <c r="E74" s="1791">
        <f>IF($G$70=1,0,AJ199)</f>
        <v>0</v>
      </c>
      <c r="F74" s="1791">
        <f>IF($G$70=1,0,AL199)</f>
        <v>0</v>
      </c>
      <c r="G74" s="1791">
        <f>IF($G$70=1,0,AG199)</f>
        <v>100</v>
      </c>
      <c r="H74" s="2078"/>
      <c r="I74" s="2079"/>
      <c r="J74" s="1300"/>
      <c r="M74" s="568"/>
    </row>
    <row r="75" spans="1:33" s="1299" customFormat="1" ht="15.6" customHeight="1" x14ac:dyDescent="0.25">
      <c r="A75" s="1300"/>
      <c r="B75" s="2142" t="s">
        <v>1042</v>
      </c>
      <c r="C75" s="2143"/>
      <c r="D75" s="2143"/>
      <c r="E75" s="2143"/>
      <c r="F75" s="2143"/>
      <c r="G75" s="2143"/>
      <c r="H75" s="2143"/>
      <c r="I75" s="2144"/>
      <c r="J75" s="1300"/>
      <c r="M75" s="568"/>
    </row>
    <row r="76" spans="1:33" s="1299" customFormat="1" ht="15.6" customHeight="1" x14ac:dyDescent="0.25">
      <c r="A76" s="1300"/>
      <c r="B76" s="2142"/>
      <c r="C76" s="2143"/>
      <c r="D76" s="2143"/>
      <c r="E76" s="2143"/>
      <c r="F76" s="2143"/>
      <c r="G76" s="2143"/>
      <c r="H76" s="2143"/>
      <c r="I76" s="2144"/>
      <c r="J76" s="1300"/>
      <c r="M76" s="568"/>
    </row>
    <row r="77" spans="1:33" s="1299" customFormat="1" ht="15.6" customHeight="1" x14ac:dyDescent="0.25">
      <c r="A77" s="1300"/>
      <c r="B77" s="2142"/>
      <c r="C77" s="2143"/>
      <c r="D77" s="2143"/>
      <c r="E77" s="2143"/>
      <c r="F77" s="2143"/>
      <c r="G77" s="2143"/>
      <c r="H77" s="2143"/>
      <c r="I77" s="2144"/>
      <c r="J77" s="1300"/>
      <c r="M77" s="568"/>
    </row>
    <row r="78" spans="1:33" s="1299" customFormat="1" ht="15.6" customHeight="1" x14ac:dyDescent="0.25">
      <c r="A78" s="1300"/>
      <c r="B78" s="604"/>
      <c r="C78" s="588"/>
      <c r="D78" s="588"/>
      <c r="E78" s="588"/>
      <c r="F78" s="588"/>
      <c r="G78" s="588"/>
      <c r="H78" s="588"/>
      <c r="I78" s="1083"/>
      <c r="J78" s="1300"/>
      <c r="M78" s="568"/>
    </row>
    <row r="79" spans="1:33" s="1299" customFormat="1" ht="15.75" x14ac:dyDescent="0.25">
      <c r="A79" s="1300"/>
      <c r="B79" s="2075" t="s">
        <v>489</v>
      </c>
      <c r="C79" s="543"/>
      <c r="D79" s="543"/>
      <c r="E79" s="543"/>
      <c r="F79" s="543"/>
      <c r="G79" s="598" t="s">
        <v>964</v>
      </c>
      <c r="H79" s="598" t="s">
        <v>965</v>
      </c>
      <c r="I79" s="594"/>
      <c r="J79" s="1300"/>
      <c r="M79" s="568"/>
    </row>
    <row r="80" spans="1:33" s="1300" customFormat="1" ht="15.75" x14ac:dyDescent="0.25">
      <c r="A80" s="1299"/>
      <c r="B80" s="1303" t="s">
        <v>1384</v>
      </c>
      <c r="C80" s="543"/>
      <c r="D80" s="543"/>
      <c r="E80" s="543"/>
      <c r="F80" s="595"/>
      <c r="G80" s="2086"/>
      <c r="H80" s="2086"/>
      <c r="I80" s="594"/>
      <c r="J80" s="1299"/>
      <c r="K80" s="1299"/>
      <c r="L80" s="1299"/>
      <c r="M80" s="1299"/>
      <c r="N80" s="1299"/>
      <c r="O80" s="1299"/>
      <c r="P80" s="1299"/>
      <c r="Q80" s="1299"/>
      <c r="R80" s="1299"/>
      <c r="S80" s="1299"/>
      <c r="T80" s="1299"/>
      <c r="U80" s="1299"/>
      <c r="V80" s="1299"/>
      <c r="W80" s="1299"/>
      <c r="X80" s="1299"/>
      <c r="Y80" s="1299"/>
      <c r="Z80" s="1299"/>
      <c r="AA80" s="1299"/>
      <c r="AB80" s="1299"/>
      <c r="AC80" s="1299"/>
      <c r="AD80" s="1299"/>
      <c r="AE80" s="1299"/>
      <c r="AF80" s="1299"/>
      <c r="AG80" s="1299"/>
    </row>
    <row r="81" spans="1:33" s="1300" customFormat="1" ht="15.75" x14ac:dyDescent="0.25">
      <c r="A81" s="1299"/>
      <c r="B81" s="1303"/>
      <c r="C81" s="488"/>
      <c r="D81" s="488"/>
      <c r="E81" s="488"/>
      <c r="F81" s="488"/>
      <c r="G81" s="488"/>
      <c r="H81" s="488"/>
      <c r="I81" s="1082"/>
      <c r="J81" s="1299"/>
      <c r="K81" s="1299"/>
      <c r="L81" s="1299"/>
      <c r="M81" s="1299"/>
      <c r="N81" s="1299"/>
      <c r="O81" s="1299"/>
      <c r="P81" s="1299"/>
      <c r="Q81" s="1299"/>
      <c r="R81" s="1299"/>
      <c r="S81" s="1299"/>
      <c r="T81" s="1299"/>
      <c r="U81" s="1299"/>
      <c r="V81" s="1299"/>
      <c r="W81" s="1299"/>
      <c r="X81" s="1299"/>
      <c r="Y81" s="1299"/>
      <c r="Z81" s="1299"/>
      <c r="AA81" s="1299"/>
      <c r="AB81" s="1299"/>
      <c r="AC81" s="1299"/>
      <c r="AD81" s="1299"/>
      <c r="AE81" s="1299"/>
      <c r="AF81" s="1299"/>
      <c r="AG81" s="1299"/>
    </row>
    <row r="82" spans="1:33" s="1300" customFormat="1" ht="15.75" x14ac:dyDescent="0.25">
      <c r="A82" s="1299"/>
      <c r="B82" s="1307" t="s">
        <v>1412</v>
      </c>
      <c r="C82" s="543"/>
      <c r="D82" s="543"/>
      <c r="E82" s="543"/>
      <c r="F82" s="543"/>
      <c r="G82" s="1095"/>
      <c r="H82" s="489" t="s">
        <v>259</v>
      </c>
      <c r="I82" s="1082"/>
      <c r="J82" s="1299"/>
      <c r="K82" s="1299"/>
      <c r="L82" s="1299"/>
      <c r="M82" s="1299"/>
      <c r="N82" s="1299"/>
      <c r="O82" s="1299"/>
      <c r="P82" s="1299"/>
      <c r="Q82" s="1299"/>
      <c r="R82" s="1299"/>
      <c r="S82" s="1299"/>
      <c r="T82" s="1299"/>
      <c r="U82" s="1299"/>
      <c r="V82" s="1299"/>
      <c r="W82" s="1299"/>
      <c r="X82" s="1299"/>
      <c r="Y82" s="1299"/>
      <c r="Z82" s="1299"/>
      <c r="AA82" s="1299"/>
      <c r="AB82" s="1299"/>
      <c r="AC82" s="1299"/>
      <c r="AD82" s="1299"/>
      <c r="AE82" s="1299"/>
      <c r="AF82" s="1299"/>
      <c r="AG82" s="1299"/>
    </row>
    <row r="83" spans="1:33" s="1300" customFormat="1" ht="15.75" x14ac:dyDescent="0.25">
      <c r="A83" s="1299"/>
      <c r="B83" s="1303" t="s">
        <v>1413</v>
      </c>
      <c r="C83" s="2090"/>
      <c r="D83" s="2090"/>
      <c r="E83" s="2090"/>
      <c r="F83" s="488"/>
      <c r="G83" s="2086"/>
      <c r="H83" s="2091" t="s">
        <v>259</v>
      </c>
      <c r="I83" s="2080"/>
      <c r="J83" s="1299"/>
      <c r="K83" s="1299"/>
      <c r="L83" s="1299"/>
      <c r="M83" s="1299"/>
      <c r="N83" s="1299"/>
      <c r="O83" s="1299"/>
      <c r="P83" s="1299"/>
      <c r="Q83" s="1299"/>
      <c r="R83" s="1299"/>
      <c r="S83" s="1299"/>
      <c r="T83" s="1299"/>
      <c r="U83" s="1299"/>
      <c r="V83" s="1299"/>
      <c r="W83" s="1299"/>
      <c r="X83" s="1299"/>
      <c r="Y83" s="1299"/>
      <c r="Z83" s="1299"/>
      <c r="AA83" s="1299"/>
      <c r="AB83" s="1299"/>
      <c r="AC83" s="1299"/>
      <c r="AD83" s="1299"/>
      <c r="AE83" s="1299"/>
      <c r="AF83" s="1299"/>
      <c r="AG83" s="1299"/>
    </row>
    <row r="84" spans="1:33" s="1300" customFormat="1" ht="15.75" x14ac:dyDescent="0.25">
      <c r="A84" s="1299"/>
      <c r="B84" s="1303" t="s">
        <v>1411</v>
      </c>
      <c r="C84" s="2090"/>
      <c r="D84" s="2090"/>
      <c r="E84" s="2090"/>
      <c r="F84" s="488"/>
      <c r="G84" s="2090">
        <f>(100-(G82+G83))</f>
        <v>100</v>
      </c>
      <c r="H84" s="2091" t="s">
        <v>259</v>
      </c>
      <c r="I84" s="2080"/>
      <c r="J84" s="1299"/>
      <c r="K84" s="1299"/>
      <c r="L84" s="1299"/>
      <c r="M84" s="1299"/>
      <c r="N84" s="1299"/>
      <c r="O84" s="1299"/>
      <c r="P84" s="1299"/>
      <c r="Q84" s="1299"/>
      <c r="R84" s="1299"/>
      <c r="S84" s="1299"/>
      <c r="T84" s="1299"/>
      <c r="U84" s="1299"/>
      <c r="V84" s="1299"/>
      <c r="W84" s="1299"/>
      <c r="X84" s="1299"/>
      <c r="Y84" s="1299"/>
      <c r="Z84" s="1299"/>
      <c r="AA84" s="1299"/>
      <c r="AB84" s="1299"/>
      <c r="AC84" s="1299"/>
      <c r="AD84" s="1299"/>
      <c r="AE84" s="1299"/>
      <c r="AF84" s="1299"/>
      <c r="AG84" s="1299"/>
    </row>
    <row r="85" spans="1:33" s="1300" customFormat="1" ht="15.75" x14ac:dyDescent="0.25">
      <c r="A85" s="1299"/>
      <c r="B85" s="1303"/>
      <c r="C85" s="488"/>
      <c r="D85" s="488"/>
      <c r="E85" s="488"/>
      <c r="F85" s="488"/>
      <c r="G85" s="488"/>
      <c r="H85" s="488"/>
      <c r="I85" s="1082"/>
      <c r="J85" s="1299"/>
      <c r="K85" s="1299"/>
      <c r="L85" s="1299"/>
      <c r="M85" s="1299"/>
      <c r="N85" s="1299"/>
      <c r="O85" s="1299"/>
      <c r="P85" s="1299"/>
      <c r="Q85" s="1299"/>
      <c r="R85" s="1299"/>
      <c r="S85" s="1299"/>
      <c r="T85" s="1299"/>
      <c r="U85" s="1299"/>
      <c r="V85" s="1299"/>
      <c r="W85" s="1299"/>
      <c r="X85" s="1299"/>
      <c r="Y85" s="1299"/>
      <c r="Z85" s="1299"/>
      <c r="AA85" s="1299"/>
      <c r="AB85" s="1299"/>
      <c r="AC85" s="1299"/>
      <c r="AD85" s="1299"/>
      <c r="AE85" s="1299"/>
      <c r="AF85" s="1299"/>
      <c r="AG85" s="1299"/>
    </row>
    <row r="86" spans="1:33" s="1300" customFormat="1" ht="15.75" x14ac:dyDescent="0.25">
      <c r="A86" s="1299"/>
      <c r="B86" s="1303" t="s">
        <v>1364</v>
      </c>
      <c r="C86" s="2090"/>
      <c r="D86" s="2090"/>
      <c r="E86" s="2090"/>
      <c r="F86" s="488"/>
      <c r="G86" s="2086"/>
      <c r="H86" s="2090"/>
      <c r="I86" s="2063"/>
      <c r="J86" s="1299"/>
      <c r="K86" s="1299"/>
      <c r="L86" s="1299"/>
      <c r="M86" s="1299"/>
      <c r="N86" s="1299"/>
      <c r="O86" s="1299"/>
      <c r="P86" s="1299"/>
      <c r="Q86" s="1299"/>
      <c r="R86" s="1299"/>
      <c r="S86" s="1299"/>
      <c r="T86" s="1299"/>
      <c r="U86" s="1299"/>
      <c r="V86" s="1299"/>
      <c r="W86" s="1299"/>
      <c r="X86" s="1299"/>
      <c r="Y86" s="1299"/>
      <c r="Z86" s="1299"/>
      <c r="AA86" s="1299"/>
      <c r="AB86" s="1299"/>
      <c r="AC86" s="1299"/>
      <c r="AD86" s="1299"/>
      <c r="AE86" s="1299"/>
      <c r="AF86" s="1299"/>
      <c r="AG86" s="1299"/>
    </row>
    <row r="87" spans="1:33" s="1300" customFormat="1" ht="15.75" x14ac:dyDescent="0.25">
      <c r="A87" s="1299"/>
      <c r="B87" s="1303"/>
      <c r="C87" s="2090"/>
      <c r="D87" s="2090"/>
      <c r="E87" s="2090"/>
      <c r="F87" s="2090"/>
      <c r="G87" s="598" t="s">
        <v>964</v>
      </c>
      <c r="H87" s="598" t="s">
        <v>965</v>
      </c>
      <c r="I87" s="2063"/>
      <c r="J87" s="1299"/>
      <c r="K87" s="1299"/>
      <c r="L87" s="1299"/>
      <c r="M87" s="1299"/>
      <c r="N87" s="1299"/>
      <c r="O87" s="1299"/>
      <c r="P87" s="1299"/>
      <c r="Q87" s="1299"/>
      <c r="R87" s="1299"/>
      <c r="S87" s="1299"/>
      <c r="T87" s="1299"/>
      <c r="U87" s="1299"/>
      <c r="V87" s="1299"/>
      <c r="W87" s="1299"/>
      <c r="X87" s="1299"/>
      <c r="Y87" s="1299"/>
      <c r="Z87" s="1299"/>
      <c r="AA87" s="1299"/>
      <c r="AB87" s="1299"/>
      <c r="AC87" s="1299"/>
      <c r="AD87" s="1299"/>
      <c r="AE87" s="1299"/>
      <c r="AF87" s="1299"/>
      <c r="AG87" s="1299"/>
    </row>
    <row r="88" spans="1:33" s="1300" customFormat="1" ht="15.75" x14ac:dyDescent="0.25">
      <c r="A88" s="1299"/>
      <c r="B88" s="1303" t="s">
        <v>1385</v>
      </c>
      <c r="C88" s="2090"/>
      <c r="D88" s="2090"/>
      <c r="E88" s="2090"/>
      <c r="F88" s="2090"/>
      <c r="G88" s="2086"/>
      <c r="H88" s="2086"/>
      <c r="I88" s="2063"/>
      <c r="J88" s="1299"/>
      <c r="K88" s="1299"/>
      <c r="L88" s="1299"/>
      <c r="M88" s="1299"/>
      <c r="N88" s="1299"/>
      <c r="O88" s="1299"/>
      <c r="P88" s="1299"/>
      <c r="Q88" s="1299"/>
      <c r="R88" s="1299"/>
      <c r="S88" s="1299"/>
      <c r="T88" s="1299"/>
      <c r="U88" s="1299"/>
      <c r="V88" s="1299"/>
      <c r="W88" s="1299"/>
      <c r="X88" s="1299"/>
      <c r="Y88" s="1299"/>
      <c r="Z88" s="1299"/>
      <c r="AA88" s="1299"/>
      <c r="AB88" s="1299"/>
      <c r="AC88" s="1299"/>
      <c r="AD88" s="1299"/>
      <c r="AE88" s="1299"/>
      <c r="AF88" s="1299"/>
      <c r="AG88" s="1299"/>
    </row>
    <row r="89" spans="1:33" s="1300" customFormat="1" ht="15.75" x14ac:dyDescent="0.25">
      <c r="A89" s="1299"/>
      <c r="B89" s="1303"/>
      <c r="C89" s="2090"/>
      <c r="D89" s="2090"/>
      <c r="E89" s="2090"/>
      <c r="F89" s="2090"/>
      <c r="G89" s="2090"/>
      <c r="H89" s="2090"/>
      <c r="I89" s="2063"/>
      <c r="J89" s="1299"/>
      <c r="K89" s="1299"/>
      <c r="L89" s="1299"/>
      <c r="M89" s="1299"/>
      <c r="N89" s="1299"/>
      <c r="O89" s="1299"/>
      <c r="P89" s="1299"/>
      <c r="Q89" s="1299"/>
      <c r="R89" s="1299"/>
      <c r="S89" s="1299"/>
      <c r="T89" s="1299"/>
      <c r="U89" s="1299"/>
      <c r="V89" s="1299"/>
      <c r="W89" s="1299"/>
      <c r="X89" s="1299"/>
      <c r="Y89" s="1299"/>
      <c r="Z89" s="1299"/>
      <c r="AA89" s="1299"/>
      <c r="AB89" s="1299"/>
      <c r="AC89" s="1299"/>
      <c r="AD89" s="1299"/>
      <c r="AE89" s="1299"/>
      <c r="AF89" s="1299"/>
      <c r="AG89" s="1299"/>
    </row>
    <row r="90" spans="1:33" s="1300" customFormat="1" ht="15.75" x14ac:dyDescent="0.25">
      <c r="A90" s="1299"/>
      <c r="B90" s="1303" t="s">
        <v>1362</v>
      </c>
      <c r="C90" s="2090"/>
      <c r="D90" s="2090"/>
      <c r="E90" s="488"/>
      <c r="F90" s="2128"/>
      <c r="G90" s="2128"/>
      <c r="H90" s="598" t="s">
        <v>1031</v>
      </c>
      <c r="I90" s="1292" t="e">
        <f>AN196</f>
        <v>#N/A</v>
      </c>
      <c r="J90" s="1499"/>
      <c r="K90" s="1299"/>
      <c r="L90" s="1299"/>
      <c r="M90" s="1299"/>
      <c r="N90" s="1299"/>
      <c r="O90" s="1299"/>
      <c r="P90" s="1299"/>
      <c r="Q90" s="1299"/>
      <c r="R90" s="1299"/>
      <c r="S90" s="1299"/>
      <c r="T90" s="1299"/>
      <c r="U90" s="1299"/>
      <c r="V90" s="1299"/>
      <c r="W90" s="1299"/>
      <c r="X90" s="1299"/>
      <c r="Y90" s="1299"/>
      <c r="Z90" s="1299"/>
      <c r="AA90" s="1299"/>
      <c r="AB90" s="1299"/>
      <c r="AC90" s="1299"/>
      <c r="AD90" s="1299"/>
      <c r="AE90" s="1299"/>
      <c r="AF90" s="1299"/>
      <c r="AG90" s="1299"/>
    </row>
    <row r="91" spans="1:33" s="1300" customFormat="1" ht="15.75" x14ac:dyDescent="0.25">
      <c r="A91" s="1299"/>
      <c r="B91" s="2075"/>
      <c r="C91" s="2090"/>
      <c r="D91" s="2090"/>
      <c r="E91" s="2090"/>
      <c r="F91" s="2090"/>
      <c r="G91" s="2090"/>
      <c r="H91" s="2090"/>
      <c r="I91" s="2081"/>
      <c r="J91" s="1299"/>
      <c r="K91" s="1299"/>
      <c r="L91" s="1299"/>
      <c r="M91" s="1299"/>
      <c r="N91" s="1299"/>
      <c r="O91" s="1299"/>
      <c r="P91" s="1299"/>
      <c r="Q91" s="1299"/>
      <c r="R91" s="1299"/>
      <c r="S91" s="1299"/>
      <c r="T91" s="1299"/>
      <c r="U91" s="1299"/>
      <c r="V91" s="1299"/>
      <c r="W91" s="1299"/>
      <c r="X91" s="1299"/>
      <c r="Y91" s="1299"/>
      <c r="Z91" s="1299"/>
      <c r="AA91" s="1299"/>
      <c r="AB91" s="1299"/>
      <c r="AC91" s="1299"/>
      <c r="AD91" s="1299"/>
      <c r="AE91" s="1299"/>
      <c r="AF91" s="1299"/>
      <c r="AG91" s="1299"/>
    </row>
    <row r="92" spans="1:33" s="1299" customFormat="1" ht="15.75" x14ac:dyDescent="0.25">
      <c r="B92" s="2075" t="s">
        <v>971</v>
      </c>
      <c r="C92" s="2090"/>
      <c r="D92" s="2090"/>
      <c r="E92" s="2090"/>
      <c r="F92" s="2090"/>
      <c r="G92" s="598" t="s">
        <v>964</v>
      </c>
      <c r="H92" s="598" t="s">
        <v>965</v>
      </c>
      <c r="I92" s="2081"/>
    </row>
    <row r="93" spans="1:33" s="1299" customFormat="1" ht="15.75" x14ac:dyDescent="0.25">
      <c r="B93" s="1303" t="s">
        <v>1102</v>
      </c>
      <c r="C93" s="2090"/>
      <c r="D93" s="2090"/>
      <c r="E93" s="2090"/>
      <c r="F93" s="2090"/>
      <c r="G93" s="2086"/>
      <c r="H93" s="2086"/>
      <c r="I93" s="2081"/>
    </row>
    <row r="94" spans="1:33" s="1299" customFormat="1" x14ac:dyDescent="0.25">
      <c r="B94" s="596"/>
      <c r="C94" s="591"/>
      <c r="D94" s="591"/>
      <c r="E94" s="591"/>
      <c r="F94" s="591"/>
      <c r="G94" s="591"/>
      <c r="H94" s="591"/>
      <c r="I94" s="1295"/>
    </row>
    <row r="95" spans="1:33" s="1299" customFormat="1" ht="15.75" x14ac:dyDescent="0.25">
      <c r="B95" s="547" t="s">
        <v>966</v>
      </c>
      <c r="C95" s="597"/>
      <c r="D95" s="597"/>
      <c r="E95" s="634"/>
      <c r="F95" s="2145"/>
      <c r="G95" s="2145"/>
      <c r="H95" s="2082" t="s">
        <v>1031</v>
      </c>
      <c r="I95" s="2083">
        <f>AN199</f>
        <v>1</v>
      </c>
    </row>
    <row r="96" spans="1:33" x14ac:dyDescent="0.25">
      <c r="F96" s="1472"/>
      <c r="G96" s="1472"/>
    </row>
    <row r="97" spans="1:25" ht="15.75" x14ac:dyDescent="0.25">
      <c r="B97" s="355" t="s">
        <v>677</v>
      </c>
    </row>
    <row r="98" spans="1:25" ht="25.15" customHeight="1" x14ac:dyDescent="0.25">
      <c r="B98" s="2111"/>
      <c r="C98" s="2112"/>
      <c r="D98" s="2148" t="str">
        <f>D16</f>
        <v>Milking Cows</v>
      </c>
      <c r="E98" s="2148" t="str">
        <f>E16</f>
        <v xml:space="preserve">Heifers &gt;1 </v>
      </c>
      <c r="F98" s="2148" t="str">
        <f>F16</f>
        <v xml:space="preserve">Heifers &lt;1 </v>
      </c>
      <c r="G98" s="2148" t="str">
        <f>G16</f>
        <v>Mature bulls</v>
      </c>
      <c r="H98" s="2148" t="str">
        <f>H16</f>
        <v>Immature bulls</v>
      </c>
      <c r="I98" s="2148" t="s">
        <v>463</v>
      </c>
      <c r="J98" s="2150" t="s">
        <v>1070</v>
      </c>
      <c r="K98" s="2146" t="s">
        <v>1071</v>
      </c>
    </row>
    <row r="99" spans="1:25" s="559" customFormat="1" ht="25.15" customHeight="1" x14ac:dyDescent="0.25">
      <c r="B99" s="1087"/>
      <c r="C99" s="795"/>
      <c r="D99" s="2149"/>
      <c r="E99" s="2149"/>
      <c r="F99" s="2149"/>
      <c r="G99" s="2149"/>
      <c r="H99" s="2149"/>
      <c r="I99" s="2149"/>
      <c r="J99" s="2151"/>
      <c r="K99" s="2147"/>
    </row>
    <row r="100" spans="1:25" ht="15.75" x14ac:dyDescent="0.25">
      <c r="B100" s="1088" t="s">
        <v>891</v>
      </c>
      <c r="C100" s="794" t="s">
        <v>457</v>
      </c>
      <c r="D100" s="2009" t="e">
        <f>D202*25*10^3</f>
        <v>#DIV/0!</v>
      </c>
      <c r="E100" s="2009">
        <f>E202*25*10^3</f>
        <v>0</v>
      </c>
      <c r="F100" s="2009">
        <f>(F202+I202)*25*10^3</f>
        <v>0</v>
      </c>
      <c r="G100" s="2009">
        <f>G202*25*10^3</f>
        <v>0</v>
      </c>
      <c r="H100" s="2009">
        <f>(H202+J202)*25*10^3</f>
        <v>0</v>
      </c>
      <c r="I100" s="2009"/>
      <c r="J100" s="2007" t="e">
        <f>SUM(D100:H100)</f>
        <v>#DIV/0!</v>
      </c>
      <c r="K100" s="1090" t="e">
        <f>J100/($J$113-$J$112)</f>
        <v>#DIV/0!</v>
      </c>
      <c r="L100" s="356"/>
      <c r="M100" s="1483"/>
      <c r="S100" s="57"/>
      <c r="T100" s="57"/>
      <c r="U100" s="56"/>
      <c r="V100" s="56"/>
      <c r="W100" s="56"/>
      <c r="X100" s="56"/>
      <c r="Y100" s="56"/>
    </row>
    <row r="101" spans="1:25" ht="15.75" x14ac:dyDescent="0.25">
      <c r="B101" s="1089"/>
      <c r="C101" s="58" t="s">
        <v>458</v>
      </c>
      <c r="D101" s="2009" t="e">
        <f>D227*25*10^3</f>
        <v>#DIV/0!</v>
      </c>
      <c r="E101" s="2009">
        <f>E227*25*10^3</f>
        <v>0</v>
      </c>
      <c r="F101" s="2009">
        <f>(F227+I227)*25*10^3</f>
        <v>0</v>
      </c>
      <c r="G101" s="2009">
        <f>G227*25*10^3</f>
        <v>0</v>
      </c>
      <c r="H101" s="2009">
        <f>(H227+J227)*25*10^3</f>
        <v>0</v>
      </c>
      <c r="I101" s="2009"/>
      <c r="J101" s="2007" t="e">
        <f>SUM(D101:H101)</f>
        <v>#DIV/0!</v>
      </c>
      <c r="K101" s="1090" t="e">
        <f t="shared" ref="K101:K111" si="0">J101/($J$113-$J$112)</f>
        <v>#DIV/0!</v>
      </c>
      <c r="L101" s="1483"/>
      <c r="M101" s="1483"/>
      <c r="S101" s="57"/>
      <c r="T101" s="57"/>
      <c r="U101" s="56"/>
      <c r="V101" s="56"/>
      <c r="W101" s="56"/>
      <c r="X101" s="56"/>
      <c r="Y101" s="56"/>
    </row>
    <row r="102" spans="1:25" ht="15.75" x14ac:dyDescent="0.25">
      <c r="A102" s="56"/>
      <c r="B102" s="1088" t="s">
        <v>892</v>
      </c>
      <c r="C102" s="58" t="s">
        <v>1505</v>
      </c>
      <c r="D102" s="2009" t="e">
        <f>D408*298*10^3</f>
        <v>#DIV/0!</v>
      </c>
      <c r="E102" s="2009" t="e">
        <f>E408*298*10^3</f>
        <v>#N/A</v>
      </c>
      <c r="F102" s="2009" t="e">
        <f>(F408+I408)*298*10^3</f>
        <v>#N/A</v>
      </c>
      <c r="G102" s="2009" t="e">
        <f>G408*298*10^3</f>
        <v>#N/A</v>
      </c>
      <c r="H102" s="2009" t="e">
        <f>(H408+J408)*298*10^3</f>
        <v>#N/A</v>
      </c>
      <c r="I102" s="2009"/>
      <c r="J102" s="2007" t="e">
        <f>SUM(D102:H102)</f>
        <v>#DIV/0!</v>
      </c>
      <c r="K102" s="1090" t="e">
        <f t="shared" si="0"/>
        <v>#DIV/0!</v>
      </c>
      <c r="L102" s="1489"/>
      <c r="M102" s="1483"/>
      <c r="N102" s="356"/>
    </row>
    <row r="103" spans="1:25" ht="15.75" x14ac:dyDescent="0.25">
      <c r="A103" s="56"/>
      <c r="B103" s="1089"/>
      <c r="C103" s="58" t="s">
        <v>1509</v>
      </c>
      <c r="D103" s="2009" t="e">
        <f>(D287+D363)*298*10^3</f>
        <v>#DIV/0!</v>
      </c>
      <c r="E103" s="2009" t="e">
        <f>(E287+E363)*298*10^3</f>
        <v>#N/A</v>
      </c>
      <c r="F103" s="2009" t="e">
        <f>((F287+I287)+(F363+I363))*298*10^3</f>
        <v>#N/A</v>
      </c>
      <c r="G103" s="2009" t="e">
        <f>(G287+G363)*298*10^3</f>
        <v>#N/A</v>
      </c>
      <c r="H103" s="2009" t="e">
        <f>((H287+J287)+(H363+J363))*298*10^3</f>
        <v>#N/A</v>
      </c>
      <c r="I103" s="2009"/>
      <c r="J103" s="2007" t="e">
        <f>SUM(D103:H103)</f>
        <v>#DIV/0!</v>
      </c>
      <c r="K103" s="1090" t="e">
        <f t="shared" si="0"/>
        <v>#DIV/0!</v>
      </c>
      <c r="L103" s="1496"/>
      <c r="M103" s="1483"/>
      <c r="N103" s="356"/>
      <c r="O103" s="57"/>
      <c r="P103" s="57"/>
      <c r="Q103" s="57"/>
      <c r="R103" s="57"/>
    </row>
    <row r="104" spans="1:25" ht="15.75" x14ac:dyDescent="0.25">
      <c r="A104" s="56"/>
      <c r="B104" s="1089"/>
      <c r="C104" s="58" t="s">
        <v>1436</v>
      </c>
      <c r="D104" s="2009" t="e">
        <f>(D302+D311+D445+D479)*298*10^3</f>
        <v>#DIV/0!</v>
      </c>
      <c r="E104" s="2009" t="e">
        <f>(E302+E311+E445+E479)*298*10^3</f>
        <v>#N/A</v>
      </c>
      <c r="F104" s="2002" t="e">
        <f>(F302+F311+F445+F479+I302+I311+I445+I479)*298*10^3</f>
        <v>#N/A</v>
      </c>
      <c r="G104" s="2002" t="e">
        <f>(G302+G311+G445+G479)*298*10^3</f>
        <v>#N/A</v>
      </c>
      <c r="H104" s="2002" t="e">
        <f>(H302+H311+H445+H479+J302+J311+J445+J479)*298*10^3</f>
        <v>#N/A</v>
      </c>
      <c r="I104" s="2009"/>
      <c r="J104" s="2007" t="e">
        <f>SUM(D104:H104)</f>
        <v>#DIV/0!</v>
      </c>
      <c r="K104" s="1090" t="e">
        <f t="shared" si="0"/>
        <v>#DIV/0!</v>
      </c>
      <c r="L104" s="1489"/>
      <c r="M104" s="1483"/>
      <c r="N104" s="356"/>
    </row>
    <row r="105" spans="1:25" ht="15.75" x14ac:dyDescent="0.25">
      <c r="A105" s="56"/>
      <c r="B105" s="1089"/>
      <c r="C105" s="58" t="s">
        <v>462</v>
      </c>
      <c r="D105" s="1975"/>
      <c r="E105" s="2009"/>
      <c r="F105" s="1993"/>
      <c r="G105" s="1993"/>
      <c r="H105" s="1993"/>
      <c r="I105" s="2009">
        <f>C341</f>
        <v>0</v>
      </c>
      <c r="J105" s="2007">
        <f>I105</f>
        <v>0</v>
      </c>
      <c r="K105" s="1090" t="e">
        <f t="shared" si="0"/>
        <v>#DIV/0!</v>
      </c>
      <c r="L105" s="1483"/>
      <c r="M105" s="1483"/>
    </row>
    <row r="106" spans="1:25" ht="15.75" x14ac:dyDescent="0.25">
      <c r="A106" s="56"/>
      <c r="B106" s="1089"/>
      <c r="C106" s="58" t="s">
        <v>460</v>
      </c>
      <c r="D106" s="1975"/>
      <c r="E106" s="2009"/>
      <c r="F106" s="2009"/>
      <c r="G106" s="1992"/>
      <c r="H106" s="2009"/>
      <c r="I106" s="2009">
        <f>(SUM(D440:D441)+SUM(D474:D475))*298*10^3</f>
        <v>0</v>
      </c>
      <c r="J106" s="2007">
        <f>I106</f>
        <v>0</v>
      </c>
      <c r="K106" s="1090" t="e">
        <f t="shared" si="0"/>
        <v>#DIV/0!</v>
      </c>
      <c r="L106" s="1483"/>
      <c r="M106" s="1483"/>
    </row>
    <row r="107" spans="1:25" ht="15.75" x14ac:dyDescent="0.25">
      <c r="A107" s="56"/>
      <c r="B107" s="1088" t="s">
        <v>893</v>
      </c>
      <c r="C107" s="58" t="s">
        <v>889</v>
      </c>
      <c r="D107" s="1989"/>
      <c r="E107" s="1989"/>
      <c r="F107" s="1989"/>
      <c r="G107" s="1992"/>
      <c r="H107" s="1989"/>
      <c r="I107" s="2009"/>
      <c r="J107" s="2007" t="e">
        <f>C553</f>
        <v>#N/A</v>
      </c>
      <c r="K107" s="1090" t="e">
        <f t="shared" si="0"/>
        <v>#N/A</v>
      </c>
      <c r="L107" s="1483"/>
      <c r="M107" s="1483"/>
    </row>
    <row r="108" spans="1:25" ht="15.75" x14ac:dyDescent="0.25">
      <c r="A108" s="56"/>
      <c r="B108" s="1088"/>
      <c r="C108" s="58" t="s">
        <v>890</v>
      </c>
      <c r="D108" s="1975"/>
      <c r="E108" s="2009"/>
      <c r="F108" s="2009"/>
      <c r="G108" s="1992"/>
      <c r="H108" s="2009"/>
      <c r="I108" s="2009"/>
      <c r="J108" s="2007">
        <f>C546+C547</f>
        <v>0</v>
      </c>
      <c r="K108" s="1090" t="e">
        <f t="shared" si="0"/>
        <v>#DIV/0!</v>
      </c>
      <c r="L108" s="758"/>
      <c r="M108" s="1483"/>
    </row>
    <row r="109" spans="1:25" s="559" customFormat="1" ht="15.75" x14ac:dyDescent="0.25">
      <c r="A109" s="56"/>
      <c r="B109" s="1088" t="s">
        <v>1677</v>
      </c>
      <c r="C109" s="58" t="s">
        <v>938</v>
      </c>
      <c r="D109" s="1975"/>
      <c r="E109" s="2009"/>
      <c r="F109" s="2009"/>
      <c r="G109" s="1992"/>
      <c r="H109" s="2009"/>
      <c r="I109" s="2009"/>
      <c r="J109" s="2007">
        <f>E577</f>
        <v>0</v>
      </c>
      <c r="K109" s="1090" t="e">
        <f>J109/($J$113-$J$112)</f>
        <v>#DIV/0!</v>
      </c>
      <c r="M109" s="1483"/>
    </row>
    <row r="110" spans="1:25" s="559" customFormat="1" ht="15.75" x14ac:dyDescent="0.25">
      <c r="A110" s="56"/>
      <c r="B110" s="1088"/>
      <c r="C110" s="58" t="s">
        <v>939</v>
      </c>
      <c r="D110" s="1975"/>
      <c r="E110" s="2009"/>
      <c r="F110" s="2009"/>
      <c r="G110" s="1992"/>
      <c r="H110" s="2009"/>
      <c r="I110" s="2009"/>
      <c r="J110" s="2007">
        <f>E579-E577</f>
        <v>0</v>
      </c>
      <c r="K110" s="1090" t="e">
        <f t="shared" si="0"/>
        <v>#DIV/0!</v>
      </c>
      <c r="M110" s="1483"/>
    </row>
    <row r="111" spans="1:25" s="559" customFormat="1" ht="15.75" x14ac:dyDescent="0.25">
      <c r="A111" s="56"/>
      <c r="B111" s="1088"/>
      <c r="C111" s="58" t="s">
        <v>921</v>
      </c>
      <c r="D111" s="1975"/>
      <c r="E111" s="2009"/>
      <c r="F111" s="2009"/>
      <c r="G111" s="2009"/>
      <c r="H111" s="2009"/>
      <c r="I111" s="2009"/>
      <c r="J111" s="2007">
        <f>E586</f>
        <v>0</v>
      </c>
      <c r="K111" s="1090" t="e">
        <f t="shared" si="0"/>
        <v>#DIV/0!</v>
      </c>
      <c r="L111" s="758"/>
      <c r="M111" s="1483"/>
    </row>
    <row r="112" spans="1:25" ht="15.75" x14ac:dyDescent="0.25">
      <c r="B112" s="1088" t="s">
        <v>676</v>
      </c>
      <c r="C112" s="58" t="s">
        <v>1153</v>
      </c>
      <c r="D112" s="1975"/>
      <c r="E112" s="2009"/>
      <c r="F112" s="2009"/>
      <c r="G112" s="2009"/>
      <c r="H112" s="2009"/>
      <c r="I112" s="2009"/>
      <c r="J112" s="2007">
        <f>IF(H65=0,IF(H65="",0,(G518*H65*-1)),(G518*H65*-1))</f>
        <v>0</v>
      </c>
      <c r="K112" s="1091"/>
      <c r="M112" s="1483"/>
    </row>
    <row r="113" spans="2:13" ht="17.25" x14ac:dyDescent="0.3">
      <c r="B113" s="1088" t="s">
        <v>767</v>
      </c>
      <c r="C113" s="58"/>
      <c r="D113" s="1991" t="e">
        <f t="shared" ref="D113:I113" si="1">SUM(D100:D112)</f>
        <v>#DIV/0!</v>
      </c>
      <c r="E113" s="1991" t="e">
        <f t="shared" si="1"/>
        <v>#N/A</v>
      </c>
      <c r="F113" s="1991" t="e">
        <f t="shared" si="1"/>
        <v>#N/A</v>
      </c>
      <c r="G113" s="1991" t="e">
        <f t="shared" si="1"/>
        <v>#N/A</v>
      </c>
      <c r="H113" s="1991" t="e">
        <f t="shared" si="1"/>
        <v>#N/A</v>
      </c>
      <c r="I113" s="1991">
        <f t="shared" si="1"/>
        <v>0</v>
      </c>
      <c r="J113" s="2008" t="e">
        <f>SUM(J100:J112)</f>
        <v>#DIV/0!</v>
      </c>
      <c r="K113" s="1092" t="s">
        <v>1389</v>
      </c>
      <c r="M113" s="357"/>
    </row>
    <row r="114" spans="2:13" ht="15.75" x14ac:dyDescent="0.25">
      <c r="B114" s="1088" t="s">
        <v>1045</v>
      </c>
      <c r="C114" s="58"/>
      <c r="D114" s="1887" t="e">
        <f t="shared" ref="D114:I114" si="2">D113/SUM($J$100:$J$111)</f>
        <v>#DIV/0!</v>
      </c>
      <c r="E114" s="1887" t="e">
        <f t="shared" si="2"/>
        <v>#N/A</v>
      </c>
      <c r="F114" s="1887" t="e">
        <f t="shared" si="2"/>
        <v>#N/A</v>
      </c>
      <c r="G114" s="1887" t="e">
        <f t="shared" si="2"/>
        <v>#N/A</v>
      </c>
      <c r="H114" s="1887" t="e">
        <f t="shared" si="2"/>
        <v>#N/A</v>
      </c>
      <c r="I114" s="1887" t="e">
        <f t="shared" si="2"/>
        <v>#DIV/0!</v>
      </c>
      <c r="J114" s="1803"/>
      <c r="K114" s="1093"/>
    </row>
    <row r="115" spans="2:13" ht="17.25" x14ac:dyDescent="0.3">
      <c r="B115" s="1088" t="s">
        <v>1120</v>
      </c>
      <c r="C115" s="58"/>
      <c r="D115" s="1664"/>
      <c r="E115" s="2002"/>
      <c r="F115" s="2002"/>
      <c r="G115" s="2002"/>
      <c r="H115" s="2002"/>
      <c r="I115" s="2002"/>
      <c r="J115" s="1666" t="e">
        <f>P185</f>
        <v>#DIV/0!</v>
      </c>
      <c r="K115" s="1092" t="s">
        <v>1390</v>
      </c>
    </row>
    <row r="116" spans="2:13" ht="17.25" x14ac:dyDescent="0.3">
      <c r="B116" s="1084" t="s">
        <v>1043</v>
      </c>
      <c r="C116" s="1085"/>
      <c r="D116" s="2084"/>
      <c r="E116" s="2084"/>
      <c r="F116" s="2084"/>
      <c r="G116" s="2084"/>
      <c r="H116" s="2084"/>
      <c r="I116" s="2084"/>
      <c r="J116" s="1974" t="e">
        <f>P186</f>
        <v>#DIV/0!</v>
      </c>
      <c r="K116" s="1086" t="s">
        <v>1391</v>
      </c>
    </row>
    <row r="117" spans="2:13" s="559" customFormat="1" x14ac:dyDescent="0.25"/>
    <row r="118" spans="2:13" ht="15.75" x14ac:dyDescent="0.25">
      <c r="B118" s="358" t="s">
        <v>768</v>
      </c>
      <c r="C118" s="358"/>
      <c r="D118" s="359"/>
      <c r="E118" s="359"/>
      <c r="F118" s="359"/>
      <c r="G118" s="359"/>
      <c r="H118" s="359"/>
      <c r="I118" s="359"/>
      <c r="J118" s="1495"/>
    </row>
    <row r="119" spans="2:13" ht="15.75" x14ac:dyDescent="0.25">
      <c r="B119" s="358"/>
      <c r="C119" s="358"/>
      <c r="D119" s="359"/>
      <c r="E119" s="359"/>
      <c r="F119" s="359"/>
      <c r="G119" s="359"/>
      <c r="H119" s="359"/>
      <c r="I119" s="359"/>
      <c r="J119" s="1499"/>
    </row>
    <row r="120" spans="2:13" ht="15.75" x14ac:dyDescent="0.25">
      <c r="B120" s="358" t="s">
        <v>1675</v>
      </c>
      <c r="C120" s="358"/>
      <c r="D120" s="359"/>
      <c r="E120" s="359"/>
      <c r="F120" s="359"/>
      <c r="G120" s="359"/>
      <c r="H120" s="359"/>
      <c r="I120" s="359"/>
      <c r="J120" s="1498"/>
    </row>
    <row r="121" spans="2:13" ht="15.75" x14ac:dyDescent="0.25">
      <c r="B121" s="358"/>
      <c r="C121" s="358"/>
      <c r="D121" s="359"/>
      <c r="E121" s="359"/>
      <c r="F121" s="359"/>
      <c r="G121" s="359"/>
      <c r="H121" s="359"/>
      <c r="I121" s="359"/>
    </row>
    <row r="122" spans="2:13" ht="15.75" x14ac:dyDescent="0.25">
      <c r="B122" s="358"/>
      <c r="C122" s="358"/>
      <c r="D122" s="359"/>
      <c r="E122" s="359"/>
      <c r="F122" s="359"/>
      <c r="G122" s="359"/>
      <c r="H122" s="359"/>
      <c r="I122" s="359"/>
    </row>
    <row r="123" spans="2:13" ht="15.75" x14ac:dyDescent="0.25">
      <c r="B123" s="358"/>
      <c r="C123" s="358"/>
      <c r="D123" s="359"/>
      <c r="E123" s="359"/>
      <c r="F123" s="359"/>
      <c r="G123" s="359"/>
      <c r="H123" s="359"/>
      <c r="I123" s="359"/>
    </row>
    <row r="124" spans="2:13" ht="15.75" x14ac:dyDescent="0.25">
      <c r="B124" s="358"/>
      <c r="C124" s="358"/>
      <c r="D124" s="359"/>
      <c r="E124" s="359"/>
      <c r="F124" s="359"/>
      <c r="G124" s="359"/>
      <c r="H124" s="359"/>
      <c r="I124" s="359"/>
    </row>
    <row r="125" spans="2:13" ht="15.75" x14ac:dyDescent="0.25">
      <c r="B125" s="358"/>
      <c r="C125" s="358"/>
      <c r="D125" s="359"/>
      <c r="E125" s="359"/>
      <c r="F125" s="359"/>
      <c r="G125" s="359"/>
      <c r="H125" s="359"/>
      <c r="I125" s="359"/>
    </row>
    <row r="126" spans="2:13" ht="15.75" x14ac:dyDescent="0.25">
      <c r="B126" s="358"/>
      <c r="C126" s="358"/>
      <c r="D126" s="359"/>
      <c r="E126" s="359"/>
      <c r="F126" s="359"/>
      <c r="G126" s="359"/>
      <c r="H126" s="359"/>
      <c r="I126" s="359"/>
    </row>
    <row r="127" spans="2:13" ht="15.75" x14ac:dyDescent="0.25">
      <c r="B127" s="358"/>
      <c r="C127" s="358"/>
      <c r="D127" s="359"/>
      <c r="E127" s="359"/>
      <c r="F127" s="359"/>
      <c r="G127" s="359"/>
      <c r="H127" s="359"/>
      <c r="I127" s="359"/>
    </row>
    <row r="128" spans="2:13" ht="15.75" x14ac:dyDescent="0.25">
      <c r="B128" s="358"/>
      <c r="C128" s="358"/>
      <c r="D128" s="359"/>
      <c r="E128" s="359"/>
      <c r="F128" s="359"/>
      <c r="G128" s="359"/>
      <c r="H128" s="359"/>
      <c r="I128" s="359"/>
    </row>
    <row r="129" spans="2:9" ht="15.75" x14ac:dyDescent="0.25">
      <c r="B129" s="358"/>
      <c r="C129" s="358"/>
      <c r="D129" s="359"/>
      <c r="E129" s="359"/>
      <c r="F129" s="359"/>
      <c r="G129" s="359"/>
      <c r="H129" s="359"/>
      <c r="I129" s="359"/>
    </row>
    <row r="130" spans="2:9" ht="15.75" x14ac:dyDescent="0.25">
      <c r="B130" s="358"/>
      <c r="C130" s="358"/>
      <c r="D130" s="359"/>
      <c r="E130" s="359"/>
      <c r="F130" s="359"/>
      <c r="G130" s="359"/>
      <c r="H130" s="359"/>
      <c r="I130" s="359"/>
    </row>
    <row r="131" spans="2:9" ht="15.75" x14ac:dyDescent="0.25">
      <c r="B131" s="358"/>
      <c r="C131" s="358"/>
      <c r="D131" s="359"/>
      <c r="E131" s="359"/>
      <c r="F131" s="359"/>
      <c r="G131" s="359"/>
      <c r="H131" s="359"/>
      <c r="I131" s="359"/>
    </row>
    <row r="132" spans="2:9" ht="15.75" x14ac:dyDescent="0.25">
      <c r="B132" s="358"/>
      <c r="C132" s="358"/>
      <c r="D132" s="359"/>
      <c r="E132" s="359"/>
      <c r="F132" s="359"/>
      <c r="G132" s="359"/>
      <c r="H132" s="359"/>
      <c r="I132" s="359"/>
    </row>
    <row r="133" spans="2:9" ht="15.75" x14ac:dyDescent="0.25">
      <c r="B133" s="358"/>
      <c r="C133" s="358"/>
      <c r="D133" s="359"/>
      <c r="E133" s="359"/>
      <c r="F133" s="359"/>
      <c r="G133" s="359"/>
      <c r="H133" s="359"/>
      <c r="I133" s="359"/>
    </row>
    <row r="134" spans="2:9" ht="15.75" x14ac:dyDescent="0.25">
      <c r="B134" s="358"/>
      <c r="C134" s="358"/>
      <c r="D134" s="359"/>
      <c r="E134" s="359"/>
      <c r="F134" s="359"/>
      <c r="G134" s="359"/>
      <c r="H134" s="359"/>
      <c r="I134" s="359"/>
    </row>
    <row r="135" spans="2:9" ht="15.75" x14ac:dyDescent="0.25">
      <c r="B135" s="358"/>
      <c r="C135" s="358"/>
      <c r="D135" s="359"/>
      <c r="E135" s="359"/>
      <c r="F135" s="359"/>
      <c r="G135" s="359"/>
      <c r="H135" s="359"/>
      <c r="I135" s="359"/>
    </row>
    <row r="136" spans="2:9" ht="15.75" x14ac:dyDescent="0.25">
      <c r="B136" s="358"/>
      <c r="C136" s="358"/>
      <c r="D136" s="359"/>
      <c r="E136" s="359"/>
      <c r="F136" s="359"/>
      <c r="G136" s="359"/>
      <c r="H136" s="359"/>
      <c r="I136" s="359"/>
    </row>
    <row r="137" spans="2:9" ht="15.75" x14ac:dyDescent="0.25">
      <c r="B137" s="358"/>
      <c r="C137" s="358"/>
      <c r="D137" s="359"/>
      <c r="E137" s="359"/>
      <c r="F137" s="359"/>
      <c r="G137" s="359"/>
      <c r="H137" s="359"/>
      <c r="I137" s="359"/>
    </row>
    <row r="138" spans="2:9" ht="15.75" x14ac:dyDescent="0.25">
      <c r="B138" s="358"/>
      <c r="C138" s="358"/>
      <c r="D138" s="359"/>
      <c r="E138" s="359"/>
      <c r="F138" s="359"/>
      <c r="G138" s="359"/>
      <c r="H138" s="359"/>
      <c r="I138" s="359"/>
    </row>
    <row r="139" spans="2:9" ht="15.75" x14ac:dyDescent="0.25">
      <c r="B139" s="358"/>
      <c r="C139" s="358"/>
      <c r="D139" s="359"/>
      <c r="E139" s="359"/>
      <c r="F139" s="359"/>
      <c r="G139" s="359"/>
      <c r="H139" s="359"/>
      <c r="I139" s="359"/>
    </row>
    <row r="140" spans="2:9" ht="15.75" x14ac:dyDescent="0.25">
      <c r="B140" s="358"/>
      <c r="C140" s="358"/>
      <c r="D140" s="360"/>
      <c r="E140" s="360"/>
      <c r="F140" s="360"/>
      <c r="G140" s="360"/>
      <c r="H140" s="360"/>
      <c r="I140" s="360"/>
    </row>
    <row r="160" ht="15" customHeight="1" x14ac:dyDescent="0.25"/>
    <row r="166" spans="2:57" hidden="1" x14ac:dyDescent="0.25">
      <c r="Y166" s="550"/>
    </row>
    <row r="167" spans="2:57" hidden="1" x14ac:dyDescent="0.25">
      <c r="AG167" s="550" t="s">
        <v>985</v>
      </c>
      <c r="AP167" s="609" t="s">
        <v>489</v>
      </c>
      <c r="AQ167" s="550"/>
      <c r="AT167" s="550" t="s">
        <v>971</v>
      </c>
      <c r="AU167" s="550"/>
    </row>
    <row r="168" spans="2:57" ht="15.75" hidden="1" x14ac:dyDescent="0.25">
      <c r="B168" s="550"/>
      <c r="C168" s="550" t="s">
        <v>297</v>
      </c>
      <c r="D168" s="550" t="s">
        <v>1008</v>
      </c>
      <c r="E168" s="550" t="s">
        <v>1009</v>
      </c>
      <c r="F168" s="17" t="s">
        <v>960</v>
      </c>
      <c r="G168" s="17" t="s">
        <v>1010</v>
      </c>
      <c r="H168" s="17" t="s">
        <v>961</v>
      </c>
      <c r="I168" s="17" t="s">
        <v>962</v>
      </c>
      <c r="J168" s="17" t="s">
        <v>1011</v>
      </c>
      <c r="M168" s="358"/>
      <c r="N168" s="358" t="s">
        <v>821</v>
      </c>
      <c r="O168" s="358"/>
      <c r="P168" s="358"/>
      <c r="Q168" s="358"/>
      <c r="R168" s="358" t="s">
        <v>911</v>
      </c>
      <c r="S168" s="358" t="s">
        <v>1037</v>
      </c>
      <c r="T168" s="358"/>
      <c r="U168" s="358" t="s">
        <v>941</v>
      </c>
      <c r="V168" s="358"/>
      <c r="W168" s="358"/>
      <c r="AA168" s="358" t="s">
        <v>954</v>
      </c>
      <c r="AB168" s="17">
        <v>1</v>
      </c>
      <c r="AC168" s="358" t="s">
        <v>958</v>
      </c>
      <c r="AG168" s="550" t="s">
        <v>973</v>
      </c>
      <c r="AH168" s="550">
        <f>G80</f>
        <v>0</v>
      </c>
      <c r="AJ168" s="550" t="s">
        <v>971</v>
      </c>
      <c r="AP168" s="608" t="s">
        <v>980</v>
      </c>
      <c r="AQ168" s="550"/>
      <c r="AR168" s="610">
        <f>1-((AH168/24*AH169/365)+(AH173/24*AH174/365))</f>
        <v>1</v>
      </c>
      <c r="AT168" s="550" t="s">
        <v>980</v>
      </c>
      <c r="AU168" s="610">
        <f>1-(AM169/24*AM170/365)</f>
        <v>1</v>
      </c>
      <c r="AV168" s="550"/>
      <c r="AW168" s="550"/>
      <c r="AX168" s="550" t="s">
        <v>993</v>
      </c>
      <c r="AY168" s="550"/>
      <c r="AZ168" s="550"/>
      <c r="BA168" s="550"/>
      <c r="BB168" s="550"/>
      <c r="BC168" s="550"/>
      <c r="BD168" s="550"/>
      <c r="BE168" s="550"/>
    </row>
    <row r="169" spans="2:57" ht="15.75" hidden="1" x14ac:dyDescent="0.25">
      <c r="B169" s="551">
        <v>1</v>
      </c>
      <c r="C169" s="552" t="s">
        <v>1008</v>
      </c>
      <c r="D169" s="550" t="s">
        <v>959</v>
      </c>
      <c r="E169" s="550" t="s">
        <v>1014</v>
      </c>
      <c r="M169" s="358"/>
      <c r="N169" s="358"/>
      <c r="O169" s="358"/>
      <c r="P169" s="358"/>
      <c r="Q169" s="358"/>
      <c r="R169" s="358"/>
      <c r="S169" s="358" t="s">
        <v>1036</v>
      </c>
      <c r="T169" s="358"/>
      <c r="U169" s="358" t="s">
        <v>942</v>
      </c>
      <c r="V169" s="580" t="e">
        <f>K100</f>
        <v>#DIV/0!</v>
      </c>
      <c r="W169" s="358"/>
      <c r="AB169" s="358">
        <v>2</v>
      </c>
      <c r="AC169" s="358" t="s">
        <v>957</v>
      </c>
      <c r="AE169" s="358"/>
      <c r="AG169" s="550" t="s">
        <v>974</v>
      </c>
      <c r="AH169" s="607">
        <f>H80</f>
        <v>0</v>
      </c>
      <c r="AK169" s="550" t="s">
        <v>979</v>
      </c>
      <c r="AL169" s="550"/>
      <c r="AM169" s="550">
        <f>G93</f>
        <v>0</v>
      </c>
      <c r="AN169" s="550"/>
      <c r="AP169" s="550" t="s">
        <v>1419</v>
      </c>
      <c r="AR169" s="1094">
        <f>(AH168/24)*(AH169/365)*(AH170/100)</f>
        <v>0</v>
      </c>
      <c r="AT169" s="550" t="s">
        <v>1421</v>
      </c>
      <c r="AU169" s="1094">
        <f>IF(AL182=1,((AM169/24)*(AM170/365)),0)</f>
        <v>0</v>
      </c>
      <c r="AV169" s="550"/>
      <c r="AW169" s="550"/>
      <c r="AX169" s="608"/>
      <c r="AY169" s="608" t="s">
        <v>262</v>
      </c>
      <c r="AZ169" s="608" t="s">
        <v>1422</v>
      </c>
      <c r="BA169" s="608" t="s">
        <v>1423</v>
      </c>
      <c r="BB169" s="608" t="s">
        <v>266</v>
      </c>
      <c r="BC169" s="608" t="s">
        <v>992</v>
      </c>
      <c r="BD169" s="550"/>
      <c r="BE169" s="550"/>
    </row>
    <row r="170" spans="2:57" ht="15.75" hidden="1" x14ac:dyDescent="0.25">
      <c r="B170" s="551">
        <v>2</v>
      </c>
      <c r="C170" s="552" t="s">
        <v>1015</v>
      </c>
      <c r="D170" s="550" t="s">
        <v>1012</v>
      </c>
      <c r="E170" s="550" t="s">
        <v>1019</v>
      </c>
      <c r="M170" s="358"/>
      <c r="N170" s="358" t="s">
        <v>822</v>
      </c>
      <c r="O170" s="358"/>
      <c r="P170" s="555">
        <f>IF(S181="1",H24,0)</f>
        <v>0</v>
      </c>
      <c r="Q170" s="358"/>
      <c r="R170" s="358" t="s">
        <v>265</v>
      </c>
      <c r="S170" s="358">
        <f>E42</f>
        <v>0</v>
      </c>
      <c r="T170" s="620" t="str">
        <f>IF(S170="kg of element per ha per annum","1","2")</f>
        <v>2</v>
      </c>
      <c r="U170" s="358" t="s">
        <v>943</v>
      </c>
      <c r="V170" s="580" t="e">
        <f>K101</f>
        <v>#DIV/0!</v>
      </c>
      <c r="W170" s="358"/>
      <c r="AB170" s="358" t="s">
        <v>265</v>
      </c>
      <c r="AC170" s="620">
        <f>IF(F70="",1,IF(F70=AC168,1,2))</f>
        <v>1</v>
      </c>
      <c r="AE170" s="358"/>
      <c r="AF170" s="550"/>
      <c r="AG170" s="550" t="s">
        <v>1418</v>
      </c>
      <c r="AH170" s="17">
        <f>G82</f>
        <v>0</v>
      </c>
      <c r="AJ170" s="550"/>
      <c r="AK170" s="550" t="s">
        <v>965</v>
      </c>
      <c r="AL170" s="550"/>
      <c r="AM170" s="550">
        <f>H93</f>
        <v>0</v>
      </c>
      <c r="AN170" s="550"/>
      <c r="AP170" s="608" t="s">
        <v>981</v>
      </c>
      <c r="AQ170" s="550"/>
      <c r="AR170" s="610">
        <f>(AH168/24*AH169/365*AH171/100)*IF(Z175=2,0.8,1)</f>
        <v>0</v>
      </c>
      <c r="AT170" s="550" t="s">
        <v>1425</v>
      </c>
      <c r="AU170" s="610">
        <f>IF(AL182=2,AM169/24*AM170/365*IF(AC170=2,0.8,1),0)</f>
        <v>0</v>
      </c>
      <c r="AV170" s="550"/>
      <c r="AW170" s="550">
        <v>1</v>
      </c>
      <c r="AX170" s="552" t="s">
        <v>1008</v>
      </c>
      <c r="AY170" s="608">
        <v>74</v>
      </c>
      <c r="AZ170" s="608">
        <v>0.5</v>
      </c>
      <c r="BA170" s="608">
        <v>17</v>
      </c>
      <c r="BB170" s="608">
        <v>2</v>
      </c>
      <c r="BC170" s="608">
        <v>1</v>
      </c>
      <c r="BD170" s="550"/>
      <c r="BE170" s="550"/>
    </row>
    <row r="171" spans="2:57" ht="15.75" hidden="1" x14ac:dyDescent="0.25">
      <c r="B171" s="551">
        <v>3</v>
      </c>
      <c r="C171" s="552" t="s">
        <v>960</v>
      </c>
      <c r="D171" s="550" t="s">
        <v>1013</v>
      </c>
      <c r="E171" s="550" t="s">
        <v>1013</v>
      </c>
      <c r="M171" s="358"/>
      <c r="N171" s="358" t="s">
        <v>823</v>
      </c>
      <c r="O171" s="358"/>
      <c r="P171" s="555">
        <f>IF(S181="2",H24,0)</f>
        <v>0</v>
      </c>
      <c r="Q171" s="358"/>
      <c r="R171" s="358"/>
      <c r="S171" s="358"/>
      <c r="T171" s="358"/>
      <c r="U171" s="358" t="s">
        <v>944</v>
      </c>
      <c r="V171" s="580" t="e">
        <f>K102+K103</f>
        <v>#DIV/0!</v>
      </c>
      <c r="W171" s="358"/>
      <c r="X171" s="358"/>
      <c r="Y171" s="358"/>
      <c r="Z171" s="358"/>
      <c r="AE171" s="358"/>
      <c r="AF171" s="550"/>
      <c r="AG171" s="550" t="s">
        <v>1417</v>
      </c>
      <c r="AH171" s="550">
        <f>G83</f>
        <v>0</v>
      </c>
      <c r="AJ171" s="550"/>
      <c r="AK171" s="550"/>
      <c r="AL171" s="550"/>
      <c r="AM171" s="550"/>
      <c r="AN171" s="550"/>
      <c r="AP171" s="611" t="s">
        <v>1365</v>
      </c>
      <c r="AR171" s="610">
        <f>(AH168/24*AH169/365*AH171/100)*IF(Z175=1,0,0.2)</f>
        <v>0</v>
      </c>
      <c r="AT171" s="611" t="s">
        <v>1363</v>
      </c>
      <c r="AU171" s="610">
        <f>IF(AL182=2,AM169/24*AM170/365)*IF(Z175=2,0.2,0)</f>
        <v>0</v>
      </c>
      <c r="AV171" s="550"/>
      <c r="AW171" s="550">
        <v>2</v>
      </c>
      <c r="AX171" s="552" t="s">
        <v>1015</v>
      </c>
      <c r="AY171" s="608">
        <v>75</v>
      </c>
      <c r="AZ171" s="608">
        <v>0.5</v>
      </c>
      <c r="BA171" s="608">
        <v>18</v>
      </c>
      <c r="BB171" s="608">
        <v>2</v>
      </c>
      <c r="BC171" s="608">
        <v>1</v>
      </c>
      <c r="BD171" s="550"/>
      <c r="BE171" s="550"/>
    </row>
    <row r="172" spans="2:57" ht="15.75" hidden="1" x14ac:dyDescent="0.25">
      <c r="B172" s="551">
        <v>4</v>
      </c>
      <c r="C172" s="552" t="s">
        <v>1010</v>
      </c>
      <c r="D172" s="550"/>
      <c r="E172" s="550"/>
      <c r="M172" s="358"/>
      <c r="N172" s="358" t="s">
        <v>824</v>
      </c>
      <c r="O172" s="358"/>
      <c r="P172" s="556">
        <f>(IF(D26="",4,D26))</f>
        <v>4</v>
      </c>
      <c r="Q172" s="358"/>
      <c r="R172" s="358"/>
      <c r="S172" s="358"/>
      <c r="T172" s="358"/>
      <c r="U172" s="358" t="s">
        <v>945</v>
      </c>
      <c r="V172" s="580" t="e">
        <f>K105</f>
        <v>#DIV/0!</v>
      </c>
      <c r="W172" s="358"/>
      <c r="X172" s="358"/>
      <c r="Y172" s="358"/>
      <c r="Z172" s="358"/>
      <c r="AA172" s="358"/>
      <c r="AB172" s="358"/>
      <c r="AC172" s="358"/>
      <c r="AD172" s="358"/>
      <c r="AE172" s="358"/>
      <c r="AF172" s="550"/>
      <c r="AG172" s="550" t="s">
        <v>976</v>
      </c>
      <c r="AH172" s="550">
        <f>G84</f>
        <v>100</v>
      </c>
      <c r="AJ172" s="550"/>
      <c r="AK172" s="550"/>
      <c r="AL172" s="550"/>
      <c r="AM172" s="550"/>
      <c r="AN172" s="550"/>
      <c r="AP172" s="609" t="s">
        <v>982</v>
      </c>
      <c r="AQ172" s="550"/>
      <c r="AR172" s="610">
        <f>IF(Z175=1,(AH168/24*AH169/365*AH172/100),(AH168/24*AH169/365*AH172/100)*0.8)</f>
        <v>0</v>
      </c>
      <c r="AT172" s="550" t="s">
        <v>990</v>
      </c>
      <c r="AU172" s="610">
        <f>IF(AL182=3,(AM169/24*AM170/365)*IF(Z175=2,0.8,1),0)</f>
        <v>0</v>
      </c>
      <c r="AV172" s="550"/>
      <c r="AW172" s="550">
        <v>3</v>
      </c>
      <c r="AX172" s="552" t="s">
        <v>960</v>
      </c>
      <c r="AY172" s="608">
        <v>70</v>
      </c>
      <c r="AZ172" s="608">
        <v>0.1</v>
      </c>
      <c r="BA172" s="608">
        <v>15</v>
      </c>
      <c r="BB172" s="608">
        <v>2</v>
      </c>
      <c r="BC172" s="608">
        <v>1</v>
      </c>
      <c r="BD172" s="550"/>
      <c r="BE172" s="550"/>
    </row>
    <row r="173" spans="2:57" ht="15.75" hidden="1" x14ac:dyDescent="0.25">
      <c r="B173" s="551">
        <v>5</v>
      </c>
      <c r="C173" s="552" t="s">
        <v>1016</v>
      </c>
      <c r="D173" s="550"/>
      <c r="E173" s="550"/>
      <c r="M173" s="358"/>
      <c r="N173" s="358" t="s">
        <v>825</v>
      </c>
      <c r="O173" s="358"/>
      <c r="P173" s="358">
        <f>IF(H26="",3.3,H26)</f>
        <v>3.3</v>
      </c>
      <c r="Q173" s="358"/>
      <c r="R173" s="358"/>
      <c r="S173" s="358"/>
      <c r="T173" s="358"/>
      <c r="U173" s="358" t="s">
        <v>946</v>
      </c>
      <c r="V173" s="580" t="e">
        <f>K104</f>
        <v>#DIV/0!</v>
      </c>
      <c r="W173" s="358"/>
      <c r="X173" s="358" t="s">
        <v>968</v>
      </c>
      <c r="Y173" s="358">
        <v>1</v>
      </c>
      <c r="Z173" s="358" t="s">
        <v>969</v>
      </c>
      <c r="AA173" s="358"/>
      <c r="AB173" s="358"/>
      <c r="AC173" s="358"/>
      <c r="AD173" s="358"/>
      <c r="AE173" s="358"/>
      <c r="AF173" s="550"/>
      <c r="AG173" s="550" t="s">
        <v>977</v>
      </c>
      <c r="AH173" s="550">
        <f>G88</f>
        <v>0</v>
      </c>
      <c r="AJ173" s="550"/>
      <c r="AK173" s="550"/>
      <c r="AL173" s="550"/>
      <c r="AM173" s="550"/>
      <c r="AN173" s="550"/>
      <c r="AP173" s="609" t="s">
        <v>996</v>
      </c>
      <c r="AQ173" s="550"/>
      <c r="AR173" s="610">
        <f>IF(Z175=1,0,(AH168/24*AH169/365*AH172/100)*0.2)</f>
        <v>0</v>
      </c>
      <c r="AT173" s="550" t="s">
        <v>991</v>
      </c>
      <c r="AU173" s="610">
        <f>IF(AL182=3,(AM169/24*AM170/365*IF(Z175=2,0.2,0)),0)</f>
        <v>0</v>
      </c>
      <c r="AV173" s="550"/>
      <c r="AW173" s="611">
        <v>4</v>
      </c>
      <c r="AX173" s="552" t="s">
        <v>1010</v>
      </c>
      <c r="AY173" s="608">
        <v>77</v>
      </c>
      <c r="AZ173" s="608">
        <v>0.5</v>
      </c>
      <c r="BA173" s="608">
        <v>24</v>
      </c>
      <c r="BB173" s="608">
        <v>2</v>
      </c>
      <c r="BC173" s="608">
        <v>1</v>
      </c>
      <c r="BD173" s="611"/>
      <c r="BE173" s="550"/>
    </row>
    <row r="174" spans="2:57" ht="15.75" hidden="1" x14ac:dyDescent="0.25">
      <c r="B174" s="358">
        <v>6</v>
      </c>
      <c r="C174" s="553" t="s">
        <v>1017</v>
      </c>
      <c r="D174" s="550"/>
      <c r="E174" s="550"/>
      <c r="M174" s="358"/>
      <c r="N174" s="358" t="s">
        <v>1025</v>
      </c>
      <c r="P174" s="555">
        <f>IF(P170=0,P171,(P170*(P172+P173)/100))</f>
        <v>0</v>
      </c>
      <c r="Q174" s="358"/>
      <c r="R174" s="358" t="s">
        <v>1032</v>
      </c>
      <c r="S174" s="358" t="s">
        <v>1162</v>
      </c>
      <c r="T174" s="358"/>
      <c r="U174" s="358" t="s">
        <v>947</v>
      </c>
      <c r="V174" s="580" t="e">
        <f>K106</f>
        <v>#DIV/0!</v>
      </c>
      <c r="W174" s="358"/>
      <c r="X174" s="358"/>
      <c r="Y174" s="358">
        <v>2</v>
      </c>
      <c r="Z174" s="358" t="s">
        <v>970</v>
      </c>
      <c r="AA174" s="358"/>
      <c r="AB174" s="358"/>
      <c r="AC174" s="358"/>
      <c r="AD174" s="358"/>
      <c r="AE174" s="358"/>
      <c r="AF174" s="550"/>
      <c r="AG174" s="550" t="s">
        <v>978</v>
      </c>
      <c r="AH174" s="550">
        <f>H88</f>
        <v>0</v>
      </c>
      <c r="AJ174" s="550"/>
      <c r="AK174" s="550"/>
      <c r="AL174" s="550"/>
      <c r="AM174" s="550"/>
      <c r="AN174" s="550"/>
      <c r="AP174" s="550" t="s">
        <v>1420</v>
      </c>
      <c r="AR174" s="610">
        <f>IF(AG182=1,(AH173/24*AH174/365),0)</f>
        <v>0</v>
      </c>
      <c r="AT174" s="550" t="s">
        <v>1426</v>
      </c>
      <c r="AU174" s="610">
        <f>IF(AL182=4,AM169/24*AM170/365,0)</f>
        <v>0</v>
      </c>
      <c r="AV174" s="550"/>
      <c r="AW174" s="611">
        <v>5</v>
      </c>
      <c r="AX174" s="552" t="s">
        <v>1016</v>
      </c>
      <c r="AY174" s="608">
        <v>74</v>
      </c>
      <c r="AZ174" s="608">
        <v>0.5</v>
      </c>
      <c r="BA174" s="608">
        <v>17</v>
      </c>
      <c r="BB174" s="608">
        <v>2</v>
      </c>
      <c r="BC174" s="608">
        <v>1</v>
      </c>
      <c r="BD174" s="611"/>
      <c r="BE174" s="550"/>
    </row>
    <row r="175" spans="2:57" ht="15.75" hidden="1" x14ac:dyDescent="0.25">
      <c r="B175" s="551">
        <v>7</v>
      </c>
      <c r="C175" s="552" t="s">
        <v>1018</v>
      </c>
      <c r="D175" s="550"/>
      <c r="E175" s="550"/>
      <c r="M175" s="358"/>
      <c r="N175" s="358" t="s">
        <v>827</v>
      </c>
      <c r="O175" s="358"/>
      <c r="P175" s="555">
        <f>IF(P170=0,(P171/((P172+P173)/100)),P170)</f>
        <v>0</v>
      </c>
      <c r="Q175" s="358"/>
      <c r="R175" s="358"/>
      <c r="S175" s="358" t="s">
        <v>1034</v>
      </c>
      <c r="T175" s="358"/>
      <c r="U175" s="358" t="s">
        <v>948</v>
      </c>
      <c r="V175" s="580" t="e">
        <f>K107+K108</f>
        <v>#N/A</v>
      </c>
      <c r="W175" s="358"/>
      <c r="X175" s="358"/>
      <c r="Y175" s="358" t="s">
        <v>265</v>
      </c>
      <c r="Z175" s="620">
        <f>IF(G86="",1,IF(G86=Z173,1,2))</f>
        <v>1</v>
      </c>
      <c r="AA175" s="358"/>
      <c r="AB175" s="358"/>
      <c r="AC175" s="358"/>
      <c r="AD175" s="358"/>
      <c r="AE175" s="358"/>
      <c r="AP175" s="550" t="s">
        <v>988</v>
      </c>
      <c r="AQ175" s="550"/>
      <c r="AR175" s="610">
        <f>IF(AG182=2,(AH173/24*AH174/365),0)*IF(Z175=2,0.8,1)</f>
        <v>0</v>
      </c>
      <c r="AT175" s="550" t="s">
        <v>984</v>
      </c>
      <c r="AU175" s="610">
        <f>AU171+AU173+AU174</f>
        <v>0</v>
      </c>
      <c r="AV175" s="550"/>
      <c r="AW175" s="611">
        <v>6</v>
      </c>
      <c r="AX175" s="553" t="s">
        <v>1017</v>
      </c>
      <c r="AY175" s="608">
        <v>75</v>
      </c>
      <c r="AZ175" s="608">
        <v>0.5</v>
      </c>
      <c r="BA175" s="608">
        <v>18</v>
      </c>
      <c r="BB175" s="608">
        <v>2</v>
      </c>
      <c r="BC175" s="608">
        <v>1</v>
      </c>
      <c r="BD175" s="611"/>
      <c r="BE175" s="550"/>
    </row>
    <row r="176" spans="2:57" ht="15.75" hidden="1" x14ac:dyDescent="0.25">
      <c r="B176" s="554"/>
      <c r="D176" s="550"/>
      <c r="E176" s="550"/>
      <c r="M176" s="358"/>
      <c r="N176" s="358" t="s">
        <v>1698</v>
      </c>
      <c r="O176" s="358"/>
      <c r="P176" s="555">
        <f>(P175*1.03)*(0.2534+0.1226*P172+0.0776*P173)</f>
        <v>0</v>
      </c>
      <c r="Q176" s="358"/>
      <c r="S176" s="358" t="s">
        <v>1033</v>
      </c>
      <c r="T176" s="358"/>
      <c r="U176" s="358" t="s">
        <v>937</v>
      </c>
      <c r="V176" s="580" t="e">
        <f>SUM(K109:K111)</f>
        <v>#DIV/0!</v>
      </c>
      <c r="W176" s="358"/>
      <c r="X176" s="358"/>
      <c r="Y176" s="358"/>
      <c r="Z176" s="358"/>
      <c r="AA176" s="358"/>
      <c r="AB176" s="358"/>
      <c r="AC176" s="358"/>
      <c r="AD176" s="358"/>
      <c r="AE176" s="358"/>
      <c r="AG176" s="550" t="s">
        <v>986</v>
      </c>
      <c r="AJ176" s="550" t="s">
        <v>987</v>
      </c>
      <c r="AP176" s="611" t="s">
        <v>1366</v>
      </c>
      <c r="AR176" s="610">
        <f>IF(AG182=2,(AH173/24*AH174/365)*IF(Z175=2,0.2,0),0)</f>
        <v>0</v>
      </c>
      <c r="AT176" s="550" t="s">
        <v>1421</v>
      </c>
      <c r="AU176" s="610">
        <f>AU169</f>
        <v>0</v>
      </c>
      <c r="AV176" s="550"/>
      <c r="AW176" s="611">
        <v>7</v>
      </c>
      <c r="AX176" s="552" t="s">
        <v>1018</v>
      </c>
      <c r="AY176" s="608">
        <v>80</v>
      </c>
      <c r="AZ176" s="608">
        <v>0.5</v>
      </c>
      <c r="BA176" s="608">
        <v>50</v>
      </c>
      <c r="BB176" s="608">
        <v>2</v>
      </c>
      <c r="BC176" s="608">
        <v>2</v>
      </c>
      <c r="BD176" s="611"/>
      <c r="BE176" s="550"/>
    </row>
    <row r="177" spans="2:16370" ht="15.75" hidden="1" x14ac:dyDescent="0.25">
      <c r="B177" s="550"/>
      <c r="C177" s="550"/>
      <c r="D177" s="550"/>
      <c r="E177" s="550"/>
      <c r="M177" s="358"/>
      <c r="N177" s="358" t="s">
        <v>828</v>
      </c>
      <c r="O177" s="358"/>
      <c r="P177" s="556" t="e">
        <f>ROUND((P176/D17/D28),1)</f>
        <v>#DIV/0!</v>
      </c>
      <c r="Q177" s="358"/>
      <c r="R177" s="358" t="s">
        <v>265</v>
      </c>
      <c r="S177" s="620">
        <f>IF(C63=S174,1,IF(C63=S175,2,3))</f>
        <v>1</v>
      </c>
      <c r="T177" s="358"/>
      <c r="U177" s="358"/>
      <c r="V177" s="358"/>
      <c r="W177" s="358"/>
      <c r="AB177" s="358"/>
      <c r="AC177" s="358"/>
      <c r="AD177" s="358"/>
      <c r="AE177" s="358"/>
      <c r="AP177" s="611" t="s">
        <v>1367</v>
      </c>
      <c r="AQ177" s="550"/>
      <c r="AR177" s="610">
        <f>IF(AG182=3,(AH173/24*AH174/365*IF(Z175=2,0.8,1)),0)</f>
        <v>0</v>
      </c>
      <c r="AT177" s="611" t="s">
        <v>995</v>
      </c>
      <c r="AU177" s="1075">
        <f>AU172</f>
        <v>0</v>
      </c>
      <c r="AV177" s="550"/>
      <c r="AW177" s="611" t="s">
        <v>265</v>
      </c>
      <c r="AX177" s="611" t="e">
        <f>VLOOKUP($D$14,$AX$170:$BC$176,1,FALSE)</f>
        <v>#N/A</v>
      </c>
      <c r="AY177" s="611" t="e">
        <f>VLOOKUP($D$14,$AX$170:$BC$176,2,FALSE)</f>
        <v>#N/A</v>
      </c>
      <c r="AZ177" s="611" t="e">
        <f>VLOOKUP($D$14,$AX$170:$BC$176,3,FALSE)</f>
        <v>#N/A</v>
      </c>
      <c r="BA177" s="611" t="e">
        <f>VLOOKUP($D$14,$AX$170:$BC$176,4,FALSE)</f>
        <v>#N/A</v>
      </c>
      <c r="BB177" s="611" t="e">
        <f>VLOOKUP($D$14,$AX$170:$BC$176,5,FALSE)</f>
        <v>#N/A</v>
      </c>
      <c r="BC177" s="611" t="e">
        <f>VLOOKUP($D$14,$AX$170:$BC$176,6,FALSE)</f>
        <v>#N/A</v>
      </c>
      <c r="BD177" s="611"/>
      <c r="BE177" s="550"/>
    </row>
    <row r="178" spans="2:16370" ht="15.75" hidden="1" x14ac:dyDescent="0.25">
      <c r="B178" s="550" t="s">
        <v>1020</v>
      </c>
      <c r="C178" s="551">
        <f>D14</f>
        <v>0</v>
      </c>
      <c r="D178" s="358" t="s">
        <v>1021</v>
      </c>
      <c r="E178" s="550">
        <f>H14</f>
        <v>0</v>
      </c>
      <c r="M178" s="358"/>
      <c r="N178" s="358" t="s">
        <v>826</v>
      </c>
      <c r="O178" s="358"/>
      <c r="P178" s="1501" t="e">
        <f>(P175/D17/D28)</f>
        <v>#DIV/0!</v>
      </c>
      <c r="Q178" s="358"/>
      <c r="R178" s="358"/>
      <c r="S178" s="358"/>
      <c r="T178" s="358"/>
      <c r="U178" s="358"/>
      <c r="V178" s="358"/>
      <c r="W178" s="358"/>
      <c r="AC178" s="550"/>
      <c r="AE178" s="358"/>
      <c r="AF178" s="358">
        <v>1</v>
      </c>
      <c r="AG178" s="550" t="s">
        <v>1415</v>
      </c>
      <c r="AH178" s="358"/>
      <c r="AI178" s="358"/>
      <c r="AJ178" s="550" t="s">
        <v>972</v>
      </c>
      <c r="AK178" s="550">
        <v>1</v>
      </c>
      <c r="AL178" s="550" t="s">
        <v>1415</v>
      </c>
      <c r="AP178" s="611" t="s">
        <v>989</v>
      </c>
      <c r="AQ178" s="550"/>
      <c r="AR178" s="610">
        <f>(IF(AG182=3,(AH173/24*AH174/365*IF(Z175=2,0.2,0)),0))</f>
        <v>0</v>
      </c>
      <c r="AT178" s="611" t="s">
        <v>1424</v>
      </c>
      <c r="AU178" s="610">
        <f>AU170</f>
        <v>0</v>
      </c>
      <c r="AV178" s="550"/>
      <c r="AW178" s="550"/>
      <c r="AX178" s="550"/>
      <c r="AY178" s="550"/>
      <c r="AZ178" s="550"/>
      <c r="BA178" s="550"/>
      <c r="BB178" s="550"/>
      <c r="BC178" s="550"/>
      <c r="BD178" s="550"/>
      <c r="BE178" s="550"/>
    </row>
    <row r="179" spans="2:16370" ht="15.75" hidden="1" x14ac:dyDescent="0.25">
      <c r="M179" s="358"/>
      <c r="N179" s="358"/>
      <c r="O179" s="358"/>
      <c r="P179" s="358"/>
      <c r="Q179" s="358"/>
      <c r="R179" s="358" t="s">
        <v>821</v>
      </c>
      <c r="S179" s="358" t="s">
        <v>1112</v>
      </c>
      <c r="T179" s="358"/>
      <c r="U179" s="358"/>
      <c r="V179" s="358"/>
      <c r="W179" s="358"/>
      <c r="AC179" s="550"/>
      <c r="AE179" s="358"/>
      <c r="AF179" s="358">
        <v>2</v>
      </c>
      <c r="AG179" s="550" t="s">
        <v>1030</v>
      </c>
      <c r="AH179" s="358"/>
      <c r="AI179" s="358"/>
      <c r="AJ179" s="550"/>
      <c r="AK179" s="550">
        <v>2</v>
      </c>
      <c r="AL179" s="550" t="s">
        <v>1030</v>
      </c>
      <c r="AP179" s="942" t="s">
        <v>983</v>
      </c>
      <c r="AQ179" s="550"/>
      <c r="AR179" s="610">
        <f>(IF(AG182=4,(AH173/24*AH174/365),0))</f>
        <v>0</v>
      </c>
      <c r="AT179" s="550"/>
      <c r="AU179" s="550"/>
      <c r="AV179" s="550"/>
      <c r="AW179" s="550" t="s">
        <v>1000</v>
      </c>
      <c r="AX179" s="550"/>
      <c r="AY179" s="613" t="e">
        <f>AY177*AR182</f>
        <v>#N/A</v>
      </c>
      <c r="AZ179" s="613" t="e">
        <f>AZ177*AR183</f>
        <v>#N/A</v>
      </c>
      <c r="BA179" s="613" t="e">
        <f>BA177*AR181</f>
        <v>#N/A</v>
      </c>
      <c r="BB179" s="613" t="e">
        <f>BB177*AR180</f>
        <v>#N/A</v>
      </c>
      <c r="BC179" s="613" t="e">
        <f>BC177*AR168</f>
        <v>#N/A</v>
      </c>
    </row>
    <row r="180" spans="2:16370" ht="15.75" hidden="1" x14ac:dyDescent="0.25">
      <c r="M180" s="358"/>
      <c r="N180" s="358" t="s">
        <v>906</v>
      </c>
      <c r="O180" s="358"/>
      <c r="P180" s="556" t="e">
        <f>((D30*F30)+(D31*F31)+(D32*F32)+(D33*F33)+(D34*F34)+(D35*F35))/D36</f>
        <v>#DIV/0!</v>
      </c>
      <c r="Q180" s="358"/>
      <c r="R180" s="358"/>
      <c r="S180" s="358" t="s">
        <v>1113</v>
      </c>
      <c r="T180" s="358"/>
      <c r="U180" s="358"/>
      <c r="V180" s="358"/>
      <c r="W180" s="358"/>
      <c r="AC180" s="358"/>
      <c r="AE180" s="358"/>
      <c r="AF180" s="358">
        <v>3</v>
      </c>
      <c r="AG180" s="358" t="s">
        <v>1416</v>
      </c>
      <c r="AH180" s="358"/>
      <c r="AI180" s="358"/>
      <c r="AJ180" s="550"/>
      <c r="AK180" s="550">
        <v>3</v>
      </c>
      <c r="AL180" s="358" t="s">
        <v>1416</v>
      </c>
      <c r="AP180" s="942" t="s">
        <v>984</v>
      </c>
      <c r="AQ180" s="550"/>
      <c r="AR180" s="610">
        <f>AR171+AR176+AR179+AR173+AR178</f>
        <v>0</v>
      </c>
      <c r="AW180" s="550" t="s">
        <v>994</v>
      </c>
      <c r="AX180" s="550"/>
      <c r="AY180" s="613"/>
      <c r="AZ180" s="613"/>
      <c r="BA180" s="613"/>
      <c r="BB180" s="613"/>
      <c r="BC180" s="613" t="e">
        <f>SUM(AY179:BC179)</f>
        <v>#N/A</v>
      </c>
    </row>
    <row r="181" spans="2:16370" ht="15.75" hidden="1" x14ac:dyDescent="0.25">
      <c r="M181" s="358"/>
      <c r="N181" s="358" t="s">
        <v>907</v>
      </c>
      <c r="O181" s="358"/>
      <c r="P181" s="556" t="e">
        <f>((D30*H30)+(D31*H31)+(D32*H32)+(D33*H33)+(D34*H34)+(D35*H35))/D36</f>
        <v>#DIV/0!</v>
      </c>
      <c r="Q181" s="358"/>
      <c r="R181" s="358" t="s">
        <v>265</v>
      </c>
      <c r="S181" s="871" t="str">
        <f>IF(D24=S179,"1","2")</f>
        <v>2</v>
      </c>
      <c r="T181" s="358"/>
      <c r="U181" s="358"/>
      <c r="V181" s="358"/>
      <c r="W181" s="358"/>
      <c r="AC181" s="358"/>
      <c r="AE181" s="358"/>
      <c r="AF181" s="358">
        <v>4</v>
      </c>
      <c r="AG181" s="358" t="s">
        <v>1414</v>
      </c>
      <c r="AH181" s="358"/>
      <c r="AI181" s="358"/>
      <c r="AJ181" s="550"/>
      <c r="AK181" s="550">
        <v>4</v>
      </c>
      <c r="AL181" s="358" t="s">
        <v>1414</v>
      </c>
      <c r="AP181" s="942" t="s">
        <v>1421</v>
      </c>
      <c r="AQ181" s="550"/>
      <c r="AR181" s="610">
        <f>AR169+AR174</f>
        <v>0</v>
      </c>
      <c r="AW181" s="550"/>
      <c r="AX181" s="550"/>
      <c r="AY181" s="550"/>
      <c r="AZ181" s="550"/>
      <c r="BA181" s="550"/>
      <c r="BB181" s="550"/>
      <c r="BC181" s="550"/>
    </row>
    <row r="182" spans="2:16370" ht="15.75" hidden="1" x14ac:dyDescent="0.25">
      <c r="M182" s="358"/>
      <c r="N182" s="358" t="s">
        <v>1373</v>
      </c>
      <c r="O182" s="358"/>
      <c r="P182" s="556" t="e">
        <f>ROUND((1.185+(0.00454*D19)-(0.0000026*(D19)^2)+((0.315*0)))^2*1.1+((H28*D28/365)*3.054/0.6/(0.00795*P180-0.0014)/18.4),1)</f>
        <v>#DIV/0!</v>
      </c>
      <c r="Q182" s="358"/>
      <c r="R182" s="358"/>
      <c r="S182" s="358"/>
      <c r="T182" s="358"/>
      <c r="U182" s="358"/>
      <c r="V182" s="358"/>
      <c r="W182" s="358"/>
      <c r="X182" s="358"/>
      <c r="Y182" s="358"/>
      <c r="Z182" s="358"/>
      <c r="AA182" s="358"/>
      <c r="AE182" s="358"/>
      <c r="AF182" s="550" t="s">
        <v>265</v>
      </c>
      <c r="AG182" s="550">
        <f>IF(F90=AG178,1,IF(F90=AG179,2,IF(F90=AG180,3,4)))</f>
        <v>4</v>
      </c>
      <c r="AH182" s="358"/>
      <c r="AI182" s="358"/>
      <c r="AJ182" s="550"/>
      <c r="AK182" s="550" t="s">
        <v>265</v>
      </c>
      <c r="AL182" s="550">
        <f>IF(F95=AL178,1,IF(F95=AL179,2,IF(F95=AL180,3,4)))</f>
        <v>4</v>
      </c>
      <c r="AP182" s="611" t="s">
        <v>995</v>
      </c>
      <c r="AQ182" s="550"/>
      <c r="AR182" s="610">
        <f>AR172+AR177</f>
        <v>0</v>
      </c>
      <c r="AW182" s="550" t="s">
        <v>1001</v>
      </c>
      <c r="AX182" s="550"/>
      <c r="AY182" s="550" t="e">
        <f>AY177*AU177</f>
        <v>#N/A</v>
      </c>
      <c r="AZ182" s="550" t="e">
        <f>AZ177*AU178</f>
        <v>#N/A</v>
      </c>
      <c r="BA182" s="550" t="e">
        <f>BA177*AU176</f>
        <v>#N/A</v>
      </c>
      <c r="BB182" s="550" t="e">
        <f>BB177*AU175</f>
        <v>#N/A</v>
      </c>
      <c r="BC182" s="550" t="e">
        <f>BC177*AU168</f>
        <v>#N/A</v>
      </c>
    </row>
    <row r="183" spans="2:16370" ht="15.75" hidden="1" x14ac:dyDescent="0.25">
      <c r="M183" s="358"/>
      <c r="N183" s="358"/>
      <c r="O183" s="358"/>
      <c r="P183" s="358"/>
      <c r="Q183" s="358"/>
      <c r="R183" s="358"/>
      <c r="S183" s="358"/>
      <c r="T183" s="358"/>
      <c r="U183" s="358"/>
      <c r="V183" s="358"/>
      <c r="W183" s="358"/>
      <c r="X183" s="358"/>
      <c r="Y183" s="358"/>
      <c r="Z183" s="358"/>
      <c r="AA183" s="358"/>
      <c r="AB183" s="358"/>
      <c r="AC183" s="358"/>
      <c r="AD183" s="358"/>
      <c r="AE183" s="358"/>
      <c r="AP183" s="611" t="s">
        <v>1424</v>
      </c>
      <c r="AQ183" s="550"/>
      <c r="AR183" s="610">
        <f>AR170+AR175</f>
        <v>0</v>
      </c>
      <c r="AW183" s="550" t="s">
        <v>994</v>
      </c>
      <c r="AX183" s="550"/>
      <c r="AY183" s="550"/>
      <c r="AZ183" s="550"/>
      <c r="BA183" s="550"/>
      <c r="BB183" s="550"/>
      <c r="BC183" s="613" t="e">
        <f>SUM(AY182:BC182)</f>
        <v>#N/A</v>
      </c>
    </row>
    <row r="184" spans="2:16370" ht="18.75" hidden="1" x14ac:dyDescent="0.3">
      <c r="B184" s="361" t="s">
        <v>679</v>
      </c>
      <c r="D184" s="358"/>
      <c r="E184" s="358"/>
      <c r="M184" s="358"/>
      <c r="N184" s="358" t="s">
        <v>1026</v>
      </c>
      <c r="O184" s="358"/>
      <c r="P184" s="555" t="e">
        <f>J113*1000</f>
        <v>#DIV/0!</v>
      </c>
      <c r="Q184" s="358"/>
      <c r="R184" s="358"/>
      <c r="S184" s="358"/>
      <c r="T184" s="358"/>
      <c r="U184" s="358"/>
      <c r="V184" s="358"/>
      <c r="W184" s="358"/>
      <c r="X184" s="358"/>
      <c r="Y184" s="358"/>
      <c r="Z184" s="358"/>
      <c r="AA184" s="358"/>
      <c r="AB184" s="358"/>
      <c r="AC184" s="358"/>
      <c r="AD184" s="358"/>
      <c r="AM184" s="550"/>
    </row>
    <row r="185" spans="2:16370" ht="15.75" hidden="1" x14ac:dyDescent="0.25">
      <c r="M185" s="358"/>
      <c r="N185" s="358" t="s">
        <v>1027</v>
      </c>
      <c r="O185" s="358"/>
      <c r="P185" s="630" t="e">
        <f>P184/P176</f>
        <v>#DIV/0!</v>
      </c>
      <c r="Q185" s="358"/>
      <c r="R185" s="358"/>
      <c r="S185" s="358"/>
      <c r="T185" s="358"/>
      <c r="U185" s="358"/>
      <c r="V185" s="358"/>
      <c r="W185" s="358"/>
      <c r="X185" s="358"/>
      <c r="Y185" s="358"/>
      <c r="Z185" s="358"/>
      <c r="AA185" s="358"/>
      <c r="AB185" s="358"/>
      <c r="AC185" s="358"/>
      <c r="AD185" s="358"/>
      <c r="AE185" s="358"/>
      <c r="AF185" s="358"/>
      <c r="AG185" s="360" t="s">
        <v>264</v>
      </c>
      <c r="AH185" s="360" t="s">
        <v>262</v>
      </c>
      <c r="AI185" s="620" t="s">
        <v>1410</v>
      </c>
      <c r="AJ185" s="620" t="s">
        <v>1409</v>
      </c>
      <c r="AK185" s="620"/>
      <c r="AL185" s="620" t="s">
        <v>263</v>
      </c>
      <c r="AM185" s="620"/>
      <c r="AN185" s="620" t="s">
        <v>994</v>
      </c>
    </row>
    <row r="186" spans="2:16370" ht="15.75" hidden="1" x14ac:dyDescent="0.25">
      <c r="B186" s="378" t="s">
        <v>0</v>
      </c>
      <c r="C186" s="378" t="s">
        <v>253</v>
      </c>
      <c r="D186" s="379" t="str">
        <f>D16</f>
        <v>Milking Cows</v>
      </c>
      <c r="E186" s="379" t="str">
        <f>E16</f>
        <v xml:space="preserve">Heifers &gt;1 </v>
      </c>
      <c r="F186" s="379" t="str">
        <f>F16</f>
        <v xml:space="preserve">Heifers &lt;1 </v>
      </c>
      <c r="G186" s="379" t="str">
        <f>G16</f>
        <v>Mature bulls</v>
      </c>
      <c r="H186" s="379" t="str">
        <f>H16</f>
        <v>Immature bulls</v>
      </c>
      <c r="I186" s="379" t="s">
        <v>1400</v>
      </c>
      <c r="J186" s="379" t="s">
        <v>1401</v>
      </c>
      <c r="K186" s="379">
        <f>I16</f>
        <v>0</v>
      </c>
      <c r="L186" s="380" t="s">
        <v>267</v>
      </c>
      <c r="N186" s="358" t="s">
        <v>1028</v>
      </c>
      <c r="O186" s="358"/>
      <c r="P186" s="556" t="e">
        <f>P184/P174</f>
        <v>#DIV/0!</v>
      </c>
      <c r="AE186" s="358">
        <v>1</v>
      </c>
      <c r="AF186" s="552" t="s">
        <v>1008</v>
      </c>
      <c r="AG186" s="360">
        <v>84.29</v>
      </c>
      <c r="AH186" s="360">
        <v>11.6</v>
      </c>
      <c r="AI186" s="360">
        <v>1.1000000000000001</v>
      </c>
      <c r="AJ186" s="360">
        <v>0.55000000000000004</v>
      </c>
      <c r="AK186" s="360"/>
      <c r="AL186" s="360">
        <v>2.46</v>
      </c>
      <c r="AM186" s="360"/>
      <c r="AN186" s="1960">
        <v>9.5751000000000008</v>
      </c>
      <c r="AO186" s="1857" t="s">
        <v>1684</v>
      </c>
    </row>
    <row r="187" spans="2:16370" ht="15.75" hidden="1" x14ac:dyDescent="0.25">
      <c r="B187" s="381"/>
      <c r="C187" s="381"/>
      <c r="D187" s="381"/>
      <c r="E187" s="381"/>
      <c r="F187" s="381"/>
      <c r="G187" s="381"/>
      <c r="H187" s="381"/>
      <c r="I187" s="381"/>
      <c r="J187" s="381"/>
      <c r="K187" s="381"/>
      <c r="L187" s="382"/>
      <c r="AE187" s="358">
        <v>2</v>
      </c>
      <c r="AF187" s="552" t="s">
        <v>1015</v>
      </c>
      <c r="AG187" s="1367">
        <v>79.25</v>
      </c>
      <c r="AH187" s="1367">
        <v>12.04</v>
      </c>
      <c r="AI187" s="1367">
        <v>2.42</v>
      </c>
      <c r="AJ187" s="1367">
        <v>1.21</v>
      </c>
      <c r="AK187" s="1483"/>
      <c r="AL187" s="1367">
        <v>5.08</v>
      </c>
      <c r="AM187" s="1367"/>
      <c r="AN187" s="1960">
        <v>10.154</v>
      </c>
      <c r="AO187" s="1857"/>
    </row>
    <row r="188" spans="2:16370" ht="15.75" hidden="1" x14ac:dyDescent="0.25">
      <c r="B188" s="383" t="s">
        <v>268</v>
      </c>
      <c r="C188" s="381"/>
      <c r="D188" s="383" t="s">
        <v>909</v>
      </c>
      <c r="E188" s="383"/>
      <c r="F188" s="383"/>
      <c r="G188" s="383"/>
      <c r="H188" s="381"/>
      <c r="I188" s="381"/>
      <c r="J188" s="381"/>
      <c r="K188" s="381"/>
      <c r="L188" s="384" t="s">
        <v>1403</v>
      </c>
      <c r="M188" s="5"/>
      <c r="N188" s="5"/>
      <c r="O188" s="5"/>
      <c r="P188" s="5"/>
      <c r="Q188" s="5"/>
      <c r="R188" s="5"/>
      <c r="S188" s="5"/>
      <c r="T188" s="5"/>
      <c r="U188" s="5"/>
      <c r="V188" s="5"/>
      <c r="W188" s="5"/>
      <c r="X188" s="5"/>
      <c r="Y188" s="5"/>
      <c r="Z188" s="5"/>
      <c r="AA188" s="5"/>
      <c r="AB188" s="5"/>
      <c r="AC188" s="5"/>
      <c r="AD188" s="5"/>
      <c r="AE188" s="358">
        <v>3</v>
      </c>
      <c r="AF188" s="552" t="s">
        <v>960</v>
      </c>
      <c r="AG188" s="360">
        <v>85.19</v>
      </c>
      <c r="AH188" s="360">
        <v>7.98</v>
      </c>
      <c r="AI188" s="360">
        <v>3.41</v>
      </c>
      <c r="AJ188" s="360">
        <v>1.43</v>
      </c>
      <c r="AK188" s="360"/>
      <c r="AL188" s="360">
        <v>1.99</v>
      </c>
      <c r="AM188" s="360"/>
      <c r="AN188" s="1960">
        <v>6.6956100000000003</v>
      </c>
      <c r="AO188" s="1857"/>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c r="BHB188" s="5"/>
      <c r="BHC188" s="5"/>
      <c r="BHD188" s="5"/>
      <c r="BHE188" s="5"/>
      <c r="BHF188" s="5"/>
      <c r="BHG188" s="5"/>
      <c r="BHH188" s="5"/>
      <c r="BHI188" s="5"/>
      <c r="BHJ188" s="5"/>
      <c r="BHK188" s="5"/>
      <c r="BHL188" s="5"/>
      <c r="BHM188" s="5"/>
      <c r="BHN188" s="5"/>
      <c r="BHO188" s="5"/>
      <c r="BHP188" s="5"/>
      <c r="BHQ188" s="5"/>
      <c r="BHR188" s="5"/>
      <c r="BHS188" s="5"/>
      <c r="BHT188" s="5"/>
      <c r="BHU188" s="5"/>
      <c r="BHV188" s="5"/>
      <c r="BHW188" s="5"/>
      <c r="BHX188" s="5"/>
      <c r="BHY188" s="5"/>
      <c r="BHZ188" s="5"/>
      <c r="BIA188" s="5"/>
      <c r="BIB188" s="5"/>
      <c r="BIC188" s="5"/>
      <c r="BID188" s="5"/>
      <c r="BIE188" s="5"/>
      <c r="BIF188" s="5"/>
      <c r="BIG188" s="5"/>
      <c r="BIH188" s="5"/>
      <c r="BII188" s="5"/>
      <c r="BIJ188" s="5"/>
      <c r="BIK188" s="5"/>
      <c r="BIL188" s="5"/>
      <c r="BIM188" s="5"/>
      <c r="BIN188" s="5"/>
      <c r="BIO188" s="5"/>
      <c r="BIP188" s="5"/>
      <c r="BIQ188" s="5"/>
      <c r="BIR188" s="5"/>
      <c r="BIS188" s="5"/>
      <c r="BIT188" s="5"/>
      <c r="BIU188" s="5"/>
      <c r="BIV188" s="5"/>
      <c r="BIW188" s="5"/>
      <c r="BIX188" s="5"/>
      <c r="BIY188" s="5"/>
      <c r="BIZ188" s="5"/>
      <c r="BJA188" s="5"/>
      <c r="BJB188" s="5"/>
      <c r="BJC188" s="5"/>
      <c r="BJD188" s="5"/>
      <c r="BJE188" s="5"/>
      <c r="BJF188" s="5"/>
      <c r="BJG188" s="5"/>
      <c r="BJH188" s="5"/>
      <c r="BJI188" s="5"/>
      <c r="BJJ188" s="5"/>
      <c r="BJK188" s="5"/>
      <c r="BJL188" s="5"/>
      <c r="BJM188" s="5"/>
      <c r="BJN188" s="5"/>
      <c r="BJO188" s="5"/>
      <c r="BJP188" s="5"/>
      <c r="BJQ188" s="5"/>
      <c r="BJR188" s="5"/>
      <c r="BJS188" s="5"/>
      <c r="BJT188" s="5"/>
      <c r="BJU188" s="5"/>
      <c r="BJV188" s="5"/>
      <c r="BJW188" s="5"/>
      <c r="BJX188" s="5"/>
      <c r="BJY188" s="5"/>
      <c r="BJZ188" s="5"/>
      <c r="BKA188" s="5"/>
      <c r="BKB188" s="5"/>
      <c r="BKC188" s="5"/>
      <c r="BKD188" s="5"/>
      <c r="BKE188" s="5"/>
      <c r="BKF188" s="5"/>
      <c r="BKG188" s="5"/>
      <c r="BKH188" s="5"/>
      <c r="BKI188" s="5"/>
      <c r="BKJ188" s="5"/>
      <c r="BKK188" s="5"/>
      <c r="BKL188" s="5"/>
      <c r="BKM188" s="5"/>
      <c r="BKN188" s="5"/>
      <c r="BKO188" s="5"/>
      <c r="BKP188" s="5"/>
      <c r="BKQ188" s="5"/>
      <c r="BKR188" s="5"/>
      <c r="BKS188" s="5"/>
      <c r="BKT188" s="5"/>
      <c r="BKU188" s="5"/>
      <c r="BKV188" s="5"/>
      <c r="BKW188" s="5"/>
      <c r="BKX188" s="5"/>
      <c r="BKY188" s="5"/>
      <c r="BKZ188" s="5"/>
      <c r="BLA188" s="5"/>
      <c r="BLB188" s="5"/>
      <c r="BLC188" s="5"/>
      <c r="BLD188" s="5"/>
      <c r="BLE188" s="5"/>
      <c r="BLF188" s="5"/>
      <c r="BLG188" s="5"/>
      <c r="BLH188" s="5"/>
      <c r="BLI188" s="5"/>
      <c r="BLJ188" s="5"/>
      <c r="BLK188" s="5"/>
      <c r="BLL188" s="5"/>
      <c r="BLM188" s="5"/>
      <c r="BLN188" s="5"/>
      <c r="BLO188" s="5"/>
      <c r="BLP188" s="5"/>
      <c r="BLQ188" s="5"/>
      <c r="BLR188" s="5"/>
      <c r="BLS188" s="5"/>
      <c r="BLT188" s="5"/>
      <c r="BLU188" s="5"/>
      <c r="BLV188" s="5"/>
      <c r="BLW188" s="5"/>
      <c r="BLX188" s="5"/>
      <c r="BLY188" s="5"/>
      <c r="BLZ188" s="5"/>
      <c r="BMA188" s="5"/>
      <c r="BMB188" s="5"/>
      <c r="BMC188" s="5"/>
      <c r="BMD188" s="5"/>
      <c r="BME188" s="5"/>
      <c r="BMF188" s="5"/>
      <c r="BMG188" s="5"/>
      <c r="BMH188" s="5"/>
      <c r="BMI188" s="5"/>
      <c r="BMJ188" s="5"/>
      <c r="BMK188" s="5"/>
      <c r="BML188" s="5"/>
      <c r="BMM188" s="5"/>
      <c r="BMN188" s="5"/>
      <c r="BMO188" s="5"/>
      <c r="BMP188" s="5"/>
      <c r="BMQ188" s="5"/>
      <c r="BMR188" s="5"/>
      <c r="BMS188" s="5"/>
      <c r="BMT188" s="5"/>
      <c r="BMU188" s="5"/>
      <c r="BMV188" s="5"/>
      <c r="BMW188" s="5"/>
      <c r="BMX188" s="5"/>
      <c r="BMY188" s="5"/>
      <c r="BMZ188" s="5"/>
      <c r="BNA188" s="5"/>
      <c r="BNB188" s="5"/>
      <c r="BNC188" s="5"/>
      <c r="BND188" s="5"/>
      <c r="BNE188" s="5"/>
      <c r="BNF188" s="5"/>
      <c r="BNG188" s="5"/>
      <c r="BNH188" s="5"/>
      <c r="BNI188" s="5"/>
      <c r="BNJ188" s="5"/>
      <c r="BNK188" s="5"/>
      <c r="BNL188" s="5"/>
      <c r="BNM188" s="5"/>
      <c r="BNN188" s="5"/>
      <c r="BNO188" s="5"/>
      <c r="BNP188" s="5"/>
      <c r="BNQ188" s="5"/>
      <c r="BNR188" s="5"/>
      <c r="BNS188" s="5"/>
      <c r="BNT188" s="5"/>
      <c r="BNU188" s="5"/>
      <c r="BNV188" s="5"/>
      <c r="BNW188" s="5"/>
      <c r="BNX188" s="5"/>
      <c r="BNY188" s="5"/>
      <c r="BNZ188" s="5"/>
      <c r="BOA188" s="5"/>
      <c r="BOB188" s="5"/>
      <c r="BOC188" s="5"/>
      <c r="BOD188" s="5"/>
      <c r="BOE188" s="5"/>
      <c r="BOF188" s="5"/>
      <c r="BOG188" s="5"/>
      <c r="BOH188" s="5"/>
      <c r="BOI188" s="5"/>
      <c r="BOJ188" s="5"/>
      <c r="BOK188" s="5"/>
      <c r="BOL188" s="5"/>
      <c r="BOM188" s="5"/>
      <c r="BON188" s="5"/>
      <c r="BOO188" s="5"/>
      <c r="BOP188" s="5"/>
      <c r="BOQ188" s="5"/>
      <c r="BOR188" s="5"/>
      <c r="BOS188" s="5"/>
      <c r="BOT188" s="5"/>
      <c r="BOU188" s="5"/>
      <c r="BOV188" s="5"/>
      <c r="BOW188" s="5"/>
      <c r="BOX188" s="5"/>
      <c r="BOY188" s="5"/>
      <c r="BOZ188" s="5"/>
      <c r="BPA188" s="5"/>
      <c r="BPB188" s="5"/>
      <c r="BPC188" s="5"/>
      <c r="BPD188" s="5"/>
      <c r="BPE188" s="5"/>
      <c r="BPF188" s="5"/>
      <c r="BPG188" s="5"/>
      <c r="BPH188" s="5"/>
      <c r="BPI188" s="5"/>
      <c r="BPJ188" s="5"/>
      <c r="BPK188" s="5"/>
      <c r="BPL188" s="5"/>
      <c r="BPM188" s="5"/>
      <c r="BPN188" s="5"/>
      <c r="BPO188" s="5"/>
      <c r="BPP188" s="5"/>
      <c r="BPQ188" s="5"/>
      <c r="BPR188" s="5"/>
      <c r="BPS188" s="5"/>
      <c r="BPT188" s="5"/>
      <c r="BPU188" s="5"/>
      <c r="BPV188" s="5"/>
      <c r="BPW188" s="5"/>
      <c r="BPX188" s="5"/>
      <c r="BPY188" s="5"/>
      <c r="BPZ188" s="5"/>
      <c r="BQA188" s="5"/>
      <c r="BQB188" s="5"/>
      <c r="BQC188" s="5"/>
      <c r="BQD188" s="5"/>
      <c r="BQE188" s="5"/>
      <c r="BQF188" s="5"/>
      <c r="BQG188" s="5"/>
      <c r="BQH188" s="5"/>
      <c r="BQI188" s="5"/>
      <c r="BQJ188" s="5"/>
      <c r="BQK188" s="5"/>
      <c r="BQL188" s="5"/>
      <c r="BQM188" s="5"/>
      <c r="BQN188" s="5"/>
      <c r="BQO188" s="5"/>
      <c r="BQP188" s="5"/>
      <c r="BQQ188" s="5"/>
      <c r="BQR188" s="5"/>
      <c r="BQS188" s="5"/>
      <c r="BQT188" s="5"/>
      <c r="BQU188" s="5"/>
      <c r="BQV188" s="5"/>
      <c r="BQW188" s="5"/>
      <c r="BQX188" s="5"/>
      <c r="BQY188" s="5"/>
      <c r="BQZ188" s="5"/>
      <c r="BRA188" s="5"/>
      <c r="BRB188" s="5"/>
      <c r="BRC188" s="5"/>
      <c r="BRD188" s="5"/>
      <c r="BRE188" s="5"/>
      <c r="BRF188" s="5"/>
      <c r="BRG188" s="5"/>
      <c r="BRH188" s="5"/>
      <c r="BRI188" s="5"/>
      <c r="BRJ188" s="5"/>
      <c r="BRK188" s="5"/>
      <c r="BRL188" s="5"/>
      <c r="BRM188" s="5"/>
      <c r="BRN188" s="5"/>
      <c r="BRO188" s="5"/>
      <c r="BRP188" s="5"/>
      <c r="BRQ188" s="5"/>
      <c r="BRR188" s="5"/>
      <c r="BRS188" s="5"/>
      <c r="BRT188" s="5"/>
      <c r="BRU188" s="5"/>
      <c r="BRV188" s="5"/>
      <c r="BRW188" s="5"/>
      <c r="BRX188" s="5"/>
      <c r="BRY188" s="5"/>
      <c r="BRZ188" s="5"/>
      <c r="BSA188" s="5"/>
      <c r="BSB188" s="5"/>
      <c r="BSC188" s="5"/>
      <c r="BSD188" s="5"/>
      <c r="BSE188" s="5"/>
      <c r="BSF188" s="5"/>
      <c r="BSG188" s="5"/>
      <c r="BSH188" s="5"/>
      <c r="BSI188" s="5"/>
      <c r="BSJ188" s="5"/>
      <c r="BSK188" s="5"/>
      <c r="BSL188" s="5"/>
      <c r="BSM188" s="5"/>
      <c r="BSN188" s="5"/>
      <c r="BSO188" s="5"/>
      <c r="BSP188" s="5"/>
      <c r="BSQ188" s="5"/>
      <c r="BSR188" s="5"/>
      <c r="BSS188" s="5"/>
      <c r="BST188" s="5"/>
      <c r="BSU188" s="5"/>
      <c r="BSV188" s="5"/>
      <c r="BSW188" s="5"/>
      <c r="BSX188" s="5"/>
      <c r="BSY188" s="5"/>
      <c r="BSZ188" s="5"/>
      <c r="BTA188" s="5"/>
      <c r="BTB188" s="5"/>
      <c r="BTC188" s="5"/>
      <c r="BTD188" s="5"/>
      <c r="BTE188" s="5"/>
      <c r="BTF188" s="5"/>
      <c r="BTG188" s="5"/>
      <c r="BTH188" s="5"/>
      <c r="BTI188" s="5"/>
      <c r="BTJ188" s="5"/>
      <c r="BTK188" s="5"/>
      <c r="BTL188" s="5"/>
      <c r="BTM188" s="5"/>
      <c r="BTN188" s="5"/>
      <c r="BTO188" s="5"/>
      <c r="BTP188" s="5"/>
      <c r="BTQ188" s="5"/>
      <c r="BTR188" s="5"/>
      <c r="BTS188" s="5"/>
      <c r="BTT188" s="5"/>
      <c r="BTU188" s="5"/>
      <c r="BTV188" s="5"/>
      <c r="BTW188" s="5"/>
      <c r="BTX188" s="5"/>
      <c r="BTY188" s="5"/>
      <c r="BTZ188" s="5"/>
      <c r="BUA188" s="5"/>
      <c r="BUB188" s="5"/>
      <c r="BUC188" s="5"/>
      <c r="BUD188" s="5"/>
      <c r="BUE188" s="5"/>
      <c r="BUF188" s="5"/>
      <c r="BUG188" s="5"/>
      <c r="BUH188" s="5"/>
      <c r="BUI188" s="5"/>
      <c r="BUJ188" s="5"/>
      <c r="BUK188" s="5"/>
      <c r="BUL188" s="5"/>
      <c r="BUM188" s="5"/>
      <c r="BUN188" s="5"/>
      <c r="BUO188" s="5"/>
      <c r="BUP188" s="5"/>
      <c r="BUQ188" s="5"/>
      <c r="BUR188" s="5"/>
      <c r="BUS188" s="5"/>
      <c r="BUT188" s="5"/>
      <c r="BUU188" s="5"/>
      <c r="BUV188" s="5"/>
      <c r="BUW188" s="5"/>
      <c r="BUX188" s="5"/>
      <c r="BUY188" s="5"/>
      <c r="BUZ188" s="5"/>
      <c r="BVA188" s="5"/>
      <c r="BVB188" s="5"/>
      <c r="BVC188" s="5"/>
      <c r="BVD188" s="5"/>
      <c r="BVE188" s="5"/>
      <c r="BVF188" s="5"/>
      <c r="BVG188" s="5"/>
      <c r="BVH188" s="5"/>
      <c r="BVI188" s="5"/>
      <c r="BVJ188" s="5"/>
      <c r="BVK188" s="5"/>
      <c r="BVL188" s="5"/>
      <c r="BVM188" s="5"/>
      <c r="BVN188" s="5"/>
      <c r="BVO188" s="5"/>
      <c r="BVP188" s="5"/>
      <c r="BVQ188" s="5"/>
      <c r="BVR188" s="5"/>
      <c r="BVS188" s="5"/>
      <c r="BVT188" s="5"/>
      <c r="BVU188" s="5"/>
      <c r="BVV188" s="5"/>
      <c r="BVW188" s="5"/>
      <c r="BVX188" s="5"/>
      <c r="BVY188" s="5"/>
      <c r="BVZ188" s="5"/>
      <c r="BWA188" s="5"/>
      <c r="BWB188" s="5"/>
      <c r="BWC188" s="5"/>
      <c r="BWD188" s="5"/>
      <c r="BWE188" s="5"/>
      <c r="BWF188" s="5"/>
      <c r="BWG188" s="5"/>
      <c r="BWH188" s="5"/>
      <c r="BWI188" s="5"/>
      <c r="BWJ188" s="5"/>
      <c r="BWK188" s="5"/>
      <c r="BWL188" s="5"/>
      <c r="BWM188" s="5"/>
      <c r="BWN188" s="5"/>
      <c r="BWO188" s="5"/>
      <c r="BWP188" s="5"/>
      <c r="BWQ188" s="5"/>
      <c r="BWR188" s="5"/>
      <c r="BWS188" s="5"/>
      <c r="BWT188" s="5"/>
      <c r="BWU188" s="5"/>
      <c r="BWV188" s="5"/>
      <c r="BWW188" s="5"/>
      <c r="BWX188" s="5"/>
      <c r="BWY188" s="5"/>
      <c r="BWZ188" s="5"/>
      <c r="BXA188" s="5"/>
      <c r="BXB188" s="5"/>
      <c r="BXC188" s="5"/>
      <c r="BXD188" s="5"/>
      <c r="BXE188" s="5"/>
      <c r="BXF188" s="5"/>
      <c r="BXG188" s="5"/>
      <c r="BXH188" s="5"/>
      <c r="BXI188" s="5"/>
      <c r="BXJ188" s="5"/>
      <c r="BXK188" s="5"/>
      <c r="BXL188" s="5"/>
      <c r="BXM188" s="5"/>
      <c r="BXN188" s="5"/>
      <c r="BXO188" s="5"/>
      <c r="BXP188" s="5"/>
      <c r="BXQ188" s="5"/>
      <c r="BXR188" s="5"/>
      <c r="BXS188" s="5"/>
      <c r="BXT188" s="5"/>
      <c r="BXU188" s="5"/>
      <c r="BXV188" s="5"/>
      <c r="BXW188" s="5"/>
      <c r="BXX188" s="5"/>
      <c r="BXY188" s="5"/>
      <c r="BXZ188" s="5"/>
      <c r="BYA188" s="5"/>
      <c r="BYB188" s="5"/>
      <c r="BYC188" s="5"/>
      <c r="BYD188" s="5"/>
      <c r="BYE188" s="5"/>
      <c r="BYF188" s="5"/>
      <c r="BYG188" s="5"/>
      <c r="BYH188" s="5"/>
      <c r="BYI188" s="5"/>
      <c r="BYJ188" s="5"/>
      <c r="BYK188" s="5"/>
      <c r="BYL188" s="5"/>
      <c r="BYM188" s="5"/>
      <c r="BYN188" s="5"/>
      <c r="BYO188" s="5"/>
      <c r="BYP188" s="5"/>
      <c r="BYQ188" s="5"/>
      <c r="BYR188" s="5"/>
      <c r="BYS188" s="5"/>
      <c r="BYT188" s="5"/>
      <c r="BYU188" s="5"/>
      <c r="BYV188" s="5"/>
      <c r="BYW188" s="5"/>
      <c r="BYX188" s="5"/>
      <c r="BYY188" s="5"/>
      <c r="BYZ188" s="5"/>
      <c r="BZA188" s="5"/>
      <c r="BZB188" s="5"/>
      <c r="BZC188" s="5"/>
      <c r="BZD188" s="5"/>
      <c r="BZE188" s="5"/>
      <c r="BZF188" s="5"/>
      <c r="BZG188" s="5"/>
      <c r="BZH188" s="5"/>
      <c r="BZI188" s="5"/>
      <c r="BZJ188" s="5"/>
      <c r="BZK188" s="5"/>
      <c r="BZL188" s="5"/>
      <c r="BZM188" s="5"/>
      <c r="BZN188" s="5"/>
      <c r="BZO188" s="5"/>
      <c r="BZP188" s="5"/>
      <c r="BZQ188" s="5"/>
      <c r="BZR188" s="5"/>
      <c r="BZS188" s="5"/>
      <c r="BZT188" s="5"/>
      <c r="BZU188" s="5"/>
      <c r="BZV188" s="5"/>
      <c r="BZW188" s="5"/>
      <c r="BZX188" s="5"/>
      <c r="BZY188" s="5"/>
      <c r="BZZ188" s="5"/>
      <c r="CAA188" s="5"/>
      <c r="CAB188" s="5"/>
      <c r="CAC188" s="5"/>
      <c r="CAD188" s="5"/>
      <c r="CAE188" s="5"/>
      <c r="CAF188" s="5"/>
      <c r="CAG188" s="5"/>
      <c r="CAH188" s="5"/>
      <c r="CAI188" s="5"/>
      <c r="CAJ188" s="5"/>
      <c r="CAK188" s="5"/>
      <c r="CAL188" s="5"/>
      <c r="CAM188" s="5"/>
      <c r="CAN188" s="5"/>
      <c r="CAO188" s="5"/>
      <c r="CAP188" s="5"/>
      <c r="CAQ188" s="5"/>
      <c r="CAR188" s="5"/>
      <c r="CAS188" s="5"/>
      <c r="CAT188" s="5"/>
      <c r="CAU188" s="5"/>
      <c r="CAV188" s="5"/>
      <c r="CAW188" s="5"/>
      <c r="CAX188" s="5"/>
      <c r="CAY188" s="5"/>
      <c r="CAZ188" s="5"/>
      <c r="CBA188" s="5"/>
      <c r="CBB188" s="5"/>
      <c r="CBC188" s="5"/>
      <c r="CBD188" s="5"/>
      <c r="CBE188" s="5"/>
      <c r="CBF188" s="5"/>
      <c r="CBG188" s="5"/>
      <c r="CBH188" s="5"/>
      <c r="CBI188" s="5"/>
      <c r="CBJ188" s="5"/>
      <c r="CBK188" s="5"/>
      <c r="CBL188" s="5"/>
      <c r="CBM188" s="5"/>
      <c r="CBN188" s="5"/>
      <c r="CBO188" s="5"/>
      <c r="CBP188" s="5"/>
      <c r="CBQ188" s="5"/>
      <c r="CBR188" s="5"/>
      <c r="CBS188" s="5"/>
      <c r="CBT188" s="5"/>
      <c r="CBU188" s="5"/>
      <c r="CBV188" s="5"/>
      <c r="CBW188" s="5"/>
      <c r="CBX188" s="5"/>
      <c r="CBY188" s="5"/>
      <c r="CBZ188" s="5"/>
      <c r="CCA188" s="5"/>
      <c r="CCB188" s="5"/>
      <c r="CCC188" s="5"/>
      <c r="CCD188" s="5"/>
      <c r="CCE188" s="5"/>
      <c r="CCF188" s="5"/>
      <c r="CCG188" s="5"/>
      <c r="CCH188" s="5"/>
      <c r="CCI188" s="5"/>
      <c r="CCJ188" s="5"/>
      <c r="CCK188" s="5"/>
      <c r="CCL188" s="5"/>
      <c r="CCM188" s="5"/>
      <c r="CCN188" s="5"/>
      <c r="CCO188" s="5"/>
      <c r="CCP188" s="5"/>
      <c r="CCQ188" s="5"/>
      <c r="CCR188" s="5"/>
      <c r="CCS188" s="5"/>
      <c r="CCT188" s="5"/>
      <c r="CCU188" s="5"/>
      <c r="CCV188" s="5"/>
      <c r="CCW188" s="5"/>
      <c r="CCX188" s="5"/>
      <c r="CCY188" s="5"/>
      <c r="CCZ188" s="5"/>
      <c r="CDA188" s="5"/>
      <c r="CDB188" s="5"/>
      <c r="CDC188" s="5"/>
      <c r="CDD188" s="5"/>
      <c r="CDE188" s="5"/>
      <c r="CDF188" s="5"/>
      <c r="CDG188" s="5"/>
      <c r="CDH188" s="5"/>
      <c r="CDI188" s="5"/>
      <c r="CDJ188" s="5"/>
      <c r="CDK188" s="5"/>
      <c r="CDL188" s="5"/>
      <c r="CDM188" s="5"/>
      <c r="CDN188" s="5"/>
      <c r="CDO188" s="5"/>
      <c r="CDP188" s="5"/>
      <c r="CDQ188" s="5"/>
      <c r="CDR188" s="5"/>
      <c r="CDS188" s="5"/>
      <c r="CDT188" s="5"/>
      <c r="CDU188" s="5"/>
      <c r="CDV188" s="5"/>
      <c r="CDW188" s="5"/>
      <c r="CDX188" s="5"/>
      <c r="CDY188" s="5"/>
      <c r="CDZ188" s="5"/>
      <c r="CEA188" s="5"/>
      <c r="CEB188" s="5"/>
      <c r="CEC188" s="5"/>
      <c r="CED188" s="5"/>
      <c r="CEE188" s="5"/>
      <c r="CEF188" s="5"/>
      <c r="CEG188" s="5"/>
      <c r="CEH188" s="5"/>
      <c r="CEI188" s="5"/>
      <c r="CEJ188" s="5"/>
      <c r="CEK188" s="5"/>
      <c r="CEL188" s="5"/>
      <c r="CEM188" s="5"/>
      <c r="CEN188" s="5"/>
      <c r="CEO188" s="5"/>
      <c r="CEP188" s="5"/>
      <c r="CEQ188" s="5"/>
      <c r="CER188" s="5"/>
      <c r="CES188" s="5"/>
      <c r="CET188" s="5"/>
      <c r="CEU188" s="5"/>
      <c r="CEV188" s="5"/>
      <c r="CEW188" s="5"/>
      <c r="CEX188" s="5"/>
      <c r="CEY188" s="5"/>
      <c r="CEZ188" s="5"/>
      <c r="CFA188" s="5"/>
      <c r="CFB188" s="5"/>
      <c r="CFC188" s="5"/>
      <c r="CFD188" s="5"/>
      <c r="CFE188" s="5"/>
      <c r="CFF188" s="5"/>
      <c r="CFG188" s="5"/>
      <c r="CFH188" s="5"/>
      <c r="CFI188" s="5"/>
      <c r="CFJ188" s="5"/>
      <c r="CFK188" s="5"/>
      <c r="CFL188" s="5"/>
      <c r="CFM188" s="5"/>
      <c r="CFN188" s="5"/>
      <c r="CFO188" s="5"/>
      <c r="CFP188" s="5"/>
      <c r="CFQ188" s="5"/>
      <c r="CFR188" s="5"/>
      <c r="CFS188" s="5"/>
      <c r="CFT188" s="5"/>
      <c r="CFU188" s="5"/>
      <c r="CFV188" s="5"/>
      <c r="CFW188" s="5"/>
      <c r="CFX188" s="5"/>
      <c r="CFY188" s="5"/>
      <c r="CFZ188" s="5"/>
      <c r="CGA188" s="5"/>
      <c r="CGB188" s="5"/>
      <c r="CGC188" s="5"/>
      <c r="CGD188" s="5"/>
      <c r="CGE188" s="5"/>
      <c r="CGF188" s="5"/>
      <c r="CGG188" s="5"/>
      <c r="CGH188" s="5"/>
      <c r="CGI188" s="5"/>
      <c r="CGJ188" s="5"/>
      <c r="CGK188" s="5"/>
      <c r="CGL188" s="5"/>
      <c r="CGM188" s="5"/>
      <c r="CGN188" s="5"/>
      <c r="CGO188" s="5"/>
      <c r="CGP188" s="5"/>
      <c r="CGQ188" s="5"/>
      <c r="CGR188" s="5"/>
      <c r="CGS188" s="5"/>
      <c r="CGT188" s="5"/>
      <c r="CGU188" s="5"/>
      <c r="CGV188" s="5"/>
      <c r="CGW188" s="5"/>
      <c r="CGX188" s="5"/>
      <c r="CGY188" s="5"/>
      <c r="CGZ188" s="5"/>
      <c r="CHA188" s="5"/>
      <c r="CHB188" s="5"/>
      <c r="CHC188" s="5"/>
      <c r="CHD188" s="5"/>
      <c r="CHE188" s="5"/>
      <c r="CHF188" s="5"/>
      <c r="CHG188" s="5"/>
      <c r="CHH188" s="5"/>
      <c r="CHI188" s="5"/>
      <c r="CHJ188" s="5"/>
      <c r="CHK188" s="5"/>
      <c r="CHL188" s="5"/>
      <c r="CHM188" s="5"/>
      <c r="CHN188" s="5"/>
      <c r="CHO188" s="5"/>
      <c r="CHP188" s="5"/>
      <c r="CHQ188" s="5"/>
      <c r="CHR188" s="5"/>
      <c r="CHS188" s="5"/>
      <c r="CHT188" s="5"/>
      <c r="CHU188" s="5"/>
      <c r="CHV188" s="5"/>
      <c r="CHW188" s="5"/>
      <c r="CHX188" s="5"/>
      <c r="CHY188" s="5"/>
      <c r="CHZ188" s="5"/>
      <c r="CIA188" s="5"/>
      <c r="CIB188" s="5"/>
      <c r="CIC188" s="5"/>
      <c r="CID188" s="5"/>
      <c r="CIE188" s="5"/>
      <c r="CIF188" s="5"/>
      <c r="CIG188" s="5"/>
      <c r="CIH188" s="5"/>
      <c r="CII188" s="5"/>
      <c r="CIJ188" s="5"/>
      <c r="CIK188" s="5"/>
      <c r="CIL188" s="5"/>
      <c r="CIM188" s="5"/>
      <c r="CIN188" s="5"/>
      <c r="CIO188" s="5"/>
      <c r="CIP188" s="5"/>
      <c r="CIQ188" s="5"/>
      <c r="CIR188" s="5"/>
      <c r="CIS188" s="5"/>
      <c r="CIT188" s="5"/>
      <c r="CIU188" s="5"/>
      <c r="CIV188" s="5"/>
      <c r="CIW188" s="5"/>
      <c r="CIX188" s="5"/>
      <c r="CIY188" s="5"/>
      <c r="CIZ188" s="5"/>
      <c r="CJA188" s="5"/>
      <c r="CJB188" s="5"/>
      <c r="CJC188" s="5"/>
      <c r="CJD188" s="5"/>
      <c r="CJE188" s="5"/>
      <c r="CJF188" s="5"/>
      <c r="CJG188" s="5"/>
      <c r="CJH188" s="5"/>
      <c r="CJI188" s="5"/>
      <c r="CJJ188" s="5"/>
      <c r="CJK188" s="5"/>
      <c r="CJL188" s="5"/>
      <c r="CJM188" s="5"/>
      <c r="CJN188" s="5"/>
      <c r="CJO188" s="5"/>
      <c r="CJP188" s="5"/>
      <c r="CJQ188" s="5"/>
      <c r="CJR188" s="5"/>
      <c r="CJS188" s="5"/>
      <c r="CJT188" s="5"/>
      <c r="CJU188" s="5"/>
      <c r="CJV188" s="5"/>
      <c r="CJW188" s="5"/>
      <c r="CJX188" s="5"/>
      <c r="CJY188" s="5"/>
      <c r="CJZ188" s="5"/>
      <c r="CKA188" s="5"/>
      <c r="CKB188" s="5"/>
      <c r="CKC188" s="5"/>
      <c r="CKD188" s="5"/>
      <c r="CKE188" s="5"/>
      <c r="CKF188" s="5"/>
      <c r="CKG188" s="5"/>
      <c r="CKH188" s="5"/>
      <c r="CKI188" s="5"/>
      <c r="CKJ188" s="5"/>
      <c r="CKK188" s="5"/>
      <c r="CKL188" s="5"/>
      <c r="CKM188" s="5"/>
      <c r="CKN188" s="5"/>
      <c r="CKO188" s="5"/>
      <c r="CKP188" s="5"/>
      <c r="CKQ188" s="5"/>
      <c r="CKR188" s="5"/>
      <c r="CKS188" s="5"/>
      <c r="CKT188" s="5"/>
      <c r="CKU188" s="5"/>
      <c r="CKV188" s="5"/>
      <c r="CKW188" s="5"/>
      <c r="CKX188" s="5"/>
      <c r="CKY188" s="5"/>
      <c r="CKZ188" s="5"/>
      <c r="CLA188" s="5"/>
      <c r="CLB188" s="5"/>
      <c r="CLC188" s="5"/>
      <c r="CLD188" s="5"/>
      <c r="CLE188" s="5"/>
      <c r="CLF188" s="5"/>
      <c r="CLG188" s="5"/>
      <c r="CLH188" s="5"/>
      <c r="CLI188" s="5"/>
      <c r="CLJ188" s="5"/>
      <c r="CLK188" s="5"/>
      <c r="CLL188" s="5"/>
      <c r="CLM188" s="5"/>
      <c r="CLN188" s="5"/>
      <c r="CLO188" s="5"/>
      <c r="CLP188" s="5"/>
      <c r="CLQ188" s="5"/>
      <c r="CLR188" s="5"/>
      <c r="CLS188" s="5"/>
      <c r="CLT188" s="5"/>
      <c r="CLU188" s="5"/>
      <c r="CLV188" s="5"/>
      <c r="CLW188" s="5"/>
      <c r="CLX188" s="5"/>
      <c r="CLY188" s="5"/>
      <c r="CLZ188" s="5"/>
      <c r="CMA188" s="5"/>
      <c r="CMB188" s="5"/>
      <c r="CMC188" s="5"/>
      <c r="CMD188" s="5"/>
      <c r="CME188" s="5"/>
      <c r="CMF188" s="5"/>
      <c r="CMG188" s="5"/>
      <c r="CMH188" s="5"/>
      <c r="CMI188" s="5"/>
      <c r="CMJ188" s="5"/>
      <c r="CMK188" s="5"/>
      <c r="CML188" s="5"/>
      <c r="CMM188" s="5"/>
      <c r="CMN188" s="5"/>
      <c r="CMO188" s="5"/>
      <c r="CMP188" s="5"/>
      <c r="CMQ188" s="5"/>
      <c r="CMR188" s="5"/>
      <c r="CMS188" s="5"/>
      <c r="CMT188" s="5"/>
      <c r="CMU188" s="5"/>
      <c r="CMV188" s="5"/>
      <c r="CMW188" s="5"/>
      <c r="CMX188" s="5"/>
      <c r="CMY188" s="5"/>
      <c r="CMZ188" s="5"/>
      <c r="CNA188" s="5"/>
      <c r="CNB188" s="5"/>
      <c r="CNC188" s="5"/>
      <c r="CND188" s="5"/>
      <c r="CNE188" s="5"/>
      <c r="CNF188" s="5"/>
      <c r="CNG188" s="5"/>
      <c r="CNH188" s="5"/>
      <c r="CNI188" s="5"/>
      <c r="CNJ188" s="5"/>
      <c r="CNK188" s="5"/>
      <c r="CNL188" s="5"/>
      <c r="CNM188" s="5"/>
      <c r="CNN188" s="5"/>
      <c r="CNO188" s="5"/>
      <c r="CNP188" s="5"/>
      <c r="CNQ188" s="5"/>
      <c r="CNR188" s="5"/>
      <c r="CNS188" s="5"/>
      <c r="CNT188" s="5"/>
      <c r="CNU188" s="5"/>
      <c r="CNV188" s="5"/>
      <c r="CNW188" s="5"/>
      <c r="CNX188" s="5"/>
      <c r="CNY188" s="5"/>
      <c r="CNZ188" s="5"/>
      <c r="COA188" s="5"/>
      <c r="COB188" s="5"/>
      <c r="COC188" s="5"/>
      <c r="COD188" s="5"/>
      <c r="COE188" s="5"/>
      <c r="COF188" s="5"/>
      <c r="COG188" s="5"/>
      <c r="COH188" s="5"/>
      <c r="COI188" s="5"/>
      <c r="COJ188" s="5"/>
      <c r="COK188" s="5"/>
      <c r="COL188" s="5"/>
      <c r="COM188" s="5"/>
      <c r="CON188" s="5"/>
      <c r="COO188" s="5"/>
      <c r="COP188" s="5"/>
      <c r="COQ188" s="5"/>
      <c r="COR188" s="5"/>
      <c r="COS188" s="5"/>
      <c r="COT188" s="5"/>
      <c r="COU188" s="5"/>
      <c r="COV188" s="5"/>
      <c r="COW188" s="5"/>
      <c r="COX188" s="5"/>
      <c r="COY188" s="5"/>
      <c r="COZ188" s="5"/>
      <c r="CPA188" s="5"/>
      <c r="CPB188" s="5"/>
      <c r="CPC188" s="5"/>
      <c r="CPD188" s="5"/>
      <c r="CPE188" s="5"/>
      <c r="CPF188" s="5"/>
      <c r="CPG188" s="5"/>
      <c r="CPH188" s="5"/>
      <c r="CPI188" s="5"/>
      <c r="CPJ188" s="5"/>
      <c r="CPK188" s="5"/>
      <c r="CPL188" s="5"/>
      <c r="CPM188" s="5"/>
      <c r="CPN188" s="5"/>
      <c r="CPO188" s="5"/>
      <c r="CPP188" s="5"/>
      <c r="CPQ188" s="5"/>
      <c r="CPR188" s="5"/>
      <c r="CPS188" s="5"/>
      <c r="CPT188" s="5"/>
      <c r="CPU188" s="5"/>
      <c r="CPV188" s="5"/>
      <c r="CPW188" s="5"/>
      <c r="CPX188" s="5"/>
      <c r="CPY188" s="5"/>
      <c r="CPZ188" s="5"/>
      <c r="CQA188" s="5"/>
      <c r="CQB188" s="5"/>
      <c r="CQC188" s="5"/>
      <c r="CQD188" s="5"/>
      <c r="CQE188" s="5"/>
      <c r="CQF188" s="5"/>
      <c r="CQG188" s="5"/>
      <c r="CQH188" s="5"/>
      <c r="CQI188" s="5"/>
      <c r="CQJ188" s="5"/>
      <c r="CQK188" s="5"/>
      <c r="CQL188" s="5"/>
      <c r="CQM188" s="5"/>
      <c r="CQN188" s="5"/>
      <c r="CQO188" s="5"/>
      <c r="CQP188" s="5"/>
      <c r="CQQ188" s="5"/>
      <c r="CQR188" s="5"/>
      <c r="CQS188" s="5"/>
      <c r="CQT188" s="5"/>
      <c r="CQU188" s="5"/>
      <c r="CQV188" s="5"/>
      <c r="CQW188" s="5"/>
      <c r="CQX188" s="5"/>
      <c r="CQY188" s="5"/>
      <c r="CQZ188" s="5"/>
      <c r="CRA188" s="5"/>
      <c r="CRB188" s="5"/>
      <c r="CRC188" s="5"/>
      <c r="CRD188" s="5"/>
      <c r="CRE188" s="5"/>
      <c r="CRF188" s="5"/>
      <c r="CRG188" s="5"/>
      <c r="CRH188" s="5"/>
      <c r="CRI188" s="5"/>
      <c r="CRJ188" s="5"/>
      <c r="CRK188" s="5"/>
      <c r="CRL188" s="5"/>
      <c r="CRM188" s="5"/>
      <c r="CRN188" s="5"/>
      <c r="CRO188" s="5"/>
      <c r="CRP188" s="5"/>
      <c r="CRQ188" s="5"/>
      <c r="CRR188" s="5"/>
      <c r="CRS188" s="5"/>
      <c r="CRT188" s="5"/>
      <c r="CRU188" s="5"/>
      <c r="CRV188" s="5"/>
      <c r="CRW188" s="5"/>
      <c r="CRX188" s="5"/>
      <c r="CRY188" s="5"/>
      <c r="CRZ188" s="5"/>
      <c r="CSA188" s="5"/>
      <c r="CSB188" s="5"/>
      <c r="CSC188" s="5"/>
      <c r="CSD188" s="5"/>
      <c r="CSE188" s="5"/>
      <c r="CSF188" s="5"/>
      <c r="CSG188" s="5"/>
      <c r="CSH188" s="5"/>
      <c r="CSI188" s="5"/>
      <c r="CSJ188" s="5"/>
      <c r="CSK188" s="5"/>
      <c r="CSL188" s="5"/>
      <c r="CSM188" s="5"/>
      <c r="CSN188" s="5"/>
      <c r="CSO188" s="5"/>
      <c r="CSP188" s="5"/>
      <c r="CSQ188" s="5"/>
      <c r="CSR188" s="5"/>
      <c r="CSS188" s="5"/>
      <c r="CST188" s="5"/>
      <c r="CSU188" s="5"/>
      <c r="CSV188" s="5"/>
      <c r="CSW188" s="5"/>
      <c r="CSX188" s="5"/>
      <c r="CSY188" s="5"/>
      <c r="CSZ188" s="5"/>
      <c r="CTA188" s="5"/>
      <c r="CTB188" s="5"/>
      <c r="CTC188" s="5"/>
      <c r="CTD188" s="5"/>
      <c r="CTE188" s="5"/>
      <c r="CTF188" s="5"/>
      <c r="CTG188" s="5"/>
      <c r="CTH188" s="5"/>
      <c r="CTI188" s="5"/>
      <c r="CTJ188" s="5"/>
      <c r="CTK188" s="5"/>
      <c r="CTL188" s="5"/>
      <c r="CTM188" s="5"/>
      <c r="CTN188" s="5"/>
      <c r="CTO188" s="5"/>
      <c r="CTP188" s="5"/>
      <c r="CTQ188" s="5"/>
      <c r="CTR188" s="5"/>
      <c r="CTS188" s="5"/>
      <c r="CTT188" s="5"/>
      <c r="CTU188" s="5"/>
      <c r="CTV188" s="5"/>
      <c r="CTW188" s="5"/>
      <c r="CTX188" s="5"/>
      <c r="CTY188" s="5"/>
      <c r="CTZ188" s="5"/>
      <c r="CUA188" s="5"/>
      <c r="CUB188" s="5"/>
      <c r="CUC188" s="5"/>
      <c r="CUD188" s="5"/>
      <c r="CUE188" s="5"/>
      <c r="CUF188" s="5"/>
      <c r="CUG188" s="5"/>
      <c r="CUH188" s="5"/>
      <c r="CUI188" s="5"/>
      <c r="CUJ188" s="5"/>
      <c r="CUK188" s="5"/>
      <c r="CUL188" s="5"/>
      <c r="CUM188" s="5"/>
      <c r="CUN188" s="5"/>
      <c r="CUO188" s="5"/>
      <c r="CUP188" s="5"/>
      <c r="CUQ188" s="5"/>
      <c r="CUR188" s="5"/>
      <c r="CUS188" s="5"/>
      <c r="CUT188" s="5"/>
      <c r="CUU188" s="5"/>
      <c r="CUV188" s="5"/>
      <c r="CUW188" s="5"/>
      <c r="CUX188" s="5"/>
      <c r="CUY188" s="5"/>
      <c r="CUZ188" s="5"/>
      <c r="CVA188" s="5"/>
      <c r="CVB188" s="5"/>
      <c r="CVC188" s="5"/>
      <c r="CVD188" s="5"/>
      <c r="CVE188" s="5"/>
      <c r="CVF188" s="5"/>
      <c r="CVG188" s="5"/>
      <c r="CVH188" s="5"/>
      <c r="CVI188" s="5"/>
      <c r="CVJ188" s="5"/>
      <c r="CVK188" s="5"/>
      <c r="CVL188" s="5"/>
      <c r="CVM188" s="5"/>
      <c r="CVN188" s="5"/>
      <c r="CVO188" s="5"/>
      <c r="CVP188" s="5"/>
      <c r="CVQ188" s="5"/>
      <c r="CVR188" s="5"/>
      <c r="CVS188" s="5"/>
      <c r="CVT188" s="5"/>
      <c r="CVU188" s="5"/>
      <c r="CVV188" s="5"/>
      <c r="CVW188" s="5"/>
      <c r="CVX188" s="5"/>
      <c r="CVY188" s="5"/>
      <c r="CVZ188" s="5"/>
      <c r="CWA188" s="5"/>
      <c r="CWB188" s="5"/>
      <c r="CWC188" s="5"/>
      <c r="CWD188" s="5"/>
      <c r="CWE188" s="5"/>
      <c r="CWF188" s="5"/>
      <c r="CWG188" s="5"/>
      <c r="CWH188" s="5"/>
      <c r="CWI188" s="5"/>
      <c r="CWJ188" s="5"/>
      <c r="CWK188" s="5"/>
      <c r="CWL188" s="5"/>
      <c r="CWM188" s="5"/>
      <c r="CWN188" s="5"/>
      <c r="CWO188" s="5"/>
      <c r="CWP188" s="5"/>
      <c r="CWQ188" s="5"/>
      <c r="CWR188" s="5"/>
      <c r="CWS188" s="5"/>
      <c r="CWT188" s="5"/>
      <c r="CWU188" s="5"/>
      <c r="CWV188" s="5"/>
      <c r="CWW188" s="5"/>
      <c r="CWX188" s="5"/>
      <c r="CWY188" s="5"/>
      <c r="CWZ188" s="5"/>
      <c r="CXA188" s="5"/>
      <c r="CXB188" s="5"/>
      <c r="CXC188" s="5"/>
      <c r="CXD188" s="5"/>
      <c r="CXE188" s="5"/>
      <c r="CXF188" s="5"/>
      <c r="CXG188" s="5"/>
      <c r="CXH188" s="5"/>
      <c r="CXI188" s="5"/>
      <c r="CXJ188" s="5"/>
      <c r="CXK188" s="5"/>
      <c r="CXL188" s="5"/>
      <c r="CXM188" s="5"/>
      <c r="CXN188" s="5"/>
      <c r="CXO188" s="5"/>
      <c r="CXP188" s="5"/>
      <c r="CXQ188" s="5"/>
      <c r="CXR188" s="5"/>
      <c r="CXS188" s="5"/>
      <c r="CXT188" s="5"/>
      <c r="CXU188" s="5"/>
      <c r="CXV188" s="5"/>
      <c r="CXW188" s="5"/>
      <c r="CXX188" s="5"/>
      <c r="CXY188" s="5"/>
      <c r="CXZ188" s="5"/>
      <c r="CYA188" s="5"/>
      <c r="CYB188" s="5"/>
      <c r="CYC188" s="5"/>
      <c r="CYD188" s="5"/>
      <c r="CYE188" s="5"/>
      <c r="CYF188" s="5"/>
      <c r="CYG188" s="5"/>
      <c r="CYH188" s="5"/>
      <c r="CYI188" s="5"/>
      <c r="CYJ188" s="5"/>
      <c r="CYK188" s="5"/>
      <c r="CYL188" s="5"/>
      <c r="CYM188" s="5"/>
      <c r="CYN188" s="5"/>
      <c r="CYO188" s="5"/>
      <c r="CYP188" s="5"/>
      <c r="CYQ188" s="5"/>
      <c r="CYR188" s="5"/>
      <c r="CYS188" s="5"/>
      <c r="CYT188" s="5"/>
      <c r="CYU188" s="5"/>
      <c r="CYV188" s="5"/>
      <c r="CYW188" s="5"/>
      <c r="CYX188" s="5"/>
      <c r="CYY188" s="5"/>
      <c r="CYZ188" s="5"/>
      <c r="CZA188" s="5"/>
      <c r="CZB188" s="5"/>
      <c r="CZC188" s="5"/>
      <c r="CZD188" s="5"/>
      <c r="CZE188" s="5"/>
      <c r="CZF188" s="5"/>
      <c r="CZG188" s="5"/>
      <c r="CZH188" s="5"/>
      <c r="CZI188" s="5"/>
      <c r="CZJ188" s="5"/>
      <c r="CZK188" s="5"/>
      <c r="CZL188" s="5"/>
      <c r="CZM188" s="5"/>
      <c r="CZN188" s="5"/>
      <c r="CZO188" s="5"/>
      <c r="CZP188" s="5"/>
      <c r="CZQ188" s="5"/>
      <c r="CZR188" s="5"/>
      <c r="CZS188" s="5"/>
      <c r="CZT188" s="5"/>
      <c r="CZU188" s="5"/>
      <c r="CZV188" s="5"/>
      <c r="CZW188" s="5"/>
      <c r="CZX188" s="5"/>
      <c r="CZY188" s="5"/>
      <c r="CZZ188" s="5"/>
      <c r="DAA188" s="5"/>
      <c r="DAB188" s="5"/>
      <c r="DAC188" s="5"/>
      <c r="DAD188" s="5"/>
      <c r="DAE188" s="5"/>
      <c r="DAF188" s="5"/>
      <c r="DAG188" s="5"/>
      <c r="DAH188" s="5"/>
      <c r="DAI188" s="5"/>
      <c r="DAJ188" s="5"/>
      <c r="DAK188" s="5"/>
      <c r="DAL188" s="5"/>
      <c r="DAM188" s="5"/>
      <c r="DAN188" s="5"/>
      <c r="DAO188" s="5"/>
      <c r="DAP188" s="5"/>
      <c r="DAQ188" s="5"/>
      <c r="DAR188" s="5"/>
      <c r="DAS188" s="5"/>
      <c r="DAT188" s="5"/>
      <c r="DAU188" s="5"/>
      <c r="DAV188" s="5"/>
      <c r="DAW188" s="5"/>
      <c r="DAX188" s="5"/>
      <c r="DAY188" s="5"/>
      <c r="DAZ188" s="5"/>
      <c r="DBA188" s="5"/>
      <c r="DBB188" s="5"/>
      <c r="DBC188" s="5"/>
      <c r="DBD188" s="5"/>
      <c r="DBE188" s="5"/>
      <c r="DBF188" s="5"/>
      <c r="DBG188" s="5"/>
      <c r="DBH188" s="5"/>
      <c r="DBI188" s="5"/>
      <c r="DBJ188" s="5"/>
      <c r="DBK188" s="5"/>
      <c r="DBL188" s="5"/>
      <c r="DBM188" s="5"/>
      <c r="DBN188" s="5"/>
      <c r="DBO188" s="5"/>
      <c r="DBP188" s="5"/>
      <c r="DBQ188" s="5"/>
      <c r="DBR188" s="5"/>
      <c r="DBS188" s="5"/>
      <c r="DBT188" s="5"/>
      <c r="DBU188" s="5"/>
      <c r="DBV188" s="5"/>
      <c r="DBW188" s="5"/>
      <c r="DBX188" s="5"/>
      <c r="DBY188" s="5"/>
      <c r="DBZ188" s="5"/>
      <c r="DCA188" s="5"/>
      <c r="DCB188" s="5"/>
      <c r="DCC188" s="5"/>
      <c r="DCD188" s="5"/>
      <c r="DCE188" s="5"/>
      <c r="DCF188" s="5"/>
      <c r="DCG188" s="5"/>
      <c r="DCH188" s="5"/>
      <c r="DCI188" s="5"/>
      <c r="DCJ188" s="5"/>
      <c r="DCK188" s="5"/>
      <c r="DCL188" s="5"/>
      <c r="DCM188" s="5"/>
      <c r="DCN188" s="5"/>
      <c r="DCO188" s="5"/>
      <c r="DCP188" s="5"/>
      <c r="DCQ188" s="5"/>
      <c r="DCR188" s="5"/>
      <c r="DCS188" s="5"/>
      <c r="DCT188" s="5"/>
      <c r="DCU188" s="5"/>
      <c r="DCV188" s="5"/>
      <c r="DCW188" s="5"/>
      <c r="DCX188" s="5"/>
      <c r="DCY188" s="5"/>
      <c r="DCZ188" s="5"/>
      <c r="DDA188" s="5"/>
      <c r="DDB188" s="5"/>
      <c r="DDC188" s="5"/>
      <c r="DDD188" s="5"/>
      <c r="DDE188" s="5"/>
      <c r="DDF188" s="5"/>
      <c r="DDG188" s="5"/>
      <c r="DDH188" s="5"/>
      <c r="DDI188" s="5"/>
      <c r="DDJ188" s="5"/>
      <c r="DDK188" s="5"/>
      <c r="DDL188" s="5"/>
      <c r="DDM188" s="5"/>
      <c r="DDN188" s="5"/>
      <c r="DDO188" s="5"/>
      <c r="DDP188" s="5"/>
      <c r="DDQ188" s="5"/>
      <c r="DDR188" s="5"/>
      <c r="DDS188" s="5"/>
      <c r="DDT188" s="5"/>
      <c r="DDU188" s="5"/>
      <c r="DDV188" s="5"/>
      <c r="DDW188" s="5"/>
      <c r="DDX188" s="5"/>
      <c r="DDY188" s="5"/>
      <c r="DDZ188" s="5"/>
      <c r="DEA188" s="5"/>
      <c r="DEB188" s="5"/>
      <c r="DEC188" s="5"/>
      <c r="DED188" s="5"/>
      <c r="DEE188" s="5"/>
      <c r="DEF188" s="5"/>
      <c r="DEG188" s="5"/>
      <c r="DEH188" s="5"/>
      <c r="DEI188" s="5"/>
      <c r="DEJ188" s="5"/>
      <c r="DEK188" s="5"/>
      <c r="DEL188" s="5"/>
      <c r="DEM188" s="5"/>
      <c r="DEN188" s="5"/>
      <c r="DEO188" s="5"/>
      <c r="DEP188" s="5"/>
      <c r="DEQ188" s="5"/>
      <c r="DER188" s="5"/>
      <c r="DES188" s="5"/>
      <c r="DET188" s="5"/>
      <c r="DEU188" s="5"/>
      <c r="DEV188" s="5"/>
      <c r="DEW188" s="5"/>
      <c r="DEX188" s="5"/>
      <c r="DEY188" s="5"/>
      <c r="DEZ188" s="5"/>
      <c r="DFA188" s="5"/>
      <c r="DFB188" s="5"/>
      <c r="DFC188" s="5"/>
      <c r="DFD188" s="5"/>
      <c r="DFE188" s="5"/>
      <c r="DFF188" s="5"/>
      <c r="DFG188" s="5"/>
      <c r="DFH188" s="5"/>
      <c r="DFI188" s="5"/>
      <c r="DFJ188" s="5"/>
      <c r="DFK188" s="5"/>
      <c r="DFL188" s="5"/>
      <c r="DFM188" s="5"/>
      <c r="DFN188" s="5"/>
      <c r="DFO188" s="5"/>
      <c r="DFP188" s="5"/>
      <c r="DFQ188" s="5"/>
      <c r="DFR188" s="5"/>
      <c r="DFS188" s="5"/>
      <c r="DFT188" s="5"/>
      <c r="DFU188" s="5"/>
      <c r="DFV188" s="5"/>
      <c r="DFW188" s="5"/>
      <c r="DFX188" s="5"/>
      <c r="DFY188" s="5"/>
      <c r="DFZ188" s="5"/>
      <c r="DGA188" s="5"/>
      <c r="DGB188" s="5"/>
      <c r="DGC188" s="5"/>
      <c r="DGD188" s="5"/>
      <c r="DGE188" s="5"/>
      <c r="DGF188" s="5"/>
      <c r="DGG188" s="5"/>
      <c r="DGH188" s="5"/>
      <c r="DGI188" s="5"/>
      <c r="DGJ188" s="5"/>
      <c r="DGK188" s="5"/>
      <c r="DGL188" s="5"/>
      <c r="DGM188" s="5"/>
      <c r="DGN188" s="5"/>
      <c r="DGO188" s="5"/>
      <c r="DGP188" s="5"/>
      <c r="DGQ188" s="5"/>
      <c r="DGR188" s="5"/>
      <c r="DGS188" s="5"/>
      <c r="DGT188" s="5"/>
      <c r="DGU188" s="5"/>
      <c r="DGV188" s="5"/>
      <c r="DGW188" s="5"/>
      <c r="DGX188" s="5"/>
      <c r="DGY188" s="5"/>
      <c r="DGZ188" s="5"/>
      <c r="DHA188" s="5"/>
      <c r="DHB188" s="5"/>
      <c r="DHC188" s="5"/>
      <c r="DHD188" s="5"/>
      <c r="DHE188" s="5"/>
      <c r="DHF188" s="5"/>
      <c r="DHG188" s="5"/>
      <c r="DHH188" s="5"/>
      <c r="DHI188" s="5"/>
      <c r="DHJ188" s="5"/>
      <c r="DHK188" s="5"/>
      <c r="DHL188" s="5"/>
      <c r="DHM188" s="5"/>
      <c r="DHN188" s="5"/>
      <c r="DHO188" s="5"/>
      <c r="DHP188" s="5"/>
      <c r="DHQ188" s="5"/>
      <c r="DHR188" s="5"/>
      <c r="DHS188" s="5"/>
      <c r="DHT188" s="5"/>
      <c r="DHU188" s="5"/>
      <c r="DHV188" s="5"/>
      <c r="DHW188" s="5"/>
      <c r="DHX188" s="5"/>
      <c r="DHY188" s="5"/>
      <c r="DHZ188" s="5"/>
      <c r="DIA188" s="5"/>
      <c r="DIB188" s="5"/>
      <c r="DIC188" s="5"/>
      <c r="DID188" s="5"/>
      <c r="DIE188" s="5"/>
      <c r="DIF188" s="5"/>
      <c r="DIG188" s="5"/>
      <c r="DIH188" s="5"/>
      <c r="DII188" s="5"/>
      <c r="DIJ188" s="5"/>
      <c r="DIK188" s="5"/>
      <c r="DIL188" s="5"/>
      <c r="DIM188" s="5"/>
      <c r="DIN188" s="5"/>
      <c r="DIO188" s="5"/>
      <c r="DIP188" s="5"/>
      <c r="DIQ188" s="5"/>
      <c r="DIR188" s="5"/>
      <c r="DIS188" s="5"/>
      <c r="DIT188" s="5"/>
      <c r="DIU188" s="5"/>
      <c r="DIV188" s="5"/>
      <c r="DIW188" s="5"/>
      <c r="DIX188" s="5"/>
      <c r="DIY188" s="5"/>
      <c r="DIZ188" s="5"/>
      <c r="DJA188" s="5"/>
      <c r="DJB188" s="5"/>
      <c r="DJC188" s="5"/>
      <c r="DJD188" s="5"/>
      <c r="DJE188" s="5"/>
      <c r="DJF188" s="5"/>
      <c r="DJG188" s="5"/>
      <c r="DJH188" s="5"/>
      <c r="DJI188" s="5"/>
      <c r="DJJ188" s="5"/>
      <c r="DJK188" s="5"/>
      <c r="DJL188" s="5"/>
      <c r="DJM188" s="5"/>
      <c r="DJN188" s="5"/>
      <c r="DJO188" s="5"/>
      <c r="DJP188" s="5"/>
      <c r="DJQ188" s="5"/>
      <c r="DJR188" s="5"/>
      <c r="DJS188" s="5"/>
      <c r="DJT188" s="5"/>
      <c r="DJU188" s="5"/>
      <c r="DJV188" s="5"/>
      <c r="DJW188" s="5"/>
      <c r="DJX188" s="5"/>
      <c r="DJY188" s="5"/>
      <c r="DJZ188" s="5"/>
      <c r="DKA188" s="5"/>
      <c r="DKB188" s="5"/>
      <c r="DKC188" s="5"/>
      <c r="DKD188" s="5"/>
      <c r="DKE188" s="5"/>
      <c r="DKF188" s="5"/>
      <c r="DKG188" s="5"/>
      <c r="DKH188" s="5"/>
      <c r="DKI188" s="5"/>
      <c r="DKJ188" s="5"/>
      <c r="DKK188" s="5"/>
      <c r="DKL188" s="5"/>
      <c r="DKM188" s="5"/>
      <c r="DKN188" s="5"/>
      <c r="DKO188" s="5"/>
      <c r="DKP188" s="5"/>
      <c r="DKQ188" s="5"/>
      <c r="DKR188" s="5"/>
      <c r="DKS188" s="5"/>
      <c r="DKT188" s="5"/>
      <c r="DKU188" s="5"/>
      <c r="DKV188" s="5"/>
      <c r="DKW188" s="5"/>
      <c r="DKX188" s="5"/>
      <c r="DKY188" s="5"/>
      <c r="DKZ188" s="5"/>
      <c r="DLA188" s="5"/>
      <c r="DLB188" s="5"/>
      <c r="DLC188" s="5"/>
      <c r="DLD188" s="5"/>
      <c r="DLE188" s="5"/>
      <c r="DLF188" s="5"/>
      <c r="DLG188" s="5"/>
      <c r="DLH188" s="5"/>
      <c r="DLI188" s="5"/>
      <c r="DLJ188" s="5"/>
      <c r="DLK188" s="5"/>
      <c r="DLL188" s="5"/>
      <c r="DLM188" s="5"/>
      <c r="DLN188" s="5"/>
      <c r="DLO188" s="5"/>
      <c r="DLP188" s="5"/>
      <c r="DLQ188" s="5"/>
      <c r="DLR188" s="5"/>
      <c r="DLS188" s="5"/>
      <c r="DLT188" s="5"/>
      <c r="DLU188" s="5"/>
      <c r="DLV188" s="5"/>
      <c r="DLW188" s="5"/>
      <c r="DLX188" s="5"/>
      <c r="DLY188" s="5"/>
      <c r="DLZ188" s="5"/>
      <c r="DMA188" s="5"/>
      <c r="DMB188" s="5"/>
      <c r="DMC188" s="5"/>
      <c r="DMD188" s="5"/>
      <c r="DME188" s="5"/>
      <c r="DMF188" s="5"/>
      <c r="DMG188" s="5"/>
      <c r="DMH188" s="5"/>
      <c r="DMI188" s="5"/>
      <c r="DMJ188" s="5"/>
      <c r="DMK188" s="5"/>
      <c r="DML188" s="5"/>
      <c r="DMM188" s="5"/>
      <c r="DMN188" s="5"/>
      <c r="DMO188" s="5"/>
      <c r="DMP188" s="5"/>
      <c r="DMQ188" s="5"/>
      <c r="DMR188" s="5"/>
      <c r="DMS188" s="5"/>
      <c r="DMT188" s="5"/>
      <c r="DMU188" s="5"/>
      <c r="DMV188" s="5"/>
      <c r="DMW188" s="5"/>
      <c r="DMX188" s="5"/>
      <c r="DMY188" s="5"/>
      <c r="DMZ188" s="5"/>
      <c r="DNA188" s="5"/>
      <c r="DNB188" s="5"/>
      <c r="DNC188" s="5"/>
      <c r="DND188" s="5"/>
      <c r="DNE188" s="5"/>
      <c r="DNF188" s="5"/>
      <c r="DNG188" s="5"/>
      <c r="DNH188" s="5"/>
      <c r="DNI188" s="5"/>
      <c r="DNJ188" s="5"/>
      <c r="DNK188" s="5"/>
      <c r="DNL188" s="5"/>
      <c r="DNM188" s="5"/>
      <c r="DNN188" s="5"/>
      <c r="DNO188" s="5"/>
      <c r="DNP188" s="5"/>
      <c r="DNQ188" s="5"/>
      <c r="DNR188" s="5"/>
      <c r="DNS188" s="5"/>
      <c r="DNT188" s="5"/>
      <c r="DNU188" s="5"/>
      <c r="DNV188" s="5"/>
      <c r="DNW188" s="5"/>
      <c r="DNX188" s="5"/>
      <c r="DNY188" s="5"/>
      <c r="DNZ188" s="5"/>
      <c r="DOA188" s="5"/>
      <c r="DOB188" s="5"/>
      <c r="DOC188" s="5"/>
      <c r="DOD188" s="5"/>
      <c r="DOE188" s="5"/>
      <c r="DOF188" s="5"/>
      <c r="DOG188" s="5"/>
      <c r="DOH188" s="5"/>
      <c r="DOI188" s="5"/>
      <c r="DOJ188" s="5"/>
      <c r="DOK188" s="5"/>
      <c r="DOL188" s="5"/>
      <c r="DOM188" s="5"/>
      <c r="DON188" s="5"/>
      <c r="DOO188" s="5"/>
      <c r="DOP188" s="5"/>
      <c r="DOQ188" s="5"/>
      <c r="DOR188" s="5"/>
      <c r="DOS188" s="5"/>
      <c r="DOT188" s="5"/>
      <c r="DOU188" s="5"/>
      <c r="DOV188" s="5"/>
      <c r="DOW188" s="5"/>
      <c r="DOX188" s="5"/>
      <c r="DOY188" s="5"/>
      <c r="DOZ188" s="5"/>
      <c r="DPA188" s="5"/>
      <c r="DPB188" s="5"/>
      <c r="DPC188" s="5"/>
      <c r="DPD188" s="5"/>
      <c r="DPE188" s="5"/>
      <c r="DPF188" s="5"/>
      <c r="DPG188" s="5"/>
      <c r="DPH188" s="5"/>
      <c r="DPI188" s="5"/>
      <c r="DPJ188" s="5"/>
      <c r="DPK188" s="5"/>
      <c r="DPL188" s="5"/>
      <c r="DPM188" s="5"/>
      <c r="DPN188" s="5"/>
      <c r="DPO188" s="5"/>
      <c r="DPP188" s="5"/>
      <c r="DPQ188" s="5"/>
      <c r="DPR188" s="5"/>
      <c r="DPS188" s="5"/>
      <c r="DPT188" s="5"/>
      <c r="DPU188" s="5"/>
      <c r="DPV188" s="5"/>
      <c r="DPW188" s="5"/>
      <c r="DPX188" s="5"/>
      <c r="DPY188" s="5"/>
      <c r="DPZ188" s="5"/>
      <c r="DQA188" s="5"/>
      <c r="DQB188" s="5"/>
      <c r="DQC188" s="5"/>
      <c r="DQD188" s="5"/>
      <c r="DQE188" s="5"/>
      <c r="DQF188" s="5"/>
      <c r="DQG188" s="5"/>
      <c r="DQH188" s="5"/>
      <c r="DQI188" s="5"/>
      <c r="DQJ188" s="5"/>
      <c r="DQK188" s="5"/>
      <c r="DQL188" s="5"/>
      <c r="DQM188" s="5"/>
      <c r="DQN188" s="5"/>
      <c r="DQO188" s="5"/>
      <c r="DQP188" s="5"/>
      <c r="DQQ188" s="5"/>
      <c r="DQR188" s="5"/>
      <c r="DQS188" s="5"/>
      <c r="DQT188" s="5"/>
      <c r="DQU188" s="5"/>
      <c r="DQV188" s="5"/>
      <c r="DQW188" s="5"/>
      <c r="DQX188" s="5"/>
      <c r="DQY188" s="5"/>
      <c r="DQZ188" s="5"/>
      <c r="DRA188" s="5"/>
      <c r="DRB188" s="5"/>
      <c r="DRC188" s="5"/>
      <c r="DRD188" s="5"/>
      <c r="DRE188" s="5"/>
      <c r="DRF188" s="5"/>
      <c r="DRG188" s="5"/>
      <c r="DRH188" s="5"/>
      <c r="DRI188" s="5"/>
      <c r="DRJ188" s="5"/>
      <c r="DRK188" s="5"/>
      <c r="DRL188" s="5"/>
      <c r="DRM188" s="5"/>
      <c r="DRN188" s="5"/>
      <c r="DRO188" s="5"/>
      <c r="DRP188" s="5"/>
      <c r="DRQ188" s="5"/>
      <c r="DRR188" s="5"/>
      <c r="DRS188" s="5"/>
      <c r="DRT188" s="5"/>
      <c r="DRU188" s="5"/>
      <c r="DRV188" s="5"/>
      <c r="DRW188" s="5"/>
      <c r="DRX188" s="5"/>
      <c r="DRY188" s="5"/>
      <c r="DRZ188" s="5"/>
      <c r="DSA188" s="5"/>
      <c r="DSB188" s="5"/>
      <c r="DSC188" s="5"/>
      <c r="DSD188" s="5"/>
      <c r="DSE188" s="5"/>
      <c r="DSF188" s="5"/>
      <c r="DSG188" s="5"/>
      <c r="DSH188" s="5"/>
      <c r="DSI188" s="5"/>
      <c r="DSJ188" s="5"/>
      <c r="DSK188" s="5"/>
      <c r="DSL188" s="5"/>
      <c r="DSM188" s="5"/>
      <c r="DSN188" s="5"/>
      <c r="DSO188" s="5"/>
      <c r="DSP188" s="5"/>
      <c r="DSQ188" s="5"/>
      <c r="DSR188" s="5"/>
      <c r="DSS188" s="5"/>
      <c r="DST188" s="5"/>
      <c r="DSU188" s="5"/>
      <c r="DSV188" s="5"/>
      <c r="DSW188" s="5"/>
      <c r="DSX188" s="5"/>
      <c r="DSY188" s="5"/>
      <c r="DSZ188" s="5"/>
      <c r="DTA188" s="5"/>
      <c r="DTB188" s="5"/>
      <c r="DTC188" s="5"/>
      <c r="DTD188" s="5"/>
      <c r="DTE188" s="5"/>
      <c r="DTF188" s="5"/>
      <c r="DTG188" s="5"/>
      <c r="DTH188" s="5"/>
      <c r="DTI188" s="5"/>
      <c r="DTJ188" s="5"/>
      <c r="DTK188" s="5"/>
      <c r="DTL188" s="5"/>
      <c r="DTM188" s="5"/>
      <c r="DTN188" s="5"/>
      <c r="DTO188" s="5"/>
      <c r="DTP188" s="5"/>
      <c r="DTQ188" s="5"/>
      <c r="DTR188" s="5"/>
      <c r="DTS188" s="5"/>
      <c r="DTT188" s="5"/>
      <c r="DTU188" s="5"/>
      <c r="DTV188" s="5"/>
      <c r="DTW188" s="5"/>
      <c r="DTX188" s="5"/>
      <c r="DTY188" s="5"/>
      <c r="DTZ188" s="5"/>
      <c r="DUA188" s="5"/>
      <c r="DUB188" s="5"/>
      <c r="DUC188" s="5"/>
      <c r="DUD188" s="5"/>
      <c r="DUE188" s="5"/>
      <c r="DUF188" s="5"/>
      <c r="DUG188" s="5"/>
      <c r="DUH188" s="5"/>
      <c r="DUI188" s="5"/>
      <c r="DUJ188" s="5"/>
      <c r="DUK188" s="5"/>
      <c r="DUL188" s="5"/>
      <c r="DUM188" s="5"/>
      <c r="DUN188" s="5"/>
      <c r="DUO188" s="5"/>
      <c r="DUP188" s="5"/>
      <c r="DUQ188" s="5"/>
      <c r="DUR188" s="5"/>
      <c r="DUS188" s="5"/>
      <c r="DUT188" s="5"/>
      <c r="DUU188" s="5"/>
      <c r="DUV188" s="5"/>
      <c r="DUW188" s="5"/>
      <c r="DUX188" s="5"/>
      <c r="DUY188" s="5"/>
      <c r="DUZ188" s="5"/>
      <c r="DVA188" s="5"/>
      <c r="DVB188" s="5"/>
      <c r="DVC188" s="5"/>
      <c r="DVD188" s="5"/>
      <c r="DVE188" s="5"/>
      <c r="DVF188" s="5"/>
      <c r="DVG188" s="5"/>
      <c r="DVH188" s="5"/>
      <c r="DVI188" s="5"/>
      <c r="DVJ188" s="5"/>
      <c r="DVK188" s="5"/>
      <c r="DVL188" s="5"/>
      <c r="DVM188" s="5"/>
      <c r="DVN188" s="5"/>
      <c r="DVO188" s="5"/>
      <c r="DVP188" s="5"/>
      <c r="DVQ188" s="5"/>
      <c r="DVR188" s="5"/>
      <c r="DVS188" s="5"/>
      <c r="DVT188" s="5"/>
      <c r="DVU188" s="5"/>
      <c r="DVV188" s="5"/>
      <c r="DVW188" s="5"/>
      <c r="DVX188" s="5"/>
      <c r="DVY188" s="5"/>
      <c r="DVZ188" s="5"/>
      <c r="DWA188" s="5"/>
      <c r="DWB188" s="5"/>
      <c r="DWC188" s="5"/>
      <c r="DWD188" s="5"/>
      <c r="DWE188" s="5"/>
      <c r="DWF188" s="5"/>
      <c r="DWG188" s="5"/>
      <c r="DWH188" s="5"/>
      <c r="DWI188" s="5"/>
      <c r="DWJ188" s="5"/>
      <c r="DWK188" s="5"/>
      <c r="DWL188" s="5"/>
      <c r="DWM188" s="5"/>
      <c r="DWN188" s="5"/>
      <c r="DWO188" s="5"/>
      <c r="DWP188" s="5"/>
      <c r="DWQ188" s="5"/>
      <c r="DWR188" s="5"/>
      <c r="DWS188" s="5"/>
      <c r="DWT188" s="5"/>
      <c r="DWU188" s="5"/>
      <c r="DWV188" s="5"/>
      <c r="DWW188" s="5"/>
      <c r="DWX188" s="5"/>
      <c r="DWY188" s="5"/>
      <c r="DWZ188" s="5"/>
      <c r="DXA188" s="5"/>
      <c r="DXB188" s="5"/>
      <c r="DXC188" s="5"/>
      <c r="DXD188" s="5"/>
      <c r="DXE188" s="5"/>
      <c r="DXF188" s="5"/>
      <c r="DXG188" s="5"/>
      <c r="DXH188" s="5"/>
      <c r="DXI188" s="5"/>
      <c r="DXJ188" s="5"/>
      <c r="DXK188" s="5"/>
      <c r="DXL188" s="5"/>
      <c r="DXM188" s="5"/>
      <c r="DXN188" s="5"/>
      <c r="DXO188" s="5"/>
      <c r="DXP188" s="5"/>
      <c r="DXQ188" s="5"/>
      <c r="DXR188" s="5"/>
      <c r="DXS188" s="5"/>
      <c r="DXT188" s="5"/>
      <c r="DXU188" s="5"/>
      <c r="DXV188" s="5"/>
      <c r="DXW188" s="5"/>
      <c r="DXX188" s="5"/>
      <c r="DXY188" s="5"/>
      <c r="DXZ188" s="5"/>
      <c r="DYA188" s="5"/>
      <c r="DYB188" s="5"/>
      <c r="DYC188" s="5"/>
      <c r="DYD188" s="5"/>
      <c r="DYE188" s="5"/>
      <c r="DYF188" s="5"/>
      <c r="DYG188" s="5"/>
      <c r="DYH188" s="5"/>
      <c r="DYI188" s="5"/>
      <c r="DYJ188" s="5"/>
      <c r="DYK188" s="5"/>
      <c r="DYL188" s="5"/>
      <c r="DYM188" s="5"/>
      <c r="DYN188" s="5"/>
      <c r="DYO188" s="5"/>
      <c r="DYP188" s="5"/>
      <c r="DYQ188" s="5"/>
      <c r="DYR188" s="5"/>
      <c r="DYS188" s="5"/>
      <c r="DYT188" s="5"/>
      <c r="DYU188" s="5"/>
      <c r="DYV188" s="5"/>
      <c r="DYW188" s="5"/>
      <c r="DYX188" s="5"/>
      <c r="DYY188" s="5"/>
      <c r="DYZ188" s="5"/>
      <c r="DZA188" s="5"/>
      <c r="DZB188" s="5"/>
      <c r="DZC188" s="5"/>
      <c r="DZD188" s="5"/>
      <c r="DZE188" s="5"/>
      <c r="DZF188" s="5"/>
      <c r="DZG188" s="5"/>
      <c r="DZH188" s="5"/>
      <c r="DZI188" s="5"/>
      <c r="DZJ188" s="5"/>
      <c r="DZK188" s="5"/>
      <c r="DZL188" s="5"/>
      <c r="DZM188" s="5"/>
      <c r="DZN188" s="5"/>
      <c r="DZO188" s="5"/>
      <c r="DZP188" s="5"/>
      <c r="DZQ188" s="5"/>
      <c r="DZR188" s="5"/>
      <c r="DZS188" s="5"/>
      <c r="DZT188" s="5"/>
      <c r="DZU188" s="5"/>
      <c r="DZV188" s="5"/>
      <c r="DZW188" s="5"/>
      <c r="DZX188" s="5"/>
      <c r="DZY188" s="5"/>
      <c r="DZZ188" s="5"/>
      <c r="EAA188" s="5"/>
      <c r="EAB188" s="5"/>
      <c r="EAC188" s="5"/>
      <c r="EAD188" s="5"/>
      <c r="EAE188" s="5"/>
      <c r="EAF188" s="5"/>
      <c r="EAG188" s="5"/>
      <c r="EAH188" s="5"/>
      <c r="EAI188" s="5"/>
      <c r="EAJ188" s="5"/>
      <c r="EAK188" s="5"/>
      <c r="EAL188" s="5"/>
      <c r="EAM188" s="5"/>
      <c r="EAN188" s="5"/>
      <c r="EAO188" s="5"/>
      <c r="EAP188" s="5"/>
      <c r="EAQ188" s="5"/>
      <c r="EAR188" s="5"/>
      <c r="EAS188" s="5"/>
      <c r="EAT188" s="5"/>
      <c r="EAU188" s="5"/>
      <c r="EAV188" s="5"/>
      <c r="EAW188" s="5"/>
      <c r="EAX188" s="5"/>
      <c r="EAY188" s="5"/>
      <c r="EAZ188" s="5"/>
      <c r="EBA188" s="5"/>
      <c r="EBB188" s="5"/>
      <c r="EBC188" s="5"/>
      <c r="EBD188" s="5"/>
      <c r="EBE188" s="5"/>
      <c r="EBF188" s="5"/>
      <c r="EBG188" s="5"/>
      <c r="EBH188" s="5"/>
      <c r="EBI188" s="5"/>
      <c r="EBJ188" s="5"/>
      <c r="EBK188" s="5"/>
      <c r="EBL188" s="5"/>
      <c r="EBM188" s="5"/>
      <c r="EBN188" s="5"/>
      <c r="EBO188" s="5"/>
      <c r="EBP188" s="5"/>
      <c r="EBQ188" s="5"/>
      <c r="EBR188" s="5"/>
      <c r="EBS188" s="5"/>
      <c r="EBT188" s="5"/>
      <c r="EBU188" s="5"/>
      <c r="EBV188" s="5"/>
      <c r="EBW188" s="5"/>
      <c r="EBX188" s="5"/>
      <c r="EBY188" s="5"/>
      <c r="EBZ188" s="5"/>
      <c r="ECA188" s="5"/>
      <c r="ECB188" s="5"/>
      <c r="ECC188" s="5"/>
      <c r="ECD188" s="5"/>
      <c r="ECE188" s="5"/>
      <c r="ECF188" s="5"/>
      <c r="ECG188" s="5"/>
      <c r="ECH188" s="5"/>
      <c r="ECI188" s="5"/>
      <c r="ECJ188" s="5"/>
      <c r="ECK188" s="5"/>
      <c r="ECL188" s="5"/>
      <c r="ECM188" s="5"/>
      <c r="ECN188" s="5"/>
      <c r="ECO188" s="5"/>
      <c r="ECP188" s="5"/>
      <c r="ECQ188" s="5"/>
      <c r="ECR188" s="5"/>
      <c r="ECS188" s="5"/>
      <c r="ECT188" s="5"/>
      <c r="ECU188" s="5"/>
      <c r="ECV188" s="5"/>
      <c r="ECW188" s="5"/>
      <c r="ECX188" s="5"/>
      <c r="ECY188" s="5"/>
      <c r="ECZ188" s="5"/>
      <c r="EDA188" s="5"/>
      <c r="EDB188" s="5"/>
      <c r="EDC188" s="5"/>
      <c r="EDD188" s="5"/>
      <c r="EDE188" s="5"/>
      <c r="EDF188" s="5"/>
      <c r="EDG188" s="5"/>
      <c r="EDH188" s="5"/>
      <c r="EDI188" s="5"/>
      <c r="EDJ188" s="5"/>
      <c r="EDK188" s="5"/>
      <c r="EDL188" s="5"/>
      <c r="EDM188" s="5"/>
      <c r="EDN188" s="5"/>
      <c r="EDO188" s="5"/>
      <c r="EDP188" s="5"/>
      <c r="EDQ188" s="5"/>
      <c r="EDR188" s="5"/>
      <c r="EDS188" s="5"/>
      <c r="EDT188" s="5"/>
      <c r="EDU188" s="5"/>
      <c r="EDV188" s="5"/>
      <c r="EDW188" s="5"/>
      <c r="EDX188" s="5"/>
      <c r="EDY188" s="5"/>
      <c r="EDZ188" s="5"/>
      <c r="EEA188" s="5"/>
      <c r="EEB188" s="5"/>
      <c r="EEC188" s="5"/>
      <c r="EED188" s="5"/>
      <c r="EEE188" s="5"/>
      <c r="EEF188" s="5"/>
      <c r="EEG188" s="5"/>
      <c r="EEH188" s="5"/>
      <c r="EEI188" s="5"/>
      <c r="EEJ188" s="5"/>
      <c r="EEK188" s="5"/>
      <c r="EEL188" s="5"/>
      <c r="EEM188" s="5"/>
      <c r="EEN188" s="5"/>
      <c r="EEO188" s="5"/>
      <c r="EEP188" s="5"/>
      <c r="EEQ188" s="5"/>
      <c r="EER188" s="5"/>
      <c r="EES188" s="5"/>
      <c r="EET188" s="5"/>
      <c r="EEU188" s="5"/>
      <c r="EEV188" s="5"/>
      <c r="EEW188" s="5"/>
      <c r="EEX188" s="5"/>
      <c r="EEY188" s="5"/>
      <c r="EEZ188" s="5"/>
      <c r="EFA188" s="5"/>
      <c r="EFB188" s="5"/>
      <c r="EFC188" s="5"/>
      <c r="EFD188" s="5"/>
      <c r="EFE188" s="5"/>
      <c r="EFF188" s="5"/>
      <c r="EFG188" s="5"/>
      <c r="EFH188" s="5"/>
      <c r="EFI188" s="5"/>
      <c r="EFJ188" s="5"/>
      <c r="EFK188" s="5"/>
      <c r="EFL188" s="5"/>
      <c r="EFM188" s="5"/>
      <c r="EFN188" s="5"/>
      <c r="EFO188" s="5"/>
      <c r="EFP188" s="5"/>
      <c r="EFQ188" s="5"/>
      <c r="EFR188" s="5"/>
      <c r="EFS188" s="5"/>
      <c r="EFT188" s="5"/>
      <c r="EFU188" s="5"/>
      <c r="EFV188" s="5"/>
      <c r="EFW188" s="5"/>
      <c r="EFX188" s="5"/>
      <c r="EFY188" s="5"/>
      <c r="EFZ188" s="5"/>
      <c r="EGA188" s="5"/>
      <c r="EGB188" s="5"/>
      <c r="EGC188" s="5"/>
      <c r="EGD188" s="5"/>
      <c r="EGE188" s="5"/>
      <c r="EGF188" s="5"/>
      <c r="EGG188" s="5"/>
      <c r="EGH188" s="5"/>
      <c r="EGI188" s="5"/>
      <c r="EGJ188" s="5"/>
      <c r="EGK188" s="5"/>
      <c r="EGL188" s="5"/>
      <c r="EGM188" s="5"/>
      <c r="EGN188" s="5"/>
      <c r="EGO188" s="5"/>
      <c r="EGP188" s="5"/>
      <c r="EGQ188" s="5"/>
      <c r="EGR188" s="5"/>
      <c r="EGS188" s="5"/>
      <c r="EGT188" s="5"/>
      <c r="EGU188" s="5"/>
      <c r="EGV188" s="5"/>
      <c r="EGW188" s="5"/>
      <c r="EGX188" s="5"/>
      <c r="EGY188" s="5"/>
      <c r="EGZ188" s="5"/>
      <c r="EHA188" s="5"/>
      <c r="EHB188" s="5"/>
      <c r="EHC188" s="5"/>
      <c r="EHD188" s="5"/>
      <c r="EHE188" s="5"/>
      <c r="EHF188" s="5"/>
      <c r="EHG188" s="5"/>
      <c r="EHH188" s="5"/>
      <c r="EHI188" s="5"/>
      <c r="EHJ188" s="5"/>
      <c r="EHK188" s="5"/>
      <c r="EHL188" s="5"/>
      <c r="EHM188" s="5"/>
      <c r="EHN188" s="5"/>
      <c r="EHO188" s="5"/>
      <c r="EHP188" s="5"/>
      <c r="EHQ188" s="5"/>
      <c r="EHR188" s="5"/>
      <c r="EHS188" s="5"/>
      <c r="EHT188" s="5"/>
      <c r="EHU188" s="5"/>
      <c r="EHV188" s="5"/>
      <c r="EHW188" s="5"/>
      <c r="EHX188" s="5"/>
      <c r="EHY188" s="5"/>
      <c r="EHZ188" s="5"/>
      <c r="EIA188" s="5"/>
      <c r="EIB188" s="5"/>
      <c r="EIC188" s="5"/>
      <c r="EID188" s="5"/>
      <c r="EIE188" s="5"/>
      <c r="EIF188" s="5"/>
      <c r="EIG188" s="5"/>
      <c r="EIH188" s="5"/>
      <c r="EII188" s="5"/>
      <c r="EIJ188" s="5"/>
      <c r="EIK188" s="5"/>
      <c r="EIL188" s="5"/>
      <c r="EIM188" s="5"/>
      <c r="EIN188" s="5"/>
      <c r="EIO188" s="5"/>
      <c r="EIP188" s="5"/>
      <c r="EIQ188" s="5"/>
      <c r="EIR188" s="5"/>
      <c r="EIS188" s="5"/>
      <c r="EIT188" s="5"/>
      <c r="EIU188" s="5"/>
      <c r="EIV188" s="5"/>
      <c r="EIW188" s="5"/>
      <c r="EIX188" s="5"/>
      <c r="EIY188" s="5"/>
      <c r="EIZ188" s="5"/>
      <c r="EJA188" s="5"/>
      <c r="EJB188" s="5"/>
      <c r="EJC188" s="5"/>
      <c r="EJD188" s="5"/>
      <c r="EJE188" s="5"/>
      <c r="EJF188" s="5"/>
      <c r="EJG188" s="5"/>
      <c r="EJH188" s="5"/>
      <c r="EJI188" s="5"/>
      <c r="EJJ188" s="5"/>
      <c r="EJK188" s="5"/>
      <c r="EJL188" s="5"/>
      <c r="EJM188" s="5"/>
      <c r="EJN188" s="5"/>
      <c r="EJO188" s="5"/>
      <c r="EJP188" s="5"/>
      <c r="EJQ188" s="5"/>
      <c r="EJR188" s="5"/>
      <c r="EJS188" s="5"/>
      <c r="EJT188" s="5"/>
      <c r="EJU188" s="5"/>
      <c r="EJV188" s="5"/>
      <c r="EJW188" s="5"/>
      <c r="EJX188" s="5"/>
      <c r="EJY188" s="5"/>
      <c r="EJZ188" s="5"/>
      <c r="EKA188" s="5"/>
      <c r="EKB188" s="5"/>
      <c r="EKC188" s="5"/>
      <c r="EKD188" s="5"/>
      <c r="EKE188" s="5"/>
      <c r="EKF188" s="5"/>
      <c r="EKG188" s="5"/>
      <c r="EKH188" s="5"/>
      <c r="EKI188" s="5"/>
      <c r="EKJ188" s="5"/>
      <c r="EKK188" s="5"/>
      <c r="EKL188" s="5"/>
      <c r="EKM188" s="5"/>
      <c r="EKN188" s="5"/>
      <c r="EKO188" s="5"/>
      <c r="EKP188" s="5"/>
      <c r="EKQ188" s="5"/>
      <c r="EKR188" s="5"/>
      <c r="EKS188" s="5"/>
      <c r="EKT188" s="5"/>
      <c r="EKU188" s="5"/>
      <c r="EKV188" s="5"/>
      <c r="EKW188" s="5"/>
      <c r="EKX188" s="5"/>
      <c r="EKY188" s="5"/>
      <c r="EKZ188" s="5"/>
      <c r="ELA188" s="5"/>
      <c r="ELB188" s="5"/>
      <c r="ELC188" s="5"/>
      <c r="ELD188" s="5"/>
      <c r="ELE188" s="5"/>
      <c r="ELF188" s="5"/>
      <c r="ELG188" s="5"/>
      <c r="ELH188" s="5"/>
      <c r="ELI188" s="5"/>
      <c r="ELJ188" s="5"/>
      <c r="ELK188" s="5"/>
      <c r="ELL188" s="5"/>
      <c r="ELM188" s="5"/>
      <c r="ELN188" s="5"/>
      <c r="ELO188" s="5"/>
      <c r="ELP188" s="5"/>
      <c r="ELQ188" s="5"/>
      <c r="ELR188" s="5"/>
      <c r="ELS188" s="5"/>
      <c r="ELT188" s="5"/>
      <c r="ELU188" s="5"/>
      <c r="ELV188" s="5"/>
      <c r="ELW188" s="5"/>
      <c r="ELX188" s="5"/>
      <c r="ELY188" s="5"/>
      <c r="ELZ188" s="5"/>
      <c r="EMA188" s="5"/>
      <c r="EMB188" s="5"/>
      <c r="EMC188" s="5"/>
      <c r="EMD188" s="5"/>
      <c r="EME188" s="5"/>
      <c r="EMF188" s="5"/>
      <c r="EMG188" s="5"/>
      <c r="EMH188" s="5"/>
      <c r="EMI188" s="5"/>
      <c r="EMJ188" s="5"/>
      <c r="EMK188" s="5"/>
      <c r="EML188" s="5"/>
      <c r="EMM188" s="5"/>
      <c r="EMN188" s="5"/>
      <c r="EMO188" s="5"/>
      <c r="EMP188" s="5"/>
      <c r="EMQ188" s="5"/>
      <c r="EMR188" s="5"/>
      <c r="EMS188" s="5"/>
      <c r="EMT188" s="5"/>
      <c r="EMU188" s="5"/>
      <c r="EMV188" s="5"/>
      <c r="EMW188" s="5"/>
      <c r="EMX188" s="5"/>
      <c r="EMY188" s="5"/>
      <c r="EMZ188" s="5"/>
      <c r="ENA188" s="5"/>
      <c r="ENB188" s="5"/>
      <c r="ENC188" s="5"/>
      <c r="END188" s="5"/>
      <c r="ENE188" s="5"/>
      <c r="ENF188" s="5"/>
      <c r="ENG188" s="5"/>
      <c r="ENH188" s="5"/>
      <c r="ENI188" s="5"/>
      <c r="ENJ188" s="5"/>
      <c r="ENK188" s="5"/>
      <c r="ENL188" s="5"/>
      <c r="ENM188" s="5"/>
      <c r="ENN188" s="5"/>
      <c r="ENO188" s="5"/>
      <c r="ENP188" s="5"/>
      <c r="ENQ188" s="5"/>
      <c r="ENR188" s="5"/>
      <c r="ENS188" s="5"/>
      <c r="ENT188" s="5"/>
      <c r="ENU188" s="5"/>
      <c r="ENV188" s="5"/>
      <c r="ENW188" s="5"/>
      <c r="ENX188" s="5"/>
      <c r="ENY188" s="5"/>
      <c r="ENZ188" s="5"/>
      <c r="EOA188" s="5"/>
      <c r="EOB188" s="5"/>
      <c r="EOC188" s="5"/>
      <c r="EOD188" s="5"/>
      <c r="EOE188" s="5"/>
      <c r="EOF188" s="5"/>
      <c r="EOG188" s="5"/>
      <c r="EOH188" s="5"/>
      <c r="EOI188" s="5"/>
      <c r="EOJ188" s="5"/>
      <c r="EOK188" s="5"/>
      <c r="EOL188" s="5"/>
      <c r="EOM188" s="5"/>
      <c r="EON188" s="5"/>
      <c r="EOO188" s="5"/>
      <c r="EOP188" s="5"/>
      <c r="EOQ188" s="5"/>
      <c r="EOR188" s="5"/>
      <c r="EOS188" s="5"/>
      <c r="EOT188" s="5"/>
      <c r="EOU188" s="5"/>
      <c r="EOV188" s="5"/>
      <c r="EOW188" s="5"/>
      <c r="EOX188" s="5"/>
      <c r="EOY188" s="5"/>
      <c r="EOZ188" s="5"/>
      <c r="EPA188" s="5"/>
      <c r="EPB188" s="5"/>
      <c r="EPC188" s="5"/>
      <c r="EPD188" s="5"/>
      <c r="EPE188" s="5"/>
      <c r="EPF188" s="5"/>
      <c r="EPG188" s="5"/>
      <c r="EPH188" s="5"/>
      <c r="EPI188" s="5"/>
      <c r="EPJ188" s="5"/>
      <c r="EPK188" s="5"/>
      <c r="EPL188" s="5"/>
      <c r="EPM188" s="5"/>
      <c r="EPN188" s="5"/>
      <c r="EPO188" s="5"/>
      <c r="EPP188" s="5"/>
      <c r="EPQ188" s="5"/>
      <c r="EPR188" s="5"/>
      <c r="EPS188" s="5"/>
      <c r="EPT188" s="5"/>
      <c r="EPU188" s="5"/>
      <c r="EPV188" s="5"/>
      <c r="EPW188" s="5"/>
      <c r="EPX188" s="5"/>
      <c r="EPY188" s="5"/>
      <c r="EPZ188" s="5"/>
      <c r="EQA188" s="5"/>
      <c r="EQB188" s="5"/>
      <c r="EQC188" s="5"/>
      <c r="EQD188" s="5"/>
      <c r="EQE188" s="5"/>
      <c r="EQF188" s="5"/>
      <c r="EQG188" s="5"/>
      <c r="EQH188" s="5"/>
      <c r="EQI188" s="5"/>
      <c r="EQJ188" s="5"/>
      <c r="EQK188" s="5"/>
      <c r="EQL188" s="5"/>
      <c r="EQM188" s="5"/>
      <c r="EQN188" s="5"/>
      <c r="EQO188" s="5"/>
      <c r="EQP188" s="5"/>
      <c r="EQQ188" s="5"/>
      <c r="EQR188" s="5"/>
      <c r="EQS188" s="5"/>
      <c r="EQT188" s="5"/>
      <c r="EQU188" s="5"/>
      <c r="EQV188" s="5"/>
      <c r="EQW188" s="5"/>
      <c r="EQX188" s="5"/>
      <c r="EQY188" s="5"/>
      <c r="EQZ188" s="5"/>
      <c r="ERA188" s="5"/>
      <c r="ERB188" s="5"/>
      <c r="ERC188" s="5"/>
      <c r="ERD188" s="5"/>
      <c r="ERE188" s="5"/>
      <c r="ERF188" s="5"/>
      <c r="ERG188" s="5"/>
      <c r="ERH188" s="5"/>
      <c r="ERI188" s="5"/>
      <c r="ERJ188" s="5"/>
      <c r="ERK188" s="5"/>
      <c r="ERL188" s="5"/>
      <c r="ERM188" s="5"/>
      <c r="ERN188" s="5"/>
      <c r="ERO188" s="5"/>
      <c r="ERP188" s="5"/>
      <c r="ERQ188" s="5"/>
      <c r="ERR188" s="5"/>
      <c r="ERS188" s="5"/>
      <c r="ERT188" s="5"/>
      <c r="ERU188" s="5"/>
      <c r="ERV188" s="5"/>
      <c r="ERW188" s="5"/>
      <c r="ERX188" s="5"/>
      <c r="ERY188" s="5"/>
      <c r="ERZ188" s="5"/>
      <c r="ESA188" s="5"/>
      <c r="ESB188" s="5"/>
      <c r="ESC188" s="5"/>
      <c r="ESD188" s="5"/>
      <c r="ESE188" s="5"/>
      <c r="ESF188" s="5"/>
      <c r="ESG188" s="5"/>
      <c r="ESH188" s="5"/>
      <c r="ESI188" s="5"/>
      <c r="ESJ188" s="5"/>
      <c r="ESK188" s="5"/>
      <c r="ESL188" s="5"/>
      <c r="ESM188" s="5"/>
      <c r="ESN188" s="5"/>
      <c r="ESO188" s="5"/>
      <c r="ESP188" s="5"/>
      <c r="ESQ188" s="5"/>
      <c r="ESR188" s="5"/>
      <c r="ESS188" s="5"/>
      <c r="EST188" s="5"/>
      <c r="ESU188" s="5"/>
      <c r="ESV188" s="5"/>
      <c r="ESW188" s="5"/>
      <c r="ESX188" s="5"/>
      <c r="ESY188" s="5"/>
      <c r="ESZ188" s="5"/>
      <c r="ETA188" s="5"/>
      <c r="ETB188" s="5"/>
      <c r="ETC188" s="5"/>
      <c r="ETD188" s="5"/>
      <c r="ETE188" s="5"/>
      <c r="ETF188" s="5"/>
      <c r="ETG188" s="5"/>
      <c r="ETH188" s="5"/>
      <c r="ETI188" s="5"/>
      <c r="ETJ188" s="5"/>
      <c r="ETK188" s="5"/>
      <c r="ETL188" s="5"/>
      <c r="ETM188" s="5"/>
      <c r="ETN188" s="5"/>
      <c r="ETO188" s="5"/>
      <c r="ETP188" s="5"/>
      <c r="ETQ188" s="5"/>
      <c r="ETR188" s="5"/>
      <c r="ETS188" s="5"/>
      <c r="ETT188" s="5"/>
      <c r="ETU188" s="5"/>
      <c r="ETV188" s="5"/>
      <c r="ETW188" s="5"/>
      <c r="ETX188" s="5"/>
      <c r="ETY188" s="5"/>
      <c r="ETZ188" s="5"/>
      <c r="EUA188" s="5"/>
      <c r="EUB188" s="5"/>
      <c r="EUC188" s="5"/>
      <c r="EUD188" s="5"/>
      <c r="EUE188" s="5"/>
      <c r="EUF188" s="5"/>
      <c r="EUG188" s="5"/>
      <c r="EUH188" s="5"/>
      <c r="EUI188" s="5"/>
      <c r="EUJ188" s="5"/>
      <c r="EUK188" s="5"/>
      <c r="EUL188" s="5"/>
      <c r="EUM188" s="5"/>
      <c r="EUN188" s="5"/>
      <c r="EUO188" s="5"/>
      <c r="EUP188" s="5"/>
      <c r="EUQ188" s="5"/>
      <c r="EUR188" s="5"/>
      <c r="EUS188" s="5"/>
      <c r="EUT188" s="5"/>
      <c r="EUU188" s="5"/>
      <c r="EUV188" s="5"/>
      <c r="EUW188" s="5"/>
      <c r="EUX188" s="5"/>
      <c r="EUY188" s="5"/>
      <c r="EUZ188" s="5"/>
      <c r="EVA188" s="5"/>
      <c r="EVB188" s="5"/>
      <c r="EVC188" s="5"/>
      <c r="EVD188" s="5"/>
      <c r="EVE188" s="5"/>
      <c r="EVF188" s="5"/>
      <c r="EVG188" s="5"/>
      <c r="EVH188" s="5"/>
      <c r="EVI188" s="5"/>
      <c r="EVJ188" s="5"/>
      <c r="EVK188" s="5"/>
      <c r="EVL188" s="5"/>
      <c r="EVM188" s="5"/>
      <c r="EVN188" s="5"/>
      <c r="EVO188" s="5"/>
      <c r="EVP188" s="5"/>
      <c r="EVQ188" s="5"/>
      <c r="EVR188" s="5"/>
      <c r="EVS188" s="5"/>
      <c r="EVT188" s="5"/>
      <c r="EVU188" s="5"/>
      <c r="EVV188" s="5"/>
      <c r="EVW188" s="5"/>
      <c r="EVX188" s="5"/>
      <c r="EVY188" s="5"/>
      <c r="EVZ188" s="5"/>
      <c r="EWA188" s="5"/>
      <c r="EWB188" s="5"/>
      <c r="EWC188" s="5"/>
      <c r="EWD188" s="5"/>
      <c r="EWE188" s="5"/>
      <c r="EWF188" s="5"/>
      <c r="EWG188" s="5"/>
      <c r="EWH188" s="5"/>
      <c r="EWI188" s="5"/>
      <c r="EWJ188" s="5"/>
      <c r="EWK188" s="5"/>
      <c r="EWL188" s="5"/>
      <c r="EWM188" s="5"/>
      <c r="EWN188" s="5"/>
      <c r="EWO188" s="5"/>
      <c r="EWP188" s="5"/>
      <c r="EWQ188" s="5"/>
      <c r="EWR188" s="5"/>
      <c r="EWS188" s="5"/>
      <c r="EWT188" s="5"/>
      <c r="EWU188" s="5"/>
      <c r="EWV188" s="5"/>
      <c r="EWW188" s="5"/>
      <c r="EWX188" s="5"/>
      <c r="EWY188" s="5"/>
      <c r="EWZ188" s="5"/>
      <c r="EXA188" s="5"/>
      <c r="EXB188" s="5"/>
      <c r="EXC188" s="5"/>
      <c r="EXD188" s="5"/>
      <c r="EXE188" s="5"/>
      <c r="EXF188" s="5"/>
      <c r="EXG188" s="5"/>
      <c r="EXH188" s="5"/>
      <c r="EXI188" s="5"/>
      <c r="EXJ188" s="5"/>
      <c r="EXK188" s="5"/>
      <c r="EXL188" s="5"/>
      <c r="EXM188" s="5"/>
      <c r="EXN188" s="5"/>
      <c r="EXO188" s="5"/>
      <c r="EXP188" s="5"/>
      <c r="EXQ188" s="5"/>
      <c r="EXR188" s="5"/>
      <c r="EXS188" s="5"/>
      <c r="EXT188" s="5"/>
      <c r="EXU188" s="5"/>
      <c r="EXV188" s="5"/>
      <c r="EXW188" s="5"/>
      <c r="EXX188" s="5"/>
      <c r="EXY188" s="5"/>
      <c r="EXZ188" s="5"/>
      <c r="EYA188" s="5"/>
      <c r="EYB188" s="5"/>
      <c r="EYC188" s="5"/>
      <c r="EYD188" s="5"/>
      <c r="EYE188" s="5"/>
      <c r="EYF188" s="5"/>
      <c r="EYG188" s="5"/>
      <c r="EYH188" s="5"/>
      <c r="EYI188" s="5"/>
      <c r="EYJ188" s="5"/>
      <c r="EYK188" s="5"/>
      <c r="EYL188" s="5"/>
      <c r="EYM188" s="5"/>
      <c r="EYN188" s="5"/>
      <c r="EYO188" s="5"/>
      <c r="EYP188" s="5"/>
      <c r="EYQ188" s="5"/>
      <c r="EYR188" s="5"/>
      <c r="EYS188" s="5"/>
      <c r="EYT188" s="5"/>
      <c r="EYU188" s="5"/>
      <c r="EYV188" s="5"/>
      <c r="EYW188" s="5"/>
      <c r="EYX188" s="5"/>
      <c r="EYY188" s="5"/>
      <c r="EYZ188" s="5"/>
      <c r="EZA188" s="5"/>
      <c r="EZB188" s="5"/>
      <c r="EZC188" s="5"/>
      <c r="EZD188" s="5"/>
      <c r="EZE188" s="5"/>
      <c r="EZF188" s="5"/>
      <c r="EZG188" s="5"/>
      <c r="EZH188" s="5"/>
      <c r="EZI188" s="5"/>
      <c r="EZJ188" s="5"/>
      <c r="EZK188" s="5"/>
      <c r="EZL188" s="5"/>
      <c r="EZM188" s="5"/>
      <c r="EZN188" s="5"/>
      <c r="EZO188" s="5"/>
      <c r="EZP188" s="5"/>
      <c r="EZQ188" s="5"/>
      <c r="EZR188" s="5"/>
      <c r="EZS188" s="5"/>
      <c r="EZT188" s="5"/>
      <c r="EZU188" s="5"/>
      <c r="EZV188" s="5"/>
      <c r="EZW188" s="5"/>
      <c r="EZX188" s="5"/>
      <c r="EZY188" s="5"/>
      <c r="EZZ188" s="5"/>
      <c r="FAA188" s="5"/>
      <c r="FAB188" s="5"/>
      <c r="FAC188" s="5"/>
      <c r="FAD188" s="5"/>
      <c r="FAE188" s="5"/>
      <c r="FAF188" s="5"/>
      <c r="FAG188" s="5"/>
      <c r="FAH188" s="5"/>
      <c r="FAI188" s="5"/>
      <c r="FAJ188" s="5"/>
      <c r="FAK188" s="5"/>
      <c r="FAL188" s="5"/>
      <c r="FAM188" s="5"/>
      <c r="FAN188" s="5"/>
      <c r="FAO188" s="5"/>
      <c r="FAP188" s="5"/>
      <c r="FAQ188" s="5"/>
      <c r="FAR188" s="5"/>
      <c r="FAS188" s="5"/>
      <c r="FAT188" s="5"/>
      <c r="FAU188" s="5"/>
      <c r="FAV188" s="5"/>
      <c r="FAW188" s="5"/>
      <c r="FAX188" s="5"/>
      <c r="FAY188" s="5"/>
      <c r="FAZ188" s="5"/>
      <c r="FBA188" s="5"/>
      <c r="FBB188" s="5"/>
      <c r="FBC188" s="5"/>
      <c r="FBD188" s="5"/>
      <c r="FBE188" s="5"/>
      <c r="FBF188" s="5"/>
      <c r="FBG188" s="5"/>
      <c r="FBH188" s="5"/>
      <c r="FBI188" s="5"/>
      <c r="FBJ188" s="5"/>
      <c r="FBK188" s="5"/>
      <c r="FBL188" s="5"/>
      <c r="FBM188" s="5"/>
      <c r="FBN188" s="5"/>
      <c r="FBO188" s="5"/>
      <c r="FBP188" s="5"/>
      <c r="FBQ188" s="5"/>
      <c r="FBR188" s="5"/>
      <c r="FBS188" s="5"/>
      <c r="FBT188" s="5"/>
      <c r="FBU188" s="5"/>
      <c r="FBV188" s="5"/>
      <c r="FBW188" s="5"/>
      <c r="FBX188" s="5"/>
      <c r="FBY188" s="5"/>
      <c r="FBZ188" s="5"/>
      <c r="FCA188" s="5"/>
      <c r="FCB188" s="5"/>
      <c r="FCC188" s="5"/>
      <c r="FCD188" s="5"/>
      <c r="FCE188" s="5"/>
      <c r="FCF188" s="5"/>
      <c r="FCG188" s="5"/>
      <c r="FCH188" s="5"/>
      <c r="FCI188" s="5"/>
      <c r="FCJ188" s="5"/>
      <c r="FCK188" s="5"/>
      <c r="FCL188" s="5"/>
      <c r="FCM188" s="5"/>
      <c r="FCN188" s="5"/>
      <c r="FCO188" s="5"/>
      <c r="FCP188" s="5"/>
      <c r="FCQ188" s="5"/>
      <c r="FCR188" s="5"/>
      <c r="FCS188" s="5"/>
      <c r="FCT188" s="5"/>
      <c r="FCU188" s="5"/>
      <c r="FCV188" s="5"/>
      <c r="FCW188" s="5"/>
      <c r="FCX188" s="5"/>
      <c r="FCY188" s="5"/>
      <c r="FCZ188" s="5"/>
      <c r="FDA188" s="5"/>
      <c r="FDB188" s="5"/>
      <c r="FDC188" s="5"/>
      <c r="FDD188" s="5"/>
      <c r="FDE188" s="5"/>
      <c r="FDF188" s="5"/>
      <c r="FDG188" s="5"/>
      <c r="FDH188" s="5"/>
      <c r="FDI188" s="5"/>
      <c r="FDJ188" s="5"/>
      <c r="FDK188" s="5"/>
      <c r="FDL188" s="5"/>
      <c r="FDM188" s="5"/>
      <c r="FDN188" s="5"/>
      <c r="FDO188" s="5"/>
      <c r="FDP188" s="5"/>
      <c r="FDQ188" s="5"/>
      <c r="FDR188" s="5"/>
      <c r="FDS188" s="5"/>
      <c r="FDT188" s="5"/>
      <c r="FDU188" s="5"/>
      <c r="FDV188" s="5"/>
      <c r="FDW188" s="5"/>
      <c r="FDX188" s="5"/>
      <c r="FDY188" s="5"/>
      <c r="FDZ188" s="5"/>
      <c r="FEA188" s="5"/>
      <c r="FEB188" s="5"/>
      <c r="FEC188" s="5"/>
      <c r="FED188" s="5"/>
      <c r="FEE188" s="5"/>
      <c r="FEF188" s="5"/>
      <c r="FEG188" s="5"/>
      <c r="FEH188" s="5"/>
      <c r="FEI188" s="5"/>
      <c r="FEJ188" s="5"/>
      <c r="FEK188" s="5"/>
      <c r="FEL188" s="5"/>
      <c r="FEM188" s="5"/>
      <c r="FEN188" s="5"/>
      <c r="FEO188" s="5"/>
      <c r="FEP188" s="5"/>
      <c r="FEQ188" s="5"/>
      <c r="FER188" s="5"/>
      <c r="FES188" s="5"/>
      <c r="FET188" s="5"/>
      <c r="FEU188" s="5"/>
      <c r="FEV188" s="5"/>
      <c r="FEW188" s="5"/>
      <c r="FEX188" s="5"/>
      <c r="FEY188" s="5"/>
      <c r="FEZ188" s="5"/>
      <c r="FFA188" s="5"/>
      <c r="FFB188" s="5"/>
      <c r="FFC188" s="5"/>
      <c r="FFD188" s="5"/>
      <c r="FFE188" s="5"/>
      <c r="FFF188" s="5"/>
      <c r="FFG188" s="5"/>
      <c r="FFH188" s="5"/>
      <c r="FFI188" s="5"/>
      <c r="FFJ188" s="5"/>
      <c r="FFK188" s="5"/>
      <c r="FFL188" s="5"/>
      <c r="FFM188" s="5"/>
      <c r="FFN188" s="5"/>
      <c r="FFO188" s="5"/>
      <c r="FFP188" s="5"/>
      <c r="FFQ188" s="5"/>
      <c r="FFR188" s="5"/>
      <c r="FFS188" s="5"/>
      <c r="FFT188" s="5"/>
      <c r="FFU188" s="5"/>
      <c r="FFV188" s="5"/>
      <c r="FFW188" s="5"/>
      <c r="FFX188" s="5"/>
      <c r="FFY188" s="5"/>
      <c r="FFZ188" s="5"/>
      <c r="FGA188" s="5"/>
      <c r="FGB188" s="5"/>
      <c r="FGC188" s="5"/>
      <c r="FGD188" s="5"/>
      <c r="FGE188" s="5"/>
      <c r="FGF188" s="5"/>
      <c r="FGG188" s="5"/>
      <c r="FGH188" s="5"/>
      <c r="FGI188" s="5"/>
      <c r="FGJ188" s="5"/>
      <c r="FGK188" s="5"/>
      <c r="FGL188" s="5"/>
      <c r="FGM188" s="5"/>
      <c r="FGN188" s="5"/>
      <c r="FGO188" s="5"/>
      <c r="FGP188" s="5"/>
      <c r="FGQ188" s="5"/>
      <c r="FGR188" s="5"/>
      <c r="FGS188" s="5"/>
      <c r="FGT188" s="5"/>
      <c r="FGU188" s="5"/>
      <c r="FGV188" s="5"/>
      <c r="FGW188" s="5"/>
      <c r="FGX188" s="5"/>
      <c r="FGY188" s="5"/>
      <c r="FGZ188" s="5"/>
      <c r="FHA188" s="5"/>
      <c r="FHB188" s="5"/>
      <c r="FHC188" s="5"/>
      <c r="FHD188" s="5"/>
      <c r="FHE188" s="5"/>
      <c r="FHF188" s="5"/>
      <c r="FHG188" s="5"/>
      <c r="FHH188" s="5"/>
      <c r="FHI188" s="5"/>
      <c r="FHJ188" s="5"/>
      <c r="FHK188" s="5"/>
      <c r="FHL188" s="5"/>
      <c r="FHM188" s="5"/>
      <c r="FHN188" s="5"/>
      <c r="FHO188" s="5"/>
      <c r="FHP188" s="5"/>
      <c r="FHQ188" s="5"/>
      <c r="FHR188" s="5"/>
      <c r="FHS188" s="5"/>
      <c r="FHT188" s="5"/>
      <c r="FHU188" s="5"/>
      <c r="FHV188" s="5"/>
      <c r="FHW188" s="5"/>
      <c r="FHX188" s="5"/>
      <c r="FHY188" s="5"/>
      <c r="FHZ188" s="5"/>
      <c r="FIA188" s="5"/>
      <c r="FIB188" s="5"/>
      <c r="FIC188" s="5"/>
      <c r="FID188" s="5"/>
      <c r="FIE188" s="5"/>
      <c r="FIF188" s="5"/>
      <c r="FIG188" s="5"/>
      <c r="FIH188" s="5"/>
      <c r="FII188" s="5"/>
      <c r="FIJ188" s="5"/>
      <c r="FIK188" s="5"/>
      <c r="FIL188" s="5"/>
      <c r="FIM188" s="5"/>
      <c r="FIN188" s="5"/>
      <c r="FIO188" s="5"/>
      <c r="FIP188" s="5"/>
      <c r="FIQ188" s="5"/>
      <c r="FIR188" s="5"/>
      <c r="FIS188" s="5"/>
      <c r="FIT188" s="5"/>
      <c r="FIU188" s="5"/>
      <c r="FIV188" s="5"/>
      <c r="FIW188" s="5"/>
      <c r="FIX188" s="5"/>
      <c r="FIY188" s="5"/>
      <c r="FIZ188" s="5"/>
      <c r="FJA188" s="5"/>
      <c r="FJB188" s="5"/>
      <c r="FJC188" s="5"/>
      <c r="FJD188" s="5"/>
      <c r="FJE188" s="5"/>
      <c r="FJF188" s="5"/>
      <c r="FJG188" s="5"/>
      <c r="FJH188" s="5"/>
      <c r="FJI188" s="5"/>
      <c r="FJJ188" s="5"/>
      <c r="FJK188" s="5"/>
      <c r="FJL188" s="5"/>
      <c r="FJM188" s="5"/>
      <c r="FJN188" s="5"/>
      <c r="FJO188" s="5"/>
      <c r="FJP188" s="5"/>
      <c r="FJQ188" s="5"/>
      <c r="FJR188" s="5"/>
      <c r="FJS188" s="5"/>
      <c r="FJT188" s="5"/>
      <c r="FJU188" s="5"/>
      <c r="FJV188" s="5"/>
      <c r="FJW188" s="5"/>
      <c r="FJX188" s="5"/>
      <c r="FJY188" s="5"/>
      <c r="FJZ188" s="5"/>
      <c r="FKA188" s="5"/>
      <c r="FKB188" s="5"/>
      <c r="FKC188" s="5"/>
      <c r="FKD188" s="5"/>
      <c r="FKE188" s="5"/>
      <c r="FKF188" s="5"/>
      <c r="FKG188" s="5"/>
      <c r="FKH188" s="5"/>
      <c r="FKI188" s="5"/>
      <c r="FKJ188" s="5"/>
      <c r="FKK188" s="5"/>
      <c r="FKL188" s="5"/>
      <c r="FKM188" s="5"/>
      <c r="FKN188" s="5"/>
      <c r="FKO188" s="5"/>
      <c r="FKP188" s="5"/>
      <c r="FKQ188" s="5"/>
      <c r="FKR188" s="5"/>
      <c r="FKS188" s="5"/>
      <c r="FKT188" s="5"/>
      <c r="FKU188" s="5"/>
      <c r="FKV188" s="5"/>
      <c r="FKW188" s="5"/>
      <c r="FKX188" s="5"/>
      <c r="FKY188" s="5"/>
      <c r="FKZ188" s="5"/>
      <c r="FLA188" s="5"/>
      <c r="FLB188" s="5"/>
      <c r="FLC188" s="5"/>
      <c r="FLD188" s="5"/>
      <c r="FLE188" s="5"/>
      <c r="FLF188" s="5"/>
      <c r="FLG188" s="5"/>
      <c r="FLH188" s="5"/>
      <c r="FLI188" s="5"/>
      <c r="FLJ188" s="5"/>
      <c r="FLK188" s="5"/>
      <c r="FLL188" s="5"/>
      <c r="FLM188" s="5"/>
      <c r="FLN188" s="5"/>
      <c r="FLO188" s="5"/>
      <c r="FLP188" s="5"/>
      <c r="FLQ188" s="5"/>
      <c r="FLR188" s="5"/>
      <c r="FLS188" s="5"/>
      <c r="FLT188" s="5"/>
      <c r="FLU188" s="5"/>
      <c r="FLV188" s="5"/>
      <c r="FLW188" s="5"/>
      <c r="FLX188" s="5"/>
      <c r="FLY188" s="5"/>
      <c r="FLZ188" s="5"/>
      <c r="FMA188" s="5"/>
      <c r="FMB188" s="5"/>
      <c r="FMC188" s="5"/>
      <c r="FMD188" s="5"/>
      <c r="FME188" s="5"/>
      <c r="FMF188" s="5"/>
      <c r="FMG188" s="5"/>
      <c r="FMH188" s="5"/>
      <c r="FMI188" s="5"/>
      <c r="FMJ188" s="5"/>
      <c r="FMK188" s="5"/>
      <c r="FML188" s="5"/>
      <c r="FMM188" s="5"/>
      <c r="FMN188" s="5"/>
      <c r="FMO188" s="5"/>
      <c r="FMP188" s="5"/>
      <c r="FMQ188" s="5"/>
      <c r="FMR188" s="5"/>
      <c r="FMS188" s="5"/>
      <c r="FMT188" s="5"/>
      <c r="FMU188" s="5"/>
      <c r="FMV188" s="5"/>
      <c r="FMW188" s="5"/>
      <c r="FMX188" s="5"/>
      <c r="FMY188" s="5"/>
      <c r="FMZ188" s="5"/>
      <c r="FNA188" s="5"/>
      <c r="FNB188" s="5"/>
      <c r="FNC188" s="5"/>
      <c r="FND188" s="5"/>
      <c r="FNE188" s="5"/>
      <c r="FNF188" s="5"/>
      <c r="FNG188" s="5"/>
      <c r="FNH188" s="5"/>
      <c r="FNI188" s="5"/>
      <c r="FNJ188" s="5"/>
      <c r="FNK188" s="5"/>
      <c r="FNL188" s="5"/>
      <c r="FNM188" s="5"/>
      <c r="FNN188" s="5"/>
      <c r="FNO188" s="5"/>
      <c r="FNP188" s="5"/>
      <c r="FNQ188" s="5"/>
      <c r="FNR188" s="5"/>
      <c r="FNS188" s="5"/>
      <c r="FNT188" s="5"/>
      <c r="FNU188" s="5"/>
      <c r="FNV188" s="5"/>
      <c r="FNW188" s="5"/>
      <c r="FNX188" s="5"/>
      <c r="FNY188" s="5"/>
      <c r="FNZ188" s="5"/>
      <c r="FOA188" s="5"/>
      <c r="FOB188" s="5"/>
      <c r="FOC188" s="5"/>
      <c r="FOD188" s="5"/>
      <c r="FOE188" s="5"/>
      <c r="FOF188" s="5"/>
      <c r="FOG188" s="5"/>
      <c r="FOH188" s="5"/>
      <c r="FOI188" s="5"/>
      <c r="FOJ188" s="5"/>
      <c r="FOK188" s="5"/>
      <c r="FOL188" s="5"/>
      <c r="FOM188" s="5"/>
      <c r="FON188" s="5"/>
      <c r="FOO188" s="5"/>
      <c r="FOP188" s="5"/>
      <c r="FOQ188" s="5"/>
      <c r="FOR188" s="5"/>
      <c r="FOS188" s="5"/>
      <c r="FOT188" s="5"/>
      <c r="FOU188" s="5"/>
      <c r="FOV188" s="5"/>
      <c r="FOW188" s="5"/>
      <c r="FOX188" s="5"/>
      <c r="FOY188" s="5"/>
      <c r="FOZ188" s="5"/>
      <c r="FPA188" s="5"/>
      <c r="FPB188" s="5"/>
      <c r="FPC188" s="5"/>
      <c r="FPD188" s="5"/>
      <c r="FPE188" s="5"/>
      <c r="FPF188" s="5"/>
      <c r="FPG188" s="5"/>
      <c r="FPH188" s="5"/>
      <c r="FPI188" s="5"/>
      <c r="FPJ188" s="5"/>
      <c r="FPK188" s="5"/>
      <c r="FPL188" s="5"/>
      <c r="FPM188" s="5"/>
      <c r="FPN188" s="5"/>
      <c r="FPO188" s="5"/>
      <c r="FPP188" s="5"/>
      <c r="FPQ188" s="5"/>
      <c r="FPR188" s="5"/>
      <c r="FPS188" s="5"/>
      <c r="FPT188" s="5"/>
      <c r="FPU188" s="5"/>
      <c r="FPV188" s="5"/>
      <c r="FPW188" s="5"/>
      <c r="FPX188" s="5"/>
      <c r="FPY188" s="5"/>
      <c r="FPZ188" s="5"/>
      <c r="FQA188" s="5"/>
      <c r="FQB188" s="5"/>
      <c r="FQC188" s="5"/>
      <c r="FQD188" s="5"/>
      <c r="FQE188" s="5"/>
      <c r="FQF188" s="5"/>
      <c r="FQG188" s="5"/>
      <c r="FQH188" s="5"/>
      <c r="FQI188" s="5"/>
      <c r="FQJ188" s="5"/>
      <c r="FQK188" s="5"/>
      <c r="FQL188" s="5"/>
      <c r="FQM188" s="5"/>
      <c r="FQN188" s="5"/>
      <c r="FQO188" s="5"/>
      <c r="FQP188" s="5"/>
      <c r="FQQ188" s="5"/>
      <c r="FQR188" s="5"/>
      <c r="FQS188" s="5"/>
      <c r="FQT188" s="5"/>
      <c r="FQU188" s="5"/>
      <c r="FQV188" s="5"/>
      <c r="FQW188" s="5"/>
      <c r="FQX188" s="5"/>
      <c r="FQY188" s="5"/>
      <c r="FQZ188" s="5"/>
      <c r="FRA188" s="5"/>
      <c r="FRB188" s="5"/>
      <c r="FRC188" s="5"/>
      <c r="FRD188" s="5"/>
      <c r="FRE188" s="5"/>
      <c r="FRF188" s="5"/>
      <c r="FRG188" s="5"/>
      <c r="FRH188" s="5"/>
      <c r="FRI188" s="5"/>
      <c r="FRJ188" s="5"/>
      <c r="FRK188" s="5"/>
      <c r="FRL188" s="5"/>
      <c r="FRM188" s="5"/>
      <c r="FRN188" s="5"/>
      <c r="FRO188" s="5"/>
      <c r="FRP188" s="5"/>
      <c r="FRQ188" s="5"/>
      <c r="FRR188" s="5"/>
      <c r="FRS188" s="5"/>
      <c r="FRT188" s="5"/>
      <c r="FRU188" s="5"/>
      <c r="FRV188" s="5"/>
      <c r="FRW188" s="5"/>
      <c r="FRX188" s="5"/>
      <c r="FRY188" s="5"/>
      <c r="FRZ188" s="5"/>
      <c r="FSA188" s="5"/>
      <c r="FSB188" s="5"/>
      <c r="FSC188" s="5"/>
      <c r="FSD188" s="5"/>
      <c r="FSE188" s="5"/>
      <c r="FSF188" s="5"/>
      <c r="FSG188" s="5"/>
      <c r="FSH188" s="5"/>
      <c r="FSI188" s="5"/>
      <c r="FSJ188" s="5"/>
      <c r="FSK188" s="5"/>
      <c r="FSL188" s="5"/>
      <c r="FSM188" s="5"/>
      <c r="FSN188" s="5"/>
      <c r="FSO188" s="5"/>
      <c r="FSP188" s="5"/>
      <c r="FSQ188" s="5"/>
      <c r="FSR188" s="5"/>
      <c r="FSS188" s="5"/>
      <c r="FST188" s="5"/>
      <c r="FSU188" s="5"/>
      <c r="FSV188" s="5"/>
      <c r="FSW188" s="5"/>
      <c r="FSX188" s="5"/>
      <c r="FSY188" s="5"/>
      <c r="FSZ188" s="5"/>
      <c r="FTA188" s="5"/>
      <c r="FTB188" s="5"/>
      <c r="FTC188" s="5"/>
      <c r="FTD188" s="5"/>
      <c r="FTE188" s="5"/>
      <c r="FTF188" s="5"/>
      <c r="FTG188" s="5"/>
      <c r="FTH188" s="5"/>
      <c r="FTI188" s="5"/>
      <c r="FTJ188" s="5"/>
      <c r="FTK188" s="5"/>
      <c r="FTL188" s="5"/>
      <c r="FTM188" s="5"/>
      <c r="FTN188" s="5"/>
      <c r="FTO188" s="5"/>
      <c r="FTP188" s="5"/>
      <c r="FTQ188" s="5"/>
      <c r="FTR188" s="5"/>
      <c r="FTS188" s="5"/>
      <c r="FTT188" s="5"/>
      <c r="FTU188" s="5"/>
      <c r="FTV188" s="5"/>
      <c r="FTW188" s="5"/>
      <c r="FTX188" s="5"/>
      <c r="FTY188" s="5"/>
      <c r="FTZ188" s="5"/>
      <c r="FUA188" s="5"/>
      <c r="FUB188" s="5"/>
      <c r="FUC188" s="5"/>
      <c r="FUD188" s="5"/>
      <c r="FUE188" s="5"/>
      <c r="FUF188" s="5"/>
      <c r="FUG188" s="5"/>
      <c r="FUH188" s="5"/>
      <c r="FUI188" s="5"/>
      <c r="FUJ188" s="5"/>
      <c r="FUK188" s="5"/>
      <c r="FUL188" s="5"/>
      <c r="FUM188" s="5"/>
      <c r="FUN188" s="5"/>
      <c r="FUO188" s="5"/>
      <c r="FUP188" s="5"/>
      <c r="FUQ188" s="5"/>
      <c r="FUR188" s="5"/>
      <c r="FUS188" s="5"/>
      <c r="FUT188" s="5"/>
      <c r="FUU188" s="5"/>
      <c r="FUV188" s="5"/>
      <c r="FUW188" s="5"/>
      <c r="FUX188" s="5"/>
      <c r="FUY188" s="5"/>
      <c r="FUZ188" s="5"/>
      <c r="FVA188" s="5"/>
      <c r="FVB188" s="5"/>
      <c r="FVC188" s="5"/>
      <c r="FVD188" s="5"/>
      <c r="FVE188" s="5"/>
      <c r="FVF188" s="5"/>
      <c r="FVG188" s="5"/>
      <c r="FVH188" s="5"/>
      <c r="FVI188" s="5"/>
      <c r="FVJ188" s="5"/>
      <c r="FVK188" s="5"/>
      <c r="FVL188" s="5"/>
      <c r="FVM188" s="5"/>
      <c r="FVN188" s="5"/>
      <c r="FVO188" s="5"/>
      <c r="FVP188" s="5"/>
      <c r="FVQ188" s="5"/>
      <c r="FVR188" s="5"/>
      <c r="FVS188" s="5"/>
      <c r="FVT188" s="5"/>
      <c r="FVU188" s="5"/>
      <c r="FVV188" s="5"/>
      <c r="FVW188" s="5"/>
      <c r="FVX188" s="5"/>
      <c r="FVY188" s="5"/>
      <c r="FVZ188" s="5"/>
      <c r="FWA188" s="5"/>
      <c r="FWB188" s="5"/>
      <c r="FWC188" s="5"/>
      <c r="FWD188" s="5"/>
      <c r="FWE188" s="5"/>
      <c r="FWF188" s="5"/>
      <c r="FWG188" s="5"/>
      <c r="FWH188" s="5"/>
      <c r="FWI188" s="5"/>
      <c r="FWJ188" s="5"/>
      <c r="FWK188" s="5"/>
      <c r="FWL188" s="5"/>
      <c r="FWM188" s="5"/>
      <c r="FWN188" s="5"/>
      <c r="FWO188" s="5"/>
      <c r="FWP188" s="5"/>
      <c r="FWQ188" s="5"/>
      <c r="FWR188" s="5"/>
      <c r="FWS188" s="5"/>
      <c r="FWT188" s="5"/>
      <c r="FWU188" s="5"/>
      <c r="FWV188" s="5"/>
      <c r="FWW188" s="5"/>
      <c r="FWX188" s="5"/>
      <c r="FWY188" s="5"/>
      <c r="FWZ188" s="5"/>
      <c r="FXA188" s="5"/>
      <c r="FXB188" s="5"/>
      <c r="FXC188" s="5"/>
      <c r="FXD188" s="5"/>
      <c r="FXE188" s="5"/>
      <c r="FXF188" s="5"/>
      <c r="FXG188" s="5"/>
      <c r="FXH188" s="5"/>
      <c r="FXI188" s="5"/>
      <c r="FXJ188" s="5"/>
      <c r="FXK188" s="5"/>
      <c r="FXL188" s="5"/>
      <c r="FXM188" s="5"/>
      <c r="FXN188" s="5"/>
      <c r="FXO188" s="5"/>
      <c r="FXP188" s="5"/>
      <c r="FXQ188" s="5"/>
      <c r="FXR188" s="5"/>
      <c r="FXS188" s="5"/>
      <c r="FXT188" s="5"/>
      <c r="FXU188" s="5"/>
      <c r="FXV188" s="5"/>
      <c r="FXW188" s="5"/>
      <c r="FXX188" s="5"/>
      <c r="FXY188" s="5"/>
      <c r="FXZ188" s="5"/>
      <c r="FYA188" s="5"/>
      <c r="FYB188" s="5"/>
      <c r="FYC188" s="5"/>
      <c r="FYD188" s="5"/>
      <c r="FYE188" s="5"/>
      <c r="FYF188" s="5"/>
      <c r="FYG188" s="5"/>
      <c r="FYH188" s="5"/>
      <c r="FYI188" s="5"/>
      <c r="FYJ188" s="5"/>
      <c r="FYK188" s="5"/>
      <c r="FYL188" s="5"/>
      <c r="FYM188" s="5"/>
      <c r="FYN188" s="5"/>
      <c r="FYO188" s="5"/>
      <c r="FYP188" s="5"/>
      <c r="FYQ188" s="5"/>
      <c r="FYR188" s="5"/>
      <c r="FYS188" s="5"/>
      <c r="FYT188" s="5"/>
      <c r="FYU188" s="5"/>
      <c r="FYV188" s="5"/>
      <c r="FYW188" s="5"/>
      <c r="FYX188" s="5"/>
      <c r="FYY188" s="5"/>
      <c r="FYZ188" s="5"/>
      <c r="FZA188" s="5"/>
      <c r="FZB188" s="5"/>
      <c r="FZC188" s="5"/>
      <c r="FZD188" s="5"/>
      <c r="FZE188" s="5"/>
      <c r="FZF188" s="5"/>
      <c r="FZG188" s="5"/>
      <c r="FZH188" s="5"/>
      <c r="FZI188" s="5"/>
      <c r="FZJ188" s="5"/>
      <c r="FZK188" s="5"/>
      <c r="FZL188" s="5"/>
      <c r="FZM188" s="5"/>
      <c r="FZN188" s="5"/>
      <c r="FZO188" s="5"/>
      <c r="FZP188" s="5"/>
      <c r="FZQ188" s="5"/>
      <c r="FZR188" s="5"/>
      <c r="FZS188" s="5"/>
      <c r="FZT188" s="5"/>
      <c r="FZU188" s="5"/>
      <c r="FZV188" s="5"/>
      <c r="FZW188" s="5"/>
      <c r="FZX188" s="5"/>
      <c r="FZY188" s="5"/>
      <c r="FZZ188" s="5"/>
      <c r="GAA188" s="5"/>
      <c r="GAB188" s="5"/>
      <c r="GAC188" s="5"/>
      <c r="GAD188" s="5"/>
      <c r="GAE188" s="5"/>
      <c r="GAF188" s="5"/>
      <c r="GAG188" s="5"/>
      <c r="GAH188" s="5"/>
      <c r="GAI188" s="5"/>
      <c r="GAJ188" s="5"/>
      <c r="GAK188" s="5"/>
      <c r="GAL188" s="5"/>
      <c r="GAM188" s="5"/>
      <c r="GAN188" s="5"/>
      <c r="GAO188" s="5"/>
      <c r="GAP188" s="5"/>
      <c r="GAQ188" s="5"/>
      <c r="GAR188" s="5"/>
      <c r="GAS188" s="5"/>
      <c r="GAT188" s="5"/>
      <c r="GAU188" s="5"/>
      <c r="GAV188" s="5"/>
      <c r="GAW188" s="5"/>
      <c r="GAX188" s="5"/>
      <c r="GAY188" s="5"/>
      <c r="GAZ188" s="5"/>
      <c r="GBA188" s="5"/>
      <c r="GBB188" s="5"/>
      <c r="GBC188" s="5"/>
      <c r="GBD188" s="5"/>
      <c r="GBE188" s="5"/>
      <c r="GBF188" s="5"/>
      <c r="GBG188" s="5"/>
      <c r="GBH188" s="5"/>
      <c r="GBI188" s="5"/>
      <c r="GBJ188" s="5"/>
      <c r="GBK188" s="5"/>
      <c r="GBL188" s="5"/>
      <c r="GBM188" s="5"/>
      <c r="GBN188" s="5"/>
      <c r="GBO188" s="5"/>
      <c r="GBP188" s="5"/>
      <c r="GBQ188" s="5"/>
      <c r="GBR188" s="5"/>
      <c r="GBS188" s="5"/>
      <c r="GBT188" s="5"/>
      <c r="GBU188" s="5"/>
      <c r="GBV188" s="5"/>
      <c r="GBW188" s="5"/>
      <c r="GBX188" s="5"/>
      <c r="GBY188" s="5"/>
      <c r="GBZ188" s="5"/>
      <c r="GCA188" s="5"/>
      <c r="GCB188" s="5"/>
      <c r="GCC188" s="5"/>
      <c r="GCD188" s="5"/>
      <c r="GCE188" s="5"/>
      <c r="GCF188" s="5"/>
      <c r="GCG188" s="5"/>
      <c r="GCH188" s="5"/>
      <c r="GCI188" s="5"/>
      <c r="GCJ188" s="5"/>
      <c r="GCK188" s="5"/>
      <c r="GCL188" s="5"/>
      <c r="GCM188" s="5"/>
      <c r="GCN188" s="5"/>
      <c r="GCO188" s="5"/>
      <c r="GCP188" s="5"/>
      <c r="GCQ188" s="5"/>
      <c r="GCR188" s="5"/>
      <c r="GCS188" s="5"/>
      <c r="GCT188" s="5"/>
      <c r="GCU188" s="5"/>
      <c r="GCV188" s="5"/>
      <c r="GCW188" s="5"/>
      <c r="GCX188" s="5"/>
      <c r="GCY188" s="5"/>
      <c r="GCZ188" s="5"/>
      <c r="GDA188" s="5"/>
      <c r="GDB188" s="5"/>
      <c r="GDC188" s="5"/>
      <c r="GDD188" s="5"/>
      <c r="GDE188" s="5"/>
      <c r="GDF188" s="5"/>
      <c r="GDG188" s="5"/>
      <c r="GDH188" s="5"/>
      <c r="GDI188" s="5"/>
      <c r="GDJ188" s="5"/>
      <c r="GDK188" s="5"/>
      <c r="GDL188" s="5"/>
      <c r="GDM188" s="5"/>
      <c r="GDN188" s="5"/>
      <c r="GDO188" s="5"/>
      <c r="GDP188" s="5"/>
      <c r="GDQ188" s="5"/>
      <c r="GDR188" s="5"/>
      <c r="GDS188" s="5"/>
      <c r="GDT188" s="5"/>
      <c r="GDU188" s="5"/>
      <c r="GDV188" s="5"/>
      <c r="GDW188" s="5"/>
      <c r="GDX188" s="5"/>
      <c r="GDY188" s="5"/>
      <c r="GDZ188" s="5"/>
      <c r="GEA188" s="5"/>
      <c r="GEB188" s="5"/>
      <c r="GEC188" s="5"/>
      <c r="GED188" s="5"/>
      <c r="GEE188" s="5"/>
      <c r="GEF188" s="5"/>
      <c r="GEG188" s="5"/>
      <c r="GEH188" s="5"/>
      <c r="GEI188" s="5"/>
      <c r="GEJ188" s="5"/>
      <c r="GEK188" s="5"/>
      <c r="GEL188" s="5"/>
      <c r="GEM188" s="5"/>
      <c r="GEN188" s="5"/>
      <c r="GEO188" s="5"/>
      <c r="GEP188" s="5"/>
      <c r="GEQ188" s="5"/>
      <c r="GER188" s="5"/>
      <c r="GES188" s="5"/>
      <c r="GET188" s="5"/>
      <c r="GEU188" s="5"/>
      <c r="GEV188" s="5"/>
      <c r="GEW188" s="5"/>
      <c r="GEX188" s="5"/>
      <c r="GEY188" s="5"/>
      <c r="GEZ188" s="5"/>
      <c r="GFA188" s="5"/>
      <c r="GFB188" s="5"/>
      <c r="GFC188" s="5"/>
      <c r="GFD188" s="5"/>
      <c r="GFE188" s="5"/>
      <c r="GFF188" s="5"/>
      <c r="GFG188" s="5"/>
      <c r="GFH188" s="5"/>
      <c r="GFI188" s="5"/>
      <c r="GFJ188" s="5"/>
      <c r="GFK188" s="5"/>
      <c r="GFL188" s="5"/>
      <c r="GFM188" s="5"/>
      <c r="GFN188" s="5"/>
      <c r="GFO188" s="5"/>
      <c r="GFP188" s="5"/>
      <c r="GFQ188" s="5"/>
      <c r="GFR188" s="5"/>
      <c r="GFS188" s="5"/>
      <c r="GFT188" s="5"/>
      <c r="GFU188" s="5"/>
      <c r="GFV188" s="5"/>
      <c r="GFW188" s="5"/>
      <c r="GFX188" s="5"/>
      <c r="GFY188" s="5"/>
      <c r="GFZ188" s="5"/>
      <c r="GGA188" s="5"/>
      <c r="GGB188" s="5"/>
      <c r="GGC188" s="5"/>
      <c r="GGD188" s="5"/>
      <c r="GGE188" s="5"/>
      <c r="GGF188" s="5"/>
      <c r="GGG188" s="5"/>
      <c r="GGH188" s="5"/>
      <c r="GGI188" s="5"/>
      <c r="GGJ188" s="5"/>
      <c r="GGK188" s="5"/>
      <c r="GGL188" s="5"/>
      <c r="GGM188" s="5"/>
      <c r="GGN188" s="5"/>
      <c r="GGO188" s="5"/>
      <c r="GGP188" s="5"/>
      <c r="GGQ188" s="5"/>
      <c r="GGR188" s="5"/>
      <c r="GGS188" s="5"/>
      <c r="GGT188" s="5"/>
      <c r="GGU188" s="5"/>
      <c r="GGV188" s="5"/>
      <c r="GGW188" s="5"/>
      <c r="GGX188" s="5"/>
      <c r="GGY188" s="5"/>
      <c r="GGZ188" s="5"/>
      <c r="GHA188" s="5"/>
      <c r="GHB188" s="5"/>
      <c r="GHC188" s="5"/>
      <c r="GHD188" s="5"/>
      <c r="GHE188" s="5"/>
      <c r="GHF188" s="5"/>
      <c r="GHG188" s="5"/>
      <c r="GHH188" s="5"/>
      <c r="GHI188" s="5"/>
      <c r="GHJ188" s="5"/>
      <c r="GHK188" s="5"/>
      <c r="GHL188" s="5"/>
      <c r="GHM188" s="5"/>
      <c r="GHN188" s="5"/>
      <c r="GHO188" s="5"/>
      <c r="GHP188" s="5"/>
      <c r="GHQ188" s="5"/>
      <c r="GHR188" s="5"/>
      <c r="GHS188" s="5"/>
      <c r="GHT188" s="5"/>
      <c r="GHU188" s="5"/>
      <c r="GHV188" s="5"/>
      <c r="GHW188" s="5"/>
      <c r="GHX188" s="5"/>
      <c r="GHY188" s="5"/>
      <c r="GHZ188" s="5"/>
      <c r="GIA188" s="5"/>
      <c r="GIB188" s="5"/>
      <c r="GIC188" s="5"/>
      <c r="GID188" s="5"/>
      <c r="GIE188" s="5"/>
      <c r="GIF188" s="5"/>
      <c r="GIG188" s="5"/>
      <c r="GIH188" s="5"/>
      <c r="GII188" s="5"/>
      <c r="GIJ188" s="5"/>
      <c r="GIK188" s="5"/>
      <c r="GIL188" s="5"/>
      <c r="GIM188" s="5"/>
      <c r="GIN188" s="5"/>
      <c r="GIO188" s="5"/>
      <c r="GIP188" s="5"/>
      <c r="GIQ188" s="5"/>
      <c r="GIR188" s="5"/>
      <c r="GIS188" s="5"/>
      <c r="GIT188" s="5"/>
      <c r="GIU188" s="5"/>
      <c r="GIV188" s="5"/>
      <c r="GIW188" s="5"/>
      <c r="GIX188" s="5"/>
      <c r="GIY188" s="5"/>
      <c r="GIZ188" s="5"/>
      <c r="GJA188" s="5"/>
      <c r="GJB188" s="5"/>
      <c r="GJC188" s="5"/>
      <c r="GJD188" s="5"/>
      <c r="GJE188" s="5"/>
      <c r="GJF188" s="5"/>
      <c r="GJG188" s="5"/>
      <c r="GJH188" s="5"/>
      <c r="GJI188" s="5"/>
      <c r="GJJ188" s="5"/>
      <c r="GJK188" s="5"/>
      <c r="GJL188" s="5"/>
      <c r="GJM188" s="5"/>
      <c r="GJN188" s="5"/>
      <c r="GJO188" s="5"/>
      <c r="GJP188" s="5"/>
      <c r="GJQ188" s="5"/>
      <c r="GJR188" s="5"/>
      <c r="GJS188" s="5"/>
      <c r="GJT188" s="5"/>
      <c r="GJU188" s="5"/>
      <c r="GJV188" s="5"/>
      <c r="GJW188" s="5"/>
      <c r="GJX188" s="5"/>
      <c r="GJY188" s="5"/>
      <c r="GJZ188" s="5"/>
      <c r="GKA188" s="5"/>
      <c r="GKB188" s="5"/>
      <c r="GKC188" s="5"/>
      <c r="GKD188" s="5"/>
      <c r="GKE188" s="5"/>
      <c r="GKF188" s="5"/>
      <c r="GKG188" s="5"/>
      <c r="GKH188" s="5"/>
      <c r="GKI188" s="5"/>
      <c r="GKJ188" s="5"/>
      <c r="GKK188" s="5"/>
      <c r="GKL188" s="5"/>
      <c r="GKM188" s="5"/>
      <c r="GKN188" s="5"/>
      <c r="GKO188" s="5"/>
      <c r="GKP188" s="5"/>
      <c r="GKQ188" s="5"/>
      <c r="GKR188" s="5"/>
      <c r="GKS188" s="5"/>
      <c r="GKT188" s="5"/>
      <c r="GKU188" s="5"/>
      <c r="GKV188" s="5"/>
      <c r="GKW188" s="5"/>
      <c r="GKX188" s="5"/>
      <c r="GKY188" s="5"/>
      <c r="GKZ188" s="5"/>
      <c r="GLA188" s="5"/>
      <c r="GLB188" s="5"/>
      <c r="GLC188" s="5"/>
      <c r="GLD188" s="5"/>
      <c r="GLE188" s="5"/>
      <c r="GLF188" s="5"/>
      <c r="GLG188" s="5"/>
      <c r="GLH188" s="5"/>
      <c r="GLI188" s="5"/>
      <c r="GLJ188" s="5"/>
      <c r="GLK188" s="5"/>
      <c r="GLL188" s="5"/>
      <c r="GLM188" s="5"/>
      <c r="GLN188" s="5"/>
      <c r="GLO188" s="5"/>
      <c r="GLP188" s="5"/>
      <c r="GLQ188" s="5"/>
      <c r="GLR188" s="5"/>
      <c r="GLS188" s="5"/>
      <c r="GLT188" s="5"/>
      <c r="GLU188" s="5"/>
      <c r="GLV188" s="5"/>
      <c r="GLW188" s="5"/>
      <c r="GLX188" s="5"/>
      <c r="GLY188" s="5"/>
      <c r="GLZ188" s="5"/>
      <c r="GMA188" s="5"/>
      <c r="GMB188" s="5"/>
      <c r="GMC188" s="5"/>
      <c r="GMD188" s="5"/>
      <c r="GME188" s="5"/>
      <c r="GMF188" s="5"/>
      <c r="GMG188" s="5"/>
      <c r="GMH188" s="5"/>
      <c r="GMI188" s="5"/>
      <c r="GMJ188" s="5"/>
      <c r="GMK188" s="5"/>
      <c r="GML188" s="5"/>
      <c r="GMM188" s="5"/>
      <c r="GMN188" s="5"/>
      <c r="GMO188" s="5"/>
      <c r="GMP188" s="5"/>
      <c r="GMQ188" s="5"/>
      <c r="GMR188" s="5"/>
      <c r="GMS188" s="5"/>
      <c r="GMT188" s="5"/>
      <c r="GMU188" s="5"/>
      <c r="GMV188" s="5"/>
      <c r="GMW188" s="5"/>
      <c r="GMX188" s="5"/>
      <c r="GMY188" s="5"/>
      <c r="GMZ188" s="5"/>
      <c r="GNA188" s="5"/>
      <c r="GNB188" s="5"/>
      <c r="GNC188" s="5"/>
      <c r="GND188" s="5"/>
      <c r="GNE188" s="5"/>
      <c r="GNF188" s="5"/>
      <c r="GNG188" s="5"/>
      <c r="GNH188" s="5"/>
      <c r="GNI188" s="5"/>
      <c r="GNJ188" s="5"/>
      <c r="GNK188" s="5"/>
      <c r="GNL188" s="5"/>
      <c r="GNM188" s="5"/>
      <c r="GNN188" s="5"/>
      <c r="GNO188" s="5"/>
      <c r="GNP188" s="5"/>
      <c r="GNQ188" s="5"/>
      <c r="GNR188" s="5"/>
      <c r="GNS188" s="5"/>
      <c r="GNT188" s="5"/>
      <c r="GNU188" s="5"/>
      <c r="GNV188" s="5"/>
      <c r="GNW188" s="5"/>
      <c r="GNX188" s="5"/>
      <c r="GNY188" s="5"/>
      <c r="GNZ188" s="5"/>
      <c r="GOA188" s="5"/>
      <c r="GOB188" s="5"/>
      <c r="GOC188" s="5"/>
      <c r="GOD188" s="5"/>
      <c r="GOE188" s="5"/>
      <c r="GOF188" s="5"/>
      <c r="GOG188" s="5"/>
      <c r="GOH188" s="5"/>
      <c r="GOI188" s="5"/>
      <c r="GOJ188" s="5"/>
      <c r="GOK188" s="5"/>
      <c r="GOL188" s="5"/>
      <c r="GOM188" s="5"/>
      <c r="GON188" s="5"/>
      <c r="GOO188" s="5"/>
      <c r="GOP188" s="5"/>
      <c r="GOQ188" s="5"/>
      <c r="GOR188" s="5"/>
      <c r="GOS188" s="5"/>
      <c r="GOT188" s="5"/>
      <c r="GOU188" s="5"/>
      <c r="GOV188" s="5"/>
      <c r="GOW188" s="5"/>
      <c r="GOX188" s="5"/>
      <c r="GOY188" s="5"/>
      <c r="GOZ188" s="5"/>
      <c r="GPA188" s="5"/>
      <c r="GPB188" s="5"/>
      <c r="GPC188" s="5"/>
      <c r="GPD188" s="5"/>
      <c r="GPE188" s="5"/>
      <c r="GPF188" s="5"/>
      <c r="GPG188" s="5"/>
      <c r="GPH188" s="5"/>
      <c r="GPI188" s="5"/>
      <c r="GPJ188" s="5"/>
      <c r="GPK188" s="5"/>
      <c r="GPL188" s="5"/>
      <c r="GPM188" s="5"/>
      <c r="GPN188" s="5"/>
      <c r="GPO188" s="5"/>
      <c r="GPP188" s="5"/>
      <c r="GPQ188" s="5"/>
      <c r="GPR188" s="5"/>
      <c r="GPS188" s="5"/>
      <c r="GPT188" s="5"/>
      <c r="GPU188" s="5"/>
      <c r="GPV188" s="5"/>
      <c r="GPW188" s="5"/>
      <c r="GPX188" s="5"/>
      <c r="GPY188" s="5"/>
      <c r="GPZ188" s="5"/>
      <c r="GQA188" s="5"/>
      <c r="GQB188" s="5"/>
      <c r="GQC188" s="5"/>
      <c r="GQD188" s="5"/>
      <c r="GQE188" s="5"/>
      <c r="GQF188" s="5"/>
      <c r="GQG188" s="5"/>
      <c r="GQH188" s="5"/>
      <c r="GQI188" s="5"/>
      <c r="GQJ188" s="5"/>
      <c r="GQK188" s="5"/>
      <c r="GQL188" s="5"/>
      <c r="GQM188" s="5"/>
      <c r="GQN188" s="5"/>
      <c r="GQO188" s="5"/>
      <c r="GQP188" s="5"/>
      <c r="GQQ188" s="5"/>
      <c r="GQR188" s="5"/>
      <c r="GQS188" s="5"/>
      <c r="GQT188" s="5"/>
      <c r="GQU188" s="5"/>
      <c r="GQV188" s="5"/>
      <c r="GQW188" s="5"/>
      <c r="GQX188" s="5"/>
      <c r="GQY188" s="5"/>
      <c r="GQZ188" s="5"/>
      <c r="GRA188" s="5"/>
      <c r="GRB188" s="5"/>
      <c r="GRC188" s="5"/>
      <c r="GRD188" s="5"/>
      <c r="GRE188" s="5"/>
      <c r="GRF188" s="5"/>
      <c r="GRG188" s="5"/>
      <c r="GRH188" s="5"/>
      <c r="GRI188" s="5"/>
      <c r="GRJ188" s="5"/>
      <c r="GRK188" s="5"/>
      <c r="GRL188" s="5"/>
      <c r="GRM188" s="5"/>
      <c r="GRN188" s="5"/>
      <c r="GRO188" s="5"/>
      <c r="GRP188" s="5"/>
      <c r="GRQ188" s="5"/>
      <c r="GRR188" s="5"/>
      <c r="GRS188" s="5"/>
      <c r="GRT188" s="5"/>
      <c r="GRU188" s="5"/>
      <c r="GRV188" s="5"/>
      <c r="GRW188" s="5"/>
      <c r="GRX188" s="5"/>
      <c r="GRY188" s="5"/>
      <c r="GRZ188" s="5"/>
      <c r="GSA188" s="5"/>
      <c r="GSB188" s="5"/>
      <c r="GSC188" s="5"/>
      <c r="GSD188" s="5"/>
      <c r="GSE188" s="5"/>
      <c r="GSF188" s="5"/>
      <c r="GSG188" s="5"/>
      <c r="GSH188" s="5"/>
      <c r="GSI188" s="5"/>
      <c r="GSJ188" s="5"/>
      <c r="GSK188" s="5"/>
      <c r="GSL188" s="5"/>
      <c r="GSM188" s="5"/>
      <c r="GSN188" s="5"/>
      <c r="GSO188" s="5"/>
      <c r="GSP188" s="5"/>
      <c r="GSQ188" s="5"/>
      <c r="GSR188" s="5"/>
      <c r="GSS188" s="5"/>
      <c r="GST188" s="5"/>
      <c r="GSU188" s="5"/>
      <c r="GSV188" s="5"/>
      <c r="GSW188" s="5"/>
      <c r="GSX188" s="5"/>
      <c r="GSY188" s="5"/>
      <c r="GSZ188" s="5"/>
      <c r="GTA188" s="5"/>
      <c r="GTB188" s="5"/>
      <c r="GTC188" s="5"/>
      <c r="GTD188" s="5"/>
      <c r="GTE188" s="5"/>
      <c r="GTF188" s="5"/>
      <c r="GTG188" s="5"/>
      <c r="GTH188" s="5"/>
      <c r="GTI188" s="5"/>
      <c r="GTJ188" s="5"/>
      <c r="GTK188" s="5"/>
      <c r="GTL188" s="5"/>
      <c r="GTM188" s="5"/>
      <c r="GTN188" s="5"/>
      <c r="GTO188" s="5"/>
      <c r="GTP188" s="5"/>
      <c r="GTQ188" s="5"/>
      <c r="GTR188" s="5"/>
      <c r="GTS188" s="5"/>
      <c r="GTT188" s="5"/>
      <c r="GTU188" s="5"/>
      <c r="GTV188" s="5"/>
      <c r="GTW188" s="5"/>
      <c r="GTX188" s="5"/>
      <c r="GTY188" s="5"/>
      <c r="GTZ188" s="5"/>
      <c r="GUA188" s="5"/>
      <c r="GUB188" s="5"/>
      <c r="GUC188" s="5"/>
      <c r="GUD188" s="5"/>
      <c r="GUE188" s="5"/>
      <c r="GUF188" s="5"/>
      <c r="GUG188" s="5"/>
      <c r="GUH188" s="5"/>
      <c r="GUI188" s="5"/>
      <c r="GUJ188" s="5"/>
      <c r="GUK188" s="5"/>
      <c r="GUL188" s="5"/>
      <c r="GUM188" s="5"/>
      <c r="GUN188" s="5"/>
      <c r="GUO188" s="5"/>
      <c r="GUP188" s="5"/>
      <c r="GUQ188" s="5"/>
      <c r="GUR188" s="5"/>
      <c r="GUS188" s="5"/>
      <c r="GUT188" s="5"/>
      <c r="GUU188" s="5"/>
      <c r="GUV188" s="5"/>
      <c r="GUW188" s="5"/>
      <c r="GUX188" s="5"/>
      <c r="GUY188" s="5"/>
      <c r="GUZ188" s="5"/>
      <c r="GVA188" s="5"/>
      <c r="GVB188" s="5"/>
      <c r="GVC188" s="5"/>
      <c r="GVD188" s="5"/>
      <c r="GVE188" s="5"/>
      <c r="GVF188" s="5"/>
      <c r="GVG188" s="5"/>
      <c r="GVH188" s="5"/>
      <c r="GVI188" s="5"/>
      <c r="GVJ188" s="5"/>
      <c r="GVK188" s="5"/>
      <c r="GVL188" s="5"/>
      <c r="GVM188" s="5"/>
      <c r="GVN188" s="5"/>
      <c r="GVO188" s="5"/>
      <c r="GVP188" s="5"/>
      <c r="GVQ188" s="5"/>
      <c r="GVR188" s="5"/>
      <c r="GVS188" s="5"/>
      <c r="GVT188" s="5"/>
      <c r="GVU188" s="5"/>
      <c r="GVV188" s="5"/>
      <c r="GVW188" s="5"/>
      <c r="GVX188" s="5"/>
      <c r="GVY188" s="5"/>
      <c r="GVZ188" s="5"/>
      <c r="GWA188" s="5"/>
      <c r="GWB188" s="5"/>
      <c r="GWC188" s="5"/>
      <c r="GWD188" s="5"/>
      <c r="GWE188" s="5"/>
      <c r="GWF188" s="5"/>
      <c r="GWG188" s="5"/>
      <c r="GWH188" s="5"/>
      <c r="GWI188" s="5"/>
      <c r="GWJ188" s="5"/>
      <c r="GWK188" s="5"/>
      <c r="GWL188" s="5"/>
      <c r="GWM188" s="5"/>
      <c r="GWN188" s="5"/>
      <c r="GWO188" s="5"/>
      <c r="GWP188" s="5"/>
      <c r="GWQ188" s="5"/>
      <c r="GWR188" s="5"/>
      <c r="GWS188" s="5"/>
      <c r="GWT188" s="5"/>
      <c r="GWU188" s="5"/>
      <c r="GWV188" s="5"/>
      <c r="GWW188" s="5"/>
      <c r="GWX188" s="5"/>
      <c r="GWY188" s="5"/>
      <c r="GWZ188" s="5"/>
      <c r="GXA188" s="5"/>
      <c r="GXB188" s="5"/>
      <c r="GXC188" s="5"/>
      <c r="GXD188" s="5"/>
      <c r="GXE188" s="5"/>
      <c r="GXF188" s="5"/>
      <c r="GXG188" s="5"/>
      <c r="GXH188" s="5"/>
      <c r="GXI188" s="5"/>
      <c r="GXJ188" s="5"/>
      <c r="GXK188" s="5"/>
      <c r="GXL188" s="5"/>
      <c r="GXM188" s="5"/>
      <c r="GXN188" s="5"/>
      <c r="GXO188" s="5"/>
      <c r="GXP188" s="5"/>
      <c r="GXQ188" s="5"/>
      <c r="GXR188" s="5"/>
      <c r="GXS188" s="5"/>
      <c r="GXT188" s="5"/>
      <c r="GXU188" s="5"/>
      <c r="GXV188" s="5"/>
      <c r="GXW188" s="5"/>
      <c r="GXX188" s="5"/>
      <c r="GXY188" s="5"/>
      <c r="GXZ188" s="5"/>
      <c r="GYA188" s="5"/>
      <c r="GYB188" s="5"/>
      <c r="GYC188" s="5"/>
      <c r="GYD188" s="5"/>
      <c r="GYE188" s="5"/>
      <c r="GYF188" s="5"/>
      <c r="GYG188" s="5"/>
      <c r="GYH188" s="5"/>
      <c r="GYI188" s="5"/>
      <c r="GYJ188" s="5"/>
      <c r="GYK188" s="5"/>
      <c r="GYL188" s="5"/>
      <c r="GYM188" s="5"/>
      <c r="GYN188" s="5"/>
      <c r="GYO188" s="5"/>
      <c r="GYP188" s="5"/>
      <c r="GYQ188" s="5"/>
      <c r="GYR188" s="5"/>
      <c r="GYS188" s="5"/>
      <c r="GYT188" s="5"/>
      <c r="GYU188" s="5"/>
      <c r="GYV188" s="5"/>
      <c r="GYW188" s="5"/>
      <c r="GYX188" s="5"/>
      <c r="GYY188" s="5"/>
      <c r="GYZ188" s="5"/>
      <c r="GZA188" s="5"/>
      <c r="GZB188" s="5"/>
      <c r="GZC188" s="5"/>
      <c r="GZD188" s="5"/>
      <c r="GZE188" s="5"/>
      <c r="GZF188" s="5"/>
      <c r="GZG188" s="5"/>
      <c r="GZH188" s="5"/>
      <c r="GZI188" s="5"/>
      <c r="GZJ188" s="5"/>
      <c r="GZK188" s="5"/>
      <c r="GZL188" s="5"/>
      <c r="GZM188" s="5"/>
      <c r="GZN188" s="5"/>
      <c r="GZO188" s="5"/>
      <c r="GZP188" s="5"/>
      <c r="GZQ188" s="5"/>
      <c r="GZR188" s="5"/>
      <c r="GZS188" s="5"/>
      <c r="GZT188" s="5"/>
      <c r="GZU188" s="5"/>
      <c r="GZV188" s="5"/>
      <c r="GZW188" s="5"/>
      <c r="GZX188" s="5"/>
      <c r="GZY188" s="5"/>
      <c r="GZZ188" s="5"/>
      <c r="HAA188" s="5"/>
      <c r="HAB188" s="5"/>
      <c r="HAC188" s="5"/>
      <c r="HAD188" s="5"/>
      <c r="HAE188" s="5"/>
      <c r="HAF188" s="5"/>
      <c r="HAG188" s="5"/>
      <c r="HAH188" s="5"/>
      <c r="HAI188" s="5"/>
      <c r="HAJ188" s="5"/>
      <c r="HAK188" s="5"/>
      <c r="HAL188" s="5"/>
      <c r="HAM188" s="5"/>
      <c r="HAN188" s="5"/>
      <c r="HAO188" s="5"/>
      <c r="HAP188" s="5"/>
      <c r="HAQ188" s="5"/>
      <c r="HAR188" s="5"/>
      <c r="HAS188" s="5"/>
      <c r="HAT188" s="5"/>
      <c r="HAU188" s="5"/>
      <c r="HAV188" s="5"/>
      <c r="HAW188" s="5"/>
      <c r="HAX188" s="5"/>
      <c r="HAY188" s="5"/>
      <c r="HAZ188" s="5"/>
      <c r="HBA188" s="5"/>
      <c r="HBB188" s="5"/>
      <c r="HBC188" s="5"/>
      <c r="HBD188" s="5"/>
      <c r="HBE188" s="5"/>
      <c r="HBF188" s="5"/>
      <c r="HBG188" s="5"/>
      <c r="HBH188" s="5"/>
      <c r="HBI188" s="5"/>
      <c r="HBJ188" s="5"/>
      <c r="HBK188" s="5"/>
      <c r="HBL188" s="5"/>
      <c r="HBM188" s="5"/>
      <c r="HBN188" s="5"/>
      <c r="HBO188" s="5"/>
      <c r="HBP188" s="5"/>
      <c r="HBQ188" s="5"/>
      <c r="HBR188" s="5"/>
      <c r="HBS188" s="5"/>
      <c r="HBT188" s="5"/>
      <c r="HBU188" s="5"/>
      <c r="HBV188" s="5"/>
      <c r="HBW188" s="5"/>
      <c r="HBX188" s="5"/>
      <c r="HBY188" s="5"/>
      <c r="HBZ188" s="5"/>
      <c r="HCA188" s="5"/>
      <c r="HCB188" s="5"/>
      <c r="HCC188" s="5"/>
      <c r="HCD188" s="5"/>
      <c r="HCE188" s="5"/>
      <c r="HCF188" s="5"/>
      <c r="HCG188" s="5"/>
      <c r="HCH188" s="5"/>
      <c r="HCI188" s="5"/>
      <c r="HCJ188" s="5"/>
      <c r="HCK188" s="5"/>
      <c r="HCL188" s="5"/>
      <c r="HCM188" s="5"/>
      <c r="HCN188" s="5"/>
      <c r="HCO188" s="5"/>
      <c r="HCP188" s="5"/>
      <c r="HCQ188" s="5"/>
      <c r="HCR188" s="5"/>
      <c r="HCS188" s="5"/>
      <c r="HCT188" s="5"/>
      <c r="HCU188" s="5"/>
      <c r="HCV188" s="5"/>
      <c r="HCW188" s="5"/>
      <c r="HCX188" s="5"/>
      <c r="HCY188" s="5"/>
      <c r="HCZ188" s="5"/>
      <c r="HDA188" s="5"/>
      <c r="HDB188" s="5"/>
      <c r="HDC188" s="5"/>
      <c r="HDD188" s="5"/>
      <c r="HDE188" s="5"/>
      <c r="HDF188" s="5"/>
      <c r="HDG188" s="5"/>
      <c r="HDH188" s="5"/>
      <c r="HDI188" s="5"/>
      <c r="HDJ188" s="5"/>
      <c r="HDK188" s="5"/>
      <c r="HDL188" s="5"/>
      <c r="HDM188" s="5"/>
      <c r="HDN188" s="5"/>
      <c r="HDO188" s="5"/>
      <c r="HDP188" s="5"/>
      <c r="HDQ188" s="5"/>
      <c r="HDR188" s="5"/>
      <c r="HDS188" s="5"/>
      <c r="HDT188" s="5"/>
      <c r="HDU188" s="5"/>
      <c r="HDV188" s="5"/>
      <c r="HDW188" s="5"/>
      <c r="HDX188" s="5"/>
      <c r="HDY188" s="5"/>
      <c r="HDZ188" s="5"/>
      <c r="HEA188" s="5"/>
      <c r="HEB188" s="5"/>
      <c r="HEC188" s="5"/>
      <c r="HED188" s="5"/>
      <c r="HEE188" s="5"/>
      <c r="HEF188" s="5"/>
      <c r="HEG188" s="5"/>
      <c r="HEH188" s="5"/>
      <c r="HEI188" s="5"/>
      <c r="HEJ188" s="5"/>
      <c r="HEK188" s="5"/>
      <c r="HEL188" s="5"/>
      <c r="HEM188" s="5"/>
      <c r="HEN188" s="5"/>
      <c r="HEO188" s="5"/>
      <c r="HEP188" s="5"/>
      <c r="HEQ188" s="5"/>
      <c r="HER188" s="5"/>
      <c r="HES188" s="5"/>
      <c r="HET188" s="5"/>
      <c r="HEU188" s="5"/>
      <c r="HEV188" s="5"/>
      <c r="HEW188" s="5"/>
      <c r="HEX188" s="5"/>
      <c r="HEY188" s="5"/>
      <c r="HEZ188" s="5"/>
      <c r="HFA188" s="5"/>
      <c r="HFB188" s="5"/>
      <c r="HFC188" s="5"/>
      <c r="HFD188" s="5"/>
      <c r="HFE188" s="5"/>
      <c r="HFF188" s="5"/>
      <c r="HFG188" s="5"/>
      <c r="HFH188" s="5"/>
      <c r="HFI188" s="5"/>
      <c r="HFJ188" s="5"/>
      <c r="HFK188" s="5"/>
      <c r="HFL188" s="5"/>
      <c r="HFM188" s="5"/>
      <c r="HFN188" s="5"/>
      <c r="HFO188" s="5"/>
      <c r="HFP188" s="5"/>
      <c r="HFQ188" s="5"/>
      <c r="HFR188" s="5"/>
      <c r="HFS188" s="5"/>
      <c r="HFT188" s="5"/>
      <c r="HFU188" s="5"/>
      <c r="HFV188" s="5"/>
      <c r="HFW188" s="5"/>
      <c r="HFX188" s="5"/>
      <c r="HFY188" s="5"/>
      <c r="HFZ188" s="5"/>
      <c r="HGA188" s="5"/>
      <c r="HGB188" s="5"/>
      <c r="HGC188" s="5"/>
      <c r="HGD188" s="5"/>
      <c r="HGE188" s="5"/>
      <c r="HGF188" s="5"/>
      <c r="HGG188" s="5"/>
      <c r="HGH188" s="5"/>
      <c r="HGI188" s="5"/>
      <c r="HGJ188" s="5"/>
      <c r="HGK188" s="5"/>
      <c r="HGL188" s="5"/>
      <c r="HGM188" s="5"/>
      <c r="HGN188" s="5"/>
      <c r="HGO188" s="5"/>
      <c r="HGP188" s="5"/>
      <c r="HGQ188" s="5"/>
      <c r="HGR188" s="5"/>
      <c r="HGS188" s="5"/>
      <c r="HGT188" s="5"/>
      <c r="HGU188" s="5"/>
      <c r="HGV188" s="5"/>
      <c r="HGW188" s="5"/>
      <c r="HGX188" s="5"/>
      <c r="HGY188" s="5"/>
      <c r="HGZ188" s="5"/>
      <c r="HHA188" s="5"/>
      <c r="HHB188" s="5"/>
      <c r="HHC188" s="5"/>
      <c r="HHD188" s="5"/>
      <c r="HHE188" s="5"/>
      <c r="HHF188" s="5"/>
      <c r="HHG188" s="5"/>
      <c r="HHH188" s="5"/>
      <c r="HHI188" s="5"/>
      <c r="HHJ188" s="5"/>
      <c r="HHK188" s="5"/>
      <c r="HHL188" s="5"/>
      <c r="HHM188" s="5"/>
      <c r="HHN188" s="5"/>
      <c r="HHO188" s="5"/>
      <c r="HHP188" s="5"/>
      <c r="HHQ188" s="5"/>
      <c r="HHR188" s="5"/>
      <c r="HHS188" s="5"/>
      <c r="HHT188" s="5"/>
      <c r="HHU188" s="5"/>
      <c r="HHV188" s="5"/>
      <c r="HHW188" s="5"/>
      <c r="HHX188" s="5"/>
      <c r="HHY188" s="5"/>
      <c r="HHZ188" s="5"/>
      <c r="HIA188" s="5"/>
      <c r="HIB188" s="5"/>
      <c r="HIC188" s="5"/>
      <c r="HID188" s="5"/>
      <c r="HIE188" s="5"/>
      <c r="HIF188" s="5"/>
      <c r="HIG188" s="5"/>
      <c r="HIH188" s="5"/>
      <c r="HII188" s="5"/>
      <c r="HIJ188" s="5"/>
      <c r="HIK188" s="5"/>
      <c r="HIL188" s="5"/>
      <c r="HIM188" s="5"/>
      <c r="HIN188" s="5"/>
      <c r="HIO188" s="5"/>
      <c r="HIP188" s="5"/>
      <c r="HIQ188" s="5"/>
      <c r="HIR188" s="5"/>
      <c r="HIS188" s="5"/>
      <c r="HIT188" s="5"/>
      <c r="HIU188" s="5"/>
      <c r="HIV188" s="5"/>
      <c r="HIW188" s="5"/>
      <c r="HIX188" s="5"/>
      <c r="HIY188" s="5"/>
      <c r="HIZ188" s="5"/>
      <c r="HJA188" s="5"/>
      <c r="HJB188" s="5"/>
      <c r="HJC188" s="5"/>
      <c r="HJD188" s="5"/>
      <c r="HJE188" s="5"/>
      <c r="HJF188" s="5"/>
      <c r="HJG188" s="5"/>
      <c r="HJH188" s="5"/>
      <c r="HJI188" s="5"/>
      <c r="HJJ188" s="5"/>
      <c r="HJK188" s="5"/>
      <c r="HJL188" s="5"/>
      <c r="HJM188" s="5"/>
      <c r="HJN188" s="5"/>
      <c r="HJO188" s="5"/>
      <c r="HJP188" s="5"/>
      <c r="HJQ188" s="5"/>
      <c r="HJR188" s="5"/>
      <c r="HJS188" s="5"/>
      <c r="HJT188" s="5"/>
      <c r="HJU188" s="5"/>
      <c r="HJV188" s="5"/>
      <c r="HJW188" s="5"/>
      <c r="HJX188" s="5"/>
      <c r="HJY188" s="5"/>
      <c r="HJZ188" s="5"/>
      <c r="HKA188" s="5"/>
      <c r="HKB188" s="5"/>
      <c r="HKC188" s="5"/>
      <c r="HKD188" s="5"/>
      <c r="HKE188" s="5"/>
      <c r="HKF188" s="5"/>
      <c r="HKG188" s="5"/>
      <c r="HKH188" s="5"/>
      <c r="HKI188" s="5"/>
      <c r="HKJ188" s="5"/>
      <c r="HKK188" s="5"/>
      <c r="HKL188" s="5"/>
      <c r="HKM188" s="5"/>
      <c r="HKN188" s="5"/>
      <c r="HKO188" s="5"/>
      <c r="HKP188" s="5"/>
      <c r="HKQ188" s="5"/>
      <c r="HKR188" s="5"/>
      <c r="HKS188" s="5"/>
      <c r="HKT188" s="5"/>
      <c r="HKU188" s="5"/>
      <c r="HKV188" s="5"/>
      <c r="HKW188" s="5"/>
      <c r="HKX188" s="5"/>
      <c r="HKY188" s="5"/>
      <c r="HKZ188" s="5"/>
      <c r="HLA188" s="5"/>
      <c r="HLB188" s="5"/>
      <c r="HLC188" s="5"/>
      <c r="HLD188" s="5"/>
      <c r="HLE188" s="5"/>
      <c r="HLF188" s="5"/>
      <c r="HLG188" s="5"/>
      <c r="HLH188" s="5"/>
      <c r="HLI188" s="5"/>
      <c r="HLJ188" s="5"/>
      <c r="HLK188" s="5"/>
      <c r="HLL188" s="5"/>
      <c r="HLM188" s="5"/>
      <c r="HLN188" s="5"/>
      <c r="HLO188" s="5"/>
      <c r="HLP188" s="5"/>
      <c r="HLQ188" s="5"/>
      <c r="HLR188" s="5"/>
      <c r="HLS188" s="5"/>
      <c r="HLT188" s="5"/>
      <c r="HLU188" s="5"/>
      <c r="HLV188" s="5"/>
      <c r="HLW188" s="5"/>
      <c r="HLX188" s="5"/>
      <c r="HLY188" s="5"/>
      <c r="HLZ188" s="5"/>
      <c r="HMA188" s="5"/>
      <c r="HMB188" s="5"/>
      <c r="HMC188" s="5"/>
      <c r="HMD188" s="5"/>
      <c r="HME188" s="5"/>
      <c r="HMF188" s="5"/>
      <c r="HMG188" s="5"/>
      <c r="HMH188" s="5"/>
      <c r="HMI188" s="5"/>
      <c r="HMJ188" s="5"/>
      <c r="HMK188" s="5"/>
      <c r="HML188" s="5"/>
      <c r="HMM188" s="5"/>
      <c r="HMN188" s="5"/>
      <c r="HMO188" s="5"/>
      <c r="HMP188" s="5"/>
      <c r="HMQ188" s="5"/>
      <c r="HMR188" s="5"/>
      <c r="HMS188" s="5"/>
      <c r="HMT188" s="5"/>
      <c r="HMU188" s="5"/>
      <c r="HMV188" s="5"/>
      <c r="HMW188" s="5"/>
      <c r="HMX188" s="5"/>
      <c r="HMY188" s="5"/>
      <c r="HMZ188" s="5"/>
      <c r="HNA188" s="5"/>
      <c r="HNB188" s="5"/>
      <c r="HNC188" s="5"/>
      <c r="HND188" s="5"/>
      <c r="HNE188" s="5"/>
      <c r="HNF188" s="5"/>
      <c r="HNG188" s="5"/>
      <c r="HNH188" s="5"/>
      <c r="HNI188" s="5"/>
      <c r="HNJ188" s="5"/>
      <c r="HNK188" s="5"/>
      <c r="HNL188" s="5"/>
      <c r="HNM188" s="5"/>
      <c r="HNN188" s="5"/>
      <c r="HNO188" s="5"/>
      <c r="HNP188" s="5"/>
      <c r="HNQ188" s="5"/>
      <c r="HNR188" s="5"/>
      <c r="HNS188" s="5"/>
      <c r="HNT188" s="5"/>
      <c r="HNU188" s="5"/>
      <c r="HNV188" s="5"/>
      <c r="HNW188" s="5"/>
      <c r="HNX188" s="5"/>
      <c r="HNY188" s="5"/>
      <c r="HNZ188" s="5"/>
      <c r="HOA188" s="5"/>
      <c r="HOB188" s="5"/>
      <c r="HOC188" s="5"/>
      <c r="HOD188" s="5"/>
      <c r="HOE188" s="5"/>
      <c r="HOF188" s="5"/>
      <c r="HOG188" s="5"/>
      <c r="HOH188" s="5"/>
      <c r="HOI188" s="5"/>
      <c r="HOJ188" s="5"/>
      <c r="HOK188" s="5"/>
      <c r="HOL188" s="5"/>
      <c r="HOM188" s="5"/>
      <c r="HON188" s="5"/>
      <c r="HOO188" s="5"/>
      <c r="HOP188" s="5"/>
      <c r="HOQ188" s="5"/>
      <c r="HOR188" s="5"/>
      <c r="HOS188" s="5"/>
      <c r="HOT188" s="5"/>
      <c r="HOU188" s="5"/>
      <c r="HOV188" s="5"/>
      <c r="HOW188" s="5"/>
      <c r="HOX188" s="5"/>
      <c r="HOY188" s="5"/>
      <c r="HOZ188" s="5"/>
      <c r="HPA188" s="5"/>
      <c r="HPB188" s="5"/>
      <c r="HPC188" s="5"/>
      <c r="HPD188" s="5"/>
      <c r="HPE188" s="5"/>
      <c r="HPF188" s="5"/>
      <c r="HPG188" s="5"/>
      <c r="HPH188" s="5"/>
      <c r="HPI188" s="5"/>
      <c r="HPJ188" s="5"/>
      <c r="HPK188" s="5"/>
      <c r="HPL188" s="5"/>
      <c r="HPM188" s="5"/>
      <c r="HPN188" s="5"/>
      <c r="HPO188" s="5"/>
      <c r="HPP188" s="5"/>
      <c r="HPQ188" s="5"/>
      <c r="HPR188" s="5"/>
      <c r="HPS188" s="5"/>
      <c r="HPT188" s="5"/>
      <c r="HPU188" s="5"/>
      <c r="HPV188" s="5"/>
      <c r="HPW188" s="5"/>
      <c r="HPX188" s="5"/>
      <c r="HPY188" s="5"/>
      <c r="HPZ188" s="5"/>
      <c r="HQA188" s="5"/>
      <c r="HQB188" s="5"/>
      <c r="HQC188" s="5"/>
      <c r="HQD188" s="5"/>
      <c r="HQE188" s="5"/>
      <c r="HQF188" s="5"/>
      <c r="HQG188" s="5"/>
      <c r="HQH188" s="5"/>
      <c r="HQI188" s="5"/>
      <c r="HQJ188" s="5"/>
      <c r="HQK188" s="5"/>
      <c r="HQL188" s="5"/>
      <c r="HQM188" s="5"/>
      <c r="HQN188" s="5"/>
      <c r="HQO188" s="5"/>
      <c r="HQP188" s="5"/>
      <c r="HQQ188" s="5"/>
      <c r="HQR188" s="5"/>
      <c r="HQS188" s="5"/>
      <c r="HQT188" s="5"/>
      <c r="HQU188" s="5"/>
      <c r="HQV188" s="5"/>
      <c r="HQW188" s="5"/>
      <c r="HQX188" s="5"/>
      <c r="HQY188" s="5"/>
      <c r="HQZ188" s="5"/>
      <c r="HRA188" s="5"/>
      <c r="HRB188" s="5"/>
      <c r="HRC188" s="5"/>
      <c r="HRD188" s="5"/>
      <c r="HRE188" s="5"/>
      <c r="HRF188" s="5"/>
      <c r="HRG188" s="5"/>
      <c r="HRH188" s="5"/>
      <c r="HRI188" s="5"/>
      <c r="HRJ188" s="5"/>
      <c r="HRK188" s="5"/>
      <c r="HRL188" s="5"/>
      <c r="HRM188" s="5"/>
      <c r="HRN188" s="5"/>
      <c r="HRO188" s="5"/>
      <c r="HRP188" s="5"/>
      <c r="HRQ188" s="5"/>
      <c r="HRR188" s="5"/>
      <c r="HRS188" s="5"/>
      <c r="HRT188" s="5"/>
      <c r="HRU188" s="5"/>
      <c r="HRV188" s="5"/>
      <c r="HRW188" s="5"/>
      <c r="HRX188" s="5"/>
      <c r="HRY188" s="5"/>
      <c r="HRZ188" s="5"/>
      <c r="HSA188" s="5"/>
      <c r="HSB188" s="5"/>
      <c r="HSC188" s="5"/>
      <c r="HSD188" s="5"/>
      <c r="HSE188" s="5"/>
      <c r="HSF188" s="5"/>
      <c r="HSG188" s="5"/>
      <c r="HSH188" s="5"/>
      <c r="HSI188" s="5"/>
      <c r="HSJ188" s="5"/>
      <c r="HSK188" s="5"/>
      <c r="HSL188" s="5"/>
      <c r="HSM188" s="5"/>
      <c r="HSN188" s="5"/>
      <c r="HSO188" s="5"/>
      <c r="HSP188" s="5"/>
      <c r="HSQ188" s="5"/>
      <c r="HSR188" s="5"/>
      <c r="HSS188" s="5"/>
      <c r="HST188" s="5"/>
      <c r="HSU188" s="5"/>
      <c r="HSV188" s="5"/>
      <c r="HSW188" s="5"/>
      <c r="HSX188" s="5"/>
      <c r="HSY188" s="5"/>
      <c r="HSZ188" s="5"/>
      <c r="HTA188" s="5"/>
      <c r="HTB188" s="5"/>
      <c r="HTC188" s="5"/>
      <c r="HTD188" s="5"/>
      <c r="HTE188" s="5"/>
      <c r="HTF188" s="5"/>
      <c r="HTG188" s="5"/>
      <c r="HTH188" s="5"/>
      <c r="HTI188" s="5"/>
      <c r="HTJ188" s="5"/>
      <c r="HTK188" s="5"/>
      <c r="HTL188" s="5"/>
      <c r="HTM188" s="5"/>
      <c r="HTN188" s="5"/>
      <c r="HTO188" s="5"/>
      <c r="HTP188" s="5"/>
      <c r="HTQ188" s="5"/>
      <c r="HTR188" s="5"/>
      <c r="HTS188" s="5"/>
      <c r="HTT188" s="5"/>
      <c r="HTU188" s="5"/>
      <c r="HTV188" s="5"/>
      <c r="HTW188" s="5"/>
      <c r="HTX188" s="5"/>
      <c r="HTY188" s="5"/>
      <c r="HTZ188" s="5"/>
      <c r="HUA188" s="5"/>
      <c r="HUB188" s="5"/>
      <c r="HUC188" s="5"/>
      <c r="HUD188" s="5"/>
      <c r="HUE188" s="5"/>
      <c r="HUF188" s="5"/>
      <c r="HUG188" s="5"/>
      <c r="HUH188" s="5"/>
      <c r="HUI188" s="5"/>
      <c r="HUJ188" s="5"/>
      <c r="HUK188" s="5"/>
      <c r="HUL188" s="5"/>
      <c r="HUM188" s="5"/>
      <c r="HUN188" s="5"/>
      <c r="HUO188" s="5"/>
      <c r="HUP188" s="5"/>
      <c r="HUQ188" s="5"/>
      <c r="HUR188" s="5"/>
      <c r="HUS188" s="5"/>
      <c r="HUT188" s="5"/>
      <c r="HUU188" s="5"/>
      <c r="HUV188" s="5"/>
      <c r="HUW188" s="5"/>
      <c r="HUX188" s="5"/>
      <c r="HUY188" s="5"/>
      <c r="HUZ188" s="5"/>
      <c r="HVA188" s="5"/>
      <c r="HVB188" s="5"/>
      <c r="HVC188" s="5"/>
      <c r="HVD188" s="5"/>
      <c r="HVE188" s="5"/>
      <c r="HVF188" s="5"/>
      <c r="HVG188" s="5"/>
      <c r="HVH188" s="5"/>
      <c r="HVI188" s="5"/>
      <c r="HVJ188" s="5"/>
      <c r="HVK188" s="5"/>
      <c r="HVL188" s="5"/>
      <c r="HVM188" s="5"/>
      <c r="HVN188" s="5"/>
      <c r="HVO188" s="5"/>
      <c r="HVP188" s="5"/>
      <c r="HVQ188" s="5"/>
      <c r="HVR188" s="5"/>
      <c r="HVS188" s="5"/>
      <c r="HVT188" s="5"/>
      <c r="HVU188" s="5"/>
      <c r="HVV188" s="5"/>
      <c r="HVW188" s="5"/>
      <c r="HVX188" s="5"/>
      <c r="HVY188" s="5"/>
      <c r="HVZ188" s="5"/>
      <c r="HWA188" s="5"/>
      <c r="HWB188" s="5"/>
      <c r="HWC188" s="5"/>
      <c r="HWD188" s="5"/>
      <c r="HWE188" s="5"/>
      <c r="HWF188" s="5"/>
      <c r="HWG188" s="5"/>
      <c r="HWH188" s="5"/>
      <c r="HWI188" s="5"/>
      <c r="HWJ188" s="5"/>
      <c r="HWK188" s="5"/>
      <c r="HWL188" s="5"/>
      <c r="HWM188" s="5"/>
      <c r="HWN188" s="5"/>
      <c r="HWO188" s="5"/>
      <c r="HWP188" s="5"/>
      <c r="HWQ188" s="5"/>
      <c r="HWR188" s="5"/>
      <c r="HWS188" s="5"/>
      <c r="HWT188" s="5"/>
      <c r="HWU188" s="5"/>
      <c r="HWV188" s="5"/>
      <c r="HWW188" s="5"/>
      <c r="HWX188" s="5"/>
      <c r="HWY188" s="5"/>
      <c r="HWZ188" s="5"/>
      <c r="HXA188" s="5"/>
      <c r="HXB188" s="5"/>
      <c r="HXC188" s="5"/>
      <c r="HXD188" s="5"/>
      <c r="HXE188" s="5"/>
      <c r="HXF188" s="5"/>
      <c r="HXG188" s="5"/>
      <c r="HXH188" s="5"/>
      <c r="HXI188" s="5"/>
      <c r="HXJ188" s="5"/>
      <c r="HXK188" s="5"/>
      <c r="HXL188" s="5"/>
      <c r="HXM188" s="5"/>
      <c r="HXN188" s="5"/>
      <c r="HXO188" s="5"/>
      <c r="HXP188" s="5"/>
      <c r="HXQ188" s="5"/>
      <c r="HXR188" s="5"/>
      <c r="HXS188" s="5"/>
      <c r="HXT188" s="5"/>
      <c r="HXU188" s="5"/>
      <c r="HXV188" s="5"/>
      <c r="HXW188" s="5"/>
      <c r="HXX188" s="5"/>
      <c r="HXY188" s="5"/>
      <c r="HXZ188" s="5"/>
      <c r="HYA188" s="5"/>
      <c r="HYB188" s="5"/>
      <c r="HYC188" s="5"/>
      <c r="HYD188" s="5"/>
      <c r="HYE188" s="5"/>
      <c r="HYF188" s="5"/>
      <c r="HYG188" s="5"/>
      <c r="HYH188" s="5"/>
      <c r="HYI188" s="5"/>
      <c r="HYJ188" s="5"/>
      <c r="HYK188" s="5"/>
      <c r="HYL188" s="5"/>
      <c r="HYM188" s="5"/>
      <c r="HYN188" s="5"/>
      <c r="HYO188" s="5"/>
      <c r="HYP188" s="5"/>
      <c r="HYQ188" s="5"/>
      <c r="HYR188" s="5"/>
      <c r="HYS188" s="5"/>
      <c r="HYT188" s="5"/>
      <c r="HYU188" s="5"/>
      <c r="HYV188" s="5"/>
      <c r="HYW188" s="5"/>
      <c r="HYX188" s="5"/>
      <c r="HYY188" s="5"/>
      <c r="HYZ188" s="5"/>
      <c r="HZA188" s="5"/>
      <c r="HZB188" s="5"/>
      <c r="HZC188" s="5"/>
      <c r="HZD188" s="5"/>
      <c r="HZE188" s="5"/>
      <c r="HZF188" s="5"/>
      <c r="HZG188" s="5"/>
      <c r="HZH188" s="5"/>
      <c r="HZI188" s="5"/>
      <c r="HZJ188" s="5"/>
      <c r="HZK188" s="5"/>
      <c r="HZL188" s="5"/>
      <c r="HZM188" s="5"/>
      <c r="HZN188" s="5"/>
      <c r="HZO188" s="5"/>
      <c r="HZP188" s="5"/>
      <c r="HZQ188" s="5"/>
      <c r="HZR188" s="5"/>
      <c r="HZS188" s="5"/>
      <c r="HZT188" s="5"/>
      <c r="HZU188" s="5"/>
      <c r="HZV188" s="5"/>
      <c r="HZW188" s="5"/>
      <c r="HZX188" s="5"/>
      <c r="HZY188" s="5"/>
      <c r="HZZ188" s="5"/>
      <c r="IAA188" s="5"/>
      <c r="IAB188" s="5"/>
      <c r="IAC188" s="5"/>
      <c r="IAD188" s="5"/>
      <c r="IAE188" s="5"/>
      <c r="IAF188" s="5"/>
      <c r="IAG188" s="5"/>
      <c r="IAH188" s="5"/>
      <c r="IAI188" s="5"/>
      <c r="IAJ188" s="5"/>
      <c r="IAK188" s="5"/>
      <c r="IAL188" s="5"/>
      <c r="IAM188" s="5"/>
      <c r="IAN188" s="5"/>
      <c r="IAO188" s="5"/>
      <c r="IAP188" s="5"/>
      <c r="IAQ188" s="5"/>
      <c r="IAR188" s="5"/>
      <c r="IAS188" s="5"/>
      <c r="IAT188" s="5"/>
      <c r="IAU188" s="5"/>
      <c r="IAV188" s="5"/>
      <c r="IAW188" s="5"/>
      <c r="IAX188" s="5"/>
      <c r="IAY188" s="5"/>
      <c r="IAZ188" s="5"/>
      <c r="IBA188" s="5"/>
      <c r="IBB188" s="5"/>
      <c r="IBC188" s="5"/>
      <c r="IBD188" s="5"/>
      <c r="IBE188" s="5"/>
      <c r="IBF188" s="5"/>
      <c r="IBG188" s="5"/>
      <c r="IBH188" s="5"/>
      <c r="IBI188" s="5"/>
      <c r="IBJ188" s="5"/>
      <c r="IBK188" s="5"/>
      <c r="IBL188" s="5"/>
      <c r="IBM188" s="5"/>
      <c r="IBN188" s="5"/>
      <c r="IBO188" s="5"/>
      <c r="IBP188" s="5"/>
      <c r="IBQ188" s="5"/>
      <c r="IBR188" s="5"/>
      <c r="IBS188" s="5"/>
      <c r="IBT188" s="5"/>
      <c r="IBU188" s="5"/>
      <c r="IBV188" s="5"/>
      <c r="IBW188" s="5"/>
      <c r="IBX188" s="5"/>
      <c r="IBY188" s="5"/>
      <c r="IBZ188" s="5"/>
      <c r="ICA188" s="5"/>
      <c r="ICB188" s="5"/>
      <c r="ICC188" s="5"/>
      <c r="ICD188" s="5"/>
      <c r="ICE188" s="5"/>
      <c r="ICF188" s="5"/>
      <c r="ICG188" s="5"/>
      <c r="ICH188" s="5"/>
      <c r="ICI188" s="5"/>
      <c r="ICJ188" s="5"/>
      <c r="ICK188" s="5"/>
      <c r="ICL188" s="5"/>
      <c r="ICM188" s="5"/>
      <c r="ICN188" s="5"/>
      <c r="ICO188" s="5"/>
      <c r="ICP188" s="5"/>
      <c r="ICQ188" s="5"/>
      <c r="ICR188" s="5"/>
      <c r="ICS188" s="5"/>
      <c r="ICT188" s="5"/>
      <c r="ICU188" s="5"/>
      <c r="ICV188" s="5"/>
      <c r="ICW188" s="5"/>
      <c r="ICX188" s="5"/>
      <c r="ICY188" s="5"/>
      <c r="ICZ188" s="5"/>
      <c r="IDA188" s="5"/>
      <c r="IDB188" s="5"/>
      <c r="IDC188" s="5"/>
      <c r="IDD188" s="5"/>
      <c r="IDE188" s="5"/>
      <c r="IDF188" s="5"/>
      <c r="IDG188" s="5"/>
      <c r="IDH188" s="5"/>
      <c r="IDI188" s="5"/>
      <c r="IDJ188" s="5"/>
      <c r="IDK188" s="5"/>
      <c r="IDL188" s="5"/>
      <c r="IDM188" s="5"/>
      <c r="IDN188" s="5"/>
      <c r="IDO188" s="5"/>
      <c r="IDP188" s="5"/>
      <c r="IDQ188" s="5"/>
      <c r="IDR188" s="5"/>
      <c r="IDS188" s="5"/>
      <c r="IDT188" s="5"/>
      <c r="IDU188" s="5"/>
      <c r="IDV188" s="5"/>
      <c r="IDW188" s="5"/>
      <c r="IDX188" s="5"/>
      <c r="IDY188" s="5"/>
      <c r="IDZ188" s="5"/>
      <c r="IEA188" s="5"/>
      <c r="IEB188" s="5"/>
      <c r="IEC188" s="5"/>
      <c r="IED188" s="5"/>
      <c r="IEE188" s="5"/>
      <c r="IEF188" s="5"/>
      <c r="IEG188" s="5"/>
      <c r="IEH188" s="5"/>
      <c r="IEI188" s="5"/>
      <c r="IEJ188" s="5"/>
      <c r="IEK188" s="5"/>
      <c r="IEL188" s="5"/>
      <c r="IEM188" s="5"/>
      <c r="IEN188" s="5"/>
      <c r="IEO188" s="5"/>
      <c r="IEP188" s="5"/>
      <c r="IEQ188" s="5"/>
      <c r="IER188" s="5"/>
      <c r="IES188" s="5"/>
      <c r="IET188" s="5"/>
      <c r="IEU188" s="5"/>
      <c r="IEV188" s="5"/>
      <c r="IEW188" s="5"/>
      <c r="IEX188" s="5"/>
      <c r="IEY188" s="5"/>
      <c r="IEZ188" s="5"/>
      <c r="IFA188" s="5"/>
      <c r="IFB188" s="5"/>
      <c r="IFC188" s="5"/>
      <c r="IFD188" s="5"/>
      <c r="IFE188" s="5"/>
      <c r="IFF188" s="5"/>
      <c r="IFG188" s="5"/>
      <c r="IFH188" s="5"/>
      <c r="IFI188" s="5"/>
      <c r="IFJ188" s="5"/>
      <c r="IFK188" s="5"/>
      <c r="IFL188" s="5"/>
      <c r="IFM188" s="5"/>
      <c r="IFN188" s="5"/>
      <c r="IFO188" s="5"/>
      <c r="IFP188" s="5"/>
      <c r="IFQ188" s="5"/>
      <c r="IFR188" s="5"/>
      <c r="IFS188" s="5"/>
      <c r="IFT188" s="5"/>
      <c r="IFU188" s="5"/>
      <c r="IFV188" s="5"/>
      <c r="IFW188" s="5"/>
      <c r="IFX188" s="5"/>
      <c r="IFY188" s="5"/>
      <c r="IFZ188" s="5"/>
      <c r="IGA188" s="5"/>
      <c r="IGB188" s="5"/>
      <c r="IGC188" s="5"/>
      <c r="IGD188" s="5"/>
      <c r="IGE188" s="5"/>
      <c r="IGF188" s="5"/>
      <c r="IGG188" s="5"/>
      <c r="IGH188" s="5"/>
      <c r="IGI188" s="5"/>
      <c r="IGJ188" s="5"/>
      <c r="IGK188" s="5"/>
      <c r="IGL188" s="5"/>
      <c r="IGM188" s="5"/>
      <c r="IGN188" s="5"/>
      <c r="IGO188" s="5"/>
      <c r="IGP188" s="5"/>
      <c r="IGQ188" s="5"/>
      <c r="IGR188" s="5"/>
      <c r="IGS188" s="5"/>
      <c r="IGT188" s="5"/>
      <c r="IGU188" s="5"/>
      <c r="IGV188" s="5"/>
      <c r="IGW188" s="5"/>
      <c r="IGX188" s="5"/>
      <c r="IGY188" s="5"/>
      <c r="IGZ188" s="5"/>
      <c r="IHA188" s="5"/>
      <c r="IHB188" s="5"/>
      <c r="IHC188" s="5"/>
      <c r="IHD188" s="5"/>
      <c r="IHE188" s="5"/>
      <c r="IHF188" s="5"/>
      <c r="IHG188" s="5"/>
      <c r="IHH188" s="5"/>
      <c r="IHI188" s="5"/>
      <c r="IHJ188" s="5"/>
      <c r="IHK188" s="5"/>
      <c r="IHL188" s="5"/>
      <c r="IHM188" s="5"/>
      <c r="IHN188" s="5"/>
      <c r="IHO188" s="5"/>
      <c r="IHP188" s="5"/>
      <c r="IHQ188" s="5"/>
      <c r="IHR188" s="5"/>
      <c r="IHS188" s="5"/>
      <c r="IHT188" s="5"/>
      <c r="IHU188" s="5"/>
      <c r="IHV188" s="5"/>
      <c r="IHW188" s="5"/>
      <c r="IHX188" s="5"/>
      <c r="IHY188" s="5"/>
      <c r="IHZ188" s="5"/>
      <c r="IIA188" s="5"/>
      <c r="IIB188" s="5"/>
      <c r="IIC188" s="5"/>
      <c r="IID188" s="5"/>
      <c r="IIE188" s="5"/>
      <c r="IIF188" s="5"/>
      <c r="IIG188" s="5"/>
      <c r="IIH188" s="5"/>
      <c r="III188" s="5"/>
      <c r="IIJ188" s="5"/>
      <c r="IIK188" s="5"/>
      <c r="IIL188" s="5"/>
      <c r="IIM188" s="5"/>
      <c r="IIN188" s="5"/>
      <c r="IIO188" s="5"/>
      <c r="IIP188" s="5"/>
      <c r="IIQ188" s="5"/>
      <c r="IIR188" s="5"/>
      <c r="IIS188" s="5"/>
      <c r="IIT188" s="5"/>
      <c r="IIU188" s="5"/>
      <c r="IIV188" s="5"/>
      <c r="IIW188" s="5"/>
      <c r="IIX188" s="5"/>
      <c r="IIY188" s="5"/>
      <c r="IIZ188" s="5"/>
      <c r="IJA188" s="5"/>
      <c r="IJB188" s="5"/>
      <c r="IJC188" s="5"/>
      <c r="IJD188" s="5"/>
      <c r="IJE188" s="5"/>
      <c r="IJF188" s="5"/>
      <c r="IJG188" s="5"/>
      <c r="IJH188" s="5"/>
      <c r="IJI188" s="5"/>
      <c r="IJJ188" s="5"/>
      <c r="IJK188" s="5"/>
      <c r="IJL188" s="5"/>
      <c r="IJM188" s="5"/>
      <c r="IJN188" s="5"/>
      <c r="IJO188" s="5"/>
      <c r="IJP188" s="5"/>
      <c r="IJQ188" s="5"/>
      <c r="IJR188" s="5"/>
      <c r="IJS188" s="5"/>
      <c r="IJT188" s="5"/>
      <c r="IJU188" s="5"/>
      <c r="IJV188" s="5"/>
      <c r="IJW188" s="5"/>
      <c r="IJX188" s="5"/>
      <c r="IJY188" s="5"/>
      <c r="IJZ188" s="5"/>
      <c r="IKA188" s="5"/>
      <c r="IKB188" s="5"/>
      <c r="IKC188" s="5"/>
      <c r="IKD188" s="5"/>
      <c r="IKE188" s="5"/>
      <c r="IKF188" s="5"/>
      <c r="IKG188" s="5"/>
      <c r="IKH188" s="5"/>
      <c r="IKI188" s="5"/>
      <c r="IKJ188" s="5"/>
      <c r="IKK188" s="5"/>
      <c r="IKL188" s="5"/>
      <c r="IKM188" s="5"/>
      <c r="IKN188" s="5"/>
      <c r="IKO188" s="5"/>
      <c r="IKP188" s="5"/>
      <c r="IKQ188" s="5"/>
      <c r="IKR188" s="5"/>
      <c r="IKS188" s="5"/>
      <c r="IKT188" s="5"/>
      <c r="IKU188" s="5"/>
      <c r="IKV188" s="5"/>
      <c r="IKW188" s="5"/>
      <c r="IKX188" s="5"/>
      <c r="IKY188" s="5"/>
      <c r="IKZ188" s="5"/>
      <c r="ILA188" s="5"/>
      <c r="ILB188" s="5"/>
      <c r="ILC188" s="5"/>
      <c r="ILD188" s="5"/>
      <c r="ILE188" s="5"/>
      <c r="ILF188" s="5"/>
      <c r="ILG188" s="5"/>
      <c r="ILH188" s="5"/>
      <c r="ILI188" s="5"/>
      <c r="ILJ188" s="5"/>
      <c r="ILK188" s="5"/>
      <c r="ILL188" s="5"/>
      <c r="ILM188" s="5"/>
      <c r="ILN188" s="5"/>
      <c r="ILO188" s="5"/>
      <c r="ILP188" s="5"/>
      <c r="ILQ188" s="5"/>
      <c r="ILR188" s="5"/>
      <c r="ILS188" s="5"/>
      <c r="ILT188" s="5"/>
      <c r="ILU188" s="5"/>
      <c r="ILV188" s="5"/>
      <c r="ILW188" s="5"/>
      <c r="ILX188" s="5"/>
      <c r="ILY188" s="5"/>
      <c r="ILZ188" s="5"/>
      <c r="IMA188" s="5"/>
      <c r="IMB188" s="5"/>
      <c r="IMC188" s="5"/>
      <c r="IMD188" s="5"/>
      <c r="IME188" s="5"/>
      <c r="IMF188" s="5"/>
      <c r="IMG188" s="5"/>
      <c r="IMH188" s="5"/>
      <c r="IMI188" s="5"/>
      <c r="IMJ188" s="5"/>
      <c r="IMK188" s="5"/>
      <c r="IML188" s="5"/>
      <c r="IMM188" s="5"/>
      <c r="IMN188" s="5"/>
      <c r="IMO188" s="5"/>
      <c r="IMP188" s="5"/>
      <c r="IMQ188" s="5"/>
      <c r="IMR188" s="5"/>
      <c r="IMS188" s="5"/>
      <c r="IMT188" s="5"/>
      <c r="IMU188" s="5"/>
      <c r="IMV188" s="5"/>
      <c r="IMW188" s="5"/>
      <c r="IMX188" s="5"/>
      <c r="IMY188" s="5"/>
      <c r="IMZ188" s="5"/>
      <c r="INA188" s="5"/>
      <c r="INB188" s="5"/>
      <c r="INC188" s="5"/>
      <c r="IND188" s="5"/>
      <c r="INE188" s="5"/>
      <c r="INF188" s="5"/>
      <c r="ING188" s="5"/>
      <c r="INH188" s="5"/>
      <c r="INI188" s="5"/>
      <c r="INJ188" s="5"/>
      <c r="INK188" s="5"/>
      <c r="INL188" s="5"/>
      <c r="INM188" s="5"/>
      <c r="INN188" s="5"/>
      <c r="INO188" s="5"/>
      <c r="INP188" s="5"/>
      <c r="INQ188" s="5"/>
      <c r="INR188" s="5"/>
      <c r="INS188" s="5"/>
      <c r="INT188" s="5"/>
      <c r="INU188" s="5"/>
      <c r="INV188" s="5"/>
      <c r="INW188" s="5"/>
      <c r="INX188" s="5"/>
      <c r="INY188" s="5"/>
      <c r="INZ188" s="5"/>
      <c r="IOA188" s="5"/>
      <c r="IOB188" s="5"/>
      <c r="IOC188" s="5"/>
      <c r="IOD188" s="5"/>
      <c r="IOE188" s="5"/>
      <c r="IOF188" s="5"/>
      <c r="IOG188" s="5"/>
      <c r="IOH188" s="5"/>
      <c r="IOI188" s="5"/>
      <c r="IOJ188" s="5"/>
      <c r="IOK188" s="5"/>
      <c r="IOL188" s="5"/>
      <c r="IOM188" s="5"/>
      <c r="ION188" s="5"/>
      <c r="IOO188" s="5"/>
      <c r="IOP188" s="5"/>
      <c r="IOQ188" s="5"/>
      <c r="IOR188" s="5"/>
      <c r="IOS188" s="5"/>
      <c r="IOT188" s="5"/>
      <c r="IOU188" s="5"/>
      <c r="IOV188" s="5"/>
      <c r="IOW188" s="5"/>
      <c r="IOX188" s="5"/>
      <c r="IOY188" s="5"/>
      <c r="IOZ188" s="5"/>
      <c r="IPA188" s="5"/>
      <c r="IPB188" s="5"/>
      <c r="IPC188" s="5"/>
      <c r="IPD188" s="5"/>
      <c r="IPE188" s="5"/>
      <c r="IPF188" s="5"/>
      <c r="IPG188" s="5"/>
      <c r="IPH188" s="5"/>
      <c r="IPI188" s="5"/>
      <c r="IPJ188" s="5"/>
      <c r="IPK188" s="5"/>
      <c r="IPL188" s="5"/>
      <c r="IPM188" s="5"/>
      <c r="IPN188" s="5"/>
      <c r="IPO188" s="5"/>
      <c r="IPP188" s="5"/>
      <c r="IPQ188" s="5"/>
      <c r="IPR188" s="5"/>
      <c r="IPS188" s="5"/>
      <c r="IPT188" s="5"/>
      <c r="IPU188" s="5"/>
      <c r="IPV188" s="5"/>
      <c r="IPW188" s="5"/>
      <c r="IPX188" s="5"/>
      <c r="IPY188" s="5"/>
      <c r="IPZ188" s="5"/>
      <c r="IQA188" s="5"/>
      <c r="IQB188" s="5"/>
      <c r="IQC188" s="5"/>
      <c r="IQD188" s="5"/>
      <c r="IQE188" s="5"/>
      <c r="IQF188" s="5"/>
      <c r="IQG188" s="5"/>
      <c r="IQH188" s="5"/>
      <c r="IQI188" s="5"/>
      <c r="IQJ188" s="5"/>
      <c r="IQK188" s="5"/>
      <c r="IQL188" s="5"/>
      <c r="IQM188" s="5"/>
      <c r="IQN188" s="5"/>
      <c r="IQO188" s="5"/>
      <c r="IQP188" s="5"/>
      <c r="IQQ188" s="5"/>
      <c r="IQR188" s="5"/>
      <c r="IQS188" s="5"/>
      <c r="IQT188" s="5"/>
      <c r="IQU188" s="5"/>
      <c r="IQV188" s="5"/>
      <c r="IQW188" s="5"/>
      <c r="IQX188" s="5"/>
      <c r="IQY188" s="5"/>
      <c r="IQZ188" s="5"/>
      <c r="IRA188" s="5"/>
      <c r="IRB188" s="5"/>
      <c r="IRC188" s="5"/>
      <c r="IRD188" s="5"/>
      <c r="IRE188" s="5"/>
      <c r="IRF188" s="5"/>
      <c r="IRG188" s="5"/>
      <c r="IRH188" s="5"/>
      <c r="IRI188" s="5"/>
      <c r="IRJ188" s="5"/>
      <c r="IRK188" s="5"/>
      <c r="IRL188" s="5"/>
      <c r="IRM188" s="5"/>
      <c r="IRN188" s="5"/>
      <c r="IRO188" s="5"/>
      <c r="IRP188" s="5"/>
      <c r="IRQ188" s="5"/>
      <c r="IRR188" s="5"/>
      <c r="IRS188" s="5"/>
      <c r="IRT188" s="5"/>
      <c r="IRU188" s="5"/>
      <c r="IRV188" s="5"/>
      <c r="IRW188" s="5"/>
      <c r="IRX188" s="5"/>
      <c r="IRY188" s="5"/>
      <c r="IRZ188" s="5"/>
      <c r="ISA188" s="5"/>
      <c r="ISB188" s="5"/>
      <c r="ISC188" s="5"/>
      <c r="ISD188" s="5"/>
      <c r="ISE188" s="5"/>
      <c r="ISF188" s="5"/>
      <c r="ISG188" s="5"/>
      <c r="ISH188" s="5"/>
      <c r="ISI188" s="5"/>
      <c r="ISJ188" s="5"/>
      <c r="ISK188" s="5"/>
      <c r="ISL188" s="5"/>
      <c r="ISM188" s="5"/>
      <c r="ISN188" s="5"/>
      <c r="ISO188" s="5"/>
      <c r="ISP188" s="5"/>
      <c r="ISQ188" s="5"/>
      <c r="ISR188" s="5"/>
      <c r="ISS188" s="5"/>
      <c r="IST188" s="5"/>
      <c r="ISU188" s="5"/>
      <c r="ISV188" s="5"/>
      <c r="ISW188" s="5"/>
      <c r="ISX188" s="5"/>
      <c r="ISY188" s="5"/>
      <c r="ISZ188" s="5"/>
      <c r="ITA188" s="5"/>
      <c r="ITB188" s="5"/>
      <c r="ITC188" s="5"/>
      <c r="ITD188" s="5"/>
      <c r="ITE188" s="5"/>
      <c r="ITF188" s="5"/>
      <c r="ITG188" s="5"/>
      <c r="ITH188" s="5"/>
      <c r="ITI188" s="5"/>
      <c r="ITJ188" s="5"/>
      <c r="ITK188" s="5"/>
      <c r="ITL188" s="5"/>
      <c r="ITM188" s="5"/>
      <c r="ITN188" s="5"/>
      <c r="ITO188" s="5"/>
      <c r="ITP188" s="5"/>
      <c r="ITQ188" s="5"/>
      <c r="ITR188" s="5"/>
      <c r="ITS188" s="5"/>
      <c r="ITT188" s="5"/>
      <c r="ITU188" s="5"/>
      <c r="ITV188" s="5"/>
      <c r="ITW188" s="5"/>
      <c r="ITX188" s="5"/>
      <c r="ITY188" s="5"/>
      <c r="ITZ188" s="5"/>
      <c r="IUA188" s="5"/>
      <c r="IUB188" s="5"/>
      <c r="IUC188" s="5"/>
      <c r="IUD188" s="5"/>
      <c r="IUE188" s="5"/>
      <c r="IUF188" s="5"/>
      <c r="IUG188" s="5"/>
      <c r="IUH188" s="5"/>
      <c r="IUI188" s="5"/>
      <c r="IUJ188" s="5"/>
      <c r="IUK188" s="5"/>
      <c r="IUL188" s="5"/>
      <c r="IUM188" s="5"/>
      <c r="IUN188" s="5"/>
      <c r="IUO188" s="5"/>
      <c r="IUP188" s="5"/>
      <c r="IUQ188" s="5"/>
      <c r="IUR188" s="5"/>
      <c r="IUS188" s="5"/>
      <c r="IUT188" s="5"/>
      <c r="IUU188" s="5"/>
      <c r="IUV188" s="5"/>
      <c r="IUW188" s="5"/>
      <c r="IUX188" s="5"/>
      <c r="IUY188" s="5"/>
      <c r="IUZ188" s="5"/>
      <c r="IVA188" s="5"/>
      <c r="IVB188" s="5"/>
      <c r="IVC188" s="5"/>
      <c r="IVD188" s="5"/>
      <c r="IVE188" s="5"/>
      <c r="IVF188" s="5"/>
      <c r="IVG188" s="5"/>
      <c r="IVH188" s="5"/>
      <c r="IVI188" s="5"/>
      <c r="IVJ188" s="5"/>
      <c r="IVK188" s="5"/>
      <c r="IVL188" s="5"/>
      <c r="IVM188" s="5"/>
      <c r="IVN188" s="5"/>
      <c r="IVO188" s="5"/>
      <c r="IVP188" s="5"/>
      <c r="IVQ188" s="5"/>
      <c r="IVR188" s="5"/>
      <c r="IVS188" s="5"/>
      <c r="IVT188" s="5"/>
      <c r="IVU188" s="5"/>
      <c r="IVV188" s="5"/>
      <c r="IVW188" s="5"/>
      <c r="IVX188" s="5"/>
      <c r="IVY188" s="5"/>
      <c r="IVZ188" s="5"/>
      <c r="IWA188" s="5"/>
      <c r="IWB188" s="5"/>
      <c r="IWC188" s="5"/>
      <c r="IWD188" s="5"/>
      <c r="IWE188" s="5"/>
      <c r="IWF188" s="5"/>
      <c r="IWG188" s="5"/>
      <c r="IWH188" s="5"/>
      <c r="IWI188" s="5"/>
      <c r="IWJ188" s="5"/>
      <c r="IWK188" s="5"/>
      <c r="IWL188" s="5"/>
      <c r="IWM188" s="5"/>
      <c r="IWN188" s="5"/>
      <c r="IWO188" s="5"/>
      <c r="IWP188" s="5"/>
      <c r="IWQ188" s="5"/>
      <c r="IWR188" s="5"/>
      <c r="IWS188" s="5"/>
      <c r="IWT188" s="5"/>
      <c r="IWU188" s="5"/>
      <c r="IWV188" s="5"/>
      <c r="IWW188" s="5"/>
      <c r="IWX188" s="5"/>
      <c r="IWY188" s="5"/>
      <c r="IWZ188" s="5"/>
      <c r="IXA188" s="5"/>
      <c r="IXB188" s="5"/>
      <c r="IXC188" s="5"/>
      <c r="IXD188" s="5"/>
      <c r="IXE188" s="5"/>
      <c r="IXF188" s="5"/>
      <c r="IXG188" s="5"/>
      <c r="IXH188" s="5"/>
      <c r="IXI188" s="5"/>
      <c r="IXJ188" s="5"/>
      <c r="IXK188" s="5"/>
      <c r="IXL188" s="5"/>
      <c r="IXM188" s="5"/>
      <c r="IXN188" s="5"/>
      <c r="IXO188" s="5"/>
      <c r="IXP188" s="5"/>
      <c r="IXQ188" s="5"/>
      <c r="IXR188" s="5"/>
      <c r="IXS188" s="5"/>
      <c r="IXT188" s="5"/>
      <c r="IXU188" s="5"/>
      <c r="IXV188" s="5"/>
      <c r="IXW188" s="5"/>
      <c r="IXX188" s="5"/>
      <c r="IXY188" s="5"/>
      <c r="IXZ188" s="5"/>
      <c r="IYA188" s="5"/>
      <c r="IYB188" s="5"/>
      <c r="IYC188" s="5"/>
      <c r="IYD188" s="5"/>
      <c r="IYE188" s="5"/>
      <c r="IYF188" s="5"/>
      <c r="IYG188" s="5"/>
      <c r="IYH188" s="5"/>
      <c r="IYI188" s="5"/>
      <c r="IYJ188" s="5"/>
      <c r="IYK188" s="5"/>
      <c r="IYL188" s="5"/>
      <c r="IYM188" s="5"/>
      <c r="IYN188" s="5"/>
      <c r="IYO188" s="5"/>
      <c r="IYP188" s="5"/>
      <c r="IYQ188" s="5"/>
      <c r="IYR188" s="5"/>
      <c r="IYS188" s="5"/>
      <c r="IYT188" s="5"/>
      <c r="IYU188" s="5"/>
      <c r="IYV188" s="5"/>
      <c r="IYW188" s="5"/>
      <c r="IYX188" s="5"/>
      <c r="IYY188" s="5"/>
      <c r="IYZ188" s="5"/>
      <c r="IZA188" s="5"/>
      <c r="IZB188" s="5"/>
      <c r="IZC188" s="5"/>
      <c r="IZD188" s="5"/>
      <c r="IZE188" s="5"/>
      <c r="IZF188" s="5"/>
      <c r="IZG188" s="5"/>
      <c r="IZH188" s="5"/>
      <c r="IZI188" s="5"/>
      <c r="IZJ188" s="5"/>
      <c r="IZK188" s="5"/>
      <c r="IZL188" s="5"/>
      <c r="IZM188" s="5"/>
      <c r="IZN188" s="5"/>
      <c r="IZO188" s="5"/>
      <c r="IZP188" s="5"/>
      <c r="IZQ188" s="5"/>
      <c r="IZR188" s="5"/>
      <c r="IZS188" s="5"/>
      <c r="IZT188" s="5"/>
      <c r="IZU188" s="5"/>
      <c r="IZV188" s="5"/>
      <c r="IZW188" s="5"/>
      <c r="IZX188" s="5"/>
      <c r="IZY188" s="5"/>
      <c r="IZZ188" s="5"/>
      <c r="JAA188" s="5"/>
      <c r="JAB188" s="5"/>
      <c r="JAC188" s="5"/>
      <c r="JAD188" s="5"/>
      <c r="JAE188" s="5"/>
      <c r="JAF188" s="5"/>
      <c r="JAG188" s="5"/>
      <c r="JAH188" s="5"/>
      <c r="JAI188" s="5"/>
      <c r="JAJ188" s="5"/>
      <c r="JAK188" s="5"/>
      <c r="JAL188" s="5"/>
      <c r="JAM188" s="5"/>
      <c r="JAN188" s="5"/>
      <c r="JAO188" s="5"/>
      <c r="JAP188" s="5"/>
      <c r="JAQ188" s="5"/>
      <c r="JAR188" s="5"/>
      <c r="JAS188" s="5"/>
      <c r="JAT188" s="5"/>
      <c r="JAU188" s="5"/>
      <c r="JAV188" s="5"/>
      <c r="JAW188" s="5"/>
      <c r="JAX188" s="5"/>
      <c r="JAY188" s="5"/>
      <c r="JAZ188" s="5"/>
      <c r="JBA188" s="5"/>
      <c r="JBB188" s="5"/>
      <c r="JBC188" s="5"/>
      <c r="JBD188" s="5"/>
      <c r="JBE188" s="5"/>
      <c r="JBF188" s="5"/>
      <c r="JBG188" s="5"/>
      <c r="JBH188" s="5"/>
      <c r="JBI188" s="5"/>
      <c r="JBJ188" s="5"/>
      <c r="JBK188" s="5"/>
      <c r="JBL188" s="5"/>
      <c r="JBM188" s="5"/>
      <c r="JBN188" s="5"/>
      <c r="JBO188" s="5"/>
      <c r="JBP188" s="5"/>
      <c r="JBQ188" s="5"/>
      <c r="JBR188" s="5"/>
      <c r="JBS188" s="5"/>
      <c r="JBT188" s="5"/>
      <c r="JBU188" s="5"/>
      <c r="JBV188" s="5"/>
      <c r="JBW188" s="5"/>
      <c r="JBX188" s="5"/>
      <c r="JBY188" s="5"/>
      <c r="JBZ188" s="5"/>
      <c r="JCA188" s="5"/>
      <c r="JCB188" s="5"/>
      <c r="JCC188" s="5"/>
      <c r="JCD188" s="5"/>
      <c r="JCE188" s="5"/>
      <c r="JCF188" s="5"/>
      <c r="JCG188" s="5"/>
      <c r="JCH188" s="5"/>
      <c r="JCI188" s="5"/>
      <c r="JCJ188" s="5"/>
      <c r="JCK188" s="5"/>
      <c r="JCL188" s="5"/>
      <c r="JCM188" s="5"/>
      <c r="JCN188" s="5"/>
      <c r="JCO188" s="5"/>
      <c r="JCP188" s="5"/>
      <c r="JCQ188" s="5"/>
      <c r="JCR188" s="5"/>
      <c r="JCS188" s="5"/>
      <c r="JCT188" s="5"/>
      <c r="JCU188" s="5"/>
      <c r="JCV188" s="5"/>
      <c r="JCW188" s="5"/>
      <c r="JCX188" s="5"/>
      <c r="JCY188" s="5"/>
      <c r="JCZ188" s="5"/>
      <c r="JDA188" s="5"/>
      <c r="JDB188" s="5"/>
      <c r="JDC188" s="5"/>
      <c r="JDD188" s="5"/>
      <c r="JDE188" s="5"/>
      <c r="JDF188" s="5"/>
      <c r="JDG188" s="5"/>
      <c r="JDH188" s="5"/>
      <c r="JDI188" s="5"/>
      <c r="JDJ188" s="5"/>
      <c r="JDK188" s="5"/>
      <c r="JDL188" s="5"/>
      <c r="JDM188" s="5"/>
      <c r="JDN188" s="5"/>
      <c r="JDO188" s="5"/>
      <c r="JDP188" s="5"/>
      <c r="JDQ188" s="5"/>
      <c r="JDR188" s="5"/>
      <c r="JDS188" s="5"/>
      <c r="JDT188" s="5"/>
      <c r="JDU188" s="5"/>
      <c r="JDV188" s="5"/>
      <c r="JDW188" s="5"/>
      <c r="JDX188" s="5"/>
      <c r="JDY188" s="5"/>
      <c r="JDZ188" s="5"/>
      <c r="JEA188" s="5"/>
      <c r="JEB188" s="5"/>
      <c r="JEC188" s="5"/>
      <c r="JED188" s="5"/>
      <c r="JEE188" s="5"/>
      <c r="JEF188" s="5"/>
      <c r="JEG188" s="5"/>
      <c r="JEH188" s="5"/>
      <c r="JEI188" s="5"/>
      <c r="JEJ188" s="5"/>
      <c r="JEK188" s="5"/>
      <c r="JEL188" s="5"/>
      <c r="JEM188" s="5"/>
      <c r="JEN188" s="5"/>
      <c r="JEO188" s="5"/>
      <c r="JEP188" s="5"/>
      <c r="JEQ188" s="5"/>
      <c r="JER188" s="5"/>
      <c r="JES188" s="5"/>
      <c r="JET188" s="5"/>
      <c r="JEU188" s="5"/>
      <c r="JEV188" s="5"/>
      <c r="JEW188" s="5"/>
      <c r="JEX188" s="5"/>
      <c r="JEY188" s="5"/>
      <c r="JEZ188" s="5"/>
      <c r="JFA188" s="5"/>
      <c r="JFB188" s="5"/>
      <c r="JFC188" s="5"/>
      <c r="JFD188" s="5"/>
      <c r="JFE188" s="5"/>
      <c r="JFF188" s="5"/>
      <c r="JFG188" s="5"/>
      <c r="JFH188" s="5"/>
      <c r="JFI188" s="5"/>
      <c r="JFJ188" s="5"/>
      <c r="JFK188" s="5"/>
      <c r="JFL188" s="5"/>
      <c r="JFM188" s="5"/>
      <c r="JFN188" s="5"/>
      <c r="JFO188" s="5"/>
      <c r="JFP188" s="5"/>
      <c r="JFQ188" s="5"/>
      <c r="JFR188" s="5"/>
      <c r="JFS188" s="5"/>
      <c r="JFT188" s="5"/>
      <c r="JFU188" s="5"/>
      <c r="JFV188" s="5"/>
      <c r="JFW188" s="5"/>
      <c r="JFX188" s="5"/>
      <c r="JFY188" s="5"/>
      <c r="JFZ188" s="5"/>
      <c r="JGA188" s="5"/>
      <c r="JGB188" s="5"/>
      <c r="JGC188" s="5"/>
      <c r="JGD188" s="5"/>
      <c r="JGE188" s="5"/>
      <c r="JGF188" s="5"/>
      <c r="JGG188" s="5"/>
      <c r="JGH188" s="5"/>
      <c r="JGI188" s="5"/>
      <c r="JGJ188" s="5"/>
      <c r="JGK188" s="5"/>
      <c r="JGL188" s="5"/>
      <c r="JGM188" s="5"/>
      <c r="JGN188" s="5"/>
      <c r="JGO188" s="5"/>
      <c r="JGP188" s="5"/>
      <c r="JGQ188" s="5"/>
      <c r="JGR188" s="5"/>
      <c r="JGS188" s="5"/>
      <c r="JGT188" s="5"/>
      <c r="JGU188" s="5"/>
      <c r="JGV188" s="5"/>
      <c r="JGW188" s="5"/>
      <c r="JGX188" s="5"/>
      <c r="JGY188" s="5"/>
      <c r="JGZ188" s="5"/>
      <c r="JHA188" s="5"/>
      <c r="JHB188" s="5"/>
      <c r="JHC188" s="5"/>
      <c r="JHD188" s="5"/>
      <c r="JHE188" s="5"/>
      <c r="JHF188" s="5"/>
      <c r="JHG188" s="5"/>
      <c r="JHH188" s="5"/>
      <c r="JHI188" s="5"/>
      <c r="JHJ188" s="5"/>
      <c r="JHK188" s="5"/>
      <c r="JHL188" s="5"/>
      <c r="JHM188" s="5"/>
      <c r="JHN188" s="5"/>
      <c r="JHO188" s="5"/>
      <c r="JHP188" s="5"/>
      <c r="JHQ188" s="5"/>
      <c r="JHR188" s="5"/>
      <c r="JHS188" s="5"/>
      <c r="JHT188" s="5"/>
      <c r="JHU188" s="5"/>
      <c r="JHV188" s="5"/>
      <c r="JHW188" s="5"/>
      <c r="JHX188" s="5"/>
      <c r="JHY188" s="5"/>
      <c r="JHZ188" s="5"/>
      <c r="JIA188" s="5"/>
      <c r="JIB188" s="5"/>
      <c r="JIC188" s="5"/>
      <c r="JID188" s="5"/>
      <c r="JIE188" s="5"/>
      <c r="JIF188" s="5"/>
      <c r="JIG188" s="5"/>
      <c r="JIH188" s="5"/>
      <c r="JII188" s="5"/>
      <c r="JIJ188" s="5"/>
      <c r="JIK188" s="5"/>
      <c r="JIL188" s="5"/>
      <c r="JIM188" s="5"/>
      <c r="JIN188" s="5"/>
      <c r="JIO188" s="5"/>
      <c r="JIP188" s="5"/>
      <c r="JIQ188" s="5"/>
      <c r="JIR188" s="5"/>
      <c r="JIS188" s="5"/>
      <c r="JIT188" s="5"/>
      <c r="JIU188" s="5"/>
      <c r="JIV188" s="5"/>
      <c r="JIW188" s="5"/>
      <c r="JIX188" s="5"/>
      <c r="JIY188" s="5"/>
      <c r="JIZ188" s="5"/>
      <c r="JJA188" s="5"/>
      <c r="JJB188" s="5"/>
      <c r="JJC188" s="5"/>
      <c r="JJD188" s="5"/>
      <c r="JJE188" s="5"/>
      <c r="JJF188" s="5"/>
      <c r="JJG188" s="5"/>
      <c r="JJH188" s="5"/>
      <c r="JJI188" s="5"/>
      <c r="JJJ188" s="5"/>
      <c r="JJK188" s="5"/>
      <c r="JJL188" s="5"/>
      <c r="JJM188" s="5"/>
      <c r="JJN188" s="5"/>
      <c r="JJO188" s="5"/>
      <c r="JJP188" s="5"/>
      <c r="JJQ188" s="5"/>
      <c r="JJR188" s="5"/>
      <c r="JJS188" s="5"/>
      <c r="JJT188" s="5"/>
      <c r="JJU188" s="5"/>
      <c r="JJV188" s="5"/>
      <c r="JJW188" s="5"/>
      <c r="JJX188" s="5"/>
      <c r="JJY188" s="5"/>
      <c r="JJZ188" s="5"/>
      <c r="JKA188" s="5"/>
      <c r="JKB188" s="5"/>
      <c r="JKC188" s="5"/>
      <c r="JKD188" s="5"/>
      <c r="JKE188" s="5"/>
      <c r="JKF188" s="5"/>
      <c r="JKG188" s="5"/>
      <c r="JKH188" s="5"/>
      <c r="JKI188" s="5"/>
      <c r="JKJ188" s="5"/>
      <c r="JKK188" s="5"/>
      <c r="JKL188" s="5"/>
      <c r="JKM188" s="5"/>
      <c r="JKN188" s="5"/>
      <c r="JKO188" s="5"/>
      <c r="JKP188" s="5"/>
      <c r="JKQ188" s="5"/>
      <c r="JKR188" s="5"/>
      <c r="JKS188" s="5"/>
      <c r="JKT188" s="5"/>
      <c r="JKU188" s="5"/>
      <c r="JKV188" s="5"/>
      <c r="JKW188" s="5"/>
      <c r="JKX188" s="5"/>
      <c r="JKY188" s="5"/>
      <c r="JKZ188" s="5"/>
      <c r="JLA188" s="5"/>
      <c r="JLB188" s="5"/>
      <c r="JLC188" s="5"/>
      <c r="JLD188" s="5"/>
      <c r="JLE188" s="5"/>
      <c r="JLF188" s="5"/>
      <c r="JLG188" s="5"/>
      <c r="JLH188" s="5"/>
      <c r="JLI188" s="5"/>
      <c r="JLJ188" s="5"/>
      <c r="JLK188" s="5"/>
      <c r="JLL188" s="5"/>
      <c r="JLM188" s="5"/>
      <c r="JLN188" s="5"/>
      <c r="JLO188" s="5"/>
      <c r="JLP188" s="5"/>
      <c r="JLQ188" s="5"/>
      <c r="JLR188" s="5"/>
      <c r="JLS188" s="5"/>
      <c r="JLT188" s="5"/>
      <c r="JLU188" s="5"/>
      <c r="JLV188" s="5"/>
      <c r="JLW188" s="5"/>
      <c r="JLX188" s="5"/>
      <c r="JLY188" s="5"/>
      <c r="JLZ188" s="5"/>
      <c r="JMA188" s="5"/>
      <c r="JMB188" s="5"/>
      <c r="JMC188" s="5"/>
      <c r="JMD188" s="5"/>
      <c r="JME188" s="5"/>
      <c r="JMF188" s="5"/>
      <c r="JMG188" s="5"/>
      <c r="JMH188" s="5"/>
      <c r="JMI188" s="5"/>
      <c r="JMJ188" s="5"/>
      <c r="JMK188" s="5"/>
      <c r="JML188" s="5"/>
      <c r="JMM188" s="5"/>
      <c r="JMN188" s="5"/>
      <c r="JMO188" s="5"/>
      <c r="JMP188" s="5"/>
      <c r="JMQ188" s="5"/>
      <c r="JMR188" s="5"/>
      <c r="JMS188" s="5"/>
      <c r="JMT188" s="5"/>
      <c r="JMU188" s="5"/>
      <c r="JMV188" s="5"/>
      <c r="JMW188" s="5"/>
      <c r="JMX188" s="5"/>
      <c r="JMY188" s="5"/>
      <c r="JMZ188" s="5"/>
      <c r="JNA188" s="5"/>
      <c r="JNB188" s="5"/>
      <c r="JNC188" s="5"/>
      <c r="JND188" s="5"/>
      <c r="JNE188" s="5"/>
      <c r="JNF188" s="5"/>
      <c r="JNG188" s="5"/>
      <c r="JNH188" s="5"/>
      <c r="JNI188" s="5"/>
      <c r="JNJ188" s="5"/>
      <c r="JNK188" s="5"/>
      <c r="JNL188" s="5"/>
      <c r="JNM188" s="5"/>
      <c r="JNN188" s="5"/>
      <c r="JNO188" s="5"/>
      <c r="JNP188" s="5"/>
      <c r="JNQ188" s="5"/>
      <c r="JNR188" s="5"/>
      <c r="JNS188" s="5"/>
      <c r="JNT188" s="5"/>
      <c r="JNU188" s="5"/>
      <c r="JNV188" s="5"/>
      <c r="JNW188" s="5"/>
      <c r="JNX188" s="5"/>
      <c r="JNY188" s="5"/>
      <c r="JNZ188" s="5"/>
      <c r="JOA188" s="5"/>
      <c r="JOB188" s="5"/>
      <c r="JOC188" s="5"/>
      <c r="JOD188" s="5"/>
      <c r="JOE188" s="5"/>
      <c r="JOF188" s="5"/>
      <c r="JOG188" s="5"/>
      <c r="JOH188" s="5"/>
      <c r="JOI188" s="5"/>
      <c r="JOJ188" s="5"/>
      <c r="JOK188" s="5"/>
      <c r="JOL188" s="5"/>
      <c r="JOM188" s="5"/>
      <c r="JON188" s="5"/>
      <c r="JOO188" s="5"/>
      <c r="JOP188" s="5"/>
      <c r="JOQ188" s="5"/>
      <c r="JOR188" s="5"/>
      <c r="JOS188" s="5"/>
      <c r="JOT188" s="5"/>
      <c r="JOU188" s="5"/>
      <c r="JOV188" s="5"/>
      <c r="JOW188" s="5"/>
      <c r="JOX188" s="5"/>
      <c r="JOY188" s="5"/>
      <c r="JOZ188" s="5"/>
      <c r="JPA188" s="5"/>
      <c r="JPB188" s="5"/>
      <c r="JPC188" s="5"/>
      <c r="JPD188" s="5"/>
      <c r="JPE188" s="5"/>
      <c r="JPF188" s="5"/>
      <c r="JPG188" s="5"/>
      <c r="JPH188" s="5"/>
      <c r="JPI188" s="5"/>
      <c r="JPJ188" s="5"/>
      <c r="JPK188" s="5"/>
      <c r="JPL188" s="5"/>
      <c r="JPM188" s="5"/>
      <c r="JPN188" s="5"/>
      <c r="JPO188" s="5"/>
      <c r="JPP188" s="5"/>
      <c r="JPQ188" s="5"/>
      <c r="JPR188" s="5"/>
      <c r="JPS188" s="5"/>
      <c r="JPT188" s="5"/>
      <c r="JPU188" s="5"/>
      <c r="JPV188" s="5"/>
      <c r="JPW188" s="5"/>
      <c r="JPX188" s="5"/>
      <c r="JPY188" s="5"/>
      <c r="JPZ188" s="5"/>
      <c r="JQA188" s="5"/>
      <c r="JQB188" s="5"/>
      <c r="JQC188" s="5"/>
      <c r="JQD188" s="5"/>
      <c r="JQE188" s="5"/>
      <c r="JQF188" s="5"/>
      <c r="JQG188" s="5"/>
      <c r="JQH188" s="5"/>
      <c r="JQI188" s="5"/>
      <c r="JQJ188" s="5"/>
      <c r="JQK188" s="5"/>
      <c r="JQL188" s="5"/>
      <c r="JQM188" s="5"/>
      <c r="JQN188" s="5"/>
      <c r="JQO188" s="5"/>
      <c r="JQP188" s="5"/>
      <c r="JQQ188" s="5"/>
      <c r="JQR188" s="5"/>
      <c r="JQS188" s="5"/>
      <c r="JQT188" s="5"/>
      <c r="JQU188" s="5"/>
      <c r="JQV188" s="5"/>
      <c r="JQW188" s="5"/>
      <c r="JQX188" s="5"/>
      <c r="JQY188" s="5"/>
      <c r="JQZ188" s="5"/>
      <c r="JRA188" s="5"/>
      <c r="JRB188" s="5"/>
      <c r="JRC188" s="5"/>
      <c r="JRD188" s="5"/>
      <c r="JRE188" s="5"/>
      <c r="JRF188" s="5"/>
      <c r="JRG188" s="5"/>
      <c r="JRH188" s="5"/>
      <c r="JRI188" s="5"/>
      <c r="JRJ188" s="5"/>
      <c r="JRK188" s="5"/>
      <c r="JRL188" s="5"/>
      <c r="JRM188" s="5"/>
      <c r="JRN188" s="5"/>
      <c r="JRO188" s="5"/>
      <c r="JRP188" s="5"/>
      <c r="JRQ188" s="5"/>
      <c r="JRR188" s="5"/>
      <c r="JRS188" s="5"/>
      <c r="JRT188" s="5"/>
      <c r="JRU188" s="5"/>
      <c r="JRV188" s="5"/>
      <c r="JRW188" s="5"/>
      <c r="JRX188" s="5"/>
      <c r="JRY188" s="5"/>
      <c r="JRZ188" s="5"/>
      <c r="JSA188" s="5"/>
      <c r="JSB188" s="5"/>
      <c r="JSC188" s="5"/>
      <c r="JSD188" s="5"/>
      <c r="JSE188" s="5"/>
      <c r="JSF188" s="5"/>
      <c r="JSG188" s="5"/>
      <c r="JSH188" s="5"/>
      <c r="JSI188" s="5"/>
      <c r="JSJ188" s="5"/>
      <c r="JSK188" s="5"/>
      <c r="JSL188" s="5"/>
      <c r="JSM188" s="5"/>
      <c r="JSN188" s="5"/>
      <c r="JSO188" s="5"/>
      <c r="JSP188" s="5"/>
      <c r="JSQ188" s="5"/>
      <c r="JSR188" s="5"/>
      <c r="JSS188" s="5"/>
      <c r="JST188" s="5"/>
      <c r="JSU188" s="5"/>
      <c r="JSV188" s="5"/>
      <c r="JSW188" s="5"/>
      <c r="JSX188" s="5"/>
      <c r="JSY188" s="5"/>
      <c r="JSZ188" s="5"/>
      <c r="JTA188" s="5"/>
      <c r="JTB188" s="5"/>
      <c r="JTC188" s="5"/>
      <c r="JTD188" s="5"/>
      <c r="JTE188" s="5"/>
      <c r="JTF188" s="5"/>
      <c r="JTG188" s="5"/>
      <c r="JTH188" s="5"/>
      <c r="JTI188" s="5"/>
      <c r="JTJ188" s="5"/>
      <c r="JTK188" s="5"/>
      <c r="JTL188" s="5"/>
      <c r="JTM188" s="5"/>
      <c r="JTN188" s="5"/>
      <c r="JTO188" s="5"/>
      <c r="JTP188" s="5"/>
      <c r="JTQ188" s="5"/>
      <c r="JTR188" s="5"/>
      <c r="JTS188" s="5"/>
      <c r="JTT188" s="5"/>
      <c r="JTU188" s="5"/>
      <c r="JTV188" s="5"/>
      <c r="JTW188" s="5"/>
      <c r="JTX188" s="5"/>
      <c r="JTY188" s="5"/>
      <c r="JTZ188" s="5"/>
      <c r="JUA188" s="5"/>
      <c r="JUB188" s="5"/>
      <c r="JUC188" s="5"/>
      <c r="JUD188" s="5"/>
      <c r="JUE188" s="5"/>
      <c r="JUF188" s="5"/>
      <c r="JUG188" s="5"/>
      <c r="JUH188" s="5"/>
      <c r="JUI188" s="5"/>
      <c r="JUJ188" s="5"/>
      <c r="JUK188" s="5"/>
      <c r="JUL188" s="5"/>
      <c r="JUM188" s="5"/>
      <c r="JUN188" s="5"/>
      <c r="JUO188" s="5"/>
      <c r="JUP188" s="5"/>
      <c r="JUQ188" s="5"/>
      <c r="JUR188" s="5"/>
      <c r="JUS188" s="5"/>
      <c r="JUT188" s="5"/>
      <c r="JUU188" s="5"/>
      <c r="JUV188" s="5"/>
      <c r="JUW188" s="5"/>
      <c r="JUX188" s="5"/>
      <c r="JUY188" s="5"/>
      <c r="JUZ188" s="5"/>
      <c r="JVA188" s="5"/>
      <c r="JVB188" s="5"/>
      <c r="JVC188" s="5"/>
      <c r="JVD188" s="5"/>
      <c r="JVE188" s="5"/>
      <c r="JVF188" s="5"/>
      <c r="JVG188" s="5"/>
      <c r="JVH188" s="5"/>
      <c r="JVI188" s="5"/>
      <c r="JVJ188" s="5"/>
      <c r="JVK188" s="5"/>
      <c r="JVL188" s="5"/>
      <c r="JVM188" s="5"/>
      <c r="JVN188" s="5"/>
      <c r="JVO188" s="5"/>
      <c r="JVP188" s="5"/>
      <c r="JVQ188" s="5"/>
      <c r="JVR188" s="5"/>
      <c r="JVS188" s="5"/>
      <c r="JVT188" s="5"/>
      <c r="JVU188" s="5"/>
      <c r="JVV188" s="5"/>
      <c r="JVW188" s="5"/>
      <c r="JVX188" s="5"/>
      <c r="JVY188" s="5"/>
      <c r="JVZ188" s="5"/>
      <c r="JWA188" s="5"/>
      <c r="JWB188" s="5"/>
      <c r="JWC188" s="5"/>
      <c r="JWD188" s="5"/>
      <c r="JWE188" s="5"/>
      <c r="JWF188" s="5"/>
      <c r="JWG188" s="5"/>
      <c r="JWH188" s="5"/>
      <c r="JWI188" s="5"/>
      <c r="JWJ188" s="5"/>
      <c r="JWK188" s="5"/>
      <c r="JWL188" s="5"/>
      <c r="JWM188" s="5"/>
      <c r="JWN188" s="5"/>
      <c r="JWO188" s="5"/>
      <c r="JWP188" s="5"/>
      <c r="JWQ188" s="5"/>
      <c r="JWR188" s="5"/>
      <c r="JWS188" s="5"/>
      <c r="JWT188" s="5"/>
      <c r="JWU188" s="5"/>
      <c r="JWV188" s="5"/>
      <c r="JWW188" s="5"/>
      <c r="JWX188" s="5"/>
      <c r="JWY188" s="5"/>
      <c r="JWZ188" s="5"/>
      <c r="JXA188" s="5"/>
      <c r="JXB188" s="5"/>
      <c r="JXC188" s="5"/>
      <c r="JXD188" s="5"/>
      <c r="JXE188" s="5"/>
      <c r="JXF188" s="5"/>
      <c r="JXG188" s="5"/>
      <c r="JXH188" s="5"/>
      <c r="JXI188" s="5"/>
      <c r="JXJ188" s="5"/>
      <c r="JXK188" s="5"/>
      <c r="JXL188" s="5"/>
      <c r="JXM188" s="5"/>
      <c r="JXN188" s="5"/>
      <c r="JXO188" s="5"/>
      <c r="JXP188" s="5"/>
      <c r="JXQ188" s="5"/>
      <c r="JXR188" s="5"/>
      <c r="JXS188" s="5"/>
      <c r="JXT188" s="5"/>
      <c r="JXU188" s="5"/>
      <c r="JXV188" s="5"/>
      <c r="JXW188" s="5"/>
      <c r="JXX188" s="5"/>
      <c r="JXY188" s="5"/>
      <c r="JXZ188" s="5"/>
      <c r="JYA188" s="5"/>
      <c r="JYB188" s="5"/>
      <c r="JYC188" s="5"/>
      <c r="JYD188" s="5"/>
      <c r="JYE188" s="5"/>
      <c r="JYF188" s="5"/>
      <c r="JYG188" s="5"/>
      <c r="JYH188" s="5"/>
      <c r="JYI188" s="5"/>
      <c r="JYJ188" s="5"/>
      <c r="JYK188" s="5"/>
      <c r="JYL188" s="5"/>
      <c r="JYM188" s="5"/>
      <c r="JYN188" s="5"/>
      <c r="JYO188" s="5"/>
      <c r="JYP188" s="5"/>
      <c r="JYQ188" s="5"/>
      <c r="JYR188" s="5"/>
      <c r="JYS188" s="5"/>
      <c r="JYT188" s="5"/>
      <c r="JYU188" s="5"/>
      <c r="JYV188" s="5"/>
      <c r="JYW188" s="5"/>
      <c r="JYX188" s="5"/>
      <c r="JYY188" s="5"/>
      <c r="JYZ188" s="5"/>
      <c r="JZA188" s="5"/>
      <c r="JZB188" s="5"/>
      <c r="JZC188" s="5"/>
      <c r="JZD188" s="5"/>
      <c r="JZE188" s="5"/>
      <c r="JZF188" s="5"/>
      <c r="JZG188" s="5"/>
      <c r="JZH188" s="5"/>
      <c r="JZI188" s="5"/>
      <c r="JZJ188" s="5"/>
      <c r="JZK188" s="5"/>
      <c r="JZL188" s="5"/>
      <c r="JZM188" s="5"/>
      <c r="JZN188" s="5"/>
      <c r="JZO188" s="5"/>
      <c r="JZP188" s="5"/>
      <c r="JZQ188" s="5"/>
      <c r="JZR188" s="5"/>
      <c r="JZS188" s="5"/>
      <c r="JZT188" s="5"/>
      <c r="JZU188" s="5"/>
      <c r="JZV188" s="5"/>
      <c r="JZW188" s="5"/>
      <c r="JZX188" s="5"/>
      <c r="JZY188" s="5"/>
      <c r="JZZ188" s="5"/>
      <c r="KAA188" s="5"/>
      <c r="KAB188" s="5"/>
      <c r="KAC188" s="5"/>
      <c r="KAD188" s="5"/>
      <c r="KAE188" s="5"/>
      <c r="KAF188" s="5"/>
      <c r="KAG188" s="5"/>
      <c r="KAH188" s="5"/>
      <c r="KAI188" s="5"/>
      <c r="KAJ188" s="5"/>
      <c r="KAK188" s="5"/>
      <c r="KAL188" s="5"/>
      <c r="KAM188" s="5"/>
      <c r="KAN188" s="5"/>
      <c r="KAO188" s="5"/>
      <c r="KAP188" s="5"/>
      <c r="KAQ188" s="5"/>
      <c r="KAR188" s="5"/>
      <c r="KAS188" s="5"/>
      <c r="KAT188" s="5"/>
      <c r="KAU188" s="5"/>
      <c r="KAV188" s="5"/>
      <c r="KAW188" s="5"/>
      <c r="KAX188" s="5"/>
      <c r="KAY188" s="5"/>
      <c r="KAZ188" s="5"/>
      <c r="KBA188" s="5"/>
      <c r="KBB188" s="5"/>
      <c r="KBC188" s="5"/>
      <c r="KBD188" s="5"/>
      <c r="KBE188" s="5"/>
      <c r="KBF188" s="5"/>
      <c r="KBG188" s="5"/>
      <c r="KBH188" s="5"/>
      <c r="KBI188" s="5"/>
      <c r="KBJ188" s="5"/>
      <c r="KBK188" s="5"/>
      <c r="KBL188" s="5"/>
      <c r="KBM188" s="5"/>
      <c r="KBN188" s="5"/>
      <c r="KBO188" s="5"/>
      <c r="KBP188" s="5"/>
      <c r="KBQ188" s="5"/>
      <c r="KBR188" s="5"/>
      <c r="KBS188" s="5"/>
      <c r="KBT188" s="5"/>
      <c r="KBU188" s="5"/>
      <c r="KBV188" s="5"/>
      <c r="KBW188" s="5"/>
      <c r="KBX188" s="5"/>
      <c r="KBY188" s="5"/>
      <c r="KBZ188" s="5"/>
      <c r="KCA188" s="5"/>
      <c r="KCB188" s="5"/>
      <c r="KCC188" s="5"/>
      <c r="KCD188" s="5"/>
      <c r="KCE188" s="5"/>
      <c r="KCF188" s="5"/>
      <c r="KCG188" s="5"/>
      <c r="KCH188" s="5"/>
      <c r="KCI188" s="5"/>
      <c r="KCJ188" s="5"/>
      <c r="KCK188" s="5"/>
      <c r="KCL188" s="5"/>
      <c r="KCM188" s="5"/>
      <c r="KCN188" s="5"/>
      <c r="KCO188" s="5"/>
      <c r="KCP188" s="5"/>
      <c r="KCQ188" s="5"/>
      <c r="KCR188" s="5"/>
      <c r="KCS188" s="5"/>
      <c r="KCT188" s="5"/>
      <c r="KCU188" s="5"/>
      <c r="KCV188" s="5"/>
      <c r="KCW188" s="5"/>
      <c r="KCX188" s="5"/>
      <c r="KCY188" s="5"/>
      <c r="KCZ188" s="5"/>
      <c r="KDA188" s="5"/>
      <c r="KDB188" s="5"/>
      <c r="KDC188" s="5"/>
      <c r="KDD188" s="5"/>
      <c r="KDE188" s="5"/>
      <c r="KDF188" s="5"/>
      <c r="KDG188" s="5"/>
      <c r="KDH188" s="5"/>
      <c r="KDI188" s="5"/>
      <c r="KDJ188" s="5"/>
      <c r="KDK188" s="5"/>
      <c r="KDL188" s="5"/>
      <c r="KDM188" s="5"/>
      <c r="KDN188" s="5"/>
      <c r="KDO188" s="5"/>
      <c r="KDP188" s="5"/>
      <c r="KDQ188" s="5"/>
      <c r="KDR188" s="5"/>
      <c r="KDS188" s="5"/>
      <c r="KDT188" s="5"/>
      <c r="KDU188" s="5"/>
      <c r="KDV188" s="5"/>
      <c r="KDW188" s="5"/>
      <c r="KDX188" s="5"/>
      <c r="KDY188" s="5"/>
      <c r="KDZ188" s="5"/>
      <c r="KEA188" s="5"/>
      <c r="KEB188" s="5"/>
      <c r="KEC188" s="5"/>
      <c r="KED188" s="5"/>
      <c r="KEE188" s="5"/>
      <c r="KEF188" s="5"/>
      <c r="KEG188" s="5"/>
      <c r="KEH188" s="5"/>
      <c r="KEI188" s="5"/>
      <c r="KEJ188" s="5"/>
      <c r="KEK188" s="5"/>
      <c r="KEL188" s="5"/>
      <c r="KEM188" s="5"/>
      <c r="KEN188" s="5"/>
      <c r="KEO188" s="5"/>
      <c r="KEP188" s="5"/>
      <c r="KEQ188" s="5"/>
      <c r="KER188" s="5"/>
      <c r="KES188" s="5"/>
      <c r="KET188" s="5"/>
      <c r="KEU188" s="5"/>
      <c r="KEV188" s="5"/>
      <c r="KEW188" s="5"/>
      <c r="KEX188" s="5"/>
      <c r="KEY188" s="5"/>
      <c r="KEZ188" s="5"/>
      <c r="KFA188" s="5"/>
      <c r="KFB188" s="5"/>
      <c r="KFC188" s="5"/>
      <c r="KFD188" s="5"/>
      <c r="KFE188" s="5"/>
      <c r="KFF188" s="5"/>
      <c r="KFG188" s="5"/>
      <c r="KFH188" s="5"/>
      <c r="KFI188" s="5"/>
      <c r="KFJ188" s="5"/>
      <c r="KFK188" s="5"/>
      <c r="KFL188" s="5"/>
      <c r="KFM188" s="5"/>
      <c r="KFN188" s="5"/>
      <c r="KFO188" s="5"/>
      <c r="KFP188" s="5"/>
      <c r="KFQ188" s="5"/>
      <c r="KFR188" s="5"/>
      <c r="KFS188" s="5"/>
      <c r="KFT188" s="5"/>
      <c r="KFU188" s="5"/>
      <c r="KFV188" s="5"/>
      <c r="KFW188" s="5"/>
      <c r="KFX188" s="5"/>
      <c r="KFY188" s="5"/>
      <c r="KFZ188" s="5"/>
      <c r="KGA188" s="5"/>
      <c r="KGB188" s="5"/>
      <c r="KGC188" s="5"/>
      <c r="KGD188" s="5"/>
      <c r="KGE188" s="5"/>
      <c r="KGF188" s="5"/>
      <c r="KGG188" s="5"/>
      <c r="KGH188" s="5"/>
      <c r="KGI188" s="5"/>
      <c r="KGJ188" s="5"/>
      <c r="KGK188" s="5"/>
      <c r="KGL188" s="5"/>
      <c r="KGM188" s="5"/>
      <c r="KGN188" s="5"/>
      <c r="KGO188" s="5"/>
      <c r="KGP188" s="5"/>
      <c r="KGQ188" s="5"/>
      <c r="KGR188" s="5"/>
      <c r="KGS188" s="5"/>
      <c r="KGT188" s="5"/>
      <c r="KGU188" s="5"/>
      <c r="KGV188" s="5"/>
      <c r="KGW188" s="5"/>
      <c r="KGX188" s="5"/>
      <c r="KGY188" s="5"/>
      <c r="KGZ188" s="5"/>
      <c r="KHA188" s="5"/>
      <c r="KHB188" s="5"/>
      <c r="KHC188" s="5"/>
      <c r="KHD188" s="5"/>
      <c r="KHE188" s="5"/>
      <c r="KHF188" s="5"/>
      <c r="KHG188" s="5"/>
      <c r="KHH188" s="5"/>
      <c r="KHI188" s="5"/>
      <c r="KHJ188" s="5"/>
      <c r="KHK188" s="5"/>
      <c r="KHL188" s="5"/>
      <c r="KHM188" s="5"/>
      <c r="KHN188" s="5"/>
      <c r="KHO188" s="5"/>
      <c r="KHP188" s="5"/>
      <c r="KHQ188" s="5"/>
      <c r="KHR188" s="5"/>
      <c r="KHS188" s="5"/>
      <c r="KHT188" s="5"/>
      <c r="KHU188" s="5"/>
      <c r="KHV188" s="5"/>
      <c r="KHW188" s="5"/>
      <c r="KHX188" s="5"/>
      <c r="KHY188" s="5"/>
      <c r="KHZ188" s="5"/>
      <c r="KIA188" s="5"/>
      <c r="KIB188" s="5"/>
      <c r="KIC188" s="5"/>
      <c r="KID188" s="5"/>
      <c r="KIE188" s="5"/>
      <c r="KIF188" s="5"/>
      <c r="KIG188" s="5"/>
      <c r="KIH188" s="5"/>
      <c r="KII188" s="5"/>
      <c r="KIJ188" s="5"/>
      <c r="KIK188" s="5"/>
      <c r="KIL188" s="5"/>
      <c r="KIM188" s="5"/>
      <c r="KIN188" s="5"/>
      <c r="KIO188" s="5"/>
      <c r="KIP188" s="5"/>
      <c r="KIQ188" s="5"/>
      <c r="KIR188" s="5"/>
      <c r="KIS188" s="5"/>
      <c r="KIT188" s="5"/>
      <c r="KIU188" s="5"/>
      <c r="KIV188" s="5"/>
      <c r="KIW188" s="5"/>
      <c r="KIX188" s="5"/>
      <c r="KIY188" s="5"/>
      <c r="KIZ188" s="5"/>
      <c r="KJA188" s="5"/>
      <c r="KJB188" s="5"/>
      <c r="KJC188" s="5"/>
      <c r="KJD188" s="5"/>
      <c r="KJE188" s="5"/>
      <c r="KJF188" s="5"/>
      <c r="KJG188" s="5"/>
      <c r="KJH188" s="5"/>
      <c r="KJI188" s="5"/>
      <c r="KJJ188" s="5"/>
      <c r="KJK188" s="5"/>
      <c r="KJL188" s="5"/>
      <c r="KJM188" s="5"/>
      <c r="KJN188" s="5"/>
      <c r="KJO188" s="5"/>
      <c r="KJP188" s="5"/>
      <c r="KJQ188" s="5"/>
      <c r="KJR188" s="5"/>
      <c r="KJS188" s="5"/>
      <c r="KJT188" s="5"/>
      <c r="KJU188" s="5"/>
      <c r="KJV188" s="5"/>
      <c r="KJW188" s="5"/>
      <c r="KJX188" s="5"/>
      <c r="KJY188" s="5"/>
      <c r="KJZ188" s="5"/>
      <c r="KKA188" s="5"/>
      <c r="KKB188" s="5"/>
      <c r="KKC188" s="5"/>
      <c r="KKD188" s="5"/>
      <c r="KKE188" s="5"/>
      <c r="KKF188" s="5"/>
      <c r="KKG188" s="5"/>
      <c r="KKH188" s="5"/>
      <c r="KKI188" s="5"/>
      <c r="KKJ188" s="5"/>
      <c r="KKK188" s="5"/>
      <c r="KKL188" s="5"/>
      <c r="KKM188" s="5"/>
      <c r="KKN188" s="5"/>
      <c r="KKO188" s="5"/>
      <c r="KKP188" s="5"/>
      <c r="KKQ188" s="5"/>
      <c r="KKR188" s="5"/>
      <c r="KKS188" s="5"/>
      <c r="KKT188" s="5"/>
      <c r="KKU188" s="5"/>
      <c r="KKV188" s="5"/>
      <c r="KKW188" s="5"/>
      <c r="KKX188" s="5"/>
      <c r="KKY188" s="5"/>
      <c r="KKZ188" s="5"/>
      <c r="KLA188" s="5"/>
      <c r="KLB188" s="5"/>
      <c r="KLC188" s="5"/>
      <c r="KLD188" s="5"/>
      <c r="KLE188" s="5"/>
      <c r="KLF188" s="5"/>
      <c r="KLG188" s="5"/>
      <c r="KLH188" s="5"/>
      <c r="KLI188" s="5"/>
      <c r="KLJ188" s="5"/>
      <c r="KLK188" s="5"/>
      <c r="KLL188" s="5"/>
      <c r="KLM188" s="5"/>
      <c r="KLN188" s="5"/>
      <c r="KLO188" s="5"/>
      <c r="KLP188" s="5"/>
      <c r="KLQ188" s="5"/>
      <c r="KLR188" s="5"/>
      <c r="KLS188" s="5"/>
      <c r="KLT188" s="5"/>
      <c r="KLU188" s="5"/>
      <c r="KLV188" s="5"/>
      <c r="KLW188" s="5"/>
      <c r="KLX188" s="5"/>
      <c r="KLY188" s="5"/>
      <c r="KLZ188" s="5"/>
      <c r="KMA188" s="5"/>
      <c r="KMB188" s="5"/>
      <c r="KMC188" s="5"/>
      <c r="KMD188" s="5"/>
      <c r="KME188" s="5"/>
      <c r="KMF188" s="5"/>
      <c r="KMG188" s="5"/>
      <c r="KMH188" s="5"/>
      <c r="KMI188" s="5"/>
      <c r="KMJ188" s="5"/>
      <c r="KMK188" s="5"/>
      <c r="KML188" s="5"/>
      <c r="KMM188" s="5"/>
      <c r="KMN188" s="5"/>
      <c r="KMO188" s="5"/>
      <c r="KMP188" s="5"/>
      <c r="KMQ188" s="5"/>
      <c r="KMR188" s="5"/>
      <c r="KMS188" s="5"/>
      <c r="KMT188" s="5"/>
      <c r="KMU188" s="5"/>
      <c r="KMV188" s="5"/>
      <c r="KMW188" s="5"/>
      <c r="KMX188" s="5"/>
      <c r="KMY188" s="5"/>
      <c r="KMZ188" s="5"/>
      <c r="KNA188" s="5"/>
      <c r="KNB188" s="5"/>
      <c r="KNC188" s="5"/>
      <c r="KND188" s="5"/>
      <c r="KNE188" s="5"/>
      <c r="KNF188" s="5"/>
      <c r="KNG188" s="5"/>
      <c r="KNH188" s="5"/>
      <c r="KNI188" s="5"/>
      <c r="KNJ188" s="5"/>
      <c r="KNK188" s="5"/>
      <c r="KNL188" s="5"/>
      <c r="KNM188" s="5"/>
      <c r="KNN188" s="5"/>
      <c r="KNO188" s="5"/>
      <c r="KNP188" s="5"/>
      <c r="KNQ188" s="5"/>
      <c r="KNR188" s="5"/>
      <c r="KNS188" s="5"/>
      <c r="KNT188" s="5"/>
      <c r="KNU188" s="5"/>
      <c r="KNV188" s="5"/>
      <c r="KNW188" s="5"/>
      <c r="KNX188" s="5"/>
      <c r="KNY188" s="5"/>
      <c r="KNZ188" s="5"/>
      <c r="KOA188" s="5"/>
      <c r="KOB188" s="5"/>
      <c r="KOC188" s="5"/>
      <c r="KOD188" s="5"/>
      <c r="KOE188" s="5"/>
      <c r="KOF188" s="5"/>
      <c r="KOG188" s="5"/>
      <c r="KOH188" s="5"/>
      <c r="KOI188" s="5"/>
      <c r="KOJ188" s="5"/>
      <c r="KOK188" s="5"/>
      <c r="KOL188" s="5"/>
      <c r="KOM188" s="5"/>
      <c r="KON188" s="5"/>
      <c r="KOO188" s="5"/>
      <c r="KOP188" s="5"/>
      <c r="KOQ188" s="5"/>
      <c r="KOR188" s="5"/>
      <c r="KOS188" s="5"/>
      <c r="KOT188" s="5"/>
      <c r="KOU188" s="5"/>
      <c r="KOV188" s="5"/>
      <c r="KOW188" s="5"/>
      <c r="KOX188" s="5"/>
      <c r="KOY188" s="5"/>
      <c r="KOZ188" s="5"/>
      <c r="KPA188" s="5"/>
      <c r="KPB188" s="5"/>
      <c r="KPC188" s="5"/>
      <c r="KPD188" s="5"/>
      <c r="KPE188" s="5"/>
      <c r="KPF188" s="5"/>
      <c r="KPG188" s="5"/>
      <c r="KPH188" s="5"/>
      <c r="KPI188" s="5"/>
      <c r="KPJ188" s="5"/>
      <c r="KPK188" s="5"/>
      <c r="KPL188" s="5"/>
      <c r="KPM188" s="5"/>
      <c r="KPN188" s="5"/>
      <c r="KPO188" s="5"/>
      <c r="KPP188" s="5"/>
      <c r="KPQ188" s="5"/>
      <c r="KPR188" s="5"/>
      <c r="KPS188" s="5"/>
      <c r="KPT188" s="5"/>
      <c r="KPU188" s="5"/>
      <c r="KPV188" s="5"/>
      <c r="KPW188" s="5"/>
      <c r="KPX188" s="5"/>
      <c r="KPY188" s="5"/>
      <c r="KPZ188" s="5"/>
      <c r="KQA188" s="5"/>
      <c r="KQB188" s="5"/>
      <c r="KQC188" s="5"/>
      <c r="KQD188" s="5"/>
      <c r="KQE188" s="5"/>
      <c r="KQF188" s="5"/>
      <c r="KQG188" s="5"/>
      <c r="KQH188" s="5"/>
      <c r="KQI188" s="5"/>
      <c r="KQJ188" s="5"/>
      <c r="KQK188" s="5"/>
      <c r="KQL188" s="5"/>
      <c r="KQM188" s="5"/>
      <c r="KQN188" s="5"/>
      <c r="KQO188" s="5"/>
      <c r="KQP188" s="5"/>
      <c r="KQQ188" s="5"/>
      <c r="KQR188" s="5"/>
      <c r="KQS188" s="5"/>
      <c r="KQT188" s="5"/>
      <c r="KQU188" s="5"/>
      <c r="KQV188" s="5"/>
      <c r="KQW188" s="5"/>
      <c r="KQX188" s="5"/>
      <c r="KQY188" s="5"/>
      <c r="KQZ188" s="5"/>
      <c r="KRA188" s="5"/>
      <c r="KRB188" s="5"/>
      <c r="KRC188" s="5"/>
      <c r="KRD188" s="5"/>
      <c r="KRE188" s="5"/>
      <c r="KRF188" s="5"/>
      <c r="KRG188" s="5"/>
      <c r="KRH188" s="5"/>
      <c r="KRI188" s="5"/>
      <c r="KRJ188" s="5"/>
      <c r="KRK188" s="5"/>
      <c r="KRL188" s="5"/>
      <c r="KRM188" s="5"/>
      <c r="KRN188" s="5"/>
      <c r="KRO188" s="5"/>
      <c r="KRP188" s="5"/>
      <c r="KRQ188" s="5"/>
      <c r="KRR188" s="5"/>
      <c r="KRS188" s="5"/>
      <c r="KRT188" s="5"/>
      <c r="KRU188" s="5"/>
      <c r="KRV188" s="5"/>
      <c r="KRW188" s="5"/>
      <c r="KRX188" s="5"/>
      <c r="KRY188" s="5"/>
      <c r="KRZ188" s="5"/>
      <c r="KSA188" s="5"/>
      <c r="KSB188" s="5"/>
      <c r="KSC188" s="5"/>
      <c r="KSD188" s="5"/>
      <c r="KSE188" s="5"/>
      <c r="KSF188" s="5"/>
      <c r="KSG188" s="5"/>
      <c r="KSH188" s="5"/>
      <c r="KSI188" s="5"/>
      <c r="KSJ188" s="5"/>
      <c r="KSK188" s="5"/>
      <c r="KSL188" s="5"/>
      <c r="KSM188" s="5"/>
      <c r="KSN188" s="5"/>
      <c r="KSO188" s="5"/>
      <c r="KSP188" s="5"/>
      <c r="KSQ188" s="5"/>
      <c r="KSR188" s="5"/>
      <c r="KSS188" s="5"/>
      <c r="KST188" s="5"/>
      <c r="KSU188" s="5"/>
      <c r="KSV188" s="5"/>
      <c r="KSW188" s="5"/>
      <c r="KSX188" s="5"/>
      <c r="KSY188" s="5"/>
      <c r="KSZ188" s="5"/>
      <c r="KTA188" s="5"/>
      <c r="KTB188" s="5"/>
      <c r="KTC188" s="5"/>
      <c r="KTD188" s="5"/>
      <c r="KTE188" s="5"/>
      <c r="KTF188" s="5"/>
      <c r="KTG188" s="5"/>
      <c r="KTH188" s="5"/>
      <c r="KTI188" s="5"/>
      <c r="KTJ188" s="5"/>
      <c r="KTK188" s="5"/>
      <c r="KTL188" s="5"/>
      <c r="KTM188" s="5"/>
      <c r="KTN188" s="5"/>
      <c r="KTO188" s="5"/>
      <c r="KTP188" s="5"/>
      <c r="KTQ188" s="5"/>
      <c r="KTR188" s="5"/>
      <c r="KTS188" s="5"/>
      <c r="KTT188" s="5"/>
      <c r="KTU188" s="5"/>
      <c r="KTV188" s="5"/>
      <c r="KTW188" s="5"/>
      <c r="KTX188" s="5"/>
      <c r="KTY188" s="5"/>
      <c r="KTZ188" s="5"/>
      <c r="KUA188" s="5"/>
      <c r="KUB188" s="5"/>
      <c r="KUC188" s="5"/>
      <c r="KUD188" s="5"/>
      <c r="KUE188" s="5"/>
      <c r="KUF188" s="5"/>
      <c r="KUG188" s="5"/>
      <c r="KUH188" s="5"/>
      <c r="KUI188" s="5"/>
      <c r="KUJ188" s="5"/>
      <c r="KUK188" s="5"/>
      <c r="KUL188" s="5"/>
      <c r="KUM188" s="5"/>
      <c r="KUN188" s="5"/>
      <c r="KUO188" s="5"/>
      <c r="KUP188" s="5"/>
      <c r="KUQ188" s="5"/>
      <c r="KUR188" s="5"/>
      <c r="KUS188" s="5"/>
      <c r="KUT188" s="5"/>
      <c r="KUU188" s="5"/>
      <c r="KUV188" s="5"/>
      <c r="KUW188" s="5"/>
      <c r="KUX188" s="5"/>
      <c r="KUY188" s="5"/>
      <c r="KUZ188" s="5"/>
      <c r="KVA188" s="5"/>
      <c r="KVB188" s="5"/>
      <c r="KVC188" s="5"/>
      <c r="KVD188" s="5"/>
      <c r="KVE188" s="5"/>
      <c r="KVF188" s="5"/>
      <c r="KVG188" s="5"/>
      <c r="KVH188" s="5"/>
      <c r="KVI188" s="5"/>
      <c r="KVJ188" s="5"/>
      <c r="KVK188" s="5"/>
      <c r="KVL188" s="5"/>
      <c r="KVM188" s="5"/>
      <c r="KVN188" s="5"/>
      <c r="KVO188" s="5"/>
      <c r="KVP188" s="5"/>
      <c r="KVQ188" s="5"/>
      <c r="KVR188" s="5"/>
      <c r="KVS188" s="5"/>
      <c r="KVT188" s="5"/>
      <c r="KVU188" s="5"/>
      <c r="KVV188" s="5"/>
      <c r="KVW188" s="5"/>
      <c r="KVX188" s="5"/>
      <c r="KVY188" s="5"/>
      <c r="KVZ188" s="5"/>
      <c r="KWA188" s="5"/>
      <c r="KWB188" s="5"/>
      <c r="KWC188" s="5"/>
      <c r="KWD188" s="5"/>
      <c r="KWE188" s="5"/>
      <c r="KWF188" s="5"/>
      <c r="KWG188" s="5"/>
      <c r="KWH188" s="5"/>
      <c r="KWI188" s="5"/>
      <c r="KWJ188" s="5"/>
      <c r="KWK188" s="5"/>
      <c r="KWL188" s="5"/>
      <c r="KWM188" s="5"/>
      <c r="KWN188" s="5"/>
      <c r="KWO188" s="5"/>
      <c r="KWP188" s="5"/>
      <c r="KWQ188" s="5"/>
      <c r="KWR188" s="5"/>
      <c r="KWS188" s="5"/>
      <c r="KWT188" s="5"/>
      <c r="KWU188" s="5"/>
      <c r="KWV188" s="5"/>
      <c r="KWW188" s="5"/>
      <c r="KWX188" s="5"/>
      <c r="KWY188" s="5"/>
      <c r="KWZ188" s="5"/>
      <c r="KXA188" s="5"/>
      <c r="KXB188" s="5"/>
      <c r="KXC188" s="5"/>
      <c r="KXD188" s="5"/>
      <c r="KXE188" s="5"/>
      <c r="KXF188" s="5"/>
      <c r="KXG188" s="5"/>
      <c r="KXH188" s="5"/>
      <c r="KXI188" s="5"/>
      <c r="KXJ188" s="5"/>
      <c r="KXK188" s="5"/>
      <c r="KXL188" s="5"/>
      <c r="KXM188" s="5"/>
      <c r="KXN188" s="5"/>
      <c r="KXO188" s="5"/>
      <c r="KXP188" s="5"/>
      <c r="KXQ188" s="5"/>
      <c r="KXR188" s="5"/>
      <c r="KXS188" s="5"/>
      <c r="KXT188" s="5"/>
      <c r="KXU188" s="5"/>
      <c r="KXV188" s="5"/>
      <c r="KXW188" s="5"/>
      <c r="KXX188" s="5"/>
      <c r="KXY188" s="5"/>
      <c r="KXZ188" s="5"/>
      <c r="KYA188" s="5"/>
      <c r="KYB188" s="5"/>
      <c r="KYC188" s="5"/>
      <c r="KYD188" s="5"/>
      <c r="KYE188" s="5"/>
      <c r="KYF188" s="5"/>
      <c r="KYG188" s="5"/>
      <c r="KYH188" s="5"/>
      <c r="KYI188" s="5"/>
      <c r="KYJ188" s="5"/>
      <c r="KYK188" s="5"/>
      <c r="KYL188" s="5"/>
      <c r="KYM188" s="5"/>
      <c r="KYN188" s="5"/>
      <c r="KYO188" s="5"/>
      <c r="KYP188" s="5"/>
      <c r="KYQ188" s="5"/>
      <c r="KYR188" s="5"/>
      <c r="KYS188" s="5"/>
      <c r="KYT188" s="5"/>
      <c r="KYU188" s="5"/>
      <c r="KYV188" s="5"/>
      <c r="KYW188" s="5"/>
      <c r="KYX188" s="5"/>
      <c r="KYY188" s="5"/>
      <c r="KYZ188" s="5"/>
      <c r="KZA188" s="5"/>
      <c r="KZB188" s="5"/>
      <c r="KZC188" s="5"/>
      <c r="KZD188" s="5"/>
      <c r="KZE188" s="5"/>
      <c r="KZF188" s="5"/>
      <c r="KZG188" s="5"/>
      <c r="KZH188" s="5"/>
      <c r="KZI188" s="5"/>
      <c r="KZJ188" s="5"/>
      <c r="KZK188" s="5"/>
      <c r="KZL188" s="5"/>
      <c r="KZM188" s="5"/>
      <c r="KZN188" s="5"/>
      <c r="KZO188" s="5"/>
      <c r="KZP188" s="5"/>
      <c r="KZQ188" s="5"/>
      <c r="KZR188" s="5"/>
      <c r="KZS188" s="5"/>
      <c r="KZT188" s="5"/>
      <c r="KZU188" s="5"/>
      <c r="KZV188" s="5"/>
      <c r="KZW188" s="5"/>
      <c r="KZX188" s="5"/>
      <c r="KZY188" s="5"/>
      <c r="KZZ188" s="5"/>
      <c r="LAA188" s="5"/>
      <c r="LAB188" s="5"/>
      <c r="LAC188" s="5"/>
      <c r="LAD188" s="5"/>
      <c r="LAE188" s="5"/>
      <c r="LAF188" s="5"/>
      <c r="LAG188" s="5"/>
      <c r="LAH188" s="5"/>
      <c r="LAI188" s="5"/>
      <c r="LAJ188" s="5"/>
      <c r="LAK188" s="5"/>
      <c r="LAL188" s="5"/>
      <c r="LAM188" s="5"/>
      <c r="LAN188" s="5"/>
      <c r="LAO188" s="5"/>
      <c r="LAP188" s="5"/>
      <c r="LAQ188" s="5"/>
      <c r="LAR188" s="5"/>
      <c r="LAS188" s="5"/>
      <c r="LAT188" s="5"/>
      <c r="LAU188" s="5"/>
      <c r="LAV188" s="5"/>
      <c r="LAW188" s="5"/>
      <c r="LAX188" s="5"/>
      <c r="LAY188" s="5"/>
      <c r="LAZ188" s="5"/>
      <c r="LBA188" s="5"/>
      <c r="LBB188" s="5"/>
      <c r="LBC188" s="5"/>
      <c r="LBD188" s="5"/>
      <c r="LBE188" s="5"/>
      <c r="LBF188" s="5"/>
      <c r="LBG188" s="5"/>
      <c r="LBH188" s="5"/>
      <c r="LBI188" s="5"/>
      <c r="LBJ188" s="5"/>
      <c r="LBK188" s="5"/>
      <c r="LBL188" s="5"/>
      <c r="LBM188" s="5"/>
      <c r="LBN188" s="5"/>
      <c r="LBO188" s="5"/>
      <c r="LBP188" s="5"/>
      <c r="LBQ188" s="5"/>
      <c r="LBR188" s="5"/>
      <c r="LBS188" s="5"/>
      <c r="LBT188" s="5"/>
      <c r="LBU188" s="5"/>
      <c r="LBV188" s="5"/>
      <c r="LBW188" s="5"/>
      <c r="LBX188" s="5"/>
      <c r="LBY188" s="5"/>
      <c r="LBZ188" s="5"/>
      <c r="LCA188" s="5"/>
      <c r="LCB188" s="5"/>
      <c r="LCC188" s="5"/>
      <c r="LCD188" s="5"/>
      <c r="LCE188" s="5"/>
      <c r="LCF188" s="5"/>
      <c r="LCG188" s="5"/>
      <c r="LCH188" s="5"/>
      <c r="LCI188" s="5"/>
      <c r="LCJ188" s="5"/>
      <c r="LCK188" s="5"/>
      <c r="LCL188" s="5"/>
      <c r="LCM188" s="5"/>
      <c r="LCN188" s="5"/>
      <c r="LCO188" s="5"/>
      <c r="LCP188" s="5"/>
      <c r="LCQ188" s="5"/>
      <c r="LCR188" s="5"/>
      <c r="LCS188" s="5"/>
      <c r="LCT188" s="5"/>
      <c r="LCU188" s="5"/>
      <c r="LCV188" s="5"/>
      <c r="LCW188" s="5"/>
      <c r="LCX188" s="5"/>
      <c r="LCY188" s="5"/>
      <c r="LCZ188" s="5"/>
      <c r="LDA188" s="5"/>
      <c r="LDB188" s="5"/>
      <c r="LDC188" s="5"/>
      <c r="LDD188" s="5"/>
      <c r="LDE188" s="5"/>
      <c r="LDF188" s="5"/>
      <c r="LDG188" s="5"/>
      <c r="LDH188" s="5"/>
      <c r="LDI188" s="5"/>
      <c r="LDJ188" s="5"/>
      <c r="LDK188" s="5"/>
      <c r="LDL188" s="5"/>
      <c r="LDM188" s="5"/>
      <c r="LDN188" s="5"/>
      <c r="LDO188" s="5"/>
      <c r="LDP188" s="5"/>
      <c r="LDQ188" s="5"/>
      <c r="LDR188" s="5"/>
      <c r="LDS188" s="5"/>
      <c r="LDT188" s="5"/>
      <c r="LDU188" s="5"/>
      <c r="LDV188" s="5"/>
      <c r="LDW188" s="5"/>
      <c r="LDX188" s="5"/>
      <c r="LDY188" s="5"/>
      <c r="LDZ188" s="5"/>
      <c r="LEA188" s="5"/>
      <c r="LEB188" s="5"/>
      <c r="LEC188" s="5"/>
      <c r="LED188" s="5"/>
      <c r="LEE188" s="5"/>
      <c r="LEF188" s="5"/>
      <c r="LEG188" s="5"/>
      <c r="LEH188" s="5"/>
      <c r="LEI188" s="5"/>
      <c r="LEJ188" s="5"/>
      <c r="LEK188" s="5"/>
      <c r="LEL188" s="5"/>
      <c r="LEM188" s="5"/>
      <c r="LEN188" s="5"/>
      <c r="LEO188" s="5"/>
      <c r="LEP188" s="5"/>
      <c r="LEQ188" s="5"/>
      <c r="LER188" s="5"/>
      <c r="LES188" s="5"/>
      <c r="LET188" s="5"/>
      <c r="LEU188" s="5"/>
      <c r="LEV188" s="5"/>
      <c r="LEW188" s="5"/>
      <c r="LEX188" s="5"/>
      <c r="LEY188" s="5"/>
      <c r="LEZ188" s="5"/>
      <c r="LFA188" s="5"/>
      <c r="LFB188" s="5"/>
      <c r="LFC188" s="5"/>
      <c r="LFD188" s="5"/>
      <c r="LFE188" s="5"/>
      <c r="LFF188" s="5"/>
      <c r="LFG188" s="5"/>
      <c r="LFH188" s="5"/>
      <c r="LFI188" s="5"/>
      <c r="LFJ188" s="5"/>
      <c r="LFK188" s="5"/>
      <c r="LFL188" s="5"/>
      <c r="LFM188" s="5"/>
      <c r="LFN188" s="5"/>
      <c r="LFO188" s="5"/>
      <c r="LFP188" s="5"/>
      <c r="LFQ188" s="5"/>
      <c r="LFR188" s="5"/>
      <c r="LFS188" s="5"/>
      <c r="LFT188" s="5"/>
      <c r="LFU188" s="5"/>
      <c r="LFV188" s="5"/>
      <c r="LFW188" s="5"/>
      <c r="LFX188" s="5"/>
      <c r="LFY188" s="5"/>
      <c r="LFZ188" s="5"/>
      <c r="LGA188" s="5"/>
      <c r="LGB188" s="5"/>
      <c r="LGC188" s="5"/>
      <c r="LGD188" s="5"/>
      <c r="LGE188" s="5"/>
      <c r="LGF188" s="5"/>
      <c r="LGG188" s="5"/>
      <c r="LGH188" s="5"/>
      <c r="LGI188" s="5"/>
      <c r="LGJ188" s="5"/>
      <c r="LGK188" s="5"/>
      <c r="LGL188" s="5"/>
      <c r="LGM188" s="5"/>
      <c r="LGN188" s="5"/>
      <c r="LGO188" s="5"/>
      <c r="LGP188" s="5"/>
      <c r="LGQ188" s="5"/>
      <c r="LGR188" s="5"/>
      <c r="LGS188" s="5"/>
      <c r="LGT188" s="5"/>
      <c r="LGU188" s="5"/>
      <c r="LGV188" s="5"/>
      <c r="LGW188" s="5"/>
      <c r="LGX188" s="5"/>
      <c r="LGY188" s="5"/>
      <c r="LGZ188" s="5"/>
      <c r="LHA188" s="5"/>
      <c r="LHB188" s="5"/>
      <c r="LHC188" s="5"/>
      <c r="LHD188" s="5"/>
      <c r="LHE188" s="5"/>
      <c r="LHF188" s="5"/>
      <c r="LHG188" s="5"/>
      <c r="LHH188" s="5"/>
      <c r="LHI188" s="5"/>
      <c r="LHJ188" s="5"/>
      <c r="LHK188" s="5"/>
      <c r="LHL188" s="5"/>
      <c r="LHM188" s="5"/>
      <c r="LHN188" s="5"/>
      <c r="LHO188" s="5"/>
      <c r="LHP188" s="5"/>
      <c r="LHQ188" s="5"/>
      <c r="LHR188" s="5"/>
      <c r="LHS188" s="5"/>
      <c r="LHT188" s="5"/>
      <c r="LHU188" s="5"/>
      <c r="LHV188" s="5"/>
      <c r="LHW188" s="5"/>
      <c r="LHX188" s="5"/>
      <c r="LHY188" s="5"/>
      <c r="LHZ188" s="5"/>
      <c r="LIA188" s="5"/>
      <c r="LIB188" s="5"/>
      <c r="LIC188" s="5"/>
      <c r="LID188" s="5"/>
      <c r="LIE188" s="5"/>
      <c r="LIF188" s="5"/>
      <c r="LIG188" s="5"/>
      <c r="LIH188" s="5"/>
      <c r="LII188" s="5"/>
      <c r="LIJ188" s="5"/>
      <c r="LIK188" s="5"/>
      <c r="LIL188" s="5"/>
      <c r="LIM188" s="5"/>
      <c r="LIN188" s="5"/>
      <c r="LIO188" s="5"/>
      <c r="LIP188" s="5"/>
      <c r="LIQ188" s="5"/>
      <c r="LIR188" s="5"/>
      <c r="LIS188" s="5"/>
      <c r="LIT188" s="5"/>
      <c r="LIU188" s="5"/>
      <c r="LIV188" s="5"/>
      <c r="LIW188" s="5"/>
      <c r="LIX188" s="5"/>
      <c r="LIY188" s="5"/>
      <c r="LIZ188" s="5"/>
      <c r="LJA188" s="5"/>
      <c r="LJB188" s="5"/>
      <c r="LJC188" s="5"/>
      <c r="LJD188" s="5"/>
      <c r="LJE188" s="5"/>
      <c r="LJF188" s="5"/>
      <c r="LJG188" s="5"/>
      <c r="LJH188" s="5"/>
      <c r="LJI188" s="5"/>
      <c r="LJJ188" s="5"/>
      <c r="LJK188" s="5"/>
      <c r="LJL188" s="5"/>
      <c r="LJM188" s="5"/>
      <c r="LJN188" s="5"/>
      <c r="LJO188" s="5"/>
      <c r="LJP188" s="5"/>
      <c r="LJQ188" s="5"/>
      <c r="LJR188" s="5"/>
      <c r="LJS188" s="5"/>
      <c r="LJT188" s="5"/>
      <c r="LJU188" s="5"/>
      <c r="LJV188" s="5"/>
      <c r="LJW188" s="5"/>
      <c r="LJX188" s="5"/>
      <c r="LJY188" s="5"/>
      <c r="LJZ188" s="5"/>
      <c r="LKA188" s="5"/>
      <c r="LKB188" s="5"/>
      <c r="LKC188" s="5"/>
      <c r="LKD188" s="5"/>
      <c r="LKE188" s="5"/>
      <c r="LKF188" s="5"/>
      <c r="LKG188" s="5"/>
      <c r="LKH188" s="5"/>
      <c r="LKI188" s="5"/>
      <c r="LKJ188" s="5"/>
      <c r="LKK188" s="5"/>
      <c r="LKL188" s="5"/>
      <c r="LKM188" s="5"/>
      <c r="LKN188" s="5"/>
      <c r="LKO188" s="5"/>
      <c r="LKP188" s="5"/>
      <c r="LKQ188" s="5"/>
      <c r="LKR188" s="5"/>
      <c r="LKS188" s="5"/>
      <c r="LKT188" s="5"/>
      <c r="LKU188" s="5"/>
      <c r="LKV188" s="5"/>
      <c r="LKW188" s="5"/>
      <c r="LKX188" s="5"/>
      <c r="LKY188" s="5"/>
      <c r="LKZ188" s="5"/>
      <c r="LLA188" s="5"/>
      <c r="LLB188" s="5"/>
      <c r="LLC188" s="5"/>
      <c r="LLD188" s="5"/>
      <c r="LLE188" s="5"/>
      <c r="LLF188" s="5"/>
      <c r="LLG188" s="5"/>
      <c r="LLH188" s="5"/>
      <c r="LLI188" s="5"/>
      <c r="LLJ188" s="5"/>
      <c r="LLK188" s="5"/>
      <c r="LLL188" s="5"/>
      <c r="LLM188" s="5"/>
      <c r="LLN188" s="5"/>
      <c r="LLO188" s="5"/>
      <c r="LLP188" s="5"/>
      <c r="LLQ188" s="5"/>
      <c r="LLR188" s="5"/>
      <c r="LLS188" s="5"/>
      <c r="LLT188" s="5"/>
      <c r="LLU188" s="5"/>
      <c r="LLV188" s="5"/>
      <c r="LLW188" s="5"/>
      <c r="LLX188" s="5"/>
      <c r="LLY188" s="5"/>
      <c r="LLZ188" s="5"/>
      <c r="LMA188" s="5"/>
      <c r="LMB188" s="5"/>
      <c r="LMC188" s="5"/>
      <c r="LMD188" s="5"/>
      <c r="LME188" s="5"/>
      <c r="LMF188" s="5"/>
      <c r="LMG188" s="5"/>
      <c r="LMH188" s="5"/>
      <c r="LMI188" s="5"/>
      <c r="LMJ188" s="5"/>
      <c r="LMK188" s="5"/>
      <c r="LML188" s="5"/>
      <c r="LMM188" s="5"/>
      <c r="LMN188" s="5"/>
      <c r="LMO188" s="5"/>
      <c r="LMP188" s="5"/>
      <c r="LMQ188" s="5"/>
      <c r="LMR188" s="5"/>
      <c r="LMS188" s="5"/>
      <c r="LMT188" s="5"/>
      <c r="LMU188" s="5"/>
      <c r="LMV188" s="5"/>
      <c r="LMW188" s="5"/>
      <c r="LMX188" s="5"/>
      <c r="LMY188" s="5"/>
      <c r="LMZ188" s="5"/>
      <c r="LNA188" s="5"/>
      <c r="LNB188" s="5"/>
      <c r="LNC188" s="5"/>
      <c r="LND188" s="5"/>
      <c r="LNE188" s="5"/>
      <c r="LNF188" s="5"/>
      <c r="LNG188" s="5"/>
      <c r="LNH188" s="5"/>
      <c r="LNI188" s="5"/>
      <c r="LNJ188" s="5"/>
      <c r="LNK188" s="5"/>
      <c r="LNL188" s="5"/>
      <c r="LNM188" s="5"/>
      <c r="LNN188" s="5"/>
      <c r="LNO188" s="5"/>
      <c r="LNP188" s="5"/>
      <c r="LNQ188" s="5"/>
      <c r="LNR188" s="5"/>
      <c r="LNS188" s="5"/>
      <c r="LNT188" s="5"/>
      <c r="LNU188" s="5"/>
      <c r="LNV188" s="5"/>
      <c r="LNW188" s="5"/>
      <c r="LNX188" s="5"/>
      <c r="LNY188" s="5"/>
      <c r="LNZ188" s="5"/>
      <c r="LOA188" s="5"/>
      <c r="LOB188" s="5"/>
      <c r="LOC188" s="5"/>
      <c r="LOD188" s="5"/>
      <c r="LOE188" s="5"/>
      <c r="LOF188" s="5"/>
      <c r="LOG188" s="5"/>
      <c r="LOH188" s="5"/>
      <c r="LOI188" s="5"/>
      <c r="LOJ188" s="5"/>
      <c r="LOK188" s="5"/>
      <c r="LOL188" s="5"/>
      <c r="LOM188" s="5"/>
      <c r="LON188" s="5"/>
      <c r="LOO188" s="5"/>
      <c r="LOP188" s="5"/>
      <c r="LOQ188" s="5"/>
      <c r="LOR188" s="5"/>
      <c r="LOS188" s="5"/>
      <c r="LOT188" s="5"/>
      <c r="LOU188" s="5"/>
      <c r="LOV188" s="5"/>
      <c r="LOW188" s="5"/>
      <c r="LOX188" s="5"/>
      <c r="LOY188" s="5"/>
      <c r="LOZ188" s="5"/>
      <c r="LPA188" s="5"/>
      <c r="LPB188" s="5"/>
      <c r="LPC188" s="5"/>
      <c r="LPD188" s="5"/>
      <c r="LPE188" s="5"/>
      <c r="LPF188" s="5"/>
      <c r="LPG188" s="5"/>
      <c r="LPH188" s="5"/>
      <c r="LPI188" s="5"/>
      <c r="LPJ188" s="5"/>
      <c r="LPK188" s="5"/>
      <c r="LPL188" s="5"/>
      <c r="LPM188" s="5"/>
      <c r="LPN188" s="5"/>
      <c r="LPO188" s="5"/>
      <c r="LPP188" s="5"/>
      <c r="LPQ188" s="5"/>
      <c r="LPR188" s="5"/>
      <c r="LPS188" s="5"/>
      <c r="LPT188" s="5"/>
      <c r="LPU188" s="5"/>
      <c r="LPV188" s="5"/>
      <c r="LPW188" s="5"/>
      <c r="LPX188" s="5"/>
      <c r="LPY188" s="5"/>
      <c r="LPZ188" s="5"/>
      <c r="LQA188" s="5"/>
      <c r="LQB188" s="5"/>
      <c r="LQC188" s="5"/>
      <c r="LQD188" s="5"/>
      <c r="LQE188" s="5"/>
      <c r="LQF188" s="5"/>
      <c r="LQG188" s="5"/>
      <c r="LQH188" s="5"/>
      <c r="LQI188" s="5"/>
      <c r="LQJ188" s="5"/>
      <c r="LQK188" s="5"/>
      <c r="LQL188" s="5"/>
      <c r="LQM188" s="5"/>
      <c r="LQN188" s="5"/>
      <c r="LQO188" s="5"/>
      <c r="LQP188" s="5"/>
      <c r="LQQ188" s="5"/>
      <c r="LQR188" s="5"/>
      <c r="LQS188" s="5"/>
      <c r="LQT188" s="5"/>
      <c r="LQU188" s="5"/>
      <c r="LQV188" s="5"/>
      <c r="LQW188" s="5"/>
      <c r="LQX188" s="5"/>
      <c r="LQY188" s="5"/>
      <c r="LQZ188" s="5"/>
      <c r="LRA188" s="5"/>
      <c r="LRB188" s="5"/>
      <c r="LRC188" s="5"/>
      <c r="LRD188" s="5"/>
      <c r="LRE188" s="5"/>
      <c r="LRF188" s="5"/>
      <c r="LRG188" s="5"/>
      <c r="LRH188" s="5"/>
      <c r="LRI188" s="5"/>
      <c r="LRJ188" s="5"/>
      <c r="LRK188" s="5"/>
      <c r="LRL188" s="5"/>
      <c r="LRM188" s="5"/>
      <c r="LRN188" s="5"/>
      <c r="LRO188" s="5"/>
      <c r="LRP188" s="5"/>
      <c r="LRQ188" s="5"/>
      <c r="LRR188" s="5"/>
      <c r="LRS188" s="5"/>
      <c r="LRT188" s="5"/>
      <c r="LRU188" s="5"/>
      <c r="LRV188" s="5"/>
      <c r="LRW188" s="5"/>
      <c r="LRX188" s="5"/>
      <c r="LRY188" s="5"/>
      <c r="LRZ188" s="5"/>
      <c r="LSA188" s="5"/>
      <c r="LSB188" s="5"/>
      <c r="LSC188" s="5"/>
      <c r="LSD188" s="5"/>
      <c r="LSE188" s="5"/>
      <c r="LSF188" s="5"/>
      <c r="LSG188" s="5"/>
      <c r="LSH188" s="5"/>
      <c r="LSI188" s="5"/>
      <c r="LSJ188" s="5"/>
      <c r="LSK188" s="5"/>
      <c r="LSL188" s="5"/>
      <c r="LSM188" s="5"/>
      <c r="LSN188" s="5"/>
      <c r="LSO188" s="5"/>
      <c r="LSP188" s="5"/>
      <c r="LSQ188" s="5"/>
      <c r="LSR188" s="5"/>
      <c r="LSS188" s="5"/>
      <c r="LST188" s="5"/>
      <c r="LSU188" s="5"/>
      <c r="LSV188" s="5"/>
      <c r="LSW188" s="5"/>
      <c r="LSX188" s="5"/>
      <c r="LSY188" s="5"/>
      <c r="LSZ188" s="5"/>
      <c r="LTA188" s="5"/>
      <c r="LTB188" s="5"/>
      <c r="LTC188" s="5"/>
      <c r="LTD188" s="5"/>
      <c r="LTE188" s="5"/>
      <c r="LTF188" s="5"/>
      <c r="LTG188" s="5"/>
      <c r="LTH188" s="5"/>
      <c r="LTI188" s="5"/>
      <c r="LTJ188" s="5"/>
      <c r="LTK188" s="5"/>
      <c r="LTL188" s="5"/>
      <c r="LTM188" s="5"/>
      <c r="LTN188" s="5"/>
      <c r="LTO188" s="5"/>
      <c r="LTP188" s="5"/>
      <c r="LTQ188" s="5"/>
      <c r="LTR188" s="5"/>
      <c r="LTS188" s="5"/>
      <c r="LTT188" s="5"/>
      <c r="LTU188" s="5"/>
      <c r="LTV188" s="5"/>
      <c r="LTW188" s="5"/>
      <c r="LTX188" s="5"/>
      <c r="LTY188" s="5"/>
      <c r="LTZ188" s="5"/>
      <c r="LUA188" s="5"/>
      <c r="LUB188" s="5"/>
      <c r="LUC188" s="5"/>
      <c r="LUD188" s="5"/>
      <c r="LUE188" s="5"/>
      <c r="LUF188" s="5"/>
      <c r="LUG188" s="5"/>
      <c r="LUH188" s="5"/>
      <c r="LUI188" s="5"/>
      <c r="LUJ188" s="5"/>
      <c r="LUK188" s="5"/>
      <c r="LUL188" s="5"/>
      <c r="LUM188" s="5"/>
      <c r="LUN188" s="5"/>
      <c r="LUO188" s="5"/>
      <c r="LUP188" s="5"/>
      <c r="LUQ188" s="5"/>
      <c r="LUR188" s="5"/>
      <c r="LUS188" s="5"/>
      <c r="LUT188" s="5"/>
      <c r="LUU188" s="5"/>
      <c r="LUV188" s="5"/>
      <c r="LUW188" s="5"/>
      <c r="LUX188" s="5"/>
      <c r="LUY188" s="5"/>
      <c r="LUZ188" s="5"/>
      <c r="LVA188" s="5"/>
      <c r="LVB188" s="5"/>
      <c r="LVC188" s="5"/>
      <c r="LVD188" s="5"/>
      <c r="LVE188" s="5"/>
      <c r="LVF188" s="5"/>
      <c r="LVG188" s="5"/>
      <c r="LVH188" s="5"/>
      <c r="LVI188" s="5"/>
      <c r="LVJ188" s="5"/>
      <c r="LVK188" s="5"/>
      <c r="LVL188" s="5"/>
      <c r="LVM188" s="5"/>
      <c r="LVN188" s="5"/>
      <c r="LVO188" s="5"/>
      <c r="LVP188" s="5"/>
      <c r="LVQ188" s="5"/>
      <c r="LVR188" s="5"/>
      <c r="LVS188" s="5"/>
      <c r="LVT188" s="5"/>
      <c r="LVU188" s="5"/>
      <c r="LVV188" s="5"/>
      <c r="LVW188" s="5"/>
      <c r="LVX188" s="5"/>
      <c r="LVY188" s="5"/>
      <c r="LVZ188" s="5"/>
      <c r="LWA188" s="5"/>
      <c r="LWB188" s="5"/>
      <c r="LWC188" s="5"/>
      <c r="LWD188" s="5"/>
      <c r="LWE188" s="5"/>
      <c r="LWF188" s="5"/>
      <c r="LWG188" s="5"/>
      <c r="LWH188" s="5"/>
      <c r="LWI188" s="5"/>
      <c r="LWJ188" s="5"/>
      <c r="LWK188" s="5"/>
      <c r="LWL188" s="5"/>
      <c r="LWM188" s="5"/>
      <c r="LWN188" s="5"/>
      <c r="LWO188" s="5"/>
      <c r="LWP188" s="5"/>
      <c r="LWQ188" s="5"/>
      <c r="LWR188" s="5"/>
      <c r="LWS188" s="5"/>
      <c r="LWT188" s="5"/>
      <c r="LWU188" s="5"/>
      <c r="LWV188" s="5"/>
      <c r="LWW188" s="5"/>
      <c r="LWX188" s="5"/>
      <c r="LWY188" s="5"/>
      <c r="LWZ188" s="5"/>
      <c r="LXA188" s="5"/>
      <c r="LXB188" s="5"/>
      <c r="LXC188" s="5"/>
      <c r="LXD188" s="5"/>
      <c r="LXE188" s="5"/>
      <c r="LXF188" s="5"/>
      <c r="LXG188" s="5"/>
      <c r="LXH188" s="5"/>
      <c r="LXI188" s="5"/>
      <c r="LXJ188" s="5"/>
      <c r="LXK188" s="5"/>
      <c r="LXL188" s="5"/>
      <c r="LXM188" s="5"/>
      <c r="LXN188" s="5"/>
      <c r="LXO188" s="5"/>
      <c r="LXP188" s="5"/>
      <c r="LXQ188" s="5"/>
      <c r="LXR188" s="5"/>
      <c r="LXS188" s="5"/>
      <c r="LXT188" s="5"/>
      <c r="LXU188" s="5"/>
      <c r="LXV188" s="5"/>
      <c r="LXW188" s="5"/>
      <c r="LXX188" s="5"/>
      <c r="LXY188" s="5"/>
      <c r="LXZ188" s="5"/>
      <c r="LYA188" s="5"/>
      <c r="LYB188" s="5"/>
      <c r="LYC188" s="5"/>
      <c r="LYD188" s="5"/>
      <c r="LYE188" s="5"/>
      <c r="LYF188" s="5"/>
      <c r="LYG188" s="5"/>
      <c r="LYH188" s="5"/>
      <c r="LYI188" s="5"/>
      <c r="LYJ188" s="5"/>
      <c r="LYK188" s="5"/>
      <c r="LYL188" s="5"/>
      <c r="LYM188" s="5"/>
      <c r="LYN188" s="5"/>
      <c r="LYO188" s="5"/>
      <c r="LYP188" s="5"/>
      <c r="LYQ188" s="5"/>
      <c r="LYR188" s="5"/>
      <c r="LYS188" s="5"/>
      <c r="LYT188" s="5"/>
      <c r="LYU188" s="5"/>
      <c r="LYV188" s="5"/>
      <c r="LYW188" s="5"/>
      <c r="LYX188" s="5"/>
      <c r="LYY188" s="5"/>
      <c r="LYZ188" s="5"/>
      <c r="LZA188" s="5"/>
      <c r="LZB188" s="5"/>
      <c r="LZC188" s="5"/>
      <c r="LZD188" s="5"/>
      <c r="LZE188" s="5"/>
      <c r="LZF188" s="5"/>
      <c r="LZG188" s="5"/>
      <c r="LZH188" s="5"/>
      <c r="LZI188" s="5"/>
      <c r="LZJ188" s="5"/>
      <c r="LZK188" s="5"/>
      <c r="LZL188" s="5"/>
      <c r="LZM188" s="5"/>
      <c r="LZN188" s="5"/>
      <c r="LZO188" s="5"/>
      <c r="LZP188" s="5"/>
      <c r="LZQ188" s="5"/>
      <c r="LZR188" s="5"/>
      <c r="LZS188" s="5"/>
      <c r="LZT188" s="5"/>
      <c r="LZU188" s="5"/>
      <c r="LZV188" s="5"/>
      <c r="LZW188" s="5"/>
      <c r="LZX188" s="5"/>
      <c r="LZY188" s="5"/>
      <c r="LZZ188" s="5"/>
      <c r="MAA188" s="5"/>
      <c r="MAB188" s="5"/>
      <c r="MAC188" s="5"/>
      <c r="MAD188" s="5"/>
      <c r="MAE188" s="5"/>
      <c r="MAF188" s="5"/>
      <c r="MAG188" s="5"/>
      <c r="MAH188" s="5"/>
      <c r="MAI188" s="5"/>
      <c r="MAJ188" s="5"/>
      <c r="MAK188" s="5"/>
      <c r="MAL188" s="5"/>
      <c r="MAM188" s="5"/>
      <c r="MAN188" s="5"/>
      <c r="MAO188" s="5"/>
      <c r="MAP188" s="5"/>
      <c r="MAQ188" s="5"/>
      <c r="MAR188" s="5"/>
      <c r="MAS188" s="5"/>
      <c r="MAT188" s="5"/>
      <c r="MAU188" s="5"/>
      <c r="MAV188" s="5"/>
      <c r="MAW188" s="5"/>
      <c r="MAX188" s="5"/>
      <c r="MAY188" s="5"/>
      <c r="MAZ188" s="5"/>
      <c r="MBA188" s="5"/>
      <c r="MBB188" s="5"/>
      <c r="MBC188" s="5"/>
      <c r="MBD188" s="5"/>
      <c r="MBE188" s="5"/>
      <c r="MBF188" s="5"/>
      <c r="MBG188" s="5"/>
      <c r="MBH188" s="5"/>
      <c r="MBI188" s="5"/>
      <c r="MBJ188" s="5"/>
      <c r="MBK188" s="5"/>
      <c r="MBL188" s="5"/>
      <c r="MBM188" s="5"/>
      <c r="MBN188" s="5"/>
      <c r="MBO188" s="5"/>
      <c r="MBP188" s="5"/>
      <c r="MBQ188" s="5"/>
      <c r="MBR188" s="5"/>
      <c r="MBS188" s="5"/>
      <c r="MBT188" s="5"/>
      <c r="MBU188" s="5"/>
      <c r="MBV188" s="5"/>
      <c r="MBW188" s="5"/>
      <c r="MBX188" s="5"/>
      <c r="MBY188" s="5"/>
      <c r="MBZ188" s="5"/>
      <c r="MCA188" s="5"/>
      <c r="MCB188" s="5"/>
      <c r="MCC188" s="5"/>
      <c r="MCD188" s="5"/>
      <c r="MCE188" s="5"/>
      <c r="MCF188" s="5"/>
      <c r="MCG188" s="5"/>
      <c r="MCH188" s="5"/>
      <c r="MCI188" s="5"/>
      <c r="MCJ188" s="5"/>
      <c r="MCK188" s="5"/>
      <c r="MCL188" s="5"/>
      <c r="MCM188" s="5"/>
      <c r="MCN188" s="5"/>
      <c r="MCO188" s="5"/>
      <c r="MCP188" s="5"/>
      <c r="MCQ188" s="5"/>
      <c r="MCR188" s="5"/>
      <c r="MCS188" s="5"/>
      <c r="MCT188" s="5"/>
      <c r="MCU188" s="5"/>
      <c r="MCV188" s="5"/>
      <c r="MCW188" s="5"/>
      <c r="MCX188" s="5"/>
      <c r="MCY188" s="5"/>
      <c r="MCZ188" s="5"/>
      <c r="MDA188" s="5"/>
      <c r="MDB188" s="5"/>
      <c r="MDC188" s="5"/>
      <c r="MDD188" s="5"/>
      <c r="MDE188" s="5"/>
      <c r="MDF188" s="5"/>
      <c r="MDG188" s="5"/>
      <c r="MDH188" s="5"/>
      <c r="MDI188" s="5"/>
      <c r="MDJ188" s="5"/>
      <c r="MDK188" s="5"/>
      <c r="MDL188" s="5"/>
      <c r="MDM188" s="5"/>
      <c r="MDN188" s="5"/>
      <c r="MDO188" s="5"/>
      <c r="MDP188" s="5"/>
      <c r="MDQ188" s="5"/>
      <c r="MDR188" s="5"/>
      <c r="MDS188" s="5"/>
      <c r="MDT188" s="5"/>
      <c r="MDU188" s="5"/>
      <c r="MDV188" s="5"/>
      <c r="MDW188" s="5"/>
      <c r="MDX188" s="5"/>
      <c r="MDY188" s="5"/>
      <c r="MDZ188" s="5"/>
      <c r="MEA188" s="5"/>
      <c r="MEB188" s="5"/>
      <c r="MEC188" s="5"/>
      <c r="MED188" s="5"/>
      <c r="MEE188" s="5"/>
      <c r="MEF188" s="5"/>
      <c r="MEG188" s="5"/>
      <c r="MEH188" s="5"/>
      <c r="MEI188" s="5"/>
      <c r="MEJ188" s="5"/>
      <c r="MEK188" s="5"/>
      <c r="MEL188" s="5"/>
      <c r="MEM188" s="5"/>
      <c r="MEN188" s="5"/>
      <c r="MEO188" s="5"/>
      <c r="MEP188" s="5"/>
      <c r="MEQ188" s="5"/>
      <c r="MER188" s="5"/>
      <c r="MES188" s="5"/>
      <c r="MET188" s="5"/>
      <c r="MEU188" s="5"/>
      <c r="MEV188" s="5"/>
      <c r="MEW188" s="5"/>
      <c r="MEX188" s="5"/>
      <c r="MEY188" s="5"/>
      <c r="MEZ188" s="5"/>
      <c r="MFA188" s="5"/>
      <c r="MFB188" s="5"/>
      <c r="MFC188" s="5"/>
      <c r="MFD188" s="5"/>
      <c r="MFE188" s="5"/>
      <c r="MFF188" s="5"/>
      <c r="MFG188" s="5"/>
      <c r="MFH188" s="5"/>
      <c r="MFI188" s="5"/>
      <c r="MFJ188" s="5"/>
      <c r="MFK188" s="5"/>
      <c r="MFL188" s="5"/>
      <c r="MFM188" s="5"/>
      <c r="MFN188" s="5"/>
      <c r="MFO188" s="5"/>
      <c r="MFP188" s="5"/>
      <c r="MFQ188" s="5"/>
      <c r="MFR188" s="5"/>
      <c r="MFS188" s="5"/>
      <c r="MFT188" s="5"/>
      <c r="MFU188" s="5"/>
      <c r="MFV188" s="5"/>
      <c r="MFW188" s="5"/>
      <c r="MFX188" s="5"/>
      <c r="MFY188" s="5"/>
      <c r="MFZ188" s="5"/>
      <c r="MGA188" s="5"/>
      <c r="MGB188" s="5"/>
      <c r="MGC188" s="5"/>
      <c r="MGD188" s="5"/>
      <c r="MGE188" s="5"/>
      <c r="MGF188" s="5"/>
      <c r="MGG188" s="5"/>
      <c r="MGH188" s="5"/>
      <c r="MGI188" s="5"/>
      <c r="MGJ188" s="5"/>
      <c r="MGK188" s="5"/>
      <c r="MGL188" s="5"/>
      <c r="MGM188" s="5"/>
      <c r="MGN188" s="5"/>
      <c r="MGO188" s="5"/>
      <c r="MGP188" s="5"/>
      <c r="MGQ188" s="5"/>
      <c r="MGR188" s="5"/>
      <c r="MGS188" s="5"/>
      <c r="MGT188" s="5"/>
      <c r="MGU188" s="5"/>
      <c r="MGV188" s="5"/>
      <c r="MGW188" s="5"/>
      <c r="MGX188" s="5"/>
      <c r="MGY188" s="5"/>
      <c r="MGZ188" s="5"/>
      <c r="MHA188" s="5"/>
      <c r="MHB188" s="5"/>
      <c r="MHC188" s="5"/>
      <c r="MHD188" s="5"/>
      <c r="MHE188" s="5"/>
      <c r="MHF188" s="5"/>
      <c r="MHG188" s="5"/>
      <c r="MHH188" s="5"/>
      <c r="MHI188" s="5"/>
      <c r="MHJ188" s="5"/>
      <c r="MHK188" s="5"/>
      <c r="MHL188" s="5"/>
      <c r="MHM188" s="5"/>
      <c r="MHN188" s="5"/>
      <c r="MHO188" s="5"/>
      <c r="MHP188" s="5"/>
      <c r="MHQ188" s="5"/>
      <c r="MHR188" s="5"/>
      <c r="MHS188" s="5"/>
      <c r="MHT188" s="5"/>
      <c r="MHU188" s="5"/>
      <c r="MHV188" s="5"/>
      <c r="MHW188" s="5"/>
      <c r="MHX188" s="5"/>
      <c r="MHY188" s="5"/>
      <c r="MHZ188" s="5"/>
      <c r="MIA188" s="5"/>
      <c r="MIB188" s="5"/>
      <c r="MIC188" s="5"/>
      <c r="MID188" s="5"/>
      <c r="MIE188" s="5"/>
      <c r="MIF188" s="5"/>
      <c r="MIG188" s="5"/>
      <c r="MIH188" s="5"/>
      <c r="MII188" s="5"/>
      <c r="MIJ188" s="5"/>
      <c r="MIK188" s="5"/>
      <c r="MIL188" s="5"/>
      <c r="MIM188" s="5"/>
      <c r="MIN188" s="5"/>
      <c r="MIO188" s="5"/>
      <c r="MIP188" s="5"/>
      <c r="MIQ188" s="5"/>
      <c r="MIR188" s="5"/>
      <c r="MIS188" s="5"/>
      <c r="MIT188" s="5"/>
      <c r="MIU188" s="5"/>
      <c r="MIV188" s="5"/>
      <c r="MIW188" s="5"/>
      <c r="MIX188" s="5"/>
      <c r="MIY188" s="5"/>
      <c r="MIZ188" s="5"/>
      <c r="MJA188" s="5"/>
      <c r="MJB188" s="5"/>
      <c r="MJC188" s="5"/>
      <c r="MJD188" s="5"/>
      <c r="MJE188" s="5"/>
      <c r="MJF188" s="5"/>
      <c r="MJG188" s="5"/>
      <c r="MJH188" s="5"/>
      <c r="MJI188" s="5"/>
      <c r="MJJ188" s="5"/>
      <c r="MJK188" s="5"/>
      <c r="MJL188" s="5"/>
      <c r="MJM188" s="5"/>
      <c r="MJN188" s="5"/>
      <c r="MJO188" s="5"/>
      <c r="MJP188" s="5"/>
      <c r="MJQ188" s="5"/>
      <c r="MJR188" s="5"/>
      <c r="MJS188" s="5"/>
      <c r="MJT188" s="5"/>
      <c r="MJU188" s="5"/>
      <c r="MJV188" s="5"/>
      <c r="MJW188" s="5"/>
      <c r="MJX188" s="5"/>
      <c r="MJY188" s="5"/>
      <c r="MJZ188" s="5"/>
      <c r="MKA188" s="5"/>
      <c r="MKB188" s="5"/>
      <c r="MKC188" s="5"/>
      <c r="MKD188" s="5"/>
      <c r="MKE188" s="5"/>
      <c r="MKF188" s="5"/>
      <c r="MKG188" s="5"/>
      <c r="MKH188" s="5"/>
      <c r="MKI188" s="5"/>
      <c r="MKJ188" s="5"/>
      <c r="MKK188" s="5"/>
      <c r="MKL188" s="5"/>
      <c r="MKM188" s="5"/>
      <c r="MKN188" s="5"/>
      <c r="MKO188" s="5"/>
      <c r="MKP188" s="5"/>
      <c r="MKQ188" s="5"/>
      <c r="MKR188" s="5"/>
      <c r="MKS188" s="5"/>
      <c r="MKT188" s="5"/>
      <c r="MKU188" s="5"/>
      <c r="MKV188" s="5"/>
      <c r="MKW188" s="5"/>
      <c r="MKX188" s="5"/>
      <c r="MKY188" s="5"/>
      <c r="MKZ188" s="5"/>
      <c r="MLA188" s="5"/>
      <c r="MLB188" s="5"/>
      <c r="MLC188" s="5"/>
      <c r="MLD188" s="5"/>
      <c r="MLE188" s="5"/>
      <c r="MLF188" s="5"/>
      <c r="MLG188" s="5"/>
      <c r="MLH188" s="5"/>
      <c r="MLI188" s="5"/>
      <c r="MLJ188" s="5"/>
      <c r="MLK188" s="5"/>
      <c r="MLL188" s="5"/>
      <c r="MLM188" s="5"/>
      <c r="MLN188" s="5"/>
      <c r="MLO188" s="5"/>
      <c r="MLP188" s="5"/>
      <c r="MLQ188" s="5"/>
      <c r="MLR188" s="5"/>
      <c r="MLS188" s="5"/>
      <c r="MLT188" s="5"/>
      <c r="MLU188" s="5"/>
      <c r="MLV188" s="5"/>
      <c r="MLW188" s="5"/>
      <c r="MLX188" s="5"/>
      <c r="MLY188" s="5"/>
      <c r="MLZ188" s="5"/>
      <c r="MMA188" s="5"/>
      <c r="MMB188" s="5"/>
      <c r="MMC188" s="5"/>
      <c r="MMD188" s="5"/>
      <c r="MME188" s="5"/>
      <c r="MMF188" s="5"/>
      <c r="MMG188" s="5"/>
      <c r="MMH188" s="5"/>
      <c r="MMI188" s="5"/>
      <c r="MMJ188" s="5"/>
      <c r="MMK188" s="5"/>
      <c r="MML188" s="5"/>
      <c r="MMM188" s="5"/>
      <c r="MMN188" s="5"/>
      <c r="MMO188" s="5"/>
      <c r="MMP188" s="5"/>
      <c r="MMQ188" s="5"/>
      <c r="MMR188" s="5"/>
      <c r="MMS188" s="5"/>
      <c r="MMT188" s="5"/>
      <c r="MMU188" s="5"/>
      <c r="MMV188" s="5"/>
      <c r="MMW188" s="5"/>
      <c r="MMX188" s="5"/>
      <c r="MMY188" s="5"/>
      <c r="MMZ188" s="5"/>
      <c r="MNA188" s="5"/>
      <c r="MNB188" s="5"/>
      <c r="MNC188" s="5"/>
      <c r="MND188" s="5"/>
      <c r="MNE188" s="5"/>
      <c r="MNF188" s="5"/>
      <c r="MNG188" s="5"/>
      <c r="MNH188" s="5"/>
      <c r="MNI188" s="5"/>
      <c r="MNJ188" s="5"/>
      <c r="MNK188" s="5"/>
      <c r="MNL188" s="5"/>
      <c r="MNM188" s="5"/>
      <c r="MNN188" s="5"/>
      <c r="MNO188" s="5"/>
      <c r="MNP188" s="5"/>
      <c r="MNQ188" s="5"/>
      <c r="MNR188" s="5"/>
      <c r="MNS188" s="5"/>
      <c r="MNT188" s="5"/>
      <c r="MNU188" s="5"/>
      <c r="MNV188" s="5"/>
      <c r="MNW188" s="5"/>
      <c r="MNX188" s="5"/>
      <c r="MNY188" s="5"/>
      <c r="MNZ188" s="5"/>
      <c r="MOA188" s="5"/>
      <c r="MOB188" s="5"/>
      <c r="MOC188" s="5"/>
      <c r="MOD188" s="5"/>
      <c r="MOE188" s="5"/>
      <c r="MOF188" s="5"/>
      <c r="MOG188" s="5"/>
      <c r="MOH188" s="5"/>
      <c r="MOI188" s="5"/>
      <c r="MOJ188" s="5"/>
      <c r="MOK188" s="5"/>
      <c r="MOL188" s="5"/>
      <c r="MOM188" s="5"/>
      <c r="MON188" s="5"/>
      <c r="MOO188" s="5"/>
      <c r="MOP188" s="5"/>
      <c r="MOQ188" s="5"/>
      <c r="MOR188" s="5"/>
      <c r="MOS188" s="5"/>
      <c r="MOT188" s="5"/>
      <c r="MOU188" s="5"/>
      <c r="MOV188" s="5"/>
      <c r="MOW188" s="5"/>
      <c r="MOX188" s="5"/>
      <c r="MOY188" s="5"/>
      <c r="MOZ188" s="5"/>
      <c r="MPA188" s="5"/>
      <c r="MPB188" s="5"/>
      <c r="MPC188" s="5"/>
      <c r="MPD188" s="5"/>
      <c r="MPE188" s="5"/>
      <c r="MPF188" s="5"/>
      <c r="MPG188" s="5"/>
      <c r="MPH188" s="5"/>
      <c r="MPI188" s="5"/>
      <c r="MPJ188" s="5"/>
      <c r="MPK188" s="5"/>
      <c r="MPL188" s="5"/>
      <c r="MPM188" s="5"/>
      <c r="MPN188" s="5"/>
      <c r="MPO188" s="5"/>
      <c r="MPP188" s="5"/>
      <c r="MPQ188" s="5"/>
      <c r="MPR188" s="5"/>
      <c r="MPS188" s="5"/>
      <c r="MPT188" s="5"/>
      <c r="MPU188" s="5"/>
      <c r="MPV188" s="5"/>
      <c r="MPW188" s="5"/>
      <c r="MPX188" s="5"/>
      <c r="MPY188" s="5"/>
      <c r="MPZ188" s="5"/>
      <c r="MQA188" s="5"/>
      <c r="MQB188" s="5"/>
      <c r="MQC188" s="5"/>
      <c r="MQD188" s="5"/>
      <c r="MQE188" s="5"/>
      <c r="MQF188" s="5"/>
      <c r="MQG188" s="5"/>
      <c r="MQH188" s="5"/>
      <c r="MQI188" s="5"/>
      <c r="MQJ188" s="5"/>
      <c r="MQK188" s="5"/>
      <c r="MQL188" s="5"/>
      <c r="MQM188" s="5"/>
      <c r="MQN188" s="5"/>
      <c r="MQO188" s="5"/>
      <c r="MQP188" s="5"/>
      <c r="MQQ188" s="5"/>
      <c r="MQR188" s="5"/>
      <c r="MQS188" s="5"/>
      <c r="MQT188" s="5"/>
      <c r="MQU188" s="5"/>
      <c r="MQV188" s="5"/>
      <c r="MQW188" s="5"/>
      <c r="MQX188" s="5"/>
      <c r="MQY188" s="5"/>
      <c r="MQZ188" s="5"/>
      <c r="MRA188" s="5"/>
      <c r="MRB188" s="5"/>
      <c r="MRC188" s="5"/>
      <c r="MRD188" s="5"/>
      <c r="MRE188" s="5"/>
      <c r="MRF188" s="5"/>
      <c r="MRG188" s="5"/>
      <c r="MRH188" s="5"/>
      <c r="MRI188" s="5"/>
      <c r="MRJ188" s="5"/>
      <c r="MRK188" s="5"/>
      <c r="MRL188" s="5"/>
      <c r="MRM188" s="5"/>
      <c r="MRN188" s="5"/>
      <c r="MRO188" s="5"/>
      <c r="MRP188" s="5"/>
      <c r="MRQ188" s="5"/>
      <c r="MRR188" s="5"/>
      <c r="MRS188" s="5"/>
      <c r="MRT188" s="5"/>
      <c r="MRU188" s="5"/>
      <c r="MRV188" s="5"/>
      <c r="MRW188" s="5"/>
      <c r="MRX188" s="5"/>
      <c r="MRY188" s="5"/>
      <c r="MRZ188" s="5"/>
      <c r="MSA188" s="5"/>
      <c r="MSB188" s="5"/>
      <c r="MSC188" s="5"/>
      <c r="MSD188" s="5"/>
      <c r="MSE188" s="5"/>
      <c r="MSF188" s="5"/>
      <c r="MSG188" s="5"/>
      <c r="MSH188" s="5"/>
      <c r="MSI188" s="5"/>
      <c r="MSJ188" s="5"/>
      <c r="MSK188" s="5"/>
      <c r="MSL188" s="5"/>
      <c r="MSM188" s="5"/>
      <c r="MSN188" s="5"/>
      <c r="MSO188" s="5"/>
      <c r="MSP188" s="5"/>
      <c r="MSQ188" s="5"/>
      <c r="MSR188" s="5"/>
      <c r="MSS188" s="5"/>
      <c r="MST188" s="5"/>
      <c r="MSU188" s="5"/>
      <c r="MSV188" s="5"/>
      <c r="MSW188" s="5"/>
      <c r="MSX188" s="5"/>
      <c r="MSY188" s="5"/>
      <c r="MSZ188" s="5"/>
      <c r="MTA188" s="5"/>
      <c r="MTB188" s="5"/>
      <c r="MTC188" s="5"/>
      <c r="MTD188" s="5"/>
      <c r="MTE188" s="5"/>
      <c r="MTF188" s="5"/>
      <c r="MTG188" s="5"/>
      <c r="MTH188" s="5"/>
      <c r="MTI188" s="5"/>
      <c r="MTJ188" s="5"/>
      <c r="MTK188" s="5"/>
      <c r="MTL188" s="5"/>
      <c r="MTM188" s="5"/>
      <c r="MTN188" s="5"/>
      <c r="MTO188" s="5"/>
      <c r="MTP188" s="5"/>
      <c r="MTQ188" s="5"/>
      <c r="MTR188" s="5"/>
      <c r="MTS188" s="5"/>
      <c r="MTT188" s="5"/>
      <c r="MTU188" s="5"/>
      <c r="MTV188" s="5"/>
      <c r="MTW188" s="5"/>
      <c r="MTX188" s="5"/>
      <c r="MTY188" s="5"/>
      <c r="MTZ188" s="5"/>
      <c r="MUA188" s="5"/>
      <c r="MUB188" s="5"/>
      <c r="MUC188" s="5"/>
      <c r="MUD188" s="5"/>
      <c r="MUE188" s="5"/>
      <c r="MUF188" s="5"/>
      <c r="MUG188" s="5"/>
      <c r="MUH188" s="5"/>
      <c r="MUI188" s="5"/>
      <c r="MUJ188" s="5"/>
      <c r="MUK188" s="5"/>
      <c r="MUL188" s="5"/>
      <c r="MUM188" s="5"/>
      <c r="MUN188" s="5"/>
      <c r="MUO188" s="5"/>
      <c r="MUP188" s="5"/>
      <c r="MUQ188" s="5"/>
      <c r="MUR188" s="5"/>
      <c r="MUS188" s="5"/>
      <c r="MUT188" s="5"/>
      <c r="MUU188" s="5"/>
      <c r="MUV188" s="5"/>
      <c r="MUW188" s="5"/>
      <c r="MUX188" s="5"/>
      <c r="MUY188" s="5"/>
      <c r="MUZ188" s="5"/>
      <c r="MVA188" s="5"/>
      <c r="MVB188" s="5"/>
      <c r="MVC188" s="5"/>
      <c r="MVD188" s="5"/>
      <c r="MVE188" s="5"/>
      <c r="MVF188" s="5"/>
      <c r="MVG188" s="5"/>
      <c r="MVH188" s="5"/>
      <c r="MVI188" s="5"/>
      <c r="MVJ188" s="5"/>
      <c r="MVK188" s="5"/>
      <c r="MVL188" s="5"/>
      <c r="MVM188" s="5"/>
      <c r="MVN188" s="5"/>
      <c r="MVO188" s="5"/>
      <c r="MVP188" s="5"/>
      <c r="MVQ188" s="5"/>
      <c r="MVR188" s="5"/>
      <c r="MVS188" s="5"/>
      <c r="MVT188" s="5"/>
      <c r="MVU188" s="5"/>
      <c r="MVV188" s="5"/>
      <c r="MVW188" s="5"/>
      <c r="MVX188" s="5"/>
      <c r="MVY188" s="5"/>
      <c r="MVZ188" s="5"/>
      <c r="MWA188" s="5"/>
      <c r="MWB188" s="5"/>
      <c r="MWC188" s="5"/>
      <c r="MWD188" s="5"/>
      <c r="MWE188" s="5"/>
      <c r="MWF188" s="5"/>
      <c r="MWG188" s="5"/>
      <c r="MWH188" s="5"/>
      <c r="MWI188" s="5"/>
      <c r="MWJ188" s="5"/>
      <c r="MWK188" s="5"/>
      <c r="MWL188" s="5"/>
      <c r="MWM188" s="5"/>
      <c r="MWN188" s="5"/>
      <c r="MWO188" s="5"/>
      <c r="MWP188" s="5"/>
      <c r="MWQ188" s="5"/>
      <c r="MWR188" s="5"/>
      <c r="MWS188" s="5"/>
      <c r="MWT188" s="5"/>
      <c r="MWU188" s="5"/>
      <c r="MWV188" s="5"/>
      <c r="MWW188" s="5"/>
      <c r="MWX188" s="5"/>
      <c r="MWY188" s="5"/>
      <c r="MWZ188" s="5"/>
      <c r="MXA188" s="5"/>
      <c r="MXB188" s="5"/>
      <c r="MXC188" s="5"/>
      <c r="MXD188" s="5"/>
      <c r="MXE188" s="5"/>
      <c r="MXF188" s="5"/>
      <c r="MXG188" s="5"/>
      <c r="MXH188" s="5"/>
      <c r="MXI188" s="5"/>
      <c r="MXJ188" s="5"/>
      <c r="MXK188" s="5"/>
      <c r="MXL188" s="5"/>
      <c r="MXM188" s="5"/>
      <c r="MXN188" s="5"/>
      <c r="MXO188" s="5"/>
      <c r="MXP188" s="5"/>
      <c r="MXQ188" s="5"/>
      <c r="MXR188" s="5"/>
      <c r="MXS188" s="5"/>
      <c r="MXT188" s="5"/>
      <c r="MXU188" s="5"/>
      <c r="MXV188" s="5"/>
      <c r="MXW188" s="5"/>
      <c r="MXX188" s="5"/>
      <c r="MXY188" s="5"/>
      <c r="MXZ188" s="5"/>
      <c r="MYA188" s="5"/>
      <c r="MYB188" s="5"/>
      <c r="MYC188" s="5"/>
      <c r="MYD188" s="5"/>
      <c r="MYE188" s="5"/>
      <c r="MYF188" s="5"/>
      <c r="MYG188" s="5"/>
      <c r="MYH188" s="5"/>
      <c r="MYI188" s="5"/>
      <c r="MYJ188" s="5"/>
      <c r="MYK188" s="5"/>
      <c r="MYL188" s="5"/>
      <c r="MYM188" s="5"/>
      <c r="MYN188" s="5"/>
      <c r="MYO188" s="5"/>
      <c r="MYP188" s="5"/>
      <c r="MYQ188" s="5"/>
      <c r="MYR188" s="5"/>
      <c r="MYS188" s="5"/>
      <c r="MYT188" s="5"/>
      <c r="MYU188" s="5"/>
      <c r="MYV188" s="5"/>
      <c r="MYW188" s="5"/>
      <c r="MYX188" s="5"/>
      <c r="MYY188" s="5"/>
      <c r="MYZ188" s="5"/>
      <c r="MZA188" s="5"/>
      <c r="MZB188" s="5"/>
      <c r="MZC188" s="5"/>
      <c r="MZD188" s="5"/>
      <c r="MZE188" s="5"/>
      <c r="MZF188" s="5"/>
      <c r="MZG188" s="5"/>
      <c r="MZH188" s="5"/>
      <c r="MZI188" s="5"/>
      <c r="MZJ188" s="5"/>
      <c r="MZK188" s="5"/>
      <c r="MZL188" s="5"/>
      <c r="MZM188" s="5"/>
      <c r="MZN188" s="5"/>
      <c r="MZO188" s="5"/>
      <c r="MZP188" s="5"/>
      <c r="MZQ188" s="5"/>
      <c r="MZR188" s="5"/>
      <c r="MZS188" s="5"/>
      <c r="MZT188" s="5"/>
      <c r="MZU188" s="5"/>
      <c r="MZV188" s="5"/>
      <c r="MZW188" s="5"/>
      <c r="MZX188" s="5"/>
      <c r="MZY188" s="5"/>
      <c r="MZZ188" s="5"/>
      <c r="NAA188" s="5"/>
      <c r="NAB188" s="5"/>
      <c r="NAC188" s="5"/>
      <c r="NAD188" s="5"/>
      <c r="NAE188" s="5"/>
      <c r="NAF188" s="5"/>
      <c r="NAG188" s="5"/>
      <c r="NAH188" s="5"/>
      <c r="NAI188" s="5"/>
      <c r="NAJ188" s="5"/>
      <c r="NAK188" s="5"/>
      <c r="NAL188" s="5"/>
      <c r="NAM188" s="5"/>
      <c r="NAN188" s="5"/>
      <c r="NAO188" s="5"/>
      <c r="NAP188" s="5"/>
      <c r="NAQ188" s="5"/>
      <c r="NAR188" s="5"/>
      <c r="NAS188" s="5"/>
      <c r="NAT188" s="5"/>
      <c r="NAU188" s="5"/>
      <c r="NAV188" s="5"/>
      <c r="NAW188" s="5"/>
      <c r="NAX188" s="5"/>
      <c r="NAY188" s="5"/>
      <c r="NAZ188" s="5"/>
      <c r="NBA188" s="5"/>
      <c r="NBB188" s="5"/>
      <c r="NBC188" s="5"/>
      <c r="NBD188" s="5"/>
      <c r="NBE188" s="5"/>
      <c r="NBF188" s="5"/>
      <c r="NBG188" s="5"/>
      <c r="NBH188" s="5"/>
      <c r="NBI188" s="5"/>
      <c r="NBJ188" s="5"/>
      <c r="NBK188" s="5"/>
      <c r="NBL188" s="5"/>
      <c r="NBM188" s="5"/>
      <c r="NBN188" s="5"/>
      <c r="NBO188" s="5"/>
      <c r="NBP188" s="5"/>
      <c r="NBQ188" s="5"/>
      <c r="NBR188" s="5"/>
      <c r="NBS188" s="5"/>
      <c r="NBT188" s="5"/>
      <c r="NBU188" s="5"/>
      <c r="NBV188" s="5"/>
      <c r="NBW188" s="5"/>
      <c r="NBX188" s="5"/>
      <c r="NBY188" s="5"/>
      <c r="NBZ188" s="5"/>
      <c r="NCA188" s="5"/>
      <c r="NCB188" s="5"/>
      <c r="NCC188" s="5"/>
      <c r="NCD188" s="5"/>
      <c r="NCE188" s="5"/>
      <c r="NCF188" s="5"/>
      <c r="NCG188" s="5"/>
      <c r="NCH188" s="5"/>
      <c r="NCI188" s="5"/>
      <c r="NCJ188" s="5"/>
      <c r="NCK188" s="5"/>
      <c r="NCL188" s="5"/>
      <c r="NCM188" s="5"/>
      <c r="NCN188" s="5"/>
      <c r="NCO188" s="5"/>
      <c r="NCP188" s="5"/>
      <c r="NCQ188" s="5"/>
      <c r="NCR188" s="5"/>
      <c r="NCS188" s="5"/>
      <c r="NCT188" s="5"/>
      <c r="NCU188" s="5"/>
      <c r="NCV188" s="5"/>
      <c r="NCW188" s="5"/>
      <c r="NCX188" s="5"/>
      <c r="NCY188" s="5"/>
      <c r="NCZ188" s="5"/>
      <c r="NDA188" s="5"/>
      <c r="NDB188" s="5"/>
      <c r="NDC188" s="5"/>
      <c r="NDD188" s="5"/>
      <c r="NDE188" s="5"/>
      <c r="NDF188" s="5"/>
      <c r="NDG188" s="5"/>
      <c r="NDH188" s="5"/>
      <c r="NDI188" s="5"/>
      <c r="NDJ188" s="5"/>
      <c r="NDK188" s="5"/>
      <c r="NDL188" s="5"/>
      <c r="NDM188" s="5"/>
      <c r="NDN188" s="5"/>
      <c r="NDO188" s="5"/>
      <c r="NDP188" s="5"/>
      <c r="NDQ188" s="5"/>
      <c r="NDR188" s="5"/>
      <c r="NDS188" s="5"/>
      <c r="NDT188" s="5"/>
      <c r="NDU188" s="5"/>
      <c r="NDV188" s="5"/>
      <c r="NDW188" s="5"/>
      <c r="NDX188" s="5"/>
      <c r="NDY188" s="5"/>
      <c r="NDZ188" s="5"/>
      <c r="NEA188" s="5"/>
      <c r="NEB188" s="5"/>
      <c r="NEC188" s="5"/>
      <c r="NED188" s="5"/>
      <c r="NEE188" s="5"/>
      <c r="NEF188" s="5"/>
      <c r="NEG188" s="5"/>
      <c r="NEH188" s="5"/>
      <c r="NEI188" s="5"/>
      <c r="NEJ188" s="5"/>
      <c r="NEK188" s="5"/>
      <c r="NEL188" s="5"/>
      <c r="NEM188" s="5"/>
      <c r="NEN188" s="5"/>
      <c r="NEO188" s="5"/>
      <c r="NEP188" s="5"/>
      <c r="NEQ188" s="5"/>
      <c r="NER188" s="5"/>
      <c r="NES188" s="5"/>
      <c r="NET188" s="5"/>
      <c r="NEU188" s="5"/>
      <c r="NEV188" s="5"/>
      <c r="NEW188" s="5"/>
      <c r="NEX188" s="5"/>
      <c r="NEY188" s="5"/>
      <c r="NEZ188" s="5"/>
      <c r="NFA188" s="5"/>
      <c r="NFB188" s="5"/>
      <c r="NFC188" s="5"/>
      <c r="NFD188" s="5"/>
      <c r="NFE188" s="5"/>
      <c r="NFF188" s="5"/>
      <c r="NFG188" s="5"/>
      <c r="NFH188" s="5"/>
      <c r="NFI188" s="5"/>
      <c r="NFJ188" s="5"/>
      <c r="NFK188" s="5"/>
      <c r="NFL188" s="5"/>
      <c r="NFM188" s="5"/>
      <c r="NFN188" s="5"/>
      <c r="NFO188" s="5"/>
      <c r="NFP188" s="5"/>
      <c r="NFQ188" s="5"/>
      <c r="NFR188" s="5"/>
      <c r="NFS188" s="5"/>
      <c r="NFT188" s="5"/>
      <c r="NFU188" s="5"/>
      <c r="NFV188" s="5"/>
      <c r="NFW188" s="5"/>
      <c r="NFX188" s="5"/>
      <c r="NFY188" s="5"/>
      <c r="NFZ188" s="5"/>
      <c r="NGA188" s="5"/>
      <c r="NGB188" s="5"/>
      <c r="NGC188" s="5"/>
      <c r="NGD188" s="5"/>
      <c r="NGE188" s="5"/>
      <c r="NGF188" s="5"/>
      <c r="NGG188" s="5"/>
      <c r="NGH188" s="5"/>
      <c r="NGI188" s="5"/>
      <c r="NGJ188" s="5"/>
      <c r="NGK188" s="5"/>
      <c r="NGL188" s="5"/>
      <c r="NGM188" s="5"/>
      <c r="NGN188" s="5"/>
      <c r="NGO188" s="5"/>
      <c r="NGP188" s="5"/>
      <c r="NGQ188" s="5"/>
      <c r="NGR188" s="5"/>
      <c r="NGS188" s="5"/>
      <c r="NGT188" s="5"/>
      <c r="NGU188" s="5"/>
      <c r="NGV188" s="5"/>
      <c r="NGW188" s="5"/>
      <c r="NGX188" s="5"/>
      <c r="NGY188" s="5"/>
      <c r="NGZ188" s="5"/>
      <c r="NHA188" s="5"/>
      <c r="NHB188" s="5"/>
      <c r="NHC188" s="5"/>
      <c r="NHD188" s="5"/>
      <c r="NHE188" s="5"/>
      <c r="NHF188" s="5"/>
      <c r="NHG188" s="5"/>
      <c r="NHH188" s="5"/>
      <c r="NHI188" s="5"/>
      <c r="NHJ188" s="5"/>
      <c r="NHK188" s="5"/>
      <c r="NHL188" s="5"/>
      <c r="NHM188" s="5"/>
      <c r="NHN188" s="5"/>
      <c r="NHO188" s="5"/>
      <c r="NHP188" s="5"/>
      <c r="NHQ188" s="5"/>
      <c r="NHR188" s="5"/>
      <c r="NHS188" s="5"/>
      <c r="NHT188" s="5"/>
      <c r="NHU188" s="5"/>
      <c r="NHV188" s="5"/>
      <c r="NHW188" s="5"/>
      <c r="NHX188" s="5"/>
      <c r="NHY188" s="5"/>
      <c r="NHZ188" s="5"/>
      <c r="NIA188" s="5"/>
      <c r="NIB188" s="5"/>
      <c r="NIC188" s="5"/>
      <c r="NID188" s="5"/>
      <c r="NIE188" s="5"/>
      <c r="NIF188" s="5"/>
      <c r="NIG188" s="5"/>
      <c r="NIH188" s="5"/>
      <c r="NII188" s="5"/>
      <c r="NIJ188" s="5"/>
      <c r="NIK188" s="5"/>
      <c r="NIL188" s="5"/>
      <c r="NIM188" s="5"/>
      <c r="NIN188" s="5"/>
      <c r="NIO188" s="5"/>
      <c r="NIP188" s="5"/>
      <c r="NIQ188" s="5"/>
      <c r="NIR188" s="5"/>
      <c r="NIS188" s="5"/>
      <c r="NIT188" s="5"/>
      <c r="NIU188" s="5"/>
      <c r="NIV188" s="5"/>
      <c r="NIW188" s="5"/>
      <c r="NIX188" s="5"/>
      <c r="NIY188" s="5"/>
      <c r="NIZ188" s="5"/>
      <c r="NJA188" s="5"/>
      <c r="NJB188" s="5"/>
      <c r="NJC188" s="5"/>
      <c r="NJD188" s="5"/>
      <c r="NJE188" s="5"/>
      <c r="NJF188" s="5"/>
      <c r="NJG188" s="5"/>
      <c r="NJH188" s="5"/>
      <c r="NJI188" s="5"/>
      <c r="NJJ188" s="5"/>
      <c r="NJK188" s="5"/>
      <c r="NJL188" s="5"/>
      <c r="NJM188" s="5"/>
      <c r="NJN188" s="5"/>
      <c r="NJO188" s="5"/>
      <c r="NJP188" s="5"/>
      <c r="NJQ188" s="5"/>
      <c r="NJR188" s="5"/>
      <c r="NJS188" s="5"/>
      <c r="NJT188" s="5"/>
      <c r="NJU188" s="5"/>
      <c r="NJV188" s="5"/>
      <c r="NJW188" s="5"/>
      <c r="NJX188" s="5"/>
      <c r="NJY188" s="5"/>
      <c r="NJZ188" s="5"/>
      <c r="NKA188" s="5"/>
      <c r="NKB188" s="5"/>
      <c r="NKC188" s="5"/>
      <c r="NKD188" s="5"/>
      <c r="NKE188" s="5"/>
      <c r="NKF188" s="5"/>
      <c r="NKG188" s="5"/>
      <c r="NKH188" s="5"/>
      <c r="NKI188" s="5"/>
      <c r="NKJ188" s="5"/>
      <c r="NKK188" s="5"/>
      <c r="NKL188" s="5"/>
      <c r="NKM188" s="5"/>
      <c r="NKN188" s="5"/>
      <c r="NKO188" s="5"/>
      <c r="NKP188" s="5"/>
      <c r="NKQ188" s="5"/>
      <c r="NKR188" s="5"/>
      <c r="NKS188" s="5"/>
      <c r="NKT188" s="5"/>
      <c r="NKU188" s="5"/>
      <c r="NKV188" s="5"/>
      <c r="NKW188" s="5"/>
      <c r="NKX188" s="5"/>
      <c r="NKY188" s="5"/>
      <c r="NKZ188" s="5"/>
      <c r="NLA188" s="5"/>
      <c r="NLB188" s="5"/>
      <c r="NLC188" s="5"/>
      <c r="NLD188" s="5"/>
      <c r="NLE188" s="5"/>
      <c r="NLF188" s="5"/>
      <c r="NLG188" s="5"/>
      <c r="NLH188" s="5"/>
      <c r="NLI188" s="5"/>
      <c r="NLJ188" s="5"/>
      <c r="NLK188" s="5"/>
      <c r="NLL188" s="5"/>
      <c r="NLM188" s="5"/>
      <c r="NLN188" s="5"/>
      <c r="NLO188" s="5"/>
      <c r="NLP188" s="5"/>
      <c r="NLQ188" s="5"/>
      <c r="NLR188" s="5"/>
      <c r="NLS188" s="5"/>
      <c r="NLT188" s="5"/>
      <c r="NLU188" s="5"/>
      <c r="NLV188" s="5"/>
      <c r="NLW188" s="5"/>
      <c r="NLX188" s="5"/>
      <c r="NLY188" s="5"/>
      <c r="NLZ188" s="5"/>
      <c r="NMA188" s="5"/>
      <c r="NMB188" s="5"/>
      <c r="NMC188" s="5"/>
      <c r="NMD188" s="5"/>
      <c r="NME188" s="5"/>
      <c r="NMF188" s="5"/>
      <c r="NMG188" s="5"/>
      <c r="NMH188" s="5"/>
      <c r="NMI188" s="5"/>
      <c r="NMJ188" s="5"/>
      <c r="NMK188" s="5"/>
      <c r="NML188" s="5"/>
      <c r="NMM188" s="5"/>
      <c r="NMN188" s="5"/>
      <c r="NMO188" s="5"/>
      <c r="NMP188" s="5"/>
      <c r="NMQ188" s="5"/>
      <c r="NMR188" s="5"/>
      <c r="NMS188" s="5"/>
      <c r="NMT188" s="5"/>
      <c r="NMU188" s="5"/>
      <c r="NMV188" s="5"/>
      <c r="NMW188" s="5"/>
      <c r="NMX188" s="5"/>
      <c r="NMY188" s="5"/>
      <c r="NMZ188" s="5"/>
      <c r="NNA188" s="5"/>
      <c r="NNB188" s="5"/>
      <c r="NNC188" s="5"/>
      <c r="NND188" s="5"/>
      <c r="NNE188" s="5"/>
      <c r="NNF188" s="5"/>
      <c r="NNG188" s="5"/>
      <c r="NNH188" s="5"/>
      <c r="NNI188" s="5"/>
      <c r="NNJ188" s="5"/>
      <c r="NNK188" s="5"/>
      <c r="NNL188" s="5"/>
      <c r="NNM188" s="5"/>
      <c r="NNN188" s="5"/>
      <c r="NNO188" s="5"/>
      <c r="NNP188" s="5"/>
      <c r="NNQ188" s="5"/>
      <c r="NNR188" s="5"/>
      <c r="NNS188" s="5"/>
      <c r="NNT188" s="5"/>
      <c r="NNU188" s="5"/>
      <c r="NNV188" s="5"/>
      <c r="NNW188" s="5"/>
      <c r="NNX188" s="5"/>
      <c r="NNY188" s="5"/>
      <c r="NNZ188" s="5"/>
      <c r="NOA188" s="5"/>
      <c r="NOB188" s="5"/>
      <c r="NOC188" s="5"/>
      <c r="NOD188" s="5"/>
      <c r="NOE188" s="5"/>
      <c r="NOF188" s="5"/>
      <c r="NOG188" s="5"/>
      <c r="NOH188" s="5"/>
      <c r="NOI188" s="5"/>
      <c r="NOJ188" s="5"/>
      <c r="NOK188" s="5"/>
      <c r="NOL188" s="5"/>
      <c r="NOM188" s="5"/>
      <c r="NON188" s="5"/>
      <c r="NOO188" s="5"/>
      <c r="NOP188" s="5"/>
      <c r="NOQ188" s="5"/>
      <c r="NOR188" s="5"/>
      <c r="NOS188" s="5"/>
      <c r="NOT188" s="5"/>
      <c r="NOU188" s="5"/>
      <c r="NOV188" s="5"/>
      <c r="NOW188" s="5"/>
      <c r="NOX188" s="5"/>
      <c r="NOY188" s="5"/>
      <c r="NOZ188" s="5"/>
      <c r="NPA188" s="5"/>
      <c r="NPB188" s="5"/>
      <c r="NPC188" s="5"/>
      <c r="NPD188" s="5"/>
      <c r="NPE188" s="5"/>
      <c r="NPF188" s="5"/>
      <c r="NPG188" s="5"/>
      <c r="NPH188" s="5"/>
      <c r="NPI188" s="5"/>
      <c r="NPJ188" s="5"/>
      <c r="NPK188" s="5"/>
      <c r="NPL188" s="5"/>
      <c r="NPM188" s="5"/>
      <c r="NPN188" s="5"/>
      <c r="NPO188" s="5"/>
      <c r="NPP188" s="5"/>
      <c r="NPQ188" s="5"/>
      <c r="NPR188" s="5"/>
      <c r="NPS188" s="5"/>
      <c r="NPT188" s="5"/>
      <c r="NPU188" s="5"/>
      <c r="NPV188" s="5"/>
      <c r="NPW188" s="5"/>
      <c r="NPX188" s="5"/>
      <c r="NPY188" s="5"/>
      <c r="NPZ188" s="5"/>
      <c r="NQA188" s="5"/>
      <c r="NQB188" s="5"/>
      <c r="NQC188" s="5"/>
      <c r="NQD188" s="5"/>
      <c r="NQE188" s="5"/>
      <c r="NQF188" s="5"/>
      <c r="NQG188" s="5"/>
      <c r="NQH188" s="5"/>
      <c r="NQI188" s="5"/>
      <c r="NQJ188" s="5"/>
      <c r="NQK188" s="5"/>
      <c r="NQL188" s="5"/>
      <c r="NQM188" s="5"/>
      <c r="NQN188" s="5"/>
      <c r="NQO188" s="5"/>
      <c r="NQP188" s="5"/>
      <c r="NQQ188" s="5"/>
      <c r="NQR188" s="5"/>
      <c r="NQS188" s="5"/>
      <c r="NQT188" s="5"/>
      <c r="NQU188" s="5"/>
      <c r="NQV188" s="5"/>
      <c r="NQW188" s="5"/>
      <c r="NQX188" s="5"/>
      <c r="NQY188" s="5"/>
      <c r="NQZ188" s="5"/>
      <c r="NRA188" s="5"/>
      <c r="NRB188" s="5"/>
      <c r="NRC188" s="5"/>
      <c r="NRD188" s="5"/>
      <c r="NRE188" s="5"/>
      <c r="NRF188" s="5"/>
      <c r="NRG188" s="5"/>
      <c r="NRH188" s="5"/>
      <c r="NRI188" s="5"/>
      <c r="NRJ188" s="5"/>
      <c r="NRK188" s="5"/>
      <c r="NRL188" s="5"/>
      <c r="NRM188" s="5"/>
      <c r="NRN188" s="5"/>
      <c r="NRO188" s="5"/>
      <c r="NRP188" s="5"/>
      <c r="NRQ188" s="5"/>
      <c r="NRR188" s="5"/>
      <c r="NRS188" s="5"/>
      <c r="NRT188" s="5"/>
      <c r="NRU188" s="5"/>
      <c r="NRV188" s="5"/>
      <c r="NRW188" s="5"/>
      <c r="NRX188" s="5"/>
      <c r="NRY188" s="5"/>
      <c r="NRZ188" s="5"/>
      <c r="NSA188" s="5"/>
      <c r="NSB188" s="5"/>
      <c r="NSC188" s="5"/>
      <c r="NSD188" s="5"/>
      <c r="NSE188" s="5"/>
      <c r="NSF188" s="5"/>
      <c r="NSG188" s="5"/>
      <c r="NSH188" s="5"/>
      <c r="NSI188" s="5"/>
      <c r="NSJ188" s="5"/>
      <c r="NSK188" s="5"/>
      <c r="NSL188" s="5"/>
      <c r="NSM188" s="5"/>
      <c r="NSN188" s="5"/>
      <c r="NSO188" s="5"/>
      <c r="NSP188" s="5"/>
      <c r="NSQ188" s="5"/>
      <c r="NSR188" s="5"/>
      <c r="NSS188" s="5"/>
      <c r="NST188" s="5"/>
      <c r="NSU188" s="5"/>
      <c r="NSV188" s="5"/>
      <c r="NSW188" s="5"/>
      <c r="NSX188" s="5"/>
      <c r="NSY188" s="5"/>
      <c r="NSZ188" s="5"/>
      <c r="NTA188" s="5"/>
      <c r="NTB188" s="5"/>
      <c r="NTC188" s="5"/>
      <c r="NTD188" s="5"/>
      <c r="NTE188" s="5"/>
      <c r="NTF188" s="5"/>
      <c r="NTG188" s="5"/>
      <c r="NTH188" s="5"/>
      <c r="NTI188" s="5"/>
      <c r="NTJ188" s="5"/>
      <c r="NTK188" s="5"/>
      <c r="NTL188" s="5"/>
      <c r="NTM188" s="5"/>
      <c r="NTN188" s="5"/>
      <c r="NTO188" s="5"/>
      <c r="NTP188" s="5"/>
      <c r="NTQ188" s="5"/>
      <c r="NTR188" s="5"/>
      <c r="NTS188" s="5"/>
      <c r="NTT188" s="5"/>
      <c r="NTU188" s="5"/>
      <c r="NTV188" s="5"/>
      <c r="NTW188" s="5"/>
      <c r="NTX188" s="5"/>
      <c r="NTY188" s="5"/>
      <c r="NTZ188" s="5"/>
      <c r="NUA188" s="5"/>
      <c r="NUB188" s="5"/>
      <c r="NUC188" s="5"/>
      <c r="NUD188" s="5"/>
      <c r="NUE188" s="5"/>
      <c r="NUF188" s="5"/>
      <c r="NUG188" s="5"/>
      <c r="NUH188" s="5"/>
      <c r="NUI188" s="5"/>
      <c r="NUJ188" s="5"/>
      <c r="NUK188" s="5"/>
      <c r="NUL188" s="5"/>
      <c r="NUM188" s="5"/>
      <c r="NUN188" s="5"/>
      <c r="NUO188" s="5"/>
      <c r="NUP188" s="5"/>
      <c r="NUQ188" s="5"/>
      <c r="NUR188" s="5"/>
      <c r="NUS188" s="5"/>
      <c r="NUT188" s="5"/>
      <c r="NUU188" s="5"/>
      <c r="NUV188" s="5"/>
      <c r="NUW188" s="5"/>
      <c r="NUX188" s="5"/>
      <c r="NUY188" s="5"/>
      <c r="NUZ188" s="5"/>
      <c r="NVA188" s="5"/>
      <c r="NVB188" s="5"/>
      <c r="NVC188" s="5"/>
      <c r="NVD188" s="5"/>
      <c r="NVE188" s="5"/>
      <c r="NVF188" s="5"/>
      <c r="NVG188" s="5"/>
      <c r="NVH188" s="5"/>
      <c r="NVI188" s="5"/>
      <c r="NVJ188" s="5"/>
      <c r="NVK188" s="5"/>
      <c r="NVL188" s="5"/>
      <c r="NVM188" s="5"/>
      <c r="NVN188" s="5"/>
      <c r="NVO188" s="5"/>
      <c r="NVP188" s="5"/>
      <c r="NVQ188" s="5"/>
      <c r="NVR188" s="5"/>
      <c r="NVS188" s="5"/>
      <c r="NVT188" s="5"/>
      <c r="NVU188" s="5"/>
      <c r="NVV188" s="5"/>
      <c r="NVW188" s="5"/>
      <c r="NVX188" s="5"/>
      <c r="NVY188" s="5"/>
      <c r="NVZ188" s="5"/>
      <c r="NWA188" s="5"/>
      <c r="NWB188" s="5"/>
      <c r="NWC188" s="5"/>
      <c r="NWD188" s="5"/>
      <c r="NWE188" s="5"/>
      <c r="NWF188" s="5"/>
      <c r="NWG188" s="5"/>
      <c r="NWH188" s="5"/>
      <c r="NWI188" s="5"/>
      <c r="NWJ188" s="5"/>
      <c r="NWK188" s="5"/>
      <c r="NWL188" s="5"/>
      <c r="NWM188" s="5"/>
      <c r="NWN188" s="5"/>
      <c r="NWO188" s="5"/>
      <c r="NWP188" s="5"/>
      <c r="NWQ188" s="5"/>
      <c r="NWR188" s="5"/>
      <c r="NWS188" s="5"/>
      <c r="NWT188" s="5"/>
      <c r="NWU188" s="5"/>
      <c r="NWV188" s="5"/>
      <c r="NWW188" s="5"/>
      <c r="NWX188" s="5"/>
      <c r="NWY188" s="5"/>
      <c r="NWZ188" s="5"/>
      <c r="NXA188" s="5"/>
      <c r="NXB188" s="5"/>
      <c r="NXC188" s="5"/>
      <c r="NXD188" s="5"/>
      <c r="NXE188" s="5"/>
      <c r="NXF188" s="5"/>
      <c r="NXG188" s="5"/>
      <c r="NXH188" s="5"/>
      <c r="NXI188" s="5"/>
      <c r="NXJ188" s="5"/>
      <c r="NXK188" s="5"/>
      <c r="NXL188" s="5"/>
      <c r="NXM188" s="5"/>
      <c r="NXN188" s="5"/>
      <c r="NXO188" s="5"/>
      <c r="NXP188" s="5"/>
      <c r="NXQ188" s="5"/>
      <c r="NXR188" s="5"/>
      <c r="NXS188" s="5"/>
      <c r="NXT188" s="5"/>
      <c r="NXU188" s="5"/>
      <c r="NXV188" s="5"/>
      <c r="NXW188" s="5"/>
      <c r="NXX188" s="5"/>
      <c r="NXY188" s="5"/>
      <c r="NXZ188" s="5"/>
      <c r="NYA188" s="5"/>
      <c r="NYB188" s="5"/>
      <c r="NYC188" s="5"/>
      <c r="NYD188" s="5"/>
      <c r="NYE188" s="5"/>
      <c r="NYF188" s="5"/>
      <c r="NYG188" s="5"/>
      <c r="NYH188" s="5"/>
      <c r="NYI188" s="5"/>
      <c r="NYJ188" s="5"/>
      <c r="NYK188" s="5"/>
      <c r="NYL188" s="5"/>
      <c r="NYM188" s="5"/>
      <c r="NYN188" s="5"/>
      <c r="NYO188" s="5"/>
      <c r="NYP188" s="5"/>
      <c r="NYQ188" s="5"/>
      <c r="NYR188" s="5"/>
      <c r="NYS188" s="5"/>
      <c r="NYT188" s="5"/>
      <c r="NYU188" s="5"/>
      <c r="NYV188" s="5"/>
      <c r="NYW188" s="5"/>
      <c r="NYX188" s="5"/>
      <c r="NYY188" s="5"/>
      <c r="NYZ188" s="5"/>
      <c r="NZA188" s="5"/>
      <c r="NZB188" s="5"/>
      <c r="NZC188" s="5"/>
      <c r="NZD188" s="5"/>
      <c r="NZE188" s="5"/>
      <c r="NZF188" s="5"/>
      <c r="NZG188" s="5"/>
      <c r="NZH188" s="5"/>
      <c r="NZI188" s="5"/>
      <c r="NZJ188" s="5"/>
      <c r="NZK188" s="5"/>
      <c r="NZL188" s="5"/>
      <c r="NZM188" s="5"/>
      <c r="NZN188" s="5"/>
      <c r="NZO188" s="5"/>
      <c r="NZP188" s="5"/>
      <c r="NZQ188" s="5"/>
      <c r="NZR188" s="5"/>
      <c r="NZS188" s="5"/>
      <c r="NZT188" s="5"/>
      <c r="NZU188" s="5"/>
      <c r="NZV188" s="5"/>
      <c r="NZW188" s="5"/>
      <c r="NZX188" s="5"/>
      <c r="NZY188" s="5"/>
      <c r="NZZ188" s="5"/>
      <c r="OAA188" s="5"/>
      <c r="OAB188" s="5"/>
      <c r="OAC188" s="5"/>
      <c r="OAD188" s="5"/>
      <c r="OAE188" s="5"/>
      <c r="OAF188" s="5"/>
      <c r="OAG188" s="5"/>
      <c r="OAH188" s="5"/>
      <c r="OAI188" s="5"/>
      <c r="OAJ188" s="5"/>
      <c r="OAK188" s="5"/>
      <c r="OAL188" s="5"/>
      <c r="OAM188" s="5"/>
      <c r="OAN188" s="5"/>
      <c r="OAO188" s="5"/>
      <c r="OAP188" s="5"/>
      <c r="OAQ188" s="5"/>
      <c r="OAR188" s="5"/>
      <c r="OAS188" s="5"/>
      <c r="OAT188" s="5"/>
      <c r="OAU188" s="5"/>
      <c r="OAV188" s="5"/>
      <c r="OAW188" s="5"/>
      <c r="OAX188" s="5"/>
      <c r="OAY188" s="5"/>
      <c r="OAZ188" s="5"/>
      <c r="OBA188" s="5"/>
      <c r="OBB188" s="5"/>
      <c r="OBC188" s="5"/>
      <c r="OBD188" s="5"/>
      <c r="OBE188" s="5"/>
      <c r="OBF188" s="5"/>
      <c r="OBG188" s="5"/>
      <c r="OBH188" s="5"/>
      <c r="OBI188" s="5"/>
      <c r="OBJ188" s="5"/>
      <c r="OBK188" s="5"/>
      <c r="OBL188" s="5"/>
      <c r="OBM188" s="5"/>
      <c r="OBN188" s="5"/>
      <c r="OBO188" s="5"/>
      <c r="OBP188" s="5"/>
      <c r="OBQ188" s="5"/>
      <c r="OBR188" s="5"/>
      <c r="OBS188" s="5"/>
      <c r="OBT188" s="5"/>
      <c r="OBU188" s="5"/>
      <c r="OBV188" s="5"/>
      <c r="OBW188" s="5"/>
      <c r="OBX188" s="5"/>
      <c r="OBY188" s="5"/>
      <c r="OBZ188" s="5"/>
      <c r="OCA188" s="5"/>
      <c r="OCB188" s="5"/>
      <c r="OCC188" s="5"/>
      <c r="OCD188" s="5"/>
      <c r="OCE188" s="5"/>
      <c r="OCF188" s="5"/>
      <c r="OCG188" s="5"/>
      <c r="OCH188" s="5"/>
      <c r="OCI188" s="5"/>
      <c r="OCJ188" s="5"/>
      <c r="OCK188" s="5"/>
      <c r="OCL188" s="5"/>
      <c r="OCM188" s="5"/>
      <c r="OCN188" s="5"/>
      <c r="OCO188" s="5"/>
      <c r="OCP188" s="5"/>
      <c r="OCQ188" s="5"/>
      <c r="OCR188" s="5"/>
      <c r="OCS188" s="5"/>
      <c r="OCT188" s="5"/>
      <c r="OCU188" s="5"/>
      <c r="OCV188" s="5"/>
      <c r="OCW188" s="5"/>
      <c r="OCX188" s="5"/>
      <c r="OCY188" s="5"/>
      <c r="OCZ188" s="5"/>
      <c r="ODA188" s="5"/>
      <c r="ODB188" s="5"/>
      <c r="ODC188" s="5"/>
      <c r="ODD188" s="5"/>
      <c r="ODE188" s="5"/>
      <c r="ODF188" s="5"/>
      <c r="ODG188" s="5"/>
      <c r="ODH188" s="5"/>
      <c r="ODI188" s="5"/>
      <c r="ODJ188" s="5"/>
      <c r="ODK188" s="5"/>
      <c r="ODL188" s="5"/>
      <c r="ODM188" s="5"/>
      <c r="ODN188" s="5"/>
      <c r="ODO188" s="5"/>
      <c r="ODP188" s="5"/>
      <c r="ODQ188" s="5"/>
      <c r="ODR188" s="5"/>
      <c r="ODS188" s="5"/>
      <c r="ODT188" s="5"/>
      <c r="ODU188" s="5"/>
      <c r="ODV188" s="5"/>
      <c r="ODW188" s="5"/>
      <c r="ODX188" s="5"/>
      <c r="ODY188" s="5"/>
      <c r="ODZ188" s="5"/>
      <c r="OEA188" s="5"/>
      <c r="OEB188" s="5"/>
      <c r="OEC188" s="5"/>
      <c r="OED188" s="5"/>
      <c r="OEE188" s="5"/>
      <c r="OEF188" s="5"/>
      <c r="OEG188" s="5"/>
      <c r="OEH188" s="5"/>
      <c r="OEI188" s="5"/>
      <c r="OEJ188" s="5"/>
      <c r="OEK188" s="5"/>
      <c r="OEL188" s="5"/>
      <c r="OEM188" s="5"/>
      <c r="OEN188" s="5"/>
      <c r="OEO188" s="5"/>
      <c r="OEP188" s="5"/>
      <c r="OEQ188" s="5"/>
      <c r="OER188" s="5"/>
      <c r="OES188" s="5"/>
      <c r="OET188" s="5"/>
      <c r="OEU188" s="5"/>
      <c r="OEV188" s="5"/>
      <c r="OEW188" s="5"/>
      <c r="OEX188" s="5"/>
      <c r="OEY188" s="5"/>
      <c r="OEZ188" s="5"/>
      <c r="OFA188" s="5"/>
      <c r="OFB188" s="5"/>
      <c r="OFC188" s="5"/>
      <c r="OFD188" s="5"/>
      <c r="OFE188" s="5"/>
      <c r="OFF188" s="5"/>
      <c r="OFG188" s="5"/>
      <c r="OFH188" s="5"/>
      <c r="OFI188" s="5"/>
      <c r="OFJ188" s="5"/>
      <c r="OFK188" s="5"/>
      <c r="OFL188" s="5"/>
      <c r="OFM188" s="5"/>
      <c r="OFN188" s="5"/>
      <c r="OFO188" s="5"/>
      <c r="OFP188" s="5"/>
      <c r="OFQ188" s="5"/>
      <c r="OFR188" s="5"/>
      <c r="OFS188" s="5"/>
      <c r="OFT188" s="5"/>
      <c r="OFU188" s="5"/>
      <c r="OFV188" s="5"/>
      <c r="OFW188" s="5"/>
      <c r="OFX188" s="5"/>
      <c r="OFY188" s="5"/>
      <c r="OFZ188" s="5"/>
      <c r="OGA188" s="5"/>
      <c r="OGB188" s="5"/>
      <c r="OGC188" s="5"/>
      <c r="OGD188" s="5"/>
      <c r="OGE188" s="5"/>
      <c r="OGF188" s="5"/>
      <c r="OGG188" s="5"/>
      <c r="OGH188" s="5"/>
      <c r="OGI188" s="5"/>
      <c r="OGJ188" s="5"/>
      <c r="OGK188" s="5"/>
      <c r="OGL188" s="5"/>
      <c r="OGM188" s="5"/>
      <c r="OGN188" s="5"/>
      <c r="OGO188" s="5"/>
      <c r="OGP188" s="5"/>
      <c r="OGQ188" s="5"/>
      <c r="OGR188" s="5"/>
      <c r="OGS188" s="5"/>
      <c r="OGT188" s="5"/>
      <c r="OGU188" s="5"/>
      <c r="OGV188" s="5"/>
      <c r="OGW188" s="5"/>
      <c r="OGX188" s="5"/>
      <c r="OGY188" s="5"/>
      <c r="OGZ188" s="5"/>
      <c r="OHA188" s="5"/>
      <c r="OHB188" s="5"/>
      <c r="OHC188" s="5"/>
      <c r="OHD188" s="5"/>
      <c r="OHE188" s="5"/>
      <c r="OHF188" s="5"/>
      <c r="OHG188" s="5"/>
      <c r="OHH188" s="5"/>
      <c r="OHI188" s="5"/>
      <c r="OHJ188" s="5"/>
      <c r="OHK188" s="5"/>
      <c r="OHL188" s="5"/>
      <c r="OHM188" s="5"/>
      <c r="OHN188" s="5"/>
      <c r="OHO188" s="5"/>
      <c r="OHP188" s="5"/>
      <c r="OHQ188" s="5"/>
      <c r="OHR188" s="5"/>
      <c r="OHS188" s="5"/>
      <c r="OHT188" s="5"/>
      <c r="OHU188" s="5"/>
      <c r="OHV188" s="5"/>
      <c r="OHW188" s="5"/>
      <c r="OHX188" s="5"/>
      <c r="OHY188" s="5"/>
      <c r="OHZ188" s="5"/>
      <c r="OIA188" s="5"/>
      <c r="OIB188" s="5"/>
      <c r="OIC188" s="5"/>
      <c r="OID188" s="5"/>
      <c r="OIE188" s="5"/>
      <c r="OIF188" s="5"/>
      <c r="OIG188" s="5"/>
      <c r="OIH188" s="5"/>
      <c r="OII188" s="5"/>
      <c r="OIJ188" s="5"/>
      <c r="OIK188" s="5"/>
      <c r="OIL188" s="5"/>
      <c r="OIM188" s="5"/>
      <c r="OIN188" s="5"/>
      <c r="OIO188" s="5"/>
      <c r="OIP188" s="5"/>
      <c r="OIQ188" s="5"/>
      <c r="OIR188" s="5"/>
      <c r="OIS188" s="5"/>
      <c r="OIT188" s="5"/>
      <c r="OIU188" s="5"/>
      <c r="OIV188" s="5"/>
      <c r="OIW188" s="5"/>
      <c r="OIX188" s="5"/>
      <c r="OIY188" s="5"/>
      <c r="OIZ188" s="5"/>
      <c r="OJA188" s="5"/>
      <c r="OJB188" s="5"/>
      <c r="OJC188" s="5"/>
      <c r="OJD188" s="5"/>
      <c r="OJE188" s="5"/>
      <c r="OJF188" s="5"/>
      <c r="OJG188" s="5"/>
      <c r="OJH188" s="5"/>
      <c r="OJI188" s="5"/>
      <c r="OJJ188" s="5"/>
      <c r="OJK188" s="5"/>
      <c r="OJL188" s="5"/>
      <c r="OJM188" s="5"/>
      <c r="OJN188" s="5"/>
      <c r="OJO188" s="5"/>
      <c r="OJP188" s="5"/>
      <c r="OJQ188" s="5"/>
      <c r="OJR188" s="5"/>
      <c r="OJS188" s="5"/>
      <c r="OJT188" s="5"/>
      <c r="OJU188" s="5"/>
      <c r="OJV188" s="5"/>
      <c r="OJW188" s="5"/>
      <c r="OJX188" s="5"/>
      <c r="OJY188" s="5"/>
      <c r="OJZ188" s="5"/>
      <c r="OKA188" s="5"/>
      <c r="OKB188" s="5"/>
      <c r="OKC188" s="5"/>
      <c r="OKD188" s="5"/>
      <c r="OKE188" s="5"/>
      <c r="OKF188" s="5"/>
      <c r="OKG188" s="5"/>
      <c r="OKH188" s="5"/>
      <c r="OKI188" s="5"/>
      <c r="OKJ188" s="5"/>
      <c r="OKK188" s="5"/>
      <c r="OKL188" s="5"/>
      <c r="OKM188" s="5"/>
      <c r="OKN188" s="5"/>
      <c r="OKO188" s="5"/>
      <c r="OKP188" s="5"/>
      <c r="OKQ188" s="5"/>
      <c r="OKR188" s="5"/>
      <c r="OKS188" s="5"/>
      <c r="OKT188" s="5"/>
      <c r="OKU188" s="5"/>
      <c r="OKV188" s="5"/>
      <c r="OKW188" s="5"/>
      <c r="OKX188" s="5"/>
      <c r="OKY188" s="5"/>
      <c r="OKZ188" s="5"/>
      <c r="OLA188" s="5"/>
      <c r="OLB188" s="5"/>
      <c r="OLC188" s="5"/>
      <c r="OLD188" s="5"/>
      <c r="OLE188" s="5"/>
      <c r="OLF188" s="5"/>
      <c r="OLG188" s="5"/>
      <c r="OLH188" s="5"/>
      <c r="OLI188" s="5"/>
      <c r="OLJ188" s="5"/>
      <c r="OLK188" s="5"/>
      <c r="OLL188" s="5"/>
      <c r="OLM188" s="5"/>
      <c r="OLN188" s="5"/>
      <c r="OLO188" s="5"/>
      <c r="OLP188" s="5"/>
      <c r="OLQ188" s="5"/>
      <c r="OLR188" s="5"/>
      <c r="OLS188" s="5"/>
      <c r="OLT188" s="5"/>
      <c r="OLU188" s="5"/>
      <c r="OLV188" s="5"/>
      <c r="OLW188" s="5"/>
      <c r="OLX188" s="5"/>
      <c r="OLY188" s="5"/>
      <c r="OLZ188" s="5"/>
      <c r="OMA188" s="5"/>
      <c r="OMB188" s="5"/>
      <c r="OMC188" s="5"/>
      <c r="OMD188" s="5"/>
      <c r="OME188" s="5"/>
      <c r="OMF188" s="5"/>
      <c r="OMG188" s="5"/>
      <c r="OMH188" s="5"/>
      <c r="OMI188" s="5"/>
      <c r="OMJ188" s="5"/>
      <c r="OMK188" s="5"/>
      <c r="OML188" s="5"/>
      <c r="OMM188" s="5"/>
      <c r="OMN188" s="5"/>
      <c r="OMO188" s="5"/>
      <c r="OMP188" s="5"/>
      <c r="OMQ188" s="5"/>
      <c r="OMR188" s="5"/>
      <c r="OMS188" s="5"/>
      <c r="OMT188" s="5"/>
      <c r="OMU188" s="5"/>
      <c r="OMV188" s="5"/>
      <c r="OMW188" s="5"/>
      <c r="OMX188" s="5"/>
      <c r="OMY188" s="5"/>
      <c r="OMZ188" s="5"/>
      <c r="ONA188" s="5"/>
      <c r="ONB188" s="5"/>
      <c r="ONC188" s="5"/>
      <c r="OND188" s="5"/>
      <c r="ONE188" s="5"/>
      <c r="ONF188" s="5"/>
      <c r="ONG188" s="5"/>
      <c r="ONH188" s="5"/>
      <c r="ONI188" s="5"/>
      <c r="ONJ188" s="5"/>
      <c r="ONK188" s="5"/>
      <c r="ONL188" s="5"/>
      <c r="ONM188" s="5"/>
      <c r="ONN188" s="5"/>
      <c r="ONO188" s="5"/>
      <c r="ONP188" s="5"/>
      <c r="ONQ188" s="5"/>
      <c r="ONR188" s="5"/>
      <c r="ONS188" s="5"/>
      <c r="ONT188" s="5"/>
      <c r="ONU188" s="5"/>
      <c r="ONV188" s="5"/>
      <c r="ONW188" s="5"/>
      <c r="ONX188" s="5"/>
      <c r="ONY188" s="5"/>
      <c r="ONZ188" s="5"/>
      <c r="OOA188" s="5"/>
      <c r="OOB188" s="5"/>
      <c r="OOC188" s="5"/>
      <c r="OOD188" s="5"/>
      <c r="OOE188" s="5"/>
      <c r="OOF188" s="5"/>
      <c r="OOG188" s="5"/>
      <c r="OOH188" s="5"/>
      <c r="OOI188" s="5"/>
      <c r="OOJ188" s="5"/>
      <c r="OOK188" s="5"/>
      <c r="OOL188" s="5"/>
      <c r="OOM188" s="5"/>
      <c r="OON188" s="5"/>
      <c r="OOO188" s="5"/>
      <c r="OOP188" s="5"/>
      <c r="OOQ188" s="5"/>
      <c r="OOR188" s="5"/>
      <c r="OOS188" s="5"/>
      <c r="OOT188" s="5"/>
      <c r="OOU188" s="5"/>
      <c r="OOV188" s="5"/>
      <c r="OOW188" s="5"/>
      <c r="OOX188" s="5"/>
      <c r="OOY188" s="5"/>
      <c r="OOZ188" s="5"/>
      <c r="OPA188" s="5"/>
      <c r="OPB188" s="5"/>
      <c r="OPC188" s="5"/>
      <c r="OPD188" s="5"/>
      <c r="OPE188" s="5"/>
      <c r="OPF188" s="5"/>
      <c r="OPG188" s="5"/>
      <c r="OPH188" s="5"/>
      <c r="OPI188" s="5"/>
      <c r="OPJ188" s="5"/>
      <c r="OPK188" s="5"/>
      <c r="OPL188" s="5"/>
      <c r="OPM188" s="5"/>
      <c r="OPN188" s="5"/>
      <c r="OPO188" s="5"/>
      <c r="OPP188" s="5"/>
      <c r="OPQ188" s="5"/>
      <c r="OPR188" s="5"/>
      <c r="OPS188" s="5"/>
      <c r="OPT188" s="5"/>
      <c r="OPU188" s="5"/>
      <c r="OPV188" s="5"/>
      <c r="OPW188" s="5"/>
      <c r="OPX188" s="5"/>
      <c r="OPY188" s="5"/>
      <c r="OPZ188" s="5"/>
      <c r="OQA188" s="5"/>
      <c r="OQB188" s="5"/>
      <c r="OQC188" s="5"/>
      <c r="OQD188" s="5"/>
      <c r="OQE188" s="5"/>
      <c r="OQF188" s="5"/>
      <c r="OQG188" s="5"/>
      <c r="OQH188" s="5"/>
      <c r="OQI188" s="5"/>
      <c r="OQJ188" s="5"/>
      <c r="OQK188" s="5"/>
      <c r="OQL188" s="5"/>
      <c r="OQM188" s="5"/>
      <c r="OQN188" s="5"/>
      <c r="OQO188" s="5"/>
      <c r="OQP188" s="5"/>
      <c r="OQQ188" s="5"/>
      <c r="OQR188" s="5"/>
      <c r="OQS188" s="5"/>
      <c r="OQT188" s="5"/>
      <c r="OQU188" s="5"/>
      <c r="OQV188" s="5"/>
      <c r="OQW188" s="5"/>
      <c r="OQX188" s="5"/>
      <c r="OQY188" s="5"/>
      <c r="OQZ188" s="5"/>
      <c r="ORA188" s="5"/>
      <c r="ORB188" s="5"/>
      <c r="ORC188" s="5"/>
      <c r="ORD188" s="5"/>
      <c r="ORE188" s="5"/>
      <c r="ORF188" s="5"/>
      <c r="ORG188" s="5"/>
      <c r="ORH188" s="5"/>
      <c r="ORI188" s="5"/>
      <c r="ORJ188" s="5"/>
      <c r="ORK188" s="5"/>
      <c r="ORL188" s="5"/>
      <c r="ORM188" s="5"/>
      <c r="ORN188" s="5"/>
      <c r="ORO188" s="5"/>
      <c r="ORP188" s="5"/>
      <c r="ORQ188" s="5"/>
      <c r="ORR188" s="5"/>
      <c r="ORS188" s="5"/>
      <c r="ORT188" s="5"/>
      <c r="ORU188" s="5"/>
      <c r="ORV188" s="5"/>
      <c r="ORW188" s="5"/>
      <c r="ORX188" s="5"/>
      <c r="ORY188" s="5"/>
      <c r="ORZ188" s="5"/>
      <c r="OSA188" s="5"/>
      <c r="OSB188" s="5"/>
      <c r="OSC188" s="5"/>
      <c r="OSD188" s="5"/>
      <c r="OSE188" s="5"/>
      <c r="OSF188" s="5"/>
      <c r="OSG188" s="5"/>
      <c r="OSH188" s="5"/>
      <c r="OSI188" s="5"/>
      <c r="OSJ188" s="5"/>
      <c r="OSK188" s="5"/>
      <c r="OSL188" s="5"/>
      <c r="OSM188" s="5"/>
      <c r="OSN188" s="5"/>
      <c r="OSO188" s="5"/>
      <c r="OSP188" s="5"/>
      <c r="OSQ188" s="5"/>
      <c r="OSR188" s="5"/>
      <c r="OSS188" s="5"/>
      <c r="OST188" s="5"/>
      <c r="OSU188" s="5"/>
      <c r="OSV188" s="5"/>
      <c r="OSW188" s="5"/>
      <c r="OSX188" s="5"/>
      <c r="OSY188" s="5"/>
      <c r="OSZ188" s="5"/>
      <c r="OTA188" s="5"/>
      <c r="OTB188" s="5"/>
      <c r="OTC188" s="5"/>
      <c r="OTD188" s="5"/>
      <c r="OTE188" s="5"/>
      <c r="OTF188" s="5"/>
      <c r="OTG188" s="5"/>
      <c r="OTH188" s="5"/>
      <c r="OTI188" s="5"/>
      <c r="OTJ188" s="5"/>
      <c r="OTK188" s="5"/>
      <c r="OTL188" s="5"/>
      <c r="OTM188" s="5"/>
      <c r="OTN188" s="5"/>
      <c r="OTO188" s="5"/>
      <c r="OTP188" s="5"/>
      <c r="OTQ188" s="5"/>
      <c r="OTR188" s="5"/>
      <c r="OTS188" s="5"/>
      <c r="OTT188" s="5"/>
      <c r="OTU188" s="5"/>
      <c r="OTV188" s="5"/>
      <c r="OTW188" s="5"/>
      <c r="OTX188" s="5"/>
      <c r="OTY188" s="5"/>
      <c r="OTZ188" s="5"/>
      <c r="OUA188" s="5"/>
      <c r="OUB188" s="5"/>
      <c r="OUC188" s="5"/>
      <c r="OUD188" s="5"/>
      <c r="OUE188" s="5"/>
      <c r="OUF188" s="5"/>
      <c r="OUG188" s="5"/>
      <c r="OUH188" s="5"/>
      <c r="OUI188" s="5"/>
      <c r="OUJ188" s="5"/>
      <c r="OUK188" s="5"/>
      <c r="OUL188" s="5"/>
      <c r="OUM188" s="5"/>
      <c r="OUN188" s="5"/>
      <c r="OUO188" s="5"/>
      <c r="OUP188" s="5"/>
      <c r="OUQ188" s="5"/>
      <c r="OUR188" s="5"/>
      <c r="OUS188" s="5"/>
      <c r="OUT188" s="5"/>
      <c r="OUU188" s="5"/>
      <c r="OUV188" s="5"/>
      <c r="OUW188" s="5"/>
      <c r="OUX188" s="5"/>
      <c r="OUY188" s="5"/>
      <c r="OUZ188" s="5"/>
      <c r="OVA188" s="5"/>
      <c r="OVB188" s="5"/>
      <c r="OVC188" s="5"/>
      <c r="OVD188" s="5"/>
      <c r="OVE188" s="5"/>
      <c r="OVF188" s="5"/>
      <c r="OVG188" s="5"/>
      <c r="OVH188" s="5"/>
      <c r="OVI188" s="5"/>
      <c r="OVJ188" s="5"/>
      <c r="OVK188" s="5"/>
      <c r="OVL188" s="5"/>
      <c r="OVM188" s="5"/>
      <c r="OVN188" s="5"/>
      <c r="OVO188" s="5"/>
      <c r="OVP188" s="5"/>
      <c r="OVQ188" s="5"/>
      <c r="OVR188" s="5"/>
      <c r="OVS188" s="5"/>
      <c r="OVT188" s="5"/>
      <c r="OVU188" s="5"/>
      <c r="OVV188" s="5"/>
      <c r="OVW188" s="5"/>
      <c r="OVX188" s="5"/>
      <c r="OVY188" s="5"/>
      <c r="OVZ188" s="5"/>
      <c r="OWA188" s="5"/>
      <c r="OWB188" s="5"/>
      <c r="OWC188" s="5"/>
      <c r="OWD188" s="5"/>
      <c r="OWE188" s="5"/>
      <c r="OWF188" s="5"/>
      <c r="OWG188" s="5"/>
      <c r="OWH188" s="5"/>
      <c r="OWI188" s="5"/>
      <c r="OWJ188" s="5"/>
      <c r="OWK188" s="5"/>
      <c r="OWL188" s="5"/>
      <c r="OWM188" s="5"/>
      <c r="OWN188" s="5"/>
      <c r="OWO188" s="5"/>
      <c r="OWP188" s="5"/>
      <c r="OWQ188" s="5"/>
      <c r="OWR188" s="5"/>
      <c r="OWS188" s="5"/>
      <c r="OWT188" s="5"/>
      <c r="OWU188" s="5"/>
      <c r="OWV188" s="5"/>
      <c r="OWW188" s="5"/>
      <c r="OWX188" s="5"/>
      <c r="OWY188" s="5"/>
      <c r="OWZ188" s="5"/>
      <c r="OXA188" s="5"/>
      <c r="OXB188" s="5"/>
      <c r="OXC188" s="5"/>
      <c r="OXD188" s="5"/>
      <c r="OXE188" s="5"/>
      <c r="OXF188" s="5"/>
      <c r="OXG188" s="5"/>
      <c r="OXH188" s="5"/>
      <c r="OXI188" s="5"/>
      <c r="OXJ188" s="5"/>
      <c r="OXK188" s="5"/>
      <c r="OXL188" s="5"/>
      <c r="OXM188" s="5"/>
      <c r="OXN188" s="5"/>
      <c r="OXO188" s="5"/>
      <c r="OXP188" s="5"/>
      <c r="OXQ188" s="5"/>
      <c r="OXR188" s="5"/>
      <c r="OXS188" s="5"/>
      <c r="OXT188" s="5"/>
      <c r="OXU188" s="5"/>
      <c r="OXV188" s="5"/>
      <c r="OXW188" s="5"/>
      <c r="OXX188" s="5"/>
      <c r="OXY188" s="5"/>
      <c r="OXZ188" s="5"/>
      <c r="OYA188" s="5"/>
      <c r="OYB188" s="5"/>
      <c r="OYC188" s="5"/>
      <c r="OYD188" s="5"/>
      <c r="OYE188" s="5"/>
      <c r="OYF188" s="5"/>
      <c r="OYG188" s="5"/>
      <c r="OYH188" s="5"/>
      <c r="OYI188" s="5"/>
      <c r="OYJ188" s="5"/>
      <c r="OYK188" s="5"/>
      <c r="OYL188" s="5"/>
      <c r="OYM188" s="5"/>
      <c r="OYN188" s="5"/>
      <c r="OYO188" s="5"/>
      <c r="OYP188" s="5"/>
      <c r="OYQ188" s="5"/>
      <c r="OYR188" s="5"/>
      <c r="OYS188" s="5"/>
      <c r="OYT188" s="5"/>
      <c r="OYU188" s="5"/>
      <c r="OYV188" s="5"/>
      <c r="OYW188" s="5"/>
      <c r="OYX188" s="5"/>
      <c r="OYY188" s="5"/>
      <c r="OYZ188" s="5"/>
      <c r="OZA188" s="5"/>
      <c r="OZB188" s="5"/>
      <c r="OZC188" s="5"/>
      <c r="OZD188" s="5"/>
      <c r="OZE188" s="5"/>
      <c r="OZF188" s="5"/>
      <c r="OZG188" s="5"/>
      <c r="OZH188" s="5"/>
      <c r="OZI188" s="5"/>
      <c r="OZJ188" s="5"/>
      <c r="OZK188" s="5"/>
      <c r="OZL188" s="5"/>
      <c r="OZM188" s="5"/>
      <c r="OZN188" s="5"/>
      <c r="OZO188" s="5"/>
      <c r="OZP188" s="5"/>
      <c r="OZQ188" s="5"/>
      <c r="OZR188" s="5"/>
      <c r="OZS188" s="5"/>
      <c r="OZT188" s="5"/>
      <c r="OZU188" s="5"/>
      <c r="OZV188" s="5"/>
      <c r="OZW188" s="5"/>
      <c r="OZX188" s="5"/>
      <c r="OZY188" s="5"/>
      <c r="OZZ188" s="5"/>
      <c r="PAA188" s="5"/>
      <c r="PAB188" s="5"/>
      <c r="PAC188" s="5"/>
      <c r="PAD188" s="5"/>
      <c r="PAE188" s="5"/>
      <c r="PAF188" s="5"/>
      <c r="PAG188" s="5"/>
      <c r="PAH188" s="5"/>
      <c r="PAI188" s="5"/>
      <c r="PAJ188" s="5"/>
      <c r="PAK188" s="5"/>
      <c r="PAL188" s="5"/>
      <c r="PAM188" s="5"/>
      <c r="PAN188" s="5"/>
      <c r="PAO188" s="5"/>
      <c r="PAP188" s="5"/>
      <c r="PAQ188" s="5"/>
      <c r="PAR188" s="5"/>
      <c r="PAS188" s="5"/>
      <c r="PAT188" s="5"/>
      <c r="PAU188" s="5"/>
      <c r="PAV188" s="5"/>
      <c r="PAW188" s="5"/>
      <c r="PAX188" s="5"/>
      <c r="PAY188" s="5"/>
      <c r="PAZ188" s="5"/>
      <c r="PBA188" s="5"/>
      <c r="PBB188" s="5"/>
      <c r="PBC188" s="5"/>
      <c r="PBD188" s="5"/>
      <c r="PBE188" s="5"/>
      <c r="PBF188" s="5"/>
      <c r="PBG188" s="5"/>
      <c r="PBH188" s="5"/>
      <c r="PBI188" s="5"/>
      <c r="PBJ188" s="5"/>
      <c r="PBK188" s="5"/>
      <c r="PBL188" s="5"/>
      <c r="PBM188" s="5"/>
      <c r="PBN188" s="5"/>
      <c r="PBO188" s="5"/>
      <c r="PBP188" s="5"/>
      <c r="PBQ188" s="5"/>
      <c r="PBR188" s="5"/>
      <c r="PBS188" s="5"/>
      <c r="PBT188" s="5"/>
      <c r="PBU188" s="5"/>
      <c r="PBV188" s="5"/>
      <c r="PBW188" s="5"/>
      <c r="PBX188" s="5"/>
      <c r="PBY188" s="5"/>
      <c r="PBZ188" s="5"/>
      <c r="PCA188" s="5"/>
      <c r="PCB188" s="5"/>
      <c r="PCC188" s="5"/>
      <c r="PCD188" s="5"/>
      <c r="PCE188" s="5"/>
      <c r="PCF188" s="5"/>
      <c r="PCG188" s="5"/>
      <c r="PCH188" s="5"/>
      <c r="PCI188" s="5"/>
      <c r="PCJ188" s="5"/>
      <c r="PCK188" s="5"/>
      <c r="PCL188" s="5"/>
      <c r="PCM188" s="5"/>
      <c r="PCN188" s="5"/>
      <c r="PCO188" s="5"/>
      <c r="PCP188" s="5"/>
      <c r="PCQ188" s="5"/>
      <c r="PCR188" s="5"/>
      <c r="PCS188" s="5"/>
      <c r="PCT188" s="5"/>
      <c r="PCU188" s="5"/>
      <c r="PCV188" s="5"/>
      <c r="PCW188" s="5"/>
      <c r="PCX188" s="5"/>
      <c r="PCY188" s="5"/>
      <c r="PCZ188" s="5"/>
      <c r="PDA188" s="5"/>
      <c r="PDB188" s="5"/>
      <c r="PDC188" s="5"/>
      <c r="PDD188" s="5"/>
      <c r="PDE188" s="5"/>
      <c r="PDF188" s="5"/>
      <c r="PDG188" s="5"/>
      <c r="PDH188" s="5"/>
      <c r="PDI188" s="5"/>
      <c r="PDJ188" s="5"/>
      <c r="PDK188" s="5"/>
      <c r="PDL188" s="5"/>
      <c r="PDM188" s="5"/>
      <c r="PDN188" s="5"/>
      <c r="PDO188" s="5"/>
      <c r="PDP188" s="5"/>
      <c r="PDQ188" s="5"/>
      <c r="PDR188" s="5"/>
      <c r="PDS188" s="5"/>
      <c r="PDT188" s="5"/>
      <c r="PDU188" s="5"/>
      <c r="PDV188" s="5"/>
      <c r="PDW188" s="5"/>
      <c r="PDX188" s="5"/>
      <c r="PDY188" s="5"/>
      <c r="PDZ188" s="5"/>
      <c r="PEA188" s="5"/>
      <c r="PEB188" s="5"/>
      <c r="PEC188" s="5"/>
      <c r="PED188" s="5"/>
      <c r="PEE188" s="5"/>
      <c r="PEF188" s="5"/>
      <c r="PEG188" s="5"/>
      <c r="PEH188" s="5"/>
      <c r="PEI188" s="5"/>
      <c r="PEJ188" s="5"/>
      <c r="PEK188" s="5"/>
      <c r="PEL188" s="5"/>
      <c r="PEM188" s="5"/>
      <c r="PEN188" s="5"/>
      <c r="PEO188" s="5"/>
      <c r="PEP188" s="5"/>
      <c r="PEQ188" s="5"/>
      <c r="PER188" s="5"/>
      <c r="PES188" s="5"/>
      <c r="PET188" s="5"/>
      <c r="PEU188" s="5"/>
      <c r="PEV188" s="5"/>
      <c r="PEW188" s="5"/>
      <c r="PEX188" s="5"/>
      <c r="PEY188" s="5"/>
      <c r="PEZ188" s="5"/>
      <c r="PFA188" s="5"/>
      <c r="PFB188" s="5"/>
      <c r="PFC188" s="5"/>
      <c r="PFD188" s="5"/>
      <c r="PFE188" s="5"/>
      <c r="PFF188" s="5"/>
      <c r="PFG188" s="5"/>
      <c r="PFH188" s="5"/>
      <c r="PFI188" s="5"/>
      <c r="PFJ188" s="5"/>
      <c r="PFK188" s="5"/>
      <c r="PFL188" s="5"/>
      <c r="PFM188" s="5"/>
      <c r="PFN188" s="5"/>
      <c r="PFO188" s="5"/>
      <c r="PFP188" s="5"/>
      <c r="PFQ188" s="5"/>
      <c r="PFR188" s="5"/>
      <c r="PFS188" s="5"/>
      <c r="PFT188" s="5"/>
      <c r="PFU188" s="5"/>
      <c r="PFV188" s="5"/>
      <c r="PFW188" s="5"/>
      <c r="PFX188" s="5"/>
      <c r="PFY188" s="5"/>
      <c r="PFZ188" s="5"/>
      <c r="PGA188" s="5"/>
      <c r="PGB188" s="5"/>
      <c r="PGC188" s="5"/>
      <c r="PGD188" s="5"/>
      <c r="PGE188" s="5"/>
      <c r="PGF188" s="5"/>
      <c r="PGG188" s="5"/>
      <c r="PGH188" s="5"/>
      <c r="PGI188" s="5"/>
      <c r="PGJ188" s="5"/>
      <c r="PGK188" s="5"/>
      <c r="PGL188" s="5"/>
      <c r="PGM188" s="5"/>
      <c r="PGN188" s="5"/>
      <c r="PGO188" s="5"/>
      <c r="PGP188" s="5"/>
      <c r="PGQ188" s="5"/>
      <c r="PGR188" s="5"/>
      <c r="PGS188" s="5"/>
      <c r="PGT188" s="5"/>
      <c r="PGU188" s="5"/>
      <c r="PGV188" s="5"/>
      <c r="PGW188" s="5"/>
      <c r="PGX188" s="5"/>
      <c r="PGY188" s="5"/>
      <c r="PGZ188" s="5"/>
      <c r="PHA188" s="5"/>
      <c r="PHB188" s="5"/>
      <c r="PHC188" s="5"/>
      <c r="PHD188" s="5"/>
      <c r="PHE188" s="5"/>
      <c r="PHF188" s="5"/>
      <c r="PHG188" s="5"/>
      <c r="PHH188" s="5"/>
      <c r="PHI188" s="5"/>
      <c r="PHJ188" s="5"/>
      <c r="PHK188" s="5"/>
      <c r="PHL188" s="5"/>
      <c r="PHM188" s="5"/>
      <c r="PHN188" s="5"/>
      <c r="PHO188" s="5"/>
      <c r="PHP188" s="5"/>
      <c r="PHQ188" s="5"/>
      <c r="PHR188" s="5"/>
      <c r="PHS188" s="5"/>
      <c r="PHT188" s="5"/>
      <c r="PHU188" s="5"/>
      <c r="PHV188" s="5"/>
      <c r="PHW188" s="5"/>
      <c r="PHX188" s="5"/>
      <c r="PHY188" s="5"/>
      <c r="PHZ188" s="5"/>
      <c r="PIA188" s="5"/>
      <c r="PIB188" s="5"/>
      <c r="PIC188" s="5"/>
      <c r="PID188" s="5"/>
      <c r="PIE188" s="5"/>
      <c r="PIF188" s="5"/>
      <c r="PIG188" s="5"/>
      <c r="PIH188" s="5"/>
      <c r="PII188" s="5"/>
      <c r="PIJ188" s="5"/>
      <c r="PIK188" s="5"/>
      <c r="PIL188" s="5"/>
      <c r="PIM188" s="5"/>
      <c r="PIN188" s="5"/>
      <c r="PIO188" s="5"/>
      <c r="PIP188" s="5"/>
      <c r="PIQ188" s="5"/>
      <c r="PIR188" s="5"/>
      <c r="PIS188" s="5"/>
      <c r="PIT188" s="5"/>
      <c r="PIU188" s="5"/>
      <c r="PIV188" s="5"/>
      <c r="PIW188" s="5"/>
      <c r="PIX188" s="5"/>
      <c r="PIY188" s="5"/>
      <c r="PIZ188" s="5"/>
      <c r="PJA188" s="5"/>
      <c r="PJB188" s="5"/>
      <c r="PJC188" s="5"/>
      <c r="PJD188" s="5"/>
      <c r="PJE188" s="5"/>
      <c r="PJF188" s="5"/>
      <c r="PJG188" s="5"/>
      <c r="PJH188" s="5"/>
      <c r="PJI188" s="5"/>
      <c r="PJJ188" s="5"/>
      <c r="PJK188" s="5"/>
      <c r="PJL188" s="5"/>
      <c r="PJM188" s="5"/>
      <c r="PJN188" s="5"/>
      <c r="PJO188" s="5"/>
      <c r="PJP188" s="5"/>
      <c r="PJQ188" s="5"/>
      <c r="PJR188" s="5"/>
      <c r="PJS188" s="5"/>
      <c r="PJT188" s="5"/>
      <c r="PJU188" s="5"/>
      <c r="PJV188" s="5"/>
      <c r="PJW188" s="5"/>
      <c r="PJX188" s="5"/>
      <c r="PJY188" s="5"/>
      <c r="PJZ188" s="5"/>
      <c r="PKA188" s="5"/>
      <c r="PKB188" s="5"/>
      <c r="PKC188" s="5"/>
      <c r="PKD188" s="5"/>
      <c r="PKE188" s="5"/>
      <c r="PKF188" s="5"/>
      <c r="PKG188" s="5"/>
      <c r="PKH188" s="5"/>
      <c r="PKI188" s="5"/>
      <c r="PKJ188" s="5"/>
      <c r="PKK188" s="5"/>
      <c r="PKL188" s="5"/>
      <c r="PKM188" s="5"/>
      <c r="PKN188" s="5"/>
      <c r="PKO188" s="5"/>
      <c r="PKP188" s="5"/>
      <c r="PKQ188" s="5"/>
      <c r="PKR188" s="5"/>
      <c r="PKS188" s="5"/>
      <c r="PKT188" s="5"/>
      <c r="PKU188" s="5"/>
      <c r="PKV188" s="5"/>
      <c r="PKW188" s="5"/>
      <c r="PKX188" s="5"/>
      <c r="PKY188" s="5"/>
      <c r="PKZ188" s="5"/>
      <c r="PLA188" s="5"/>
      <c r="PLB188" s="5"/>
      <c r="PLC188" s="5"/>
      <c r="PLD188" s="5"/>
      <c r="PLE188" s="5"/>
      <c r="PLF188" s="5"/>
      <c r="PLG188" s="5"/>
      <c r="PLH188" s="5"/>
      <c r="PLI188" s="5"/>
      <c r="PLJ188" s="5"/>
      <c r="PLK188" s="5"/>
      <c r="PLL188" s="5"/>
      <c r="PLM188" s="5"/>
      <c r="PLN188" s="5"/>
      <c r="PLO188" s="5"/>
      <c r="PLP188" s="5"/>
      <c r="PLQ188" s="5"/>
      <c r="PLR188" s="5"/>
      <c r="PLS188" s="5"/>
      <c r="PLT188" s="5"/>
      <c r="PLU188" s="5"/>
      <c r="PLV188" s="5"/>
      <c r="PLW188" s="5"/>
      <c r="PLX188" s="5"/>
      <c r="PLY188" s="5"/>
      <c r="PLZ188" s="5"/>
      <c r="PMA188" s="5"/>
      <c r="PMB188" s="5"/>
      <c r="PMC188" s="5"/>
      <c r="PMD188" s="5"/>
      <c r="PME188" s="5"/>
      <c r="PMF188" s="5"/>
      <c r="PMG188" s="5"/>
      <c r="PMH188" s="5"/>
      <c r="PMI188" s="5"/>
      <c r="PMJ188" s="5"/>
      <c r="PMK188" s="5"/>
      <c r="PML188" s="5"/>
      <c r="PMM188" s="5"/>
      <c r="PMN188" s="5"/>
      <c r="PMO188" s="5"/>
      <c r="PMP188" s="5"/>
      <c r="PMQ188" s="5"/>
      <c r="PMR188" s="5"/>
      <c r="PMS188" s="5"/>
      <c r="PMT188" s="5"/>
      <c r="PMU188" s="5"/>
      <c r="PMV188" s="5"/>
      <c r="PMW188" s="5"/>
      <c r="PMX188" s="5"/>
      <c r="PMY188" s="5"/>
      <c r="PMZ188" s="5"/>
      <c r="PNA188" s="5"/>
      <c r="PNB188" s="5"/>
      <c r="PNC188" s="5"/>
      <c r="PND188" s="5"/>
      <c r="PNE188" s="5"/>
      <c r="PNF188" s="5"/>
      <c r="PNG188" s="5"/>
      <c r="PNH188" s="5"/>
      <c r="PNI188" s="5"/>
      <c r="PNJ188" s="5"/>
      <c r="PNK188" s="5"/>
      <c r="PNL188" s="5"/>
      <c r="PNM188" s="5"/>
      <c r="PNN188" s="5"/>
      <c r="PNO188" s="5"/>
      <c r="PNP188" s="5"/>
      <c r="PNQ188" s="5"/>
      <c r="PNR188" s="5"/>
      <c r="PNS188" s="5"/>
      <c r="PNT188" s="5"/>
      <c r="PNU188" s="5"/>
      <c r="PNV188" s="5"/>
      <c r="PNW188" s="5"/>
      <c r="PNX188" s="5"/>
      <c r="PNY188" s="5"/>
      <c r="PNZ188" s="5"/>
      <c r="POA188" s="5"/>
      <c r="POB188" s="5"/>
      <c r="POC188" s="5"/>
      <c r="POD188" s="5"/>
      <c r="POE188" s="5"/>
      <c r="POF188" s="5"/>
      <c r="POG188" s="5"/>
      <c r="POH188" s="5"/>
      <c r="POI188" s="5"/>
      <c r="POJ188" s="5"/>
      <c r="POK188" s="5"/>
      <c r="POL188" s="5"/>
      <c r="POM188" s="5"/>
      <c r="PON188" s="5"/>
      <c r="POO188" s="5"/>
      <c r="POP188" s="5"/>
      <c r="POQ188" s="5"/>
      <c r="POR188" s="5"/>
      <c r="POS188" s="5"/>
      <c r="POT188" s="5"/>
      <c r="POU188" s="5"/>
      <c r="POV188" s="5"/>
      <c r="POW188" s="5"/>
      <c r="POX188" s="5"/>
      <c r="POY188" s="5"/>
      <c r="POZ188" s="5"/>
      <c r="PPA188" s="5"/>
      <c r="PPB188" s="5"/>
      <c r="PPC188" s="5"/>
      <c r="PPD188" s="5"/>
      <c r="PPE188" s="5"/>
      <c r="PPF188" s="5"/>
      <c r="PPG188" s="5"/>
      <c r="PPH188" s="5"/>
      <c r="PPI188" s="5"/>
      <c r="PPJ188" s="5"/>
      <c r="PPK188" s="5"/>
      <c r="PPL188" s="5"/>
      <c r="PPM188" s="5"/>
      <c r="PPN188" s="5"/>
      <c r="PPO188" s="5"/>
      <c r="PPP188" s="5"/>
      <c r="PPQ188" s="5"/>
      <c r="PPR188" s="5"/>
      <c r="PPS188" s="5"/>
      <c r="PPT188" s="5"/>
      <c r="PPU188" s="5"/>
      <c r="PPV188" s="5"/>
      <c r="PPW188" s="5"/>
      <c r="PPX188" s="5"/>
      <c r="PPY188" s="5"/>
      <c r="PPZ188" s="5"/>
      <c r="PQA188" s="5"/>
      <c r="PQB188" s="5"/>
      <c r="PQC188" s="5"/>
      <c r="PQD188" s="5"/>
      <c r="PQE188" s="5"/>
      <c r="PQF188" s="5"/>
      <c r="PQG188" s="5"/>
      <c r="PQH188" s="5"/>
      <c r="PQI188" s="5"/>
      <c r="PQJ188" s="5"/>
      <c r="PQK188" s="5"/>
      <c r="PQL188" s="5"/>
      <c r="PQM188" s="5"/>
      <c r="PQN188" s="5"/>
      <c r="PQO188" s="5"/>
      <c r="PQP188" s="5"/>
      <c r="PQQ188" s="5"/>
      <c r="PQR188" s="5"/>
      <c r="PQS188" s="5"/>
      <c r="PQT188" s="5"/>
      <c r="PQU188" s="5"/>
      <c r="PQV188" s="5"/>
      <c r="PQW188" s="5"/>
      <c r="PQX188" s="5"/>
      <c r="PQY188" s="5"/>
      <c r="PQZ188" s="5"/>
      <c r="PRA188" s="5"/>
      <c r="PRB188" s="5"/>
      <c r="PRC188" s="5"/>
      <c r="PRD188" s="5"/>
      <c r="PRE188" s="5"/>
      <c r="PRF188" s="5"/>
      <c r="PRG188" s="5"/>
      <c r="PRH188" s="5"/>
      <c r="PRI188" s="5"/>
      <c r="PRJ188" s="5"/>
      <c r="PRK188" s="5"/>
      <c r="PRL188" s="5"/>
      <c r="PRM188" s="5"/>
      <c r="PRN188" s="5"/>
      <c r="PRO188" s="5"/>
      <c r="PRP188" s="5"/>
      <c r="PRQ188" s="5"/>
      <c r="PRR188" s="5"/>
      <c r="PRS188" s="5"/>
      <c r="PRT188" s="5"/>
      <c r="PRU188" s="5"/>
      <c r="PRV188" s="5"/>
      <c r="PRW188" s="5"/>
      <c r="PRX188" s="5"/>
      <c r="PRY188" s="5"/>
      <c r="PRZ188" s="5"/>
      <c r="PSA188" s="5"/>
      <c r="PSB188" s="5"/>
      <c r="PSC188" s="5"/>
      <c r="PSD188" s="5"/>
      <c r="PSE188" s="5"/>
      <c r="PSF188" s="5"/>
      <c r="PSG188" s="5"/>
      <c r="PSH188" s="5"/>
      <c r="PSI188" s="5"/>
      <c r="PSJ188" s="5"/>
      <c r="PSK188" s="5"/>
      <c r="PSL188" s="5"/>
      <c r="PSM188" s="5"/>
      <c r="PSN188" s="5"/>
      <c r="PSO188" s="5"/>
      <c r="PSP188" s="5"/>
      <c r="PSQ188" s="5"/>
      <c r="PSR188" s="5"/>
      <c r="PSS188" s="5"/>
      <c r="PST188" s="5"/>
      <c r="PSU188" s="5"/>
      <c r="PSV188" s="5"/>
      <c r="PSW188" s="5"/>
      <c r="PSX188" s="5"/>
      <c r="PSY188" s="5"/>
      <c r="PSZ188" s="5"/>
      <c r="PTA188" s="5"/>
      <c r="PTB188" s="5"/>
      <c r="PTC188" s="5"/>
      <c r="PTD188" s="5"/>
      <c r="PTE188" s="5"/>
      <c r="PTF188" s="5"/>
      <c r="PTG188" s="5"/>
      <c r="PTH188" s="5"/>
      <c r="PTI188" s="5"/>
      <c r="PTJ188" s="5"/>
      <c r="PTK188" s="5"/>
      <c r="PTL188" s="5"/>
      <c r="PTM188" s="5"/>
      <c r="PTN188" s="5"/>
      <c r="PTO188" s="5"/>
      <c r="PTP188" s="5"/>
      <c r="PTQ188" s="5"/>
      <c r="PTR188" s="5"/>
      <c r="PTS188" s="5"/>
      <c r="PTT188" s="5"/>
      <c r="PTU188" s="5"/>
      <c r="PTV188" s="5"/>
      <c r="PTW188" s="5"/>
      <c r="PTX188" s="5"/>
      <c r="PTY188" s="5"/>
      <c r="PTZ188" s="5"/>
      <c r="PUA188" s="5"/>
      <c r="PUB188" s="5"/>
      <c r="PUC188" s="5"/>
      <c r="PUD188" s="5"/>
      <c r="PUE188" s="5"/>
      <c r="PUF188" s="5"/>
      <c r="PUG188" s="5"/>
      <c r="PUH188" s="5"/>
      <c r="PUI188" s="5"/>
      <c r="PUJ188" s="5"/>
      <c r="PUK188" s="5"/>
      <c r="PUL188" s="5"/>
      <c r="PUM188" s="5"/>
      <c r="PUN188" s="5"/>
      <c r="PUO188" s="5"/>
      <c r="PUP188" s="5"/>
      <c r="PUQ188" s="5"/>
      <c r="PUR188" s="5"/>
      <c r="PUS188" s="5"/>
      <c r="PUT188" s="5"/>
      <c r="PUU188" s="5"/>
      <c r="PUV188" s="5"/>
      <c r="PUW188" s="5"/>
      <c r="PUX188" s="5"/>
      <c r="PUY188" s="5"/>
      <c r="PUZ188" s="5"/>
      <c r="PVA188" s="5"/>
      <c r="PVB188" s="5"/>
      <c r="PVC188" s="5"/>
      <c r="PVD188" s="5"/>
      <c r="PVE188" s="5"/>
      <c r="PVF188" s="5"/>
      <c r="PVG188" s="5"/>
      <c r="PVH188" s="5"/>
      <c r="PVI188" s="5"/>
      <c r="PVJ188" s="5"/>
      <c r="PVK188" s="5"/>
      <c r="PVL188" s="5"/>
      <c r="PVM188" s="5"/>
      <c r="PVN188" s="5"/>
      <c r="PVO188" s="5"/>
      <c r="PVP188" s="5"/>
      <c r="PVQ188" s="5"/>
      <c r="PVR188" s="5"/>
      <c r="PVS188" s="5"/>
      <c r="PVT188" s="5"/>
      <c r="PVU188" s="5"/>
      <c r="PVV188" s="5"/>
      <c r="PVW188" s="5"/>
      <c r="PVX188" s="5"/>
      <c r="PVY188" s="5"/>
      <c r="PVZ188" s="5"/>
      <c r="PWA188" s="5"/>
      <c r="PWB188" s="5"/>
      <c r="PWC188" s="5"/>
      <c r="PWD188" s="5"/>
      <c r="PWE188" s="5"/>
      <c r="PWF188" s="5"/>
      <c r="PWG188" s="5"/>
      <c r="PWH188" s="5"/>
      <c r="PWI188" s="5"/>
      <c r="PWJ188" s="5"/>
      <c r="PWK188" s="5"/>
      <c r="PWL188" s="5"/>
      <c r="PWM188" s="5"/>
      <c r="PWN188" s="5"/>
      <c r="PWO188" s="5"/>
      <c r="PWP188" s="5"/>
      <c r="PWQ188" s="5"/>
      <c r="PWR188" s="5"/>
      <c r="PWS188" s="5"/>
      <c r="PWT188" s="5"/>
      <c r="PWU188" s="5"/>
      <c r="PWV188" s="5"/>
      <c r="PWW188" s="5"/>
      <c r="PWX188" s="5"/>
      <c r="PWY188" s="5"/>
      <c r="PWZ188" s="5"/>
      <c r="PXA188" s="5"/>
      <c r="PXB188" s="5"/>
      <c r="PXC188" s="5"/>
      <c r="PXD188" s="5"/>
      <c r="PXE188" s="5"/>
      <c r="PXF188" s="5"/>
      <c r="PXG188" s="5"/>
      <c r="PXH188" s="5"/>
      <c r="PXI188" s="5"/>
      <c r="PXJ188" s="5"/>
      <c r="PXK188" s="5"/>
      <c r="PXL188" s="5"/>
      <c r="PXM188" s="5"/>
      <c r="PXN188" s="5"/>
      <c r="PXO188" s="5"/>
      <c r="PXP188" s="5"/>
      <c r="PXQ188" s="5"/>
      <c r="PXR188" s="5"/>
      <c r="PXS188" s="5"/>
      <c r="PXT188" s="5"/>
      <c r="PXU188" s="5"/>
      <c r="PXV188" s="5"/>
      <c r="PXW188" s="5"/>
      <c r="PXX188" s="5"/>
      <c r="PXY188" s="5"/>
      <c r="PXZ188" s="5"/>
      <c r="PYA188" s="5"/>
      <c r="PYB188" s="5"/>
      <c r="PYC188" s="5"/>
      <c r="PYD188" s="5"/>
      <c r="PYE188" s="5"/>
      <c r="PYF188" s="5"/>
      <c r="PYG188" s="5"/>
      <c r="PYH188" s="5"/>
      <c r="PYI188" s="5"/>
      <c r="PYJ188" s="5"/>
      <c r="PYK188" s="5"/>
      <c r="PYL188" s="5"/>
      <c r="PYM188" s="5"/>
      <c r="PYN188" s="5"/>
      <c r="PYO188" s="5"/>
      <c r="PYP188" s="5"/>
      <c r="PYQ188" s="5"/>
      <c r="PYR188" s="5"/>
      <c r="PYS188" s="5"/>
      <c r="PYT188" s="5"/>
      <c r="PYU188" s="5"/>
      <c r="PYV188" s="5"/>
      <c r="PYW188" s="5"/>
      <c r="PYX188" s="5"/>
      <c r="PYY188" s="5"/>
      <c r="PYZ188" s="5"/>
      <c r="PZA188" s="5"/>
      <c r="PZB188" s="5"/>
      <c r="PZC188" s="5"/>
      <c r="PZD188" s="5"/>
      <c r="PZE188" s="5"/>
      <c r="PZF188" s="5"/>
      <c r="PZG188" s="5"/>
      <c r="PZH188" s="5"/>
      <c r="PZI188" s="5"/>
      <c r="PZJ188" s="5"/>
      <c r="PZK188" s="5"/>
      <c r="PZL188" s="5"/>
      <c r="PZM188" s="5"/>
      <c r="PZN188" s="5"/>
      <c r="PZO188" s="5"/>
      <c r="PZP188" s="5"/>
      <c r="PZQ188" s="5"/>
      <c r="PZR188" s="5"/>
      <c r="PZS188" s="5"/>
      <c r="PZT188" s="5"/>
      <c r="PZU188" s="5"/>
      <c r="PZV188" s="5"/>
      <c r="PZW188" s="5"/>
      <c r="PZX188" s="5"/>
      <c r="PZY188" s="5"/>
      <c r="PZZ188" s="5"/>
      <c r="QAA188" s="5"/>
      <c r="QAB188" s="5"/>
      <c r="QAC188" s="5"/>
      <c r="QAD188" s="5"/>
      <c r="QAE188" s="5"/>
      <c r="QAF188" s="5"/>
      <c r="QAG188" s="5"/>
      <c r="QAH188" s="5"/>
      <c r="QAI188" s="5"/>
      <c r="QAJ188" s="5"/>
      <c r="QAK188" s="5"/>
      <c r="QAL188" s="5"/>
      <c r="QAM188" s="5"/>
      <c r="QAN188" s="5"/>
      <c r="QAO188" s="5"/>
      <c r="QAP188" s="5"/>
      <c r="QAQ188" s="5"/>
      <c r="QAR188" s="5"/>
      <c r="QAS188" s="5"/>
      <c r="QAT188" s="5"/>
      <c r="QAU188" s="5"/>
      <c r="QAV188" s="5"/>
      <c r="QAW188" s="5"/>
      <c r="QAX188" s="5"/>
      <c r="QAY188" s="5"/>
      <c r="QAZ188" s="5"/>
      <c r="QBA188" s="5"/>
      <c r="QBB188" s="5"/>
      <c r="QBC188" s="5"/>
      <c r="QBD188" s="5"/>
      <c r="QBE188" s="5"/>
      <c r="QBF188" s="5"/>
      <c r="QBG188" s="5"/>
      <c r="QBH188" s="5"/>
      <c r="QBI188" s="5"/>
      <c r="QBJ188" s="5"/>
      <c r="QBK188" s="5"/>
      <c r="QBL188" s="5"/>
      <c r="QBM188" s="5"/>
      <c r="QBN188" s="5"/>
      <c r="QBO188" s="5"/>
      <c r="QBP188" s="5"/>
      <c r="QBQ188" s="5"/>
      <c r="QBR188" s="5"/>
      <c r="QBS188" s="5"/>
      <c r="QBT188" s="5"/>
      <c r="QBU188" s="5"/>
      <c r="QBV188" s="5"/>
      <c r="QBW188" s="5"/>
      <c r="QBX188" s="5"/>
      <c r="QBY188" s="5"/>
      <c r="QBZ188" s="5"/>
      <c r="QCA188" s="5"/>
      <c r="QCB188" s="5"/>
      <c r="QCC188" s="5"/>
      <c r="QCD188" s="5"/>
      <c r="QCE188" s="5"/>
      <c r="QCF188" s="5"/>
      <c r="QCG188" s="5"/>
      <c r="QCH188" s="5"/>
      <c r="QCI188" s="5"/>
      <c r="QCJ188" s="5"/>
      <c r="QCK188" s="5"/>
      <c r="QCL188" s="5"/>
      <c r="QCM188" s="5"/>
      <c r="QCN188" s="5"/>
      <c r="QCO188" s="5"/>
      <c r="QCP188" s="5"/>
      <c r="QCQ188" s="5"/>
      <c r="QCR188" s="5"/>
      <c r="QCS188" s="5"/>
      <c r="QCT188" s="5"/>
      <c r="QCU188" s="5"/>
      <c r="QCV188" s="5"/>
      <c r="QCW188" s="5"/>
      <c r="QCX188" s="5"/>
      <c r="QCY188" s="5"/>
      <c r="QCZ188" s="5"/>
      <c r="QDA188" s="5"/>
      <c r="QDB188" s="5"/>
      <c r="QDC188" s="5"/>
      <c r="QDD188" s="5"/>
      <c r="QDE188" s="5"/>
      <c r="QDF188" s="5"/>
      <c r="QDG188" s="5"/>
      <c r="QDH188" s="5"/>
      <c r="QDI188" s="5"/>
      <c r="QDJ188" s="5"/>
      <c r="QDK188" s="5"/>
      <c r="QDL188" s="5"/>
      <c r="QDM188" s="5"/>
      <c r="QDN188" s="5"/>
      <c r="QDO188" s="5"/>
      <c r="QDP188" s="5"/>
      <c r="QDQ188" s="5"/>
      <c r="QDR188" s="5"/>
      <c r="QDS188" s="5"/>
      <c r="QDT188" s="5"/>
      <c r="QDU188" s="5"/>
      <c r="QDV188" s="5"/>
      <c r="QDW188" s="5"/>
      <c r="QDX188" s="5"/>
      <c r="QDY188" s="5"/>
      <c r="QDZ188" s="5"/>
      <c r="QEA188" s="5"/>
      <c r="QEB188" s="5"/>
      <c r="QEC188" s="5"/>
      <c r="QED188" s="5"/>
      <c r="QEE188" s="5"/>
      <c r="QEF188" s="5"/>
      <c r="QEG188" s="5"/>
      <c r="QEH188" s="5"/>
      <c r="QEI188" s="5"/>
      <c r="QEJ188" s="5"/>
      <c r="QEK188" s="5"/>
      <c r="QEL188" s="5"/>
      <c r="QEM188" s="5"/>
      <c r="QEN188" s="5"/>
      <c r="QEO188" s="5"/>
      <c r="QEP188" s="5"/>
      <c r="QEQ188" s="5"/>
      <c r="QER188" s="5"/>
      <c r="QES188" s="5"/>
      <c r="QET188" s="5"/>
      <c r="QEU188" s="5"/>
      <c r="QEV188" s="5"/>
      <c r="QEW188" s="5"/>
      <c r="QEX188" s="5"/>
      <c r="QEY188" s="5"/>
      <c r="QEZ188" s="5"/>
      <c r="QFA188" s="5"/>
      <c r="QFB188" s="5"/>
      <c r="QFC188" s="5"/>
      <c r="QFD188" s="5"/>
      <c r="QFE188" s="5"/>
      <c r="QFF188" s="5"/>
      <c r="QFG188" s="5"/>
      <c r="QFH188" s="5"/>
      <c r="QFI188" s="5"/>
      <c r="QFJ188" s="5"/>
      <c r="QFK188" s="5"/>
      <c r="QFL188" s="5"/>
      <c r="QFM188" s="5"/>
      <c r="QFN188" s="5"/>
      <c r="QFO188" s="5"/>
      <c r="QFP188" s="5"/>
      <c r="QFQ188" s="5"/>
      <c r="QFR188" s="5"/>
      <c r="QFS188" s="5"/>
      <c r="QFT188" s="5"/>
      <c r="QFU188" s="5"/>
      <c r="QFV188" s="5"/>
      <c r="QFW188" s="5"/>
      <c r="QFX188" s="5"/>
      <c r="QFY188" s="5"/>
      <c r="QFZ188" s="5"/>
      <c r="QGA188" s="5"/>
      <c r="QGB188" s="5"/>
      <c r="QGC188" s="5"/>
      <c r="QGD188" s="5"/>
      <c r="QGE188" s="5"/>
      <c r="QGF188" s="5"/>
      <c r="QGG188" s="5"/>
      <c r="QGH188" s="5"/>
      <c r="QGI188" s="5"/>
      <c r="QGJ188" s="5"/>
      <c r="QGK188" s="5"/>
      <c r="QGL188" s="5"/>
      <c r="QGM188" s="5"/>
      <c r="QGN188" s="5"/>
      <c r="QGO188" s="5"/>
      <c r="QGP188" s="5"/>
      <c r="QGQ188" s="5"/>
      <c r="QGR188" s="5"/>
      <c r="QGS188" s="5"/>
      <c r="QGT188" s="5"/>
      <c r="QGU188" s="5"/>
      <c r="QGV188" s="5"/>
      <c r="QGW188" s="5"/>
      <c r="QGX188" s="5"/>
      <c r="QGY188" s="5"/>
      <c r="QGZ188" s="5"/>
      <c r="QHA188" s="5"/>
      <c r="QHB188" s="5"/>
      <c r="QHC188" s="5"/>
      <c r="QHD188" s="5"/>
      <c r="QHE188" s="5"/>
      <c r="QHF188" s="5"/>
      <c r="QHG188" s="5"/>
      <c r="QHH188" s="5"/>
      <c r="QHI188" s="5"/>
      <c r="QHJ188" s="5"/>
      <c r="QHK188" s="5"/>
      <c r="QHL188" s="5"/>
      <c r="QHM188" s="5"/>
      <c r="QHN188" s="5"/>
      <c r="QHO188" s="5"/>
      <c r="QHP188" s="5"/>
      <c r="QHQ188" s="5"/>
      <c r="QHR188" s="5"/>
      <c r="QHS188" s="5"/>
      <c r="QHT188" s="5"/>
      <c r="QHU188" s="5"/>
      <c r="QHV188" s="5"/>
      <c r="QHW188" s="5"/>
      <c r="QHX188" s="5"/>
      <c r="QHY188" s="5"/>
      <c r="QHZ188" s="5"/>
      <c r="QIA188" s="5"/>
      <c r="QIB188" s="5"/>
      <c r="QIC188" s="5"/>
      <c r="QID188" s="5"/>
      <c r="QIE188" s="5"/>
      <c r="QIF188" s="5"/>
      <c r="QIG188" s="5"/>
      <c r="QIH188" s="5"/>
      <c r="QII188" s="5"/>
      <c r="QIJ188" s="5"/>
      <c r="QIK188" s="5"/>
      <c r="QIL188" s="5"/>
      <c r="QIM188" s="5"/>
      <c r="QIN188" s="5"/>
      <c r="QIO188" s="5"/>
      <c r="QIP188" s="5"/>
      <c r="QIQ188" s="5"/>
      <c r="QIR188" s="5"/>
      <c r="QIS188" s="5"/>
      <c r="QIT188" s="5"/>
      <c r="QIU188" s="5"/>
      <c r="QIV188" s="5"/>
      <c r="QIW188" s="5"/>
      <c r="QIX188" s="5"/>
      <c r="QIY188" s="5"/>
      <c r="QIZ188" s="5"/>
      <c r="QJA188" s="5"/>
      <c r="QJB188" s="5"/>
      <c r="QJC188" s="5"/>
      <c r="QJD188" s="5"/>
      <c r="QJE188" s="5"/>
      <c r="QJF188" s="5"/>
      <c r="QJG188" s="5"/>
      <c r="QJH188" s="5"/>
      <c r="QJI188" s="5"/>
      <c r="QJJ188" s="5"/>
      <c r="QJK188" s="5"/>
      <c r="QJL188" s="5"/>
      <c r="QJM188" s="5"/>
      <c r="QJN188" s="5"/>
      <c r="QJO188" s="5"/>
      <c r="QJP188" s="5"/>
      <c r="QJQ188" s="5"/>
      <c r="QJR188" s="5"/>
      <c r="QJS188" s="5"/>
      <c r="QJT188" s="5"/>
      <c r="QJU188" s="5"/>
      <c r="QJV188" s="5"/>
      <c r="QJW188" s="5"/>
      <c r="QJX188" s="5"/>
      <c r="QJY188" s="5"/>
      <c r="QJZ188" s="5"/>
      <c r="QKA188" s="5"/>
      <c r="QKB188" s="5"/>
      <c r="QKC188" s="5"/>
      <c r="QKD188" s="5"/>
      <c r="QKE188" s="5"/>
      <c r="QKF188" s="5"/>
      <c r="QKG188" s="5"/>
      <c r="QKH188" s="5"/>
      <c r="QKI188" s="5"/>
      <c r="QKJ188" s="5"/>
      <c r="QKK188" s="5"/>
      <c r="QKL188" s="5"/>
      <c r="QKM188" s="5"/>
      <c r="QKN188" s="5"/>
      <c r="QKO188" s="5"/>
      <c r="QKP188" s="5"/>
      <c r="QKQ188" s="5"/>
      <c r="QKR188" s="5"/>
      <c r="QKS188" s="5"/>
      <c r="QKT188" s="5"/>
      <c r="QKU188" s="5"/>
      <c r="QKV188" s="5"/>
      <c r="QKW188" s="5"/>
      <c r="QKX188" s="5"/>
      <c r="QKY188" s="5"/>
      <c r="QKZ188" s="5"/>
      <c r="QLA188" s="5"/>
      <c r="QLB188" s="5"/>
      <c r="QLC188" s="5"/>
      <c r="QLD188" s="5"/>
      <c r="QLE188" s="5"/>
      <c r="QLF188" s="5"/>
      <c r="QLG188" s="5"/>
      <c r="QLH188" s="5"/>
      <c r="QLI188" s="5"/>
      <c r="QLJ188" s="5"/>
      <c r="QLK188" s="5"/>
      <c r="QLL188" s="5"/>
      <c r="QLM188" s="5"/>
      <c r="QLN188" s="5"/>
      <c r="QLO188" s="5"/>
      <c r="QLP188" s="5"/>
      <c r="QLQ188" s="5"/>
      <c r="QLR188" s="5"/>
      <c r="QLS188" s="5"/>
      <c r="QLT188" s="5"/>
      <c r="QLU188" s="5"/>
      <c r="QLV188" s="5"/>
      <c r="QLW188" s="5"/>
      <c r="QLX188" s="5"/>
      <c r="QLY188" s="5"/>
      <c r="QLZ188" s="5"/>
      <c r="QMA188" s="5"/>
      <c r="QMB188" s="5"/>
      <c r="QMC188" s="5"/>
      <c r="QMD188" s="5"/>
      <c r="QME188" s="5"/>
      <c r="QMF188" s="5"/>
      <c r="QMG188" s="5"/>
      <c r="QMH188" s="5"/>
      <c r="QMI188" s="5"/>
      <c r="QMJ188" s="5"/>
      <c r="QMK188" s="5"/>
      <c r="QML188" s="5"/>
      <c r="QMM188" s="5"/>
      <c r="QMN188" s="5"/>
      <c r="QMO188" s="5"/>
      <c r="QMP188" s="5"/>
      <c r="QMQ188" s="5"/>
      <c r="QMR188" s="5"/>
      <c r="QMS188" s="5"/>
      <c r="QMT188" s="5"/>
      <c r="QMU188" s="5"/>
      <c r="QMV188" s="5"/>
      <c r="QMW188" s="5"/>
      <c r="QMX188" s="5"/>
      <c r="QMY188" s="5"/>
      <c r="QMZ188" s="5"/>
      <c r="QNA188" s="5"/>
      <c r="QNB188" s="5"/>
      <c r="QNC188" s="5"/>
      <c r="QND188" s="5"/>
      <c r="QNE188" s="5"/>
      <c r="QNF188" s="5"/>
      <c r="QNG188" s="5"/>
      <c r="QNH188" s="5"/>
      <c r="QNI188" s="5"/>
      <c r="QNJ188" s="5"/>
      <c r="QNK188" s="5"/>
      <c r="QNL188" s="5"/>
      <c r="QNM188" s="5"/>
      <c r="QNN188" s="5"/>
      <c r="QNO188" s="5"/>
      <c r="QNP188" s="5"/>
      <c r="QNQ188" s="5"/>
      <c r="QNR188" s="5"/>
      <c r="QNS188" s="5"/>
      <c r="QNT188" s="5"/>
      <c r="QNU188" s="5"/>
      <c r="QNV188" s="5"/>
      <c r="QNW188" s="5"/>
      <c r="QNX188" s="5"/>
      <c r="QNY188" s="5"/>
      <c r="QNZ188" s="5"/>
      <c r="QOA188" s="5"/>
      <c r="QOB188" s="5"/>
      <c r="QOC188" s="5"/>
      <c r="QOD188" s="5"/>
      <c r="QOE188" s="5"/>
      <c r="QOF188" s="5"/>
      <c r="QOG188" s="5"/>
      <c r="QOH188" s="5"/>
      <c r="QOI188" s="5"/>
      <c r="QOJ188" s="5"/>
      <c r="QOK188" s="5"/>
      <c r="QOL188" s="5"/>
      <c r="QOM188" s="5"/>
      <c r="QON188" s="5"/>
      <c r="QOO188" s="5"/>
      <c r="QOP188" s="5"/>
      <c r="QOQ188" s="5"/>
      <c r="QOR188" s="5"/>
      <c r="QOS188" s="5"/>
      <c r="QOT188" s="5"/>
      <c r="QOU188" s="5"/>
      <c r="QOV188" s="5"/>
      <c r="QOW188" s="5"/>
      <c r="QOX188" s="5"/>
      <c r="QOY188" s="5"/>
      <c r="QOZ188" s="5"/>
      <c r="QPA188" s="5"/>
      <c r="QPB188" s="5"/>
      <c r="QPC188" s="5"/>
      <c r="QPD188" s="5"/>
      <c r="QPE188" s="5"/>
      <c r="QPF188" s="5"/>
      <c r="QPG188" s="5"/>
      <c r="QPH188" s="5"/>
      <c r="QPI188" s="5"/>
      <c r="QPJ188" s="5"/>
      <c r="QPK188" s="5"/>
      <c r="QPL188" s="5"/>
      <c r="QPM188" s="5"/>
      <c r="QPN188" s="5"/>
      <c r="QPO188" s="5"/>
      <c r="QPP188" s="5"/>
      <c r="QPQ188" s="5"/>
      <c r="QPR188" s="5"/>
      <c r="QPS188" s="5"/>
      <c r="QPT188" s="5"/>
      <c r="QPU188" s="5"/>
      <c r="QPV188" s="5"/>
      <c r="QPW188" s="5"/>
      <c r="QPX188" s="5"/>
      <c r="QPY188" s="5"/>
      <c r="QPZ188" s="5"/>
      <c r="QQA188" s="5"/>
      <c r="QQB188" s="5"/>
      <c r="QQC188" s="5"/>
      <c r="QQD188" s="5"/>
      <c r="QQE188" s="5"/>
      <c r="QQF188" s="5"/>
      <c r="QQG188" s="5"/>
      <c r="QQH188" s="5"/>
      <c r="QQI188" s="5"/>
      <c r="QQJ188" s="5"/>
      <c r="QQK188" s="5"/>
      <c r="QQL188" s="5"/>
      <c r="QQM188" s="5"/>
      <c r="QQN188" s="5"/>
      <c r="QQO188" s="5"/>
      <c r="QQP188" s="5"/>
      <c r="QQQ188" s="5"/>
      <c r="QQR188" s="5"/>
      <c r="QQS188" s="5"/>
      <c r="QQT188" s="5"/>
      <c r="QQU188" s="5"/>
      <c r="QQV188" s="5"/>
      <c r="QQW188" s="5"/>
      <c r="QQX188" s="5"/>
      <c r="QQY188" s="5"/>
      <c r="QQZ188" s="5"/>
      <c r="QRA188" s="5"/>
      <c r="QRB188" s="5"/>
      <c r="QRC188" s="5"/>
      <c r="QRD188" s="5"/>
      <c r="QRE188" s="5"/>
      <c r="QRF188" s="5"/>
      <c r="QRG188" s="5"/>
      <c r="QRH188" s="5"/>
      <c r="QRI188" s="5"/>
      <c r="QRJ188" s="5"/>
      <c r="QRK188" s="5"/>
      <c r="QRL188" s="5"/>
      <c r="QRM188" s="5"/>
      <c r="QRN188" s="5"/>
      <c r="QRO188" s="5"/>
      <c r="QRP188" s="5"/>
      <c r="QRQ188" s="5"/>
      <c r="QRR188" s="5"/>
      <c r="QRS188" s="5"/>
      <c r="QRT188" s="5"/>
      <c r="QRU188" s="5"/>
      <c r="QRV188" s="5"/>
      <c r="QRW188" s="5"/>
      <c r="QRX188" s="5"/>
      <c r="QRY188" s="5"/>
      <c r="QRZ188" s="5"/>
      <c r="QSA188" s="5"/>
      <c r="QSB188" s="5"/>
      <c r="QSC188" s="5"/>
      <c r="QSD188" s="5"/>
      <c r="QSE188" s="5"/>
      <c r="QSF188" s="5"/>
      <c r="QSG188" s="5"/>
      <c r="QSH188" s="5"/>
      <c r="QSI188" s="5"/>
      <c r="QSJ188" s="5"/>
      <c r="QSK188" s="5"/>
      <c r="QSL188" s="5"/>
      <c r="QSM188" s="5"/>
      <c r="QSN188" s="5"/>
      <c r="QSO188" s="5"/>
      <c r="QSP188" s="5"/>
      <c r="QSQ188" s="5"/>
      <c r="QSR188" s="5"/>
      <c r="QSS188" s="5"/>
      <c r="QST188" s="5"/>
      <c r="QSU188" s="5"/>
      <c r="QSV188" s="5"/>
      <c r="QSW188" s="5"/>
      <c r="QSX188" s="5"/>
      <c r="QSY188" s="5"/>
      <c r="QSZ188" s="5"/>
      <c r="QTA188" s="5"/>
      <c r="QTB188" s="5"/>
      <c r="QTC188" s="5"/>
      <c r="QTD188" s="5"/>
      <c r="QTE188" s="5"/>
      <c r="QTF188" s="5"/>
      <c r="QTG188" s="5"/>
      <c r="QTH188" s="5"/>
      <c r="QTI188" s="5"/>
      <c r="QTJ188" s="5"/>
      <c r="QTK188" s="5"/>
      <c r="QTL188" s="5"/>
      <c r="QTM188" s="5"/>
      <c r="QTN188" s="5"/>
      <c r="QTO188" s="5"/>
      <c r="QTP188" s="5"/>
      <c r="QTQ188" s="5"/>
      <c r="QTR188" s="5"/>
      <c r="QTS188" s="5"/>
      <c r="QTT188" s="5"/>
      <c r="QTU188" s="5"/>
      <c r="QTV188" s="5"/>
      <c r="QTW188" s="5"/>
      <c r="QTX188" s="5"/>
      <c r="QTY188" s="5"/>
      <c r="QTZ188" s="5"/>
      <c r="QUA188" s="5"/>
      <c r="QUB188" s="5"/>
      <c r="QUC188" s="5"/>
      <c r="QUD188" s="5"/>
      <c r="QUE188" s="5"/>
      <c r="QUF188" s="5"/>
      <c r="QUG188" s="5"/>
      <c r="QUH188" s="5"/>
      <c r="QUI188" s="5"/>
      <c r="QUJ188" s="5"/>
      <c r="QUK188" s="5"/>
      <c r="QUL188" s="5"/>
      <c r="QUM188" s="5"/>
      <c r="QUN188" s="5"/>
      <c r="QUO188" s="5"/>
      <c r="QUP188" s="5"/>
      <c r="QUQ188" s="5"/>
      <c r="QUR188" s="5"/>
      <c r="QUS188" s="5"/>
      <c r="QUT188" s="5"/>
      <c r="QUU188" s="5"/>
      <c r="QUV188" s="5"/>
      <c r="QUW188" s="5"/>
      <c r="QUX188" s="5"/>
      <c r="QUY188" s="5"/>
      <c r="QUZ188" s="5"/>
      <c r="QVA188" s="5"/>
      <c r="QVB188" s="5"/>
      <c r="QVC188" s="5"/>
      <c r="QVD188" s="5"/>
      <c r="QVE188" s="5"/>
      <c r="QVF188" s="5"/>
      <c r="QVG188" s="5"/>
      <c r="QVH188" s="5"/>
      <c r="QVI188" s="5"/>
      <c r="QVJ188" s="5"/>
      <c r="QVK188" s="5"/>
      <c r="QVL188" s="5"/>
      <c r="QVM188" s="5"/>
      <c r="QVN188" s="5"/>
      <c r="QVO188" s="5"/>
      <c r="QVP188" s="5"/>
      <c r="QVQ188" s="5"/>
      <c r="QVR188" s="5"/>
      <c r="QVS188" s="5"/>
      <c r="QVT188" s="5"/>
      <c r="QVU188" s="5"/>
      <c r="QVV188" s="5"/>
      <c r="QVW188" s="5"/>
      <c r="QVX188" s="5"/>
      <c r="QVY188" s="5"/>
      <c r="QVZ188" s="5"/>
      <c r="QWA188" s="5"/>
      <c r="QWB188" s="5"/>
      <c r="QWC188" s="5"/>
      <c r="QWD188" s="5"/>
      <c r="QWE188" s="5"/>
      <c r="QWF188" s="5"/>
      <c r="QWG188" s="5"/>
      <c r="QWH188" s="5"/>
      <c r="QWI188" s="5"/>
      <c r="QWJ188" s="5"/>
      <c r="QWK188" s="5"/>
      <c r="QWL188" s="5"/>
      <c r="QWM188" s="5"/>
      <c r="QWN188" s="5"/>
      <c r="QWO188" s="5"/>
      <c r="QWP188" s="5"/>
      <c r="QWQ188" s="5"/>
      <c r="QWR188" s="5"/>
      <c r="QWS188" s="5"/>
      <c r="QWT188" s="5"/>
      <c r="QWU188" s="5"/>
      <c r="QWV188" s="5"/>
      <c r="QWW188" s="5"/>
      <c r="QWX188" s="5"/>
      <c r="QWY188" s="5"/>
      <c r="QWZ188" s="5"/>
      <c r="QXA188" s="5"/>
      <c r="QXB188" s="5"/>
      <c r="QXC188" s="5"/>
      <c r="QXD188" s="5"/>
      <c r="QXE188" s="5"/>
      <c r="QXF188" s="5"/>
      <c r="QXG188" s="5"/>
      <c r="QXH188" s="5"/>
      <c r="QXI188" s="5"/>
      <c r="QXJ188" s="5"/>
      <c r="QXK188" s="5"/>
      <c r="QXL188" s="5"/>
      <c r="QXM188" s="5"/>
      <c r="QXN188" s="5"/>
      <c r="QXO188" s="5"/>
      <c r="QXP188" s="5"/>
      <c r="QXQ188" s="5"/>
      <c r="QXR188" s="5"/>
      <c r="QXS188" s="5"/>
      <c r="QXT188" s="5"/>
      <c r="QXU188" s="5"/>
      <c r="QXV188" s="5"/>
      <c r="QXW188" s="5"/>
      <c r="QXX188" s="5"/>
      <c r="QXY188" s="5"/>
      <c r="QXZ188" s="5"/>
      <c r="QYA188" s="5"/>
      <c r="QYB188" s="5"/>
      <c r="QYC188" s="5"/>
      <c r="QYD188" s="5"/>
      <c r="QYE188" s="5"/>
      <c r="QYF188" s="5"/>
      <c r="QYG188" s="5"/>
      <c r="QYH188" s="5"/>
      <c r="QYI188" s="5"/>
      <c r="QYJ188" s="5"/>
      <c r="QYK188" s="5"/>
      <c r="QYL188" s="5"/>
      <c r="QYM188" s="5"/>
      <c r="QYN188" s="5"/>
      <c r="QYO188" s="5"/>
      <c r="QYP188" s="5"/>
      <c r="QYQ188" s="5"/>
      <c r="QYR188" s="5"/>
      <c r="QYS188" s="5"/>
      <c r="QYT188" s="5"/>
      <c r="QYU188" s="5"/>
      <c r="QYV188" s="5"/>
      <c r="QYW188" s="5"/>
      <c r="QYX188" s="5"/>
      <c r="QYY188" s="5"/>
      <c r="QYZ188" s="5"/>
      <c r="QZA188" s="5"/>
      <c r="QZB188" s="5"/>
      <c r="QZC188" s="5"/>
      <c r="QZD188" s="5"/>
      <c r="QZE188" s="5"/>
      <c r="QZF188" s="5"/>
      <c r="QZG188" s="5"/>
      <c r="QZH188" s="5"/>
      <c r="QZI188" s="5"/>
      <c r="QZJ188" s="5"/>
      <c r="QZK188" s="5"/>
      <c r="QZL188" s="5"/>
      <c r="QZM188" s="5"/>
      <c r="QZN188" s="5"/>
      <c r="QZO188" s="5"/>
      <c r="QZP188" s="5"/>
      <c r="QZQ188" s="5"/>
      <c r="QZR188" s="5"/>
      <c r="QZS188" s="5"/>
      <c r="QZT188" s="5"/>
      <c r="QZU188" s="5"/>
      <c r="QZV188" s="5"/>
      <c r="QZW188" s="5"/>
      <c r="QZX188" s="5"/>
      <c r="QZY188" s="5"/>
      <c r="QZZ188" s="5"/>
      <c r="RAA188" s="5"/>
      <c r="RAB188" s="5"/>
      <c r="RAC188" s="5"/>
      <c r="RAD188" s="5"/>
      <c r="RAE188" s="5"/>
      <c r="RAF188" s="5"/>
      <c r="RAG188" s="5"/>
      <c r="RAH188" s="5"/>
      <c r="RAI188" s="5"/>
      <c r="RAJ188" s="5"/>
      <c r="RAK188" s="5"/>
      <c r="RAL188" s="5"/>
      <c r="RAM188" s="5"/>
      <c r="RAN188" s="5"/>
      <c r="RAO188" s="5"/>
      <c r="RAP188" s="5"/>
      <c r="RAQ188" s="5"/>
      <c r="RAR188" s="5"/>
      <c r="RAS188" s="5"/>
      <c r="RAT188" s="5"/>
      <c r="RAU188" s="5"/>
      <c r="RAV188" s="5"/>
      <c r="RAW188" s="5"/>
      <c r="RAX188" s="5"/>
      <c r="RAY188" s="5"/>
      <c r="RAZ188" s="5"/>
      <c r="RBA188" s="5"/>
      <c r="RBB188" s="5"/>
      <c r="RBC188" s="5"/>
      <c r="RBD188" s="5"/>
      <c r="RBE188" s="5"/>
      <c r="RBF188" s="5"/>
      <c r="RBG188" s="5"/>
      <c r="RBH188" s="5"/>
      <c r="RBI188" s="5"/>
      <c r="RBJ188" s="5"/>
      <c r="RBK188" s="5"/>
      <c r="RBL188" s="5"/>
      <c r="RBM188" s="5"/>
      <c r="RBN188" s="5"/>
      <c r="RBO188" s="5"/>
      <c r="RBP188" s="5"/>
      <c r="RBQ188" s="5"/>
      <c r="RBR188" s="5"/>
      <c r="RBS188" s="5"/>
      <c r="RBT188" s="5"/>
      <c r="RBU188" s="5"/>
      <c r="RBV188" s="5"/>
      <c r="RBW188" s="5"/>
      <c r="RBX188" s="5"/>
      <c r="RBY188" s="5"/>
      <c r="RBZ188" s="5"/>
      <c r="RCA188" s="5"/>
      <c r="RCB188" s="5"/>
      <c r="RCC188" s="5"/>
      <c r="RCD188" s="5"/>
      <c r="RCE188" s="5"/>
      <c r="RCF188" s="5"/>
      <c r="RCG188" s="5"/>
      <c r="RCH188" s="5"/>
      <c r="RCI188" s="5"/>
      <c r="RCJ188" s="5"/>
      <c r="RCK188" s="5"/>
      <c r="RCL188" s="5"/>
      <c r="RCM188" s="5"/>
      <c r="RCN188" s="5"/>
      <c r="RCO188" s="5"/>
      <c r="RCP188" s="5"/>
      <c r="RCQ188" s="5"/>
      <c r="RCR188" s="5"/>
      <c r="RCS188" s="5"/>
      <c r="RCT188" s="5"/>
      <c r="RCU188" s="5"/>
      <c r="RCV188" s="5"/>
      <c r="RCW188" s="5"/>
      <c r="RCX188" s="5"/>
      <c r="RCY188" s="5"/>
      <c r="RCZ188" s="5"/>
      <c r="RDA188" s="5"/>
      <c r="RDB188" s="5"/>
      <c r="RDC188" s="5"/>
      <c r="RDD188" s="5"/>
      <c r="RDE188" s="5"/>
      <c r="RDF188" s="5"/>
      <c r="RDG188" s="5"/>
      <c r="RDH188" s="5"/>
      <c r="RDI188" s="5"/>
      <c r="RDJ188" s="5"/>
      <c r="RDK188" s="5"/>
      <c r="RDL188" s="5"/>
      <c r="RDM188" s="5"/>
      <c r="RDN188" s="5"/>
      <c r="RDO188" s="5"/>
      <c r="RDP188" s="5"/>
      <c r="RDQ188" s="5"/>
      <c r="RDR188" s="5"/>
      <c r="RDS188" s="5"/>
      <c r="RDT188" s="5"/>
      <c r="RDU188" s="5"/>
      <c r="RDV188" s="5"/>
      <c r="RDW188" s="5"/>
      <c r="RDX188" s="5"/>
      <c r="RDY188" s="5"/>
      <c r="RDZ188" s="5"/>
      <c r="REA188" s="5"/>
      <c r="REB188" s="5"/>
      <c r="REC188" s="5"/>
      <c r="RED188" s="5"/>
      <c r="REE188" s="5"/>
      <c r="REF188" s="5"/>
      <c r="REG188" s="5"/>
      <c r="REH188" s="5"/>
      <c r="REI188" s="5"/>
      <c r="REJ188" s="5"/>
      <c r="REK188" s="5"/>
      <c r="REL188" s="5"/>
      <c r="REM188" s="5"/>
      <c r="REN188" s="5"/>
      <c r="REO188" s="5"/>
      <c r="REP188" s="5"/>
      <c r="REQ188" s="5"/>
      <c r="RER188" s="5"/>
      <c r="RES188" s="5"/>
      <c r="RET188" s="5"/>
      <c r="REU188" s="5"/>
      <c r="REV188" s="5"/>
      <c r="REW188" s="5"/>
      <c r="REX188" s="5"/>
      <c r="REY188" s="5"/>
      <c r="REZ188" s="5"/>
      <c r="RFA188" s="5"/>
      <c r="RFB188" s="5"/>
      <c r="RFC188" s="5"/>
      <c r="RFD188" s="5"/>
      <c r="RFE188" s="5"/>
      <c r="RFF188" s="5"/>
      <c r="RFG188" s="5"/>
      <c r="RFH188" s="5"/>
      <c r="RFI188" s="5"/>
      <c r="RFJ188" s="5"/>
      <c r="RFK188" s="5"/>
      <c r="RFL188" s="5"/>
      <c r="RFM188" s="5"/>
      <c r="RFN188" s="5"/>
      <c r="RFO188" s="5"/>
      <c r="RFP188" s="5"/>
      <c r="RFQ188" s="5"/>
      <c r="RFR188" s="5"/>
      <c r="RFS188" s="5"/>
      <c r="RFT188" s="5"/>
      <c r="RFU188" s="5"/>
      <c r="RFV188" s="5"/>
      <c r="RFW188" s="5"/>
      <c r="RFX188" s="5"/>
      <c r="RFY188" s="5"/>
      <c r="RFZ188" s="5"/>
      <c r="RGA188" s="5"/>
      <c r="RGB188" s="5"/>
      <c r="RGC188" s="5"/>
      <c r="RGD188" s="5"/>
      <c r="RGE188" s="5"/>
      <c r="RGF188" s="5"/>
      <c r="RGG188" s="5"/>
      <c r="RGH188" s="5"/>
      <c r="RGI188" s="5"/>
      <c r="RGJ188" s="5"/>
      <c r="RGK188" s="5"/>
      <c r="RGL188" s="5"/>
      <c r="RGM188" s="5"/>
      <c r="RGN188" s="5"/>
      <c r="RGO188" s="5"/>
      <c r="RGP188" s="5"/>
      <c r="RGQ188" s="5"/>
      <c r="RGR188" s="5"/>
      <c r="RGS188" s="5"/>
      <c r="RGT188" s="5"/>
      <c r="RGU188" s="5"/>
      <c r="RGV188" s="5"/>
      <c r="RGW188" s="5"/>
      <c r="RGX188" s="5"/>
      <c r="RGY188" s="5"/>
      <c r="RGZ188" s="5"/>
      <c r="RHA188" s="5"/>
      <c r="RHB188" s="5"/>
      <c r="RHC188" s="5"/>
      <c r="RHD188" s="5"/>
      <c r="RHE188" s="5"/>
      <c r="RHF188" s="5"/>
      <c r="RHG188" s="5"/>
      <c r="RHH188" s="5"/>
      <c r="RHI188" s="5"/>
      <c r="RHJ188" s="5"/>
      <c r="RHK188" s="5"/>
      <c r="RHL188" s="5"/>
      <c r="RHM188" s="5"/>
      <c r="RHN188" s="5"/>
      <c r="RHO188" s="5"/>
      <c r="RHP188" s="5"/>
      <c r="RHQ188" s="5"/>
      <c r="RHR188" s="5"/>
      <c r="RHS188" s="5"/>
      <c r="RHT188" s="5"/>
      <c r="RHU188" s="5"/>
      <c r="RHV188" s="5"/>
      <c r="RHW188" s="5"/>
      <c r="RHX188" s="5"/>
      <c r="RHY188" s="5"/>
      <c r="RHZ188" s="5"/>
      <c r="RIA188" s="5"/>
      <c r="RIB188" s="5"/>
      <c r="RIC188" s="5"/>
      <c r="RID188" s="5"/>
      <c r="RIE188" s="5"/>
      <c r="RIF188" s="5"/>
      <c r="RIG188" s="5"/>
      <c r="RIH188" s="5"/>
      <c r="RII188" s="5"/>
      <c r="RIJ188" s="5"/>
      <c r="RIK188" s="5"/>
      <c r="RIL188" s="5"/>
      <c r="RIM188" s="5"/>
      <c r="RIN188" s="5"/>
      <c r="RIO188" s="5"/>
      <c r="RIP188" s="5"/>
      <c r="RIQ188" s="5"/>
      <c r="RIR188" s="5"/>
      <c r="RIS188" s="5"/>
      <c r="RIT188" s="5"/>
      <c r="RIU188" s="5"/>
      <c r="RIV188" s="5"/>
      <c r="RIW188" s="5"/>
      <c r="RIX188" s="5"/>
      <c r="RIY188" s="5"/>
      <c r="RIZ188" s="5"/>
      <c r="RJA188" s="5"/>
      <c r="RJB188" s="5"/>
      <c r="RJC188" s="5"/>
      <c r="RJD188" s="5"/>
      <c r="RJE188" s="5"/>
      <c r="RJF188" s="5"/>
      <c r="RJG188" s="5"/>
      <c r="RJH188" s="5"/>
      <c r="RJI188" s="5"/>
      <c r="RJJ188" s="5"/>
      <c r="RJK188" s="5"/>
      <c r="RJL188" s="5"/>
      <c r="RJM188" s="5"/>
      <c r="RJN188" s="5"/>
      <c r="RJO188" s="5"/>
      <c r="RJP188" s="5"/>
      <c r="RJQ188" s="5"/>
      <c r="RJR188" s="5"/>
      <c r="RJS188" s="5"/>
      <c r="RJT188" s="5"/>
      <c r="RJU188" s="5"/>
      <c r="RJV188" s="5"/>
      <c r="RJW188" s="5"/>
      <c r="RJX188" s="5"/>
      <c r="RJY188" s="5"/>
      <c r="RJZ188" s="5"/>
      <c r="RKA188" s="5"/>
      <c r="RKB188" s="5"/>
      <c r="RKC188" s="5"/>
      <c r="RKD188" s="5"/>
      <c r="RKE188" s="5"/>
      <c r="RKF188" s="5"/>
      <c r="RKG188" s="5"/>
      <c r="RKH188" s="5"/>
      <c r="RKI188" s="5"/>
      <c r="RKJ188" s="5"/>
      <c r="RKK188" s="5"/>
      <c r="RKL188" s="5"/>
      <c r="RKM188" s="5"/>
      <c r="RKN188" s="5"/>
      <c r="RKO188" s="5"/>
      <c r="RKP188" s="5"/>
      <c r="RKQ188" s="5"/>
      <c r="RKR188" s="5"/>
      <c r="RKS188" s="5"/>
      <c r="RKT188" s="5"/>
      <c r="RKU188" s="5"/>
      <c r="RKV188" s="5"/>
      <c r="RKW188" s="5"/>
      <c r="RKX188" s="5"/>
      <c r="RKY188" s="5"/>
      <c r="RKZ188" s="5"/>
      <c r="RLA188" s="5"/>
      <c r="RLB188" s="5"/>
      <c r="RLC188" s="5"/>
      <c r="RLD188" s="5"/>
      <c r="RLE188" s="5"/>
      <c r="RLF188" s="5"/>
      <c r="RLG188" s="5"/>
      <c r="RLH188" s="5"/>
      <c r="RLI188" s="5"/>
      <c r="RLJ188" s="5"/>
      <c r="RLK188" s="5"/>
      <c r="RLL188" s="5"/>
      <c r="RLM188" s="5"/>
      <c r="RLN188" s="5"/>
      <c r="RLO188" s="5"/>
      <c r="RLP188" s="5"/>
      <c r="RLQ188" s="5"/>
      <c r="RLR188" s="5"/>
      <c r="RLS188" s="5"/>
      <c r="RLT188" s="5"/>
      <c r="RLU188" s="5"/>
      <c r="RLV188" s="5"/>
      <c r="RLW188" s="5"/>
      <c r="RLX188" s="5"/>
      <c r="RLY188" s="5"/>
      <c r="RLZ188" s="5"/>
      <c r="RMA188" s="5"/>
      <c r="RMB188" s="5"/>
      <c r="RMC188" s="5"/>
      <c r="RMD188" s="5"/>
      <c r="RME188" s="5"/>
      <c r="RMF188" s="5"/>
      <c r="RMG188" s="5"/>
      <c r="RMH188" s="5"/>
      <c r="RMI188" s="5"/>
      <c r="RMJ188" s="5"/>
      <c r="RMK188" s="5"/>
      <c r="RML188" s="5"/>
      <c r="RMM188" s="5"/>
      <c r="RMN188" s="5"/>
      <c r="RMO188" s="5"/>
      <c r="RMP188" s="5"/>
      <c r="RMQ188" s="5"/>
      <c r="RMR188" s="5"/>
      <c r="RMS188" s="5"/>
      <c r="RMT188" s="5"/>
      <c r="RMU188" s="5"/>
      <c r="RMV188" s="5"/>
      <c r="RMW188" s="5"/>
      <c r="RMX188" s="5"/>
      <c r="RMY188" s="5"/>
      <c r="RMZ188" s="5"/>
      <c r="RNA188" s="5"/>
      <c r="RNB188" s="5"/>
      <c r="RNC188" s="5"/>
      <c r="RND188" s="5"/>
      <c r="RNE188" s="5"/>
      <c r="RNF188" s="5"/>
      <c r="RNG188" s="5"/>
      <c r="RNH188" s="5"/>
      <c r="RNI188" s="5"/>
      <c r="RNJ188" s="5"/>
      <c r="RNK188" s="5"/>
      <c r="RNL188" s="5"/>
      <c r="RNM188" s="5"/>
      <c r="RNN188" s="5"/>
      <c r="RNO188" s="5"/>
      <c r="RNP188" s="5"/>
      <c r="RNQ188" s="5"/>
      <c r="RNR188" s="5"/>
      <c r="RNS188" s="5"/>
      <c r="RNT188" s="5"/>
      <c r="RNU188" s="5"/>
      <c r="RNV188" s="5"/>
      <c r="RNW188" s="5"/>
      <c r="RNX188" s="5"/>
      <c r="RNY188" s="5"/>
      <c r="RNZ188" s="5"/>
      <c r="ROA188" s="5"/>
      <c r="ROB188" s="5"/>
      <c r="ROC188" s="5"/>
      <c r="ROD188" s="5"/>
      <c r="ROE188" s="5"/>
      <c r="ROF188" s="5"/>
      <c r="ROG188" s="5"/>
      <c r="ROH188" s="5"/>
      <c r="ROI188" s="5"/>
      <c r="ROJ188" s="5"/>
      <c r="ROK188" s="5"/>
      <c r="ROL188" s="5"/>
      <c r="ROM188" s="5"/>
      <c r="RON188" s="5"/>
      <c r="ROO188" s="5"/>
      <c r="ROP188" s="5"/>
      <c r="ROQ188" s="5"/>
      <c r="ROR188" s="5"/>
      <c r="ROS188" s="5"/>
      <c r="ROT188" s="5"/>
      <c r="ROU188" s="5"/>
      <c r="ROV188" s="5"/>
      <c r="ROW188" s="5"/>
      <c r="ROX188" s="5"/>
      <c r="ROY188" s="5"/>
      <c r="ROZ188" s="5"/>
      <c r="RPA188" s="5"/>
      <c r="RPB188" s="5"/>
      <c r="RPC188" s="5"/>
      <c r="RPD188" s="5"/>
      <c r="RPE188" s="5"/>
      <c r="RPF188" s="5"/>
      <c r="RPG188" s="5"/>
      <c r="RPH188" s="5"/>
      <c r="RPI188" s="5"/>
      <c r="RPJ188" s="5"/>
      <c r="RPK188" s="5"/>
      <c r="RPL188" s="5"/>
      <c r="RPM188" s="5"/>
      <c r="RPN188" s="5"/>
      <c r="RPO188" s="5"/>
      <c r="RPP188" s="5"/>
      <c r="RPQ188" s="5"/>
      <c r="RPR188" s="5"/>
      <c r="RPS188" s="5"/>
      <c r="RPT188" s="5"/>
      <c r="RPU188" s="5"/>
      <c r="RPV188" s="5"/>
      <c r="RPW188" s="5"/>
      <c r="RPX188" s="5"/>
      <c r="RPY188" s="5"/>
      <c r="RPZ188" s="5"/>
      <c r="RQA188" s="5"/>
      <c r="RQB188" s="5"/>
      <c r="RQC188" s="5"/>
      <c r="RQD188" s="5"/>
      <c r="RQE188" s="5"/>
      <c r="RQF188" s="5"/>
      <c r="RQG188" s="5"/>
      <c r="RQH188" s="5"/>
      <c r="RQI188" s="5"/>
      <c r="RQJ188" s="5"/>
      <c r="RQK188" s="5"/>
      <c r="RQL188" s="5"/>
      <c r="RQM188" s="5"/>
      <c r="RQN188" s="5"/>
      <c r="RQO188" s="5"/>
      <c r="RQP188" s="5"/>
      <c r="RQQ188" s="5"/>
      <c r="RQR188" s="5"/>
      <c r="RQS188" s="5"/>
      <c r="RQT188" s="5"/>
      <c r="RQU188" s="5"/>
      <c r="RQV188" s="5"/>
      <c r="RQW188" s="5"/>
      <c r="RQX188" s="5"/>
      <c r="RQY188" s="5"/>
      <c r="RQZ188" s="5"/>
      <c r="RRA188" s="5"/>
      <c r="RRB188" s="5"/>
      <c r="RRC188" s="5"/>
      <c r="RRD188" s="5"/>
      <c r="RRE188" s="5"/>
      <c r="RRF188" s="5"/>
      <c r="RRG188" s="5"/>
      <c r="RRH188" s="5"/>
      <c r="RRI188" s="5"/>
      <c r="RRJ188" s="5"/>
      <c r="RRK188" s="5"/>
      <c r="RRL188" s="5"/>
      <c r="RRM188" s="5"/>
      <c r="RRN188" s="5"/>
      <c r="RRO188" s="5"/>
      <c r="RRP188" s="5"/>
      <c r="RRQ188" s="5"/>
      <c r="RRR188" s="5"/>
      <c r="RRS188" s="5"/>
      <c r="RRT188" s="5"/>
      <c r="RRU188" s="5"/>
      <c r="RRV188" s="5"/>
      <c r="RRW188" s="5"/>
      <c r="RRX188" s="5"/>
      <c r="RRY188" s="5"/>
      <c r="RRZ188" s="5"/>
      <c r="RSA188" s="5"/>
      <c r="RSB188" s="5"/>
      <c r="RSC188" s="5"/>
      <c r="RSD188" s="5"/>
      <c r="RSE188" s="5"/>
      <c r="RSF188" s="5"/>
      <c r="RSG188" s="5"/>
      <c r="RSH188" s="5"/>
      <c r="RSI188" s="5"/>
      <c r="RSJ188" s="5"/>
      <c r="RSK188" s="5"/>
      <c r="RSL188" s="5"/>
      <c r="RSM188" s="5"/>
      <c r="RSN188" s="5"/>
      <c r="RSO188" s="5"/>
      <c r="RSP188" s="5"/>
      <c r="RSQ188" s="5"/>
      <c r="RSR188" s="5"/>
      <c r="RSS188" s="5"/>
      <c r="RST188" s="5"/>
      <c r="RSU188" s="5"/>
      <c r="RSV188" s="5"/>
      <c r="RSW188" s="5"/>
      <c r="RSX188" s="5"/>
      <c r="RSY188" s="5"/>
      <c r="RSZ188" s="5"/>
      <c r="RTA188" s="5"/>
      <c r="RTB188" s="5"/>
      <c r="RTC188" s="5"/>
      <c r="RTD188" s="5"/>
      <c r="RTE188" s="5"/>
      <c r="RTF188" s="5"/>
      <c r="RTG188" s="5"/>
      <c r="RTH188" s="5"/>
      <c r="RTI188" s="5"/>
      <c r="RTJ188" s="5"/>
      <c r="RTK188" s="5"/>
      <c r="RTL188" s="5"/>
      <c r="RTM188" s="5"/>
      <c r="RTN188" s="5"/>
      <c r="RTO188" s="5"/>
      <c r="RTP188" s="5"/>
      <c r="RTQ188" s="5"/>
      <c r="RTR188" s="5"/>
      <c r="RTS188" s="5"/>
      <c r="RTT188" s="5"/>
      <c r="RTU188" s="5"/>
      <c r="RTV188" s="5"/>
      <c r="RTW188" s="5"/>
      <c r="RTX188" s="5"/>
      <c r="RTY188" s="5"/>
      <c r="RTZ188" s="5"/>
      <c r="RUA188" s="5"/>
      <c r="RUB188" s="5"/>
      <c r="RUC188" s="5"/>
      <c r="RUD188" s="5"/>
      <c r="RUE188" s="5"/>
      <c r="RUF188" s="5"/>
      <c r="RUG188" s="5"/>
      <c r="RUH188" s="5"/>
      <c r="RUI188" s="5"/>
      <c r="RUJ188" s="5"/>
      <c r="RUK188" s="5"/>
      <c r="RUL188" s="5"/>
      <c r="RUM188" s="5"/>
      <c r="RUN188" s="5"/>
      <c r="RUO188" s="5"/>
      <c r="RUP188" s="5"/>
      <c r="RUQ188" s="5"/>
      <c r="RUR188" s="5"/>
      <c r="RUS188" s="5"/>
      <c r="RUT188" s="5"/>
      <c r="RUU188" s="5"/>
      <c r="RUV188" s="5"/>
      <c r="RUW188" s="5"/>
      <c r="RUX188" s="5"/>
      <c r="RUY188" s="5"/>
      <c r="RUZ188" s="5"/>
      <c r="RVA188" s="5"/>
      <c r="RVB188" s="5"/>
      <c r="RVC188" s="5"/>
      <c r="RVD188" s="5"/>
      <c r="RVE188" s="5"/>
      <c r="RVF188" s="5"/>
      <c r="RVG188" s="5"/>
      <c r="RVH188" s="5"/>
      <c r="RVI188" s="5"/>
      <c r="RVJ188" s="5"/>
      <c r="RVK188" s="5"/>
      <c r="RVL188" s="5"/>
      <c r="RVM188" s="5"/>
      <c r="RVN188" s="5"/>
      <c r="RVO188" s="5"/>
      <c r="RVP188" s="5"/>
      <c r="RVQ188" s="5"/>
      <c r="RVR188" s="5"/>
      <c r="RVS188" s="5"/>
      <c r="RVT188" s="5"/>
      <c r="RVU188" s="5"/>
      <c r="RVV188" s="5"/>
      <c r="RVW188" s="5"/>
      <c r="RVX188" s="5"/>
      <c r="RVY188" s="5"/>
      <c r="RVZ188" s="5"/>
      <c r="RWA188" s="5"/>
      <c r="RWB188" s="5"/>
      <c r="RWC188" s="5"/>
      <c r="RWD188" s="5"/>
      <c r="RWE188" s="5"/>
      <c r="RWF188" s="5"/>
      <c r="RWG188" s="5"/>
      <c r="RWH188" s="5"/>
      <c r="RWI188" s="5"/>
      <c r="RWJ188" s="5"/>
      <c r="RWK188" s="5"/>
      <c r="RWL188" s="5"/>
      <c r="RWM188" s="5"/>
      <c r="RWN188" s="5"/>
      <c r="RWO188" s="5"/>
      <c r="RWP188" s="5"/>
      <c r="RWQ188" s="5"/>
      <c r="RWR188" s="5"/>
      <c r="RWS188" s="5"/>
      <c r="RWT188" s="5"/>
      <c r="RWU188" s="5"/>
      <c r="RWV188" s="5"/>
      <c r="RWW188" s="5"/>
      <c r="RWX188" s="5"/>
      <c r="RWY188" s="5"/>
      <c r="RWZ188" s="5"/>
      <c r="RXA188" s="5"/>
      <c r="RXB188" s="5"/>
      <c r="RXC188" s="5"/>
      <c r="RXD188" s="5"/>
      <c r="RXE188" s="5"/>
      <c r="RXF188" s="5"/>
      <c r="RXG188" s="5"/>
      <c r="RXH188" s="5"/>
      <c r="RXI188" s="5"/>
      <c r="RXJ188" s="5"/>
      <c r="RXK188" s="5"/>
      <c r="RXL188" s="5"/>
      <c r="RXM188" s="5"/>
      <c r="RXN188" s="5"/>
      <c r="RXO188" s="5"/>
      <c r="RXP188" s="5"/>
      <c r="RXQ188" s="5"/>
      <c r="RXR188" s="5"/>
      <c r="RXS188" s="5"/>
      <c r="RXT188" s="5"/>
      <c r="RXU188" s="5"/>
      <c r="RXV188" s="5"/>
      <c r="RXW188" s="5"/>
      <c r="RXX188" s="5"/>
      <c r="RXY188" s="5"/>
      <c r="RXZ188" s="5"/>
      <c r="RYA188" s="5"/>
      <c r="RYB188" s="5"/>
      <c r="RYC188" s="5"/>
      <c r="RYD188" s="5"/>
      <c r="RYE188" s="5"/>
      <c r="RYF188" s="5"/>
      <c r="RYG188" s="5"/>
      <c r="RYH188" s="5"/>
      <c r="RYI188" s="5"/>
      <c r="RYJ188" s="5"/>
      <c r="RYK188" s="5"/>
      <c r="RYL188" s="5"/>
      <c r="RYM188" s="5"/>
      <c r="RYN188" s="5"/>
      <c r="RYO188" s="5"/>
      <c r="RYP188" s="5"/>
      <c r="RYQ188" s="5"/>
      <c r="RYR188" s="5"/>
      <c r="RYS188" s="5"/>
      <c r="RYT188" s="5"/>
      <c r="RYU188" s="5"/>
      <c r="RYV188" s="5"/>
      <c r="RYW188" s="5"/>
      <c r="RYX188" s="5"/>
      <c r="RYY188" s="5"/>
      <c r="RYZ188" s="5"/>
      <c r="RZA188" s="5"/>
      <c r="RZB188" s="5"/>
      <c r="RZC188" s="5"/>
      <c r="RZD188" s="5"/>
      <c r="RZE188" s="5"/>
      <c r="RZF188" s="5"/>
      <c r="RZG188" s="5"/>
      <c r="RZH188" s="5"/>
      <c r="RZI188" s="5"/>
      <c r="RZJ188" s="5"/>
      <c r="RZK188" s="5"/>
      <c r="RZL188" s="5"/>
      <c r="RZM188" s="5"/>
      <c r="RZN188" s="5"/>
      <c r="RZO188" s="5"/>
      <c r="RZP188" s="5"/>
      <c r="RZQ188" s="5"/>
      <c r="RZR188" s="5"/>
      <c r="RZS188" s="5"/>
      <c r="RZT188" s="5"/>
      <c r="RZU188" s="5"/>
      <c r="RZV188" s="5"/>
      <c r="RZW188" s="5"/>
      <c r="RZX188" s="5"/>
      <c r="RZY188" s="5"/>
      <c r="RZZ188" s="5"/>
      <c r="SAA188" s="5"/>
      <c r="SAB188" s="5"/>
      <c r="SAC188" s="5"/>
      <c r="SAD188" s="5"/>
      <c r="SAE188" s="5"/>
      <c r="SAF188" s="5"/>
      <c r="SAG188" s="5"/>
      <c r="SAH188" s="5"/>
      <c r="SAI188" s="5"/>
      <c r="SAJ188" s="5"/>
      <c r="SAK188" s="5"/>
      <c r="SAL188" s="5"/>
      <c r="SAM188" s="5"/>
      <c r="SAN188" s="5"/>
      <c r="SAO188" s="5"/>
      <c r="SAP188" s="5"/>
      <c r="SAQ188" s="5"/>
      <c r="SAR188" s="5"/>
      <c r="SAS188" s="5"/>
      <c r="SAT188" s="5"/>
      <c r="SAU188" s="5"/>
      <c r="SAV188" s="5"/>
      <c r="SAW188" s="5"/>
      <c r="SAX188" s="5"/>
      <c r="SAY188" s="5"/>
      <c r="SAZ188" s="5"/>
      <c r="SBA188" s="5"/>
      <c r="SBB188" s="5"/>
      <c r="SBC188" s="5"/>
      <c r="SBD188" s="5"/>
      <c r="SBE188" s="5"/>
      <c r="SBF188" s="5"/>
      <c r="SBG188" s="5"/>
      <c r="SBH188" s="5"/>
      <c r="SBI188" s="5"/>
      <c r="SBJ188" s="5"/>
      <c r="SBK188" s="5"/>
      <c r="SBL188" s="5"/>
      <c r="SBM188" s="5"/>
      <c r="SBN188" s="5"/>
      <c r="SBO188" s="5"/>
      <c r="SBP188" s="5"/>
      <c r="SBQ188" s="5"/>
      <c r="SBR188" s="5"/>
      <c r="SBS188" s="5"/>
      <c r="SBT188" s="5"/>
      <c r="SBU188" s="5"/>
      <c r="SBV188" s="5"/>
      <c r="SBW188" s="5"/>
      <c r="SBX188" s="5"/>
      <c r="SBY188" s="5"/>
      <c r="SBZ188" s="5"/>
      <c r="SCA188" s="5"/>
      <c r="SCB188" s="5"/>
      <c r="SCC188" s="5"/>
      <c r="SCD188" s="5"/>
      <c r="SCE188" s="5"/>
      <c r="SCF188" s="5"/>
      <c r="SCG188" s="5"/>
      <c r="SCH188" s="5"/>
      <c r="SCI188" s="5"/>
      <c r="SCJ188" s="5"/>
      <c r="SCK188" s="5"/>
      <c r="SCL188" s="5"/>
      <c r="SCM188" s="5"/>
      <c r="SCN188" s="5"/>
      <c r="SCO188" s="5"/>
      <c r="SCP188" s="5"/>
      <c r="SCQ188" s="5"/>
      <c r="SCR188" s="5"/>
      <c r="SCS188" s="5"/>
      <c r="SCT188" s="5"/>
      <c r="SCU188" s="5"/>
      <c r="SCV188" s="5"/>
      <c r="SCW188" s="5"/>
      <c r="SCX188" s="5"/>
      <c r="SCY188" s="5"/>
      <c r="SCZ188" s="5"/>
      <c r="SDA188" s="5"/>
      <c r="SDB188" s="5"/>
      <c r="SDC188" s="5"/>
      <c r="SDD188" s="5"/>
      <c r="SDE188" s="5"/>
      <c r="SDF188" s="5"/>
      <c r="SDG188" s="5"/>
      <c r="SDH188" s="5"/>
      <c r="SDI188" s="5"/>
      <c r="SDJ188" s="5"/>
      <c r="SDK188" s="5"/>
      <c r="SDL188" s="5"/>
      <c r="SDM188" s="5"/>
      <c r="SDN188" s="5"/>
      <c r="SDO188" s="5"/>
      <c r="SDP188" s="5"/>
      <c r="SDQ188" s="5"/>
      <c r="SDR188" s="5"/>
      <c r="SDS188" s="5"/>
      <c r="SDT188" s="5"/>
      <c r="SDU188" s="5"/>
      <c r="SDV188" s="5"/>
      <c r="SDW188" s="5"/>
      <c r="SDX188" s="5"/>
      <c r="SDY188" s="5"/>
      <c r="SDZ188" s="5"/>
      <c r="SEA188" s="5"/>
      <c r="SEB188" s="5"/>
      <c r="SEC188" s="5"/>
      <c r="SED188" s="5"/>
      <c r="SEE188" s="5"/>
      <c r="SEF188" s="5"/>
      <c r="SEG188" s="5"/>
      <c r="SEH188" s="5"/>
      <c r="SEI188" s="5"/>
      <c r="SEJ188" s="5"/>
      <c r="SEK188" s="5"/>
      <c r="SEL188" s="5"/>
      <c r="SEM188" s="5"/>
      <c r="SEN188" s="5"/>
      <c r="SEO188" s="5"/>
      <c r="SEP188" s="5"/>
      <c r="SEQ188" s="5"/>
      <c r="SER188" s="5"/>
      <c r="SES188" s="5"/>
      <c r="SET188" s="5"/>
      <c r="SEU188" s="5"/>
      <c r="SEV188" s="5"/>
      <c r="SEW188" s="5"/>
      <c r="SEX188" s="5"/>
      <c r="SEY188" s="5"/>
      <c r="SEZ188" s="5"/>
      <c r="SFA188" s="5"/>
      <c r="SFB188" s="5"/>
      <c r="SFC188" s="5"/>
      <c r="SFD188" s="5"/>
      <c r="SFE188" s="5"/>
      <c r="SFF188" s="5"/>
      <c r="SFG188" s="5"/>
      <c r="SFH188" s="5"/>
      <c r="SFI188" s="5"/>
      <c r="SFJ188" s="5"/>
      <c r="SFK188" s="5"/>
      <c r="SFL188" s="5"/>
      <c r="SFM188" s="5"/>
      <c r="SFN188" s="5"/>
      <c r="SFO188" s="5"/>
      <c r="SFP188" s="5"/>
      <c r="SFQ188" s="5"/>
      <c r="SFR188" s="5"/>
      <c r="SFS188" s="5"/>
      <c r="SFT188" s="5"/>
      <c r="SFU188" s="5"/>
      <c r="SFV188" s="5"/>
      <c r="SFW188" s="5"/>
      <c r="SFX188" s="5"/>
      <c r="SFY188" s="5"/>
      <c r="SFZ188" s="5"/>
      <c r="SGA188" s="5"/>
      <c r="SGB188" s="5"/>
      <c r="SGC188" s="5"/>
      <c r="SGD188" s="5"/>
      <c r="SGE188" s="5"/>
      <c r="SGF188" s="5"/>
      <c r="SGG188" s="5"/>
      <c r="SGH188" s="5"/>
      <c r="SGI188" s="5"/>
      <c r="SGJ188" s="5"/>
      <c r="SGK188" s="5"/>
      <c r="SGL188" s="5"/>
      <c r="SGM188" s="5"/>
      <c r="SGN188" s="5"/>
      <c r="SGO188" s="5"/>
      <c r="SGP188" s="5"/>
      <c r="SGQ188" s="5"/>
      <c r="SGR188" s="5"/>
      <c r="SGS188" s="5"/>
      <c r="SGT188" s="5"/>
      <c r="SGU188" s="5"/>
      <c r="SGV188" s="5"/>
      <c r="SGW188" s="5"/>
      <c r="SGX188" s="5"/>
      <c r="SGY188" s="5"/>
      <c r="SGZ188" s="5"/>
      <c r="SHA188" s="5"/>
      <c r="SHB188" s="5"/>
      <c r="SHC188" s="5"/>
      <c r="SHD188" s="5"/>
      <c r="SHE188" s="5"/>
      <c r="SHF188" s="5"/>
      <c r="SHG188" s="5"/>
      <c r="SHH188" s="5"/>
      <c r="SHI188" s="5"/>
      <c r="SHJ188" s="5"/>
      <c r="SHK188" s="5"/>
      <c r="SHL188" s="5"/>
      <c r="SHM188" s="5"/>
      <c r="SHN188" s="5"/>
      <c r="SHO188" s="5"/>
      <c r="SHP188" s="5"/>
      <c r="SHQ188" s="5"/>
      <c r="SHR188" s="5"/>
      <c r="SHS188" s="5"/>
      <c r="SHT188" s="5"/>
      <c r="SHU188" s="5"/>
      <c r="SHV188" s="5"/>
      <c r="SHW188" s="5"/>
      <c r="SHX188" s="5"/>
      <c r="SHY188" s="5"/>
      <c r="SHZ188" s="5"/>
      <c r="SIA188" s="5"/>
      <c r="SIB188" s="5"/>
      <c r="SIC188" s="5"/>
      <c r="SID188" s="5"/>
      <c r="SIE188" s="5"/>
      <c r="SIF188" s="5"/>
      <c r="SIG188" s="5"/>
      <c r="SIH188" s="5"/>
      <c r="SII188" s="5"/>
      <c r="SIJ188" s="5"/>
      <c r="SIK188" s="5"/>
      <c r="SIL188" s="5"/>
      <c r="SIM188" s="5"/>
      <c r="SIN188" s="5"/>
      <c r="SIO188" s="5"/>
      <c r="SIP188" s="5"/>
      <c r="SIQ188" s="5"/>
      <c r="SIR188" s="5"/>
      <c r="SIS188" s="5"/>
      <c r="SIT188" s="5"/>
      <c r="SIU188" s="5"/>
      <c r="SIV188" s="5"/>
      <c r="SIW188" s="5"/>
      <c r="SIX188" s="5"/>
      <c r="SIY188" s="5"/>
      <c r="SIZ188" s="5"/>
      <c r="SJA188" s="5"/>
      <c r="SJB188" s="5"/>
      <c r="SJC188" s="5"/>
      <c r="SJD188" s="5"/>
      <c r="SJE188" s="5"/>
      <c r="SJF188" s="5"/>
      <c r="SJG188" s="5"/>
      <c r="SJH188" s="5"/>
      <c r="SJI188" s="5"/>
      <c r="SJJ188" s="5"/>
      <c r="SJK188" s="5"/>
      <c r="SJL188" s="5"/>
      <c r="SJM188" s="5"/>
      <c r="SJN188" s="5"/>
      <c r="SJO188" s="5"/>
      <c r="SJP188" s="5"/>
      <c r="SJQ188" s="5"/>
      <c r="SJR188" s="5"/>
      <c r="SJS188" s="5"/>
      <c r="SJT188" s="5"/>
      <c r="SJU188" s="5"/>
      <c r="SJV188" s="5"/>
      <c r="SJW188" s="5"/>
      <c r="SJX188" s="5"/>
      <c r="SJY188" s="5"/>
      <c r="SJZ188" s="5"/>
      <c r="SKA188" s="5"/>
      <c r="SKB188" s="5"/>
      <c r="SKC188" s="5"/>
      <c r="SKD188" s="5"/>
      <c r="SKE188" s="5"/>
      <c r="SKF188" s="5"/>
      <c r="SKG188" s="5"/>
      <c r="SKH188" s="5"/>
      <c r="SKI188" s="5"/>
      <c r="SKJ188" s="5"/>
      <c r="SKK188" s="5"/>
      <c r="SKL188" s="5"/>
      <c r="SKM188" s="5"/>
      <c r="SKN188" s="5"/>
      <c r="SKO188" s="5"/>
      <c r="SKP188" s="5"/>
      <c r="SKQ188" s="5"/>
      <c r="SKR188" s="5"/>
      <c r="SKS188" s="5"/>
      <c r="SKT188" s="5"/>
      <c r="SKU188" s="5"/>
      <c r="SKV188" s="5"/>
      <c r="SKW188" s="5"/>
      <c r="SKX188" s="5"/>
      <c r="SKY188" s="5"/>
      <c r="SKZ188" s="5"/>
      <c r="SLA188" s="5"/>
      <c r="SLB188" s="5"/>
      <c r="SLC188" s="5"/>
      <c r="SLD188" s="5"/>
      <c r="SLE188" s="5"/>
      <c r="SLF188" s="5"/>
      <c r="SLG188" s="5"/>
      <c r="SLH188" s="5"/>
      <c r="SLI188" s="5"/>
      <c r="SLJ188" s="5"/>
      <c r="SLK188" s="5"/>
      <c r="SLL188" s="5"/>
      <c r="SLM188" s="5"/>
      <c r="SLN188" s="5"/>
      <c r="SLO188" s="5"/>
      <c r="SLP188" s="5"/>
      <c r="SLQ188" s="5"/>
      <c r="SLR188" s="5"/>
      <c r="SLS188" s="5"/>
      <c r="SLT188" s="5"/>
      <c r="SLU188" s="5"/>
      <c r="SLV188" s="5"/>
      <c r="SLW188" s="5"/>
      <c r="SLX188" s="5"/>
      <c r="SLY188" s="5"/>
      <c r="SLZ188" s="5"/>
      <c r="SMA188" s="5"/>
      <c r="SMB188" s="5"/>
      <c r="SMC188" s="5"/>
      <c r="SMD188" s="5"/>
      <c r="SME188" s="5"/>
      <c r="SMF188" s="5"/>
      <c r="SMG188" s="5"/>
      <c r="SMH188" s="5"/>
      <c r="SMI188" s="5"/>
      <c r="SMJ188" s="5"/>
      <c r="SMK188" s="5"/>
      <c r="SML188" s="5"/>
      <c r="SMM188" s="5"/>
      <c r="SMN188" s="5"/>
      <c r="SMO188" s="5"/>
      <c r="SMP188" s="5"/>
      <c r="SMQ188" s="5"/>
      <c r="SMR188" s="5"/>
      <c r="SMS188" s="5"/>
      <c r="SMT188" s="5"/>
      <c r="SMU188" s="5"/>
      <c r="SMV188" s="5"/>
      <c r="SMW188" s="5"/>
      <c r="SMX188" s="5"/>
      <c r="SMY188" s="5"/>
      <c r="SMZ188" s="5"/>
      <c r="SNA188" s="5"/>
      <c r="SNB188" s="5"/>
      <c r="SNC188" s="5"/>
      <c r="SND188" s="5"/>
      <c r="SNE188" s="5"/>
      <c r="SNF188" s="5"/>
      <c r="SNG188" s="5"/>
      <c r="SNH188" s="5"/>
      <c r="SNI188" s="5"/>
      <c r="SNJ188" s="5"/>
      <c r="SNK188" s="5"/>
      <c r="SNL188" s="5"/>
      <c r="SNM188" s="5"/>
      <c r="SNN188" s="5"/>
      <c r="SNO188" s="5"/>
      <c r="SNP188" s="5"/>
      <c r="SNQ188" s="5"/>
      <c r="SNR188" s="5"/>
      <c r="SNS188" s="5"/>
      <c r="SNT188" s="5"/>
      <c r="SNU188" s="5"/>
      <c r="SNV188" s="5"/>
      <c r="SNW188" s="5"/>
      <c r="SNX188" s="5"/>
      <c r="SNY188" s="5"/>
      <c r="SNZ188" s="5"/>
      <c r="SOA188" s="5"/>
      <c r="SOB188" s="5"/>
      <c r="SOC188" s="5"/>
      <c r="SOD188" s="5"/>
      <c r="SOE188" s="5"/>
      <c r="SOF188" s="5"/>
      <c r="SOG188" s="5"/>
      <c r="SOH188" s="5"/>
      <c r="SOI188" s="5"/>
      <c r="SOJ188" s="5"/>
      <c r="SOK188" s="5"/>
      <c r="SOL188" s="5"/>
      <c r="SOM188" s="5"/>
      <c r="SON188" s="5"/>
      <c r="SOO188" s="5"/>
      <c r="SOP188" s="5"/>
      <c r="SOQ188" s="5"/>
      <c r="SOR188" s="5"/>
      <c r="SOS188" s="5"/>
      <c r="SOT188" s="5"/>
      <c r="SOU188" s="5"/>
      <c r="SOV188" s="5"/>
      <c r="SOW188" s="5"/>
      <c r="SOX188" s="5"/>
      <c r="SOY188" s="5"/>
      <c r="SOZ188" s="5"/>
      <c r="SPA188" s="5"/>
      <c r="SPB188" s="5"/>
      <c r="SPC188" s="5"/>
      <c r="SPD188" s="5"/>
      <c r="SPE188" s="5"/>
      <c r="SPF188" s="5"/>
      <c r="SPG188" s="5"/>
      <c r="SPH188" s="5"/>
      <c r="SPI188" s="5"/>
      <c r="SPJ188" s="5"/>
      <c r="SPK188" s="5"/>
      <c r="SPL188" s="5"/>
      <c r="SPM188" s="5"/>
      <c r="SPN188" s="5"/>
      <c r="SPO188" s="5"/>
      <c r="SPP188" s="5"/>
      <c r="SPQ188" s="5"/>
      <c r="SPR188" s="5"/>
      <c r="SPS188" s="5"/>
      <c r="SPT188" s="5"/>
      <c r="SPU188" s="5"/>
      <c r="SPV188" s="5"/>
      <c r="SPW188" s="5"/>
      <c r="SPX188" s="5"/>
      <c r="SPY188" s="5"/>
      <c r="SPZ188" s="5"/>
      <c r="SQA188" s="5"/>
      <c r="SQB188" s="5"/>
      <c r="SQC188" s="5"/>
      <c r="SQD188" s="5"/>
      <c r="SQE188" s="5"/>
      <c r="SQF188" s="5"/>
      <c r="SQG188" s="5"/>
      <c r="SQH188" s="5"/>
      <c r="SQI188" s="5"/>
      <c r="SQJ188" s="5"/>
      <c r="SQK188" s="5"/>
      <c r="SQL188" s="5"/>
      <c r="SQM188" s="5"/>
      <c r="SQN188" s="5"/>
      <c r="SQO188" s="5"/>
      <c r="SQP188" s="5"/>
      <c r="SQQ188" s="5"/>
      <c r="SQR188" s="5"/>
      <c r="SQS188" s="5"/>
      <c r="SQT188" s="5"/>
      <c r="SQU188" s="5"/>
      <c r="SQV188" s="5"/>
      <c r="SQW188" s="5"/>
      <c r="SQX188" s="5"/>
      <c r="SQY188" s="5"/>
      <c r="SQZ188" s="5"/>
      <c r="SRA188" s="5"/>
      <c r="SRB188" s="5"/>
      <c r="SRC188" s="5"/>
      <c r="SRD188" s="5"/>
      <c r="SRE188" s="5"/>
      <c r="SRF188" s="5"/>
      <c r="SRG188" s="5"/>
      <c r="SRH188" s="5"/>
      <c r="SRI188" s="5"/>
      <c r="SRJ188" s="5"/>
      <c r="SRK188" s="5"/>
      <c r="SRL188" s="5"/>
      <c r="SRM188" s="5"/>
      <c r="SRN188" s="5"/>
      <c r="SRO188" s="5"/>
      <c r="SRP188" s="5"/>
      <c r="SRQ188" s="5"/>
      <c r="SRR188" s="5"/>
      <c r="SRS188" s="5"/>
      <c r="SRT188" s="5"/>
      <c r="SRU188" s="5"/>
      <c r="SRV188" s="5"/>
      <c r="SRW188" s="5"/>
      <c r="SRX188" s="5"/>
      <c r="SRY188" s="5"/>
      <c r="SRZ188" s="5"/>
      <c r="SSA188" s="5"/>
      <c r="SSB188" s="5"/>
      <c r="SSC188" s="5"/>
      <c r="SSD188" s="5"/>
      <c r="SSE188" s="5"/>
      <c r="SSF188" s="5"/>
      <c r="SSG188" s="5"/>
      <c r="SSH188" s="5"/>
      <c r="SSI188" s="5"/>
      <c r="SSJ188" s="5"/>
      <c r="SSK188" s="5"/>
      <c r="SSL188" s="5"/>
      <c r="SSM188" s="5"/>
      <c r="SSN188" s="5"/>
      <c r="SSO188" s="5"/>
      <c r="SSP188" s="5"/>
      <c r="SSQ188" s="5"/>
      <c r="SSR188" s="5"/>
      <c r="SSS188" s="5"/>
      <c r="SST188" s="5"/>
      <c r="SSU188" s="5"/>
      <c r="SSV188" s="5"/>
      <c r="SSW188" s="5"/>
      <c r="SSX188" s="5"/>
      <c r="SSY188" s="5"/>
      <c r="SSZ188" s="5"/>
      <c r="STA188" s="5"/>
      <c r="STB188" s="5"/>
      <c r="STC188" s="5"/>
      <c r="STD188" s="5"/>
      <c r="STE188" s="5"/>
      <c r="STF188" s="5"/>
      <c r="STG188" s="5"/>
      <c r="STH188" s="5"/>
      <c r="STI188" s="5"/>
      <c r="STJ188" s="5"/>
      <c r="STK188" s="5"/>
      <c r="STL188" s="5"/>
      <c r="STM188" s="5"/>
      <c r="STN188" s="5"/>
      <c r="STO188" s="5"/>
      <c r="STP188" s="5"/>
      <c r="STQ188" s="5"/>
      <c r="STR188" s="5"/>
      <c r="STS188" s="5"/>
      <c r="STT188" s="5"/>
      <c r="STU188" s="5"/>
      <c r="STV188" s="5"/>
      <c r="STW188" s="5"/>
      <c r="STX188" s="5"/>
      <c r="STY188" s="5"/>
      <c r="STZ188" s="5"/>
      <c r="SUA188" s="5"/>
      <c r="SUB188" s="5"/>
      <c r="SUC188" s="5"/>
      <c r="SUD188" s="5"/>
      <c r="SUE188" s="5"/>
      <c r="SUF188" s="5"/>
      <c r="SUG188" s="5"/>
      <c r="SUH188" s="5"/>
      <c r="SUI188" s="5"/>
      <c r="SUJ188" s="5"/>
      <c r="SUK188" s="5"/>
      <c r="SUL188" s="5"/>
      <c r="SUM188" s="5"/>
      <c r="SUN188" s="5"/>
      <c r="SUO188" s="5"/>
      <c r="SUP188" s="5"/>
      <c r="SUQ188" s="5"/>
      <c r="SUR188" s="5"/>
      <c r="SUS188" s="5"/>
      <c r="SUT188" s="5"/>
      <c r="SUU188" s="5"/>
      <c r="SUV188" s="5"/>
      <c r="SUW188" s="5"/>
      <c r="SUX188" s="5"/>
      <c r="SUY188" s="5"/>
      <c r="SUZ188" s="5"/>
      <c r="SVA188" s="5"/>
      <c r="SVB188" s="5"/>
      <c r="SVC188" s="5"/>
      <c r="SVD188" s="5"/>
      <c r="SVE188" s="5"/>
      <c r="SVF188" s="5"/>
      <c r="SVG188" s="5"/>
      <c r="SVH188" s="5"/>
      <c r="SVI188" s="5"/>
      <c r="SVJ188" s="5"/>
      <c r="SVK188" s="5"/>
      <c r="SVL188" s="5"/>
      <c r="SVM188" s="5"/>
      <c r="SVN188" s="5"/>
      <c r="SVO188" s="5"/>
      <c r="SVP188" s="5"/>
      <c r="SVQ188" s="5"/>
      <c r="SVR188" s="5"/>
      <c r="SVS188" s="5"/>
      <c r="SVT188" s="5"/>
      <c r="SVU188" s="5"/>
      <c r="SVV188" s="5"/>
      <c r="SVW188" s="5"/>
      <c r="SVX188" s="5"/>
      <c r="SVY188" s="5"/>
      <c r="SVZ188" s="5"/>
      <c r="SWA188" s="5"/>
      <c r="SWB188" s="5"/>
      <c r="SWC188" s="5"/>
      <c r="SWD188" s="5"/>
      <c r="SWE188" s="5"/>
      <c r="SWF188" s="5"/>
      <c r="SWG188" s="5"/>
      <c r="SWH188" s="5"/>
      <c r="SWI188" s="5"/>
      <c r="SWJ188" s="5"/>
      <c r="SWK188" s="5"/>
      <c r="SWL188" s="5"/>
      <c r="SWM188" s="5"/>
      <c r="SWN188" s="5"/>
      <c r="SWO188" s="5"/>
      <c r="SWP188" s="5"/>
      <c r="SWQ188" s="5"/>
      <c r="SWR188" s="5"/>
      <c r="SWS188" s="5"/>
      <c r="SWT188" s="5"/>
      <c r="SWU188" s="5"/>
      <c r="SWV188" s="5"/>
      <c r="SWW188" s="5"/>
      <c r="SWX188" s="5"/>
      <c r="SWY188" s="5"/>
      <c r="SWZ188" s="5"/>
      <c r="SXA188" s="5"/>
      <c r="SXB188" s="5"/>
      <c r="SXC188" s="5"/>
      <c r="SXD188" s="5"/>
      <c r="SXE188" s="5"/>
      <c r="SXF188" s="5"/>
      <c r="SXG188" s="5"/>
      <c r="SXH188" s="5"/>
      <c r="SXI188" s="5"/>
      <c r="SXJ188" s="5"/>
      <c r="SXK188" s="5"/>
      <c r="SXL188" s="5"/>
      <c r="SXM188" s="5"/>
      <c r="SXN188" s="5"/>
      <c r="SXO188" s="5"/>
      <c r="SXP188" s="5"/>
      <c r="SXQ188" s="5"/>
      <c r="SXR188" s="5"/>
      <c r="SXS188" s="5"/>
      <c r="SXT188" s="5"/>
      <c r="SXU188" s="5"/>
      <c r="SXV188" s="5"/>
      <c r="SXW188" s="5"/>
      <c r="SXX188" s="5"/>
      <c r="SXY188" s="5"/>
      <c r="SXZ188" s="5"/>
      <c r="SYA188" s="5"/>
      <c r="SYB188" s="5"/>
      <c r="SYC188" s="5"/>
      <c r="SYD188" s="5"/>
      <c r="SYE188" s="5"/>
      <c r="SYF188" s="5"/>
      <c r="SYG188" s="5"/>
      <c r="SYH188" s="5"/>
      <c r="SYI188" s="5"/>
      <c r="SYJ188" s="5"/>
      <c r="SYK188" s="5"/>
      <c r="SYL188" s="5"/>
      <c r="SYM188" s="5"/>
      <c r="SYN188" s="5"/>
      <c r="SYO188" s="5"/>
      <c r="SYP188" s="5"/>
      <c r="SYQ188" s="5"/>
      <c r="SYR188" s="5"/>
      <c r="SYS188" s="5"/>
      <c r="SYT188" s="5"/>
      <c r="SYU188" s="5"/>
      <c r="SYV188" s="5"/>
      <c r="SYW188" s="5"/>
      <c r="SYX188" s="5"/>
      <c r="SYY188" s="5"/>
      <c r="SYZ188" s="5"/>
      <c r="SZA188" s="5"/>
      <c r="SZB188" s="5"/>
      <c r="SZC188" s="5"/>
      <c r="SZD188" s="5"/>
      <c r="SZE188" s="5"/>
      <c r="SZF188" s="5"/>
      <c r="SZG188" s="5"/>
      <c r="SZH188" s="5"/>
      <c r="SZI188" s="5"/>
      <c r="SZJ188" s="5"/>
      <c r="SZK188" s="5"/>
      <c r="SZL188" s="5"/>
      <c r="SZM188" s="5"/>
      <c r="SZN188" s="5"/>
      <c r="SZO188" s="5"/>
      <c r="SZP188" s="5"/>
      <c r="SZQ188" s="5"/>
      <c r="SZR188" s="5"/>
      <c r="SZS188" s="5"/>
      <c r="SZT188" s="5"/>
      <c r="SZU188" s="5"/>
      <c r="SZV188" s="5"/>
      <c r="SZW188" s="5"/>
      <c r="SZX188" s="5"/>
      <c r="SZY188" s="5"/>
      <c r="SZZ188" s="5"/>
      <c r="TAA188" s="5"/>
      <c r="TAB188" s="5"/>
      <c r="TAC188" s="5"/>
      <c r="TAD188" s="5"/>
      <c r="TAE188" s="5"/>
      <c r="TAF188" s="5"/>
      <c r="TAG188" s="5"/>
      <c r="TAH188" s="5"/>
      <c r="TAI188" s="5"/>
      <c r="TAJ188" s="5"/>
      <c r="TAK188" s="5"/>
      <c r="TAL188" s="5"/>
      <c r="TAM188" s="5"/>
      <c r="TAN188" s="5"/>
      <c r="TAO188" s="5"/>
      <c r="TAP188" s="5"/>
      <c r="TAQ188" s="5"/>
      <c r="TAR188" s="5"/>
      <c r="TAS188" s="5"/>
      <c r="TAT188" s="5"/>
      <c r="TAU188" s="5"/>
      <c r="TAV188" s="5"/>
      <c r="TAW188" s="5"/>
      <c r="TAX188" s="5"/>
      <c r="TAY188" s="5"/>
      <c r="TAZ188" s="5"/>
      <c r="TBA188" s="5"/>
      <c r="TBB188" s="5"/>
      <c r="TBC188" s="5"/>
      <c r="TBD188" s="5"/>
      <c r="TBE188" s="5"/>
      <c r="TBF188" s="5"/>
      <c r="TBG188" s="5"/>
      <c r="TBH188" s="5"/>
      <c r="TBI188" s="5"/>
      <c r="TBJ188" s="5"/>
      <c r="TBK188" s="5"/>
      <c r="TBL188" s="5"/>
      <c r="TBM188" s="5"/>
      <c r="TBN188" s="5"/>
      <c r="TBO188" s="5"/>
      <c r="TBP188" s="5"/>
      <c r="TBQ188" s="5"/>
      <c r="TBR188" s="5"/>
      <c r="TBS188" s="5"/>
      <c r="TBT188" s="5"/>
      <c r="TBU188" s="5"/>
      <c r="TBV188" s="5"/>
      <c r="TBW188" s="5"/>
      <c r="TBX188" s="5"/>
      <c r="TBY188" s="5"/>
      <c r="TBZ188" s="5"/>
      <c r="TCA188" s="5"/>
      <c r="TCB188" s="5"/>
      <c r="TCC188" s="5"/>
      <c r="TCD188" s="5"/>
      <c r="TCE188" s="5"/>
      <c r="TCF188" s="5"/>
      <c r="TCG188" s="5"/>
      <c r="TCH188" s="5"/>
      <c r="TCI188" s="5"/>
      <c r="TCJ188" s="5"/>
      <c r="TCK188" s="5"/>
      <c r="TCL188" s="5"/>
      <c r="TCM188" s="5"/>
      <c r="TCN188" s="5"/>
      <c r="TCO188" s="5"/>
      <c r="TCP188" s="5"/>
      <c r="TCQ188" s="5"/>
      <c r="TCR188" s="5"/>
      <c r="TCS188" s="5"/>
      <c r="TCT188" s="5"/>
      <c r="TCU188" s="5"/>
      <c r="TCV188" s="5"/>
      <c r="TCW188" s="5"/>
      <c r="TCX188" s="5"/>
      <c r="TCY188" s="5"/>
      <c r="TCZ188" s="5"/>
      <c r="TDA188" s="5"/>
      <c r="TDB188" s="5"/>
      <c r="TDC188" s="5"/>
      <c r="TDD188" s="5"/>
      <c r="TDE188" s="5"/>
      <c r="TDF188" s="5"/>
      <c r="TDG188" s="5"/>
      <c r="TDH188" s="5"/>
      <c r="TDI188" s="5"/>
      <c r="TDJ188" s="5"/>
      <c r="TDK188" s="5"/>
      <c r="TDL188" s="5"/>
      <c r="TDM188" s="5"/>
      <c r="TDN188" s="5"/>
      <c r="TDO188" s="5"/>
      <c r="TDP188" s="5"/>
      <c r="TDQ188" s="5"/>
      <c r="TDR188" s="5"/>
      <c r="TDS188" s="5"/>
      <c r="TDT188" s="5"/>
      <c r="TDU188" s="5"/>
      <c r="TDV188" s="5"/>
      <c r="TDW188" s="5"/>
      <c r="TDX188" s="5"/>
      <c r="TDY188" s="5"/>
      <c r="TDZ188" s="5"/>
      <c r="TEA188" s="5"/>
      <c r="TEB188" s="5"/>
      <c r="TEC188" s="5"/>
      <c r="TED188" s="5"/>
      <c r="TEE188" s="5"/>
      <c r="TEF188" s="5"/>
      <c r="TEG188" s="5"/>
      <c r="TEH188" s="5"/>
      <c r="TEI188" s="5"/>
      <c r="TEJ188" s="5"/>
      <c r="TEK188" s="5"/>
      <c r="TEL188" s="5"/>
      <c r="TEM188" s="5"/>
      <c r="TEN188" s="5"/>
      <c r="TEO188" s="5"/>
      <c r="TEP188" s="5"/>
      <c r="TEQ188" s="5"/>
      <c r="TER188" s="5"/>
      <c r="TES188" s="5"/>
      <c r="TET188" s="5"/>
      <c r="TEU188" s="5"/>
      <c r="TEV188" s="5"/>
      <c r="TEW188" s="5"/>
      <c r="TEX188" s="5"/>
      <c r="TEY188" s="5"/>
      <c r="TEZ188" s="5"/>
      <c r="TFA188" s="5"/>
      <c r="TFB188" s="5"/>
      <c r="TFC188" s="5"/>
      <c r="TFD188" s="5"/>
      <c r="TFE188" s="5"/>
      <c r="TFF188" s="5"/>
      <c r="TFG188" s="5"/>
      <c r="TFH188" s="5"/>
      <c r="TFI188" s="5"/>
      <c r="TFJ188" s="5"/>
      <c r="TFK188" s="5"/>
      <c r="TFL188" s="5"/>
      <c r="TFM188" s="5"/>
      <c r="TFN188" s="5"/>
      <c r="TFO188" s="5"/>
      <c r="TFP188" s="5"/>
      <c r="TFQ188" s="5"/>
      <c r="TFR188" s="5"/>
      <c r="TFS188" s="5"/>
      <c r="TFT188" s="5"/>
      <c r="TFU188" s="5"/>
      <c r="TFV188" s="5"/>
      <c r="TFW188" s="5"/>
      <c r="TFX188" s="5"/>
      <c r="TFY188" s="5"/>
      <c r="TFZ188" s="5"/>
      <c r="TGA188" s="5"/>
      <c r="TGB188" s="5"/>
      <c r="TGC188" s="5"/>
      <c r="TGD188" s="5"/>
      <c r="TGE188" s="5"/>
      <c r="TGF188" s="5"/>
      <c r="TGG188" s="5"/>
      <c r="TGH188" s="5"/>
      <c r="TGI188" s="5"/>
      <c r="TGJ188" s="5"/>
      <c r="TGK188" s="5"/>
      <c r="TGL188" s="5"/>
      <c r="TGM188" s="5"/>
      <c r="TGN188" s="5"/>
      <c r="TGO188" s="5"/>
      <c r="TGP188" s="5"/>
      <c r="TGQ188" s="5"/>
      <c r="TGR188" s="5"/>
      <c r="TGS188" s="5"/>
      <c r="TGT188" s="5"/>
      <c r="TGU188" s="5"/>
      <c r="TGV188" s="5"/>
      <c r="TGW188" s="5"/>
      <c r="TGX188" s="5"/>
      <c r="TGY188" s="5"/>
      <c r="TGZ188" s="5"/>
      <c r="THA188" s="5"/>
      <c r="THB188" s="5"/>
      <c r="THC188" s="5"/>
      <c r="THD188" s="5"/>
      <c r="THE188" s="5"/>
      <c r="THF188" s="5"/>
      <c r="THG188" s="5"/>
      <c r="THH188" s="5"/>
      <c r="THI188" s="5"/>
      <c r="THJ188" s="5"/>
      <c r="THK188" s="5"/>
      <c r="THL188" s="5"/>
      <c r="THM188" s="5"/>
      <c r="THN188" s="5"/>
      <c r="THO188" s="5"/>
      <c r="THP188" s="5"/>
      <c r="THQ188" s="5"/>
      <c r="THR188" s="5"/>
      <c r="THS188" s="5"/>
      <c r="THT188" s="5"/>
      <c r="THU188" s="5"/>
      <c r="THV188" s="5"/>
      <c r="THW188" s="5"/>
      <c r="THX188" s="5"/>
      <c r="THY188" s="5"/>
      <c r="THZ188" s="5"/>
      <c r="TIA188" s="5"/>
      <c r="TIB188" s="5"/>
      <c r="TIC188" s="5"/>
      <c r="TID188" s="5"/>
      <c r="TIE188" s="5"/>
      <c r="TIF188" s="5"/>
      <c r="TIG188" s="5"/>
      <c r="TIH188" s="5"/>
      <c r="TII188" s="5"/>
      <c r="TIJ188" s="5"/>
      <c r="TIK188" s="5"/>
      <c r="TIL188" s="5"/>
      <c r="TIM188" s="5"/>
      <c r="TIN188" s="5"/>
      <c r="TIO188" s="5"/>
      <c r="TIP188" s="5"/>
      <c r="TIQ188" s="5"/>
      <c r="TIR188" s="5"/>
      <c r="TIS188" s="5"/>
      <c r="TIT188" s="5"/>
      <c r="TIU188" s="5"/>
      <c r="TIV188" s="5"/>
      <c r="TIW188" s="5"/>
      <c r="TIX188" s="5"/>
      <c r="TIY188" s="5"/>
      <c r="TIZ188" s="5"/>
      <c r="TJA188" s="5"/>
      <c r="TJB188" s="5"/>
      <c r="TJC188" s="5"/>
      <c r="TJD188" s="5"/>
      <c r="TJE188" s="5"/>
      <c r="TJF188" s="5"/>
      <c r="TJG188" s="5"/>
      <c r="TJH188" s="5"/>
      <c r="TJI188" s="5"/>
      <c r="TJJ188" s="5"/>
      <c r="TJK188" s="5"/>
      <c r="TJL188" s="5"/>
      <c r="TJM188" s="5"/>
      <c r="TJN188" s="5"/>
      <c r="TJO188" s="5"/>
      <c r="TJP188" s="5"/>
      <c r="TJQ188" s="5"/>
      <c r="TJR188" s="5"/>
      <c r="TJS188" s="5"/>
      <c r="TJT188" s="5"/>
      <c r="TJU188" s="5"/>
      <c r="TJV188" s="5"/>
      <c r="TJW188" s="5"/>
      <c r="TJX188" s="5"/>
      <c r="TJY188" s="5"/>
      <c r="TJZ188" s="5"/>
      <c r="TKA188" s="5"/>
      <c r="TKB188" s="5"/>
      <c r="TKC188" s="5"/>
      <c r="TKD188" s="5"/>
      <c r="TKE188" s="5"/>
      <c r="TKF188" s="5"/>
      <c r="TKG188" s="5"/>
      <c r="TKH188" s="5"/>
      <c r="TKI188" s="5"/>
      <c r="TKJ188" s="5"/>
      <c r="TKK188" s="5"/>
      <c r="TKL188" s="5"/>
      <c r="TKM188" s="5"/>
      <c r="TKN188" s="5"/>
      <c r="TKO188" s="5"/>
      <c r="TKP188" s="5"/>
      <c r="TKQ188" s="5"/>
      <c r="TKR188" s="5"/>
      <c r="TKS188" s="5"/>
      <c r="TKT188" s="5"/>
      <c r="TKU188" s="5"/>
      <c r="TKV188" s="5"/>
      <c r="TKW188" s="5"/>
      <c r="TKX188" s="5"/>
      <c r="TKY188" s="5"/>
      <c r="TKZ188" s="5"/>
      <c r="TLA188" s="5"/>
      <c r="TLB188" s="5"/>
      <c r="TLC188" s="5"/>
      <c r="TLD188" s="5"/>
      <c r="TLE188" s="5"/>
      <c r="TLF188" s="5"/>
      <c r="TLG188" s="5"/>
      <c r="TLH188" s="5"/>
      <c r="TLI188" s="5"/>
      <c r="TLJ188" s="5"/>
      <c r="TLK188" s="5"/>
      <c r="TLL188" s="5"/>
      <c r="TLM188" s="5"/>
      <c r="TLN188" s="5"/>
      <c r="TLO188" s="5"/>
      <c r="TLP188" s="5"/>
      <c r="TLQ188" s="5"/>
      <c r="TLR188" s="5"/>
      <c r="TLS188" s="5"/>
      <c r="TLT188" s="5"/>
      <c r="TLU188" s="5"/>
      <c r="TLV188" s="5"/>
      <c r="TLW188" s="5"/>
      <c r="TLX188" s="5"/>
      <c r="TLY188" s="5"/>
      <c r="TLZ188" s="5"/>
      <c r="TMA188" s="5"/>
      <c r="TMB188" s="5"/>
      <c r="TMC188" s="5"/>
      <c r="TMD188" s="5"/>
      <c r="TME188" s="5"/>
      <c r="TMF188" s="5"/>
      <c r="TMG188" s="5"/>
      <c r="TMH188" s="5"/>
      <c r="TMI188" s="5"/>
      <c r="TMJ188" s="5"/>
      <c r="TMK188" s="5"/>
      <c r="TML188" s="5"/>
      <c r="TMM188" s="5"/>
      <c r="TMN188" s="5"/>
      <c r="TMO188" s="5"/>
      <c r="TMP188" s="5"/>
      <c r="TMQ188" s="5"/>
      <c r="TMR188" s="5"/>
      <c r="TMS188" s="5"/>
      <c r="TMT188" s="5"/>
      <c r="TMU188" s="5"/>
      <c r="TMV188" s="5"/>
      <c r="TMW188" s="5"/>
      <c r="TMX188" s="5"/>
      <c r="TMY188" s="5"/>
      <c r="TMZ188" s="5"/>
      <c r="TNA188" s="5"/>
      <c r="TNB188" s="5"/>
      <c r="TNC188" s="5"/>
      <c r="TND188" s="5"/>
      <c r="TNE188" s="5"/>
      <c r="TNF188" s="5"/>
      <c r="TNG188" s="5"/>
      <c r="TNH188" s="5"/>
      <c r="TNI188" s="5"/>
      <c r="TNJ188" s="5"/>
      <c r="TNK188" s="5"/>
      <c r="TNL188" s="5"/>
      <c r="TNM188" s="5"/>
      <c r="TNN188" s="5"/>
      <c r="TNO188" s="5"/>
      <c r="TNP188" s="5"/>
      <c r="TNQ188" s="5"/>
      <c r="TNR188" s="5"/>
      <c r="TNS188" s="5"/>
      <c r="TNT188" s="5"/>
      <c r="TNU188" s="5"/>
      <c r="TNV188" s="5"/>
      <c r="TNW188" s="5"/>
      <c r="TNX188" s="5"/>
      <c r="TNY188" s="5"/>
      <c r="TNZ188" s="5"/>
      <c r="TOA188" s="5"/>
      <c r="TOB188" s="5"/>
      <c r="TOC188" s="5"/>
      <c r="TOD188" s="5"/>
      <c r="TOE188" s="5"/>
      <c r="TOF188" s="5"/>
      <c r="TOG188" s="5"/>
      <c r="TOH188" s="5"/>
      <c r="TOI188" s="5"/>
      <c r="TOJ188" s="5"/>
      <c r="TOK188" s="5"/>
      <c r="TOL188" s="5"/>
      <c r="TOM188" s="5"/>
      <c r="TON188" s="5"/>
      <c r="TOO188" s="5"/>
      <c r="TOP188" s="5"/>
      <c r="TOQ188" s="5"/>
      <c r="TOR188" s="5"/>
      <c r="TOS188" s="5"/>
      <c r="TOT188" s="5"/>
      <c r="TOU188" s="5"/>
      <c r="TOV188" s="5"/>
      <c r="TOW188" s="5"/>
      <c r="TOX188" s="5"/>
      <c r="TOY188" s="5"/>
      <c r="TOZ188" s="5"/>
      <c r="TPA188" s="5"/>
      <c r="TPB188" s="5"/>
      <c r="TPC188" s="5"/>
      <c r="TPD188" s="5"/>
      <c r="TPE188" s="5"/>
      <c r="TPF188" s="5"/>
      <c r="TPG188" s="5"/>
      <c r="TPH188" s="5"/>
      <c r="TPI188" s="5"/>
      <c r="TPJ188" s="5"/>
      <c r="TPK188" s="5"/>
      <c r="TPL188" s="5"/>
      <c r="TPM188" s="5"/>
      <c r="TPN188" s="5"/>
      <c r="TPO188" s="5"/>
      <c r="TPP188" s="5"/>
      <c r="TPQ188" s="5"/>
      <c r="TPR188" s="5"/>
      <c r="TPS188" s="5"/>
      <c r="TPT188" s="5"/>
      <c r="TPU188" s="5"/>
      <c r="TPV188" s="5"/>
      <c r="TPW188" s="5"/>
      <c r="TPX188" s="5"/>
      <c r="TPY188" s="5"/>
      <c r="TPZ188" s="5"/>
      <c r="TQA188" s="5"/>
      <c r="TQB188" s="5"/>
      <c r="TQC188" s="5"/>
      <c r="TQD188" s="5"/>
      <c r="TQE188" s="5"/>
      <c r="TQF188" s="5"/>
      <c r="TQG188" s="5"/>
      <c r="TQH188" s="5"/>
      <c r="TQI188" s="5"/>
      <c r="TQJ188" s="5"/>
      <c r="TQK188" s="5"/>
      <c r="TQL188" s="5"/>
      <c r="TQM188" s="5"/>
      <c r="TQN188" s="5"/>
      <c r="TQO188" s="5"/>
      <c r="TQP188" s="5"/>
      <c r="TQQ188" s="5"/>
      <c r="TQR188" s="5"/>
      <c r="TQS188" s="5"/>
      <c r="TQT188" s="5"/>
      <c r="TQU188" s="5"/>
      <c r="TQV188" s="5"/>
      <c r="TQW188" s="5"/>
      <c r="TQX188" s="5"/>
      <c r="TQY188" s="5"/>
      <c r="TQZ188" s="5"/>
      <c r="TRA188" s="5"/>
      <c r="TRB188" s="5"/>
      <c r="TRC188" s="5"/>
      <c r="TRD188" s="5"/>
      <c r="TRE188" s="5"/>
      <c r="TRF188" s="5"/>
      <c r="TRG188" s="5"/>
      <c r="TRH188" s="5"/>
      <c r="TRI188" s="5"/>
      <c r="TRJ188" s="5"/>
      <c r="TRK188" s="5"/>
      <c r="TRL188" s="5"/>
      <c r="TRM188" s="5"/>
      <c r="TRN188" s="5"/>
      <c r="TRO188" s="5"/>
      <c r="TRP188" s="5"/>
      <c r="TRQ188" s="5"/>
      <c r="TRR188" s="5"/>
      <c r="TRS188" s="5"/>
      <c r="TRT188" s="5"/>
      <c r="TRU188" s="5"/>
      <c r="TRV188" s="5"/>
      <c r="TRW188" s="5"/>
      <c r="TRX188" s="5"/>
      <c r="TRY188" s="5"/>
      <c r="TRZ188" s="5"/>
      <c r="TSA188" s="5"/>
      <c r="TSB188" s="5"/>
      <c r="TSC188" s="5"/>
      <c r="TSD188" s="5"/>
      <c r="TSE188" s="5"/>
      <c r="TSF188" s="5"/>
      <c r="TSG188" s="5"/>
      <c r="TSH188" s="5"/>
      <c r="TSI188" s="5"/>
      <c r="TSJ188" s="5"/>
      <c r="TSK188" s="5"/>
      <c r="TSL188" s="5"/>
      <c r="TSM188" s="5"/>
      <c r="TSN188" s="5"/>
      <c r="TSO188" s="5"/>
      <c r="TSP188" s="5"/>
      <c r="TSQ188" s="5"/>
      <c r="TSR188" s="5"/>
      <c r="TSS188" s="5"/>
      <c r="TST188" s="5"/>
      <c r="TSU188" s="5"/>
      <c r="TSV188" s="5"/>
      <c r="TSW188" s="5"/>
      <c r="TSX188" s="5"/>
      <c r="TSY188" s="5"/>
      <c r="TSZ188" s="5"/>
      <c r="TTA188" s="5"/>
      <c r="TTB188" s="5"/>
      <c r="TTC188" s="5"/>
      <c r="TTD188" s="5"/>
      <c r="TTE188" s="5"/>
      <c r="TTF188" s="5"/>
      <c r="TTG188" s="5"/>
      <c r="TTH188" s="5"/>
      <c r="TTI188" s="5"/>
      <c r="TTJ188" s="5"/>
      <c r="TTK188" s="5"/>
      <c r="TTL188" s="5"/>
      <c r="TTM188" s="5"/>
      <c r="TTN188" s="5"/>
      <c r="TTO188" s="5"/>
      <c r="TTP188" s="5"/>
      <c r="TTQ188" s="5"/>
      <c r="TTR188" s="5"/>
      <c r="TTS188" s="5"/>
      <c r="TTT188" s="5"/>
      <c r="TTU188" s="5"/>
      <c r="TTV188" s="5"/>
      <c r="TTW188" s="5"/>
      <c r="TTX188" s="5"/>
      <c r="TTY188" s="5"/>
      <c r="TTZ188" s="5"/>
      <c r="TUA188" s="5"/>
      <c r="TUB188" s="5"/>
      <c r="TUC188" s="5"/>
      <c r="TUD188" s="5"/>
      <c r="TUE188" s="5"/>
      <c r="TUF188" s="5"/>
      <c r="TUG188" s="5"/>
      <c r="TUH188" s="5"/>
      <c r="TUI188" s="5"/>
      <c r="TUJ188" s="5"/>
      <c r="TUK188" s="5"/>
      <c r="TUL188" s="5"/>
      <c r="TUM188" s="5"/>
      <c r="TUN188" s="5"/>
      <c r="TUO188" s="5"/>
      <c r="TUP188" s="5"/>
      <c r="TUQ188" s="5"/>
      <c r="TUR188" s="5"/>
      <c r="TUS188" s="5"/>
      <c r="TUT188" s="5"/>
      <c r="TUU188" s="5"/>
      <c r="TUV188" s="5"/>
      <c r="TUW188" s="5"/>
      <c r="TUX188" s="5"/>
      <c r="TUY188" s="5"/>
      <c r="TUZ188" s="5"/>
      <c r="TVA188" s="5"/>
      <c r="TVB188" s="5"/>
      <c r="TVC188" s="5"/>
      <c r="TVD188" s="5"/>
      <c r="TVE188" s="5"/>
      <c r="TVF188" s="5"/>
      <c r="TVG188" s="5"/>
      <c r="TVH188" s="5"/>
      <c r="TVI188" s="5"/>
      <c r="TVJ188" s="5"/>
      <c r="TVK188" s="5"/>
      <c r="TVL188" s="5"/>
      <c r="TVM188" s="5"/>
      <c r="TVN188" s="5"/>
      <c r="TVO188" s="5"/>
      <c r="TVP188" s="5"/>
      <c r="TVQ188" s="5"/>
      <c r="TVR188" s="5"/>
      <c r="TVS188" s="5"/>
      <c r="TVT188" s="5"/>
      <c r="TVU188" s="5"/>
      <c r="TVV188" s="5"/>
      <c r="TVW188" s="5"/>
      <c r="TVX188" s="5"/>
      <c r="TVY188" s="5"/>
      <c r="TVZ188" s="5"/>
      <c r="TWA188" s="5"/>
      <c r="TWB188" s="5"/>
      <c r="TWC188" s="5"/>
      <c r="TWD188" s="5"/>
      <c r="TWE188" s="5"/>
      <c r="TWF188" s="5"/>
      <c r="TWG188" s="5"/>
      <c r="TWH188" s="5"/>
      <c r="TWI188" s="5"/>
      <c r="TWJ188" s="5"/>
      <c r="TWK188" s="5"/>
      <c r="TWL188" s="5"/>
      <c r="TWM188" s="5"/>
      <c r="TWN188" s="5"/>
      <c r="TWO188" s="5"/>
      <c r="TWP188" s="5"/>
      <c r="TWQ188" s="5"/>
      <c r="TWR188" s="5"/>
      <c r="TWS188" s="5"/>
      <c r="TWT188" s="5"/>
      <c r="TWU188" s="5"/>
      <c r="TWV188" s="5"/>
      <c r="TWW188" s="5"/>
      <c r="TWX188" s="5"/>
      <c r="TWY188" s="5"/>
      <c r="TWZ188" s="5"/>
      <c r="TXA188" s="5"/>
      <c r="TXB188" s="5"/>
      <c r="TXC188" s="5"/>
      <c r="TXD188" s="5"/>
      <c r="TXE188" s="5"/>
      <c r="TXF188" s="5"/>
      <c r="TXG188" s="5"/>
      <c r="TXH188" s="5"/>
      <c r="TXI188" s="5"/>
      <c r="TXJ188" s="5"/>
      <c r="TXK188" s="5"/>
      <c r="TXL188" s="5"/>
      <c r="TXM188" s="5"/>
      <c r="TXN188" s="5"/>
      <c r="TXO188" s="5"/>
      <c r="TXP188" s="5"/>
      <c r="TXQ188" s="5"/>
      <c r="TXR188" s="5"/>
      <c r="TXS188" s="5"/>
      <c r="TXT188" s="5"/>
      <c r="TXU188" s="5"/>
      <c r="TXV188" s="5"/>
      <c r="TXW188" s="5"/>
      <c r="TXX188" s="5"/>
      <c r="TXY188" s="5"/>
      <c r="TXZ188" s="5"/>
      <c r="TYA188" s="5"/>
      <c r="TYB188" s="5"/>
      <c r="TYC188" s="5"/>
      <c r="TYD188" s="5"/>
      <c r="TYE188" s="5"/>
      <c r="TYF188" s="5"/>
      <c r="TYG188" s="5"/>
      <c r="TYH188" s="5"/>
      <c r="TYI188" s="5"/>
      <c r="TYJ188" s="5"/>
      <c r="TYK188" s="5"/>
      <c r="TYL188" s="5"/>
      <c r="TYM188" s="5"/>
      <c r="TYN188" s="5"/>
      <c r="TYO188" s="5"/>
      <c r="TYP188" s="5"/>
      <c r="TYQ188" s="5"/>
      <c r="TYR188" s="5"/>
      <c r="TYS188" s="5"/>
      <c r="TYT188" s="5"/>
      <c r="TYU188" s="5"/>
      <c r="TYV188" s="5"/>
      <c r="TYW188" s="5"/>
      <c r="TYX188" s="5"/>
      <c r="TYY188" s="5"/>
      <c r="TYZ188" s="5"/>
      <c r="TZA188" s="5"/>
      <c r="TZB188" s="5"/>
      <c r="TZC188" s="5"/>
      <c r="TZD188" s="5"/>
      <c r="TZE188" s="5"/>
      <c r="TZF188" s="5"/>
      <c r="TZG188" s="5"/>
      <c r="TZH188" s="5"/>
      <c r="TZI188" s="5"/>
      <c r="TZJ188" s="5"/>
      <c r="TZK188" s="5"/>
      <c r="TZL188" s="5"/>
      <c r="TZM188" s="5"/>
      <c r="TZN188" s="5"/>
      <c r="TZO188" s="5"/>
      <c r="TZP188" s="5"/>
      <c r="TZQ188" s="5"/>
      <c r="TZR188" s="5"/>
      <c r="TZS188" s="5"/>
      <c r="TZT188" s="5"/>
      <c r="TZU188" s="5"/>
      <c r="TZV188" s="5"/>
      <c r="TZW188" s="5"/>
      <c r="TZX188" s="5"/>
      <c r="TZY188" s="5"/>
      <c r="TZZ188" s="5"/>
      <c r="UAA188" s="5"/>
      <c r="UAB188" s="5"/>
      <c r="UAC188" s="5"/>
      <c r="UAD188" s="5"/>
      <c r="UAE188" s="5"/>
      <c r="UAF188" s="5"/>
      <c r="UAG188" s="5"/>
      <c r="UAH188" s="5"/>
      <c r="UAI188" s="5"/>
      <c r="UAJ188" s="5"/>
      <c r="UAK188" s="5"/>
      <c r="UAL188" s="5"/>
      <c r="UAM188" s="5"/>
      <c r="UAN188" s="5"/>
      <c r="UAO188" s="5"/>
      <c r="UAP188" s="5"/>
      <c r="UAQ188" s="5"/>
      <c r="UAR188" s="5"/>
      <c r="UAS188" s="5"/>
      <c r="UAT188" s="5"/>
      <c r="UAU188" s="5"/>
      <c r="UAV188" s="5"/>
      <c r="UAW188" s="5"/>
      <c r="UAX188" s="5"/>
      <c r="UAY188" s="5"/>
      <c r="UAZ188" s="5"/>
      <c r="UBA188" s="5"/>
      <c r="UBB188" s="5"/>
      <c r="UBC188" s="5"/>
      <c r="UBD188" s="5"/>
      <c r="UBE188" s="5"/>
      <c r="UBF188" s="5"/>
      <c r="UBG188" s="5"/>
      <c r="UBH188" s="5"/>
      <c r="UBI188" s="5"/>
      <c r="UBJ188" s="5"/>
      <c r="UBK188" s="5"/>
      <c r="UBL188" s="5"/>
      <c r="UBM188" s="5"/>
      <c r="UBN188" s="5"/>
      <c r="UBO188" s="5"/>
      <c r="UBP188" s="5"/>
      <c r="UBQ188" s="5"/>
      <c r="UBR188" s="5"/>
      <c r="UBS188" s="5"/>
      <c r="UBT188" s="5"/>
      <c r="UBU188" s="5"/>
      <c r="UBV188" s="5"/>
      <c r="UBW188" s="5"/>
      <c r="UBX188" s="5"/>
      <c r="UBY188" s="5"/>
      <c r="UBZ188" s="5"/>
      <c r="UCA188" s="5"/>
      <c r="UCB188" s="5"/>
      <c r="UCC188" s="5"/>
      <c r="UCD188" s="5"/>
      <c r="UCE188" s="5"/>
      <c r="UCF188" s="5"/>
      <c r="UCG188" s="5"/>
      <c r="UCH188" s="5"/>
      <c r="UCI188" s="5"/>
      <c r="UCJ188" s="5"/>
      <c r="UCK188" s="5"/>
      <c r="UCL188" s="5"/>
      <c r="UCM188" s="5"/>
      <c r="UCN188" s="5"/>
      <c r="UCO188" s="5"/>
      <c r="UCP188" s="5"/>
      <c r="UCQ188" s="5"/>
      <c r="UCR188" s="5"/>
      <c r="UCS188" s="5"/>
      <c r="UCT188" s="5"/>
      <c r="UCU188" s="5"/>
      <c r="UCV188" s="5"/>
      <c r="UCW188" s="5"/>
      <c r="UCX188" s="5"/>
      <c r="UCY188" s="5"/>
      <c r="UCZ188" s="5"/>
      <c r="UDA188" s="5"/>
      <c r="UDB188" s="5"/>
      <c r="UDC188" s="5"/>
      <c r="UDD188" s="5"/>
      <c r="UDE188" s="5"/>
      <c r="UDF188" s="5"/>
      <c r="UDG188" s="5"/>
      <c r="UDH188" s="5"/>
      <c r="UDI188" s="5"/>
      <c r="UDJ188" s="5"/>
      <c r="UDK188" s="5"/>
      <c r="UDL188" s="5"/>
      <c r="UDM188" s="5"/>
      <c r="UDN188" s="5"/>
      <c r="UDO188" s="5"/>
      <c r="UDP188" s="5"/>
      <c r="UDQ188" s="5"/>
      <c r="UDR188" s="5"/>
      <c r="UDS188" s="5"/>
      <c r="UDT188" s="5"/>
      <c r="UDU188" s="5"/>
      <c r="UDV188" s="5"/>
      <c r="UDW188" s="5"/>
      <c r="UDX188" s="5"/>
      <c r="UDY188" s="5"/>
      <c r="UDZ188" s="5"/>
      <c r="UEA188" s="5"/>
      <c r="UEB188" s="5"/>
      <c r="UEC188" s="5"/>
      <c r="UED188" s="5"/>
      <c r="UEE188" s="5"/>
      <c r="UEF188" s="5"/>
      <c r="UEG188" s="5"/>
      <c r="UEH188" s="5"/>
      <c r="UEI188" s="5"/>
      <c r="UEJ188" s="5"/>
      <c r="UEK188" s="5"/>
      <c r="UEL188" s="5"/>
      <c r="UEM188" s="5"/>
      <c r="UEN188" s="5"/>
      <c r="UEO188" s="5"/>
      <c r="UEP188" s="5"/>
      <c r="UEQ188" s="5"/>
      <c r="UER188" s="5"/>
      <c r="UES188" s="5"/>
      <c r="UET188" s="5"/>
      <c r="UEU188" s="5"/>
      <c r="UEV188" s="5"/>
      <c r="UEW188" s="5"/>
      <c r="UEX188" s="5"/>
      <c r="UEY188" s="5"/>
      <c r="UEZ188" s="5"/>
      <c r="UFA188" s="5"/>
      <c r="UFB188" s="5"/>
      <c r="UFC188" s="5"/>
      <c r="UFD188" s="5"/>
      <c r="UFE188" s="5"/>
      <c r="UFF188" s="5"/>
      <c r="UFG188" s="5"/>
      <c r="UFH188" s="5"/>
      <c r="UFI188" s="5"/>
      <c r="UFJ188" s="5"/>
      <c r="UFK188" s="5"/>
      <c r="UFL188" s="5"/>
      <c r="UFM188" s="5"/>
      <c r="UFN188" s="5"/>
      <c r="UFO188" s="5"/>
      <c r="UFP188" s="5"/>
      <c r="UFQ188" s="5"/>
      <c r="UFR188" s="5"/>
      <c r="UFS188" s="5"/>
      <c r="UFT188" s="5"/>
      <c r="UFU188" s="5"/>
      <c r="UFV188" s="5"/>
      <c r="UFW188" s="5"/>
      <c r="UFX188" s="5"/>
      <c r="UFY188" s="5"/>
      <c r="UFZ188" s="5"/>
      <c r="UGA188" s="5"/>
      <c r="UGB188" s="5"/>
      <c r="UGC188" s="5"/>
      <c r="UGD188" s="5"/>
      <c r="UGE188" s="5"/>
      <c r="UGF188" s="5"/>
      <c r="UGG188" s="5"/>
      <c r="UGH188" s="5"/>
      <c r="UGI188" s="5"/>
      <c r="UGJ188" s="5"/>
      <c r="UGK188" s="5"/>
      <c r="UGL188" s="5"/>
      <c r="UGM188" s="5"/>
      <c r="UGN188" s="5"/>
      <c r="UGO188" s="5"/>
      <c r="UGP188" s="5"/>
      <c r="UGQ188" s="5"/>
      <c r="UGR188" s="5"/>
      <c r="UGS188" s="5"/>
      <c r="UGT188" s="5"/>
      <c r="UGU188" s="5"/>
      <c r="UGV188" s="5"/>
      <c r="UGW188" s="5"/>
      <c r="UGX188" s="5"/>
      <c r="UGY188" s="5"/>
      <c r="UGZ188" s="5"/>
      <c r="UHA188" s="5"/>
      <c r="UHB188" s="5"/>
      <c r="UHC188" s="5"/>
      <c r="UHD188" s="5"/>
      <c r="UHE188" s="5"/>
      <c r="UHF188" s="5"/>
      <c r="UHG188" s="5"/>
      <c r="UHH188" s="5"/>
      <c r="UHI188" s="5"/>
      <c r="UHJ188" s="5"/>
      <c r="UHK188" s="5"/>
      <c r="UHL188" s="5"/>
      <c r="UHM188" s="5"/>
      <c r="UHN188" s="5"/>
      <c r="UHO188" s="5"/>
      <c r="UHP188" s="5"/>
      <c r="UHQ188" s="5"/>
      <c r="UHR188" s="5"/>
      <c r="UHS188" s="5"/>
      <c r="UHT188" s="5"/>
      <c r="UHU188" s="5"/>
      <c r="UHV188" s="5"/>
      <c r="UHW188" s="5"/>
      <c r="UHX188" s="5"/>
      <c r="UHY188" s="5"/>
      <c r="UHZ188" s="5"/>
      <c r="UIA188" s="5"/>
      <c r="UIB188" s="5"/>
      <c r="UIC188" s="5"/>
      <c r="UID188" s="5"/>
      <c r="UIE188" s="5"/>
      <c r="UIF188" s="5"/>
      <c r="UIG188" s="5"/>
      <c r="UIH188" s="5"/>
      <c r="UII188" s="5"/>
      <c r="UIJ188" s="5"/>
      <c r="UIK188" s="5"/>
      <c r="UIL188" s="5"/>
      <c r="UIM188" s="5"/>
      <c r="UIN188" s="5"/>
      <c r="UIO188" s="5"/>
      <c r="UIP188" s="5"/>
      <c r="UIQ188" s="5"/>
      <c r="UIR188" s="5"/>
      <c r="UIS188" s="5"/>
      <c r="UIT188" s="5"/>
      <c r="UIU188" s="5"/>
      <c r="UIV188" s="5"/>
      <c r="UIW188" s="5"/>
      <c r="UIX188" s="5"/>
      <c r="UIY188" s="5"/>
      <c r="UIZ188" s="5"/>
      <c r="UJA188" s="5"/>
      <c r="UJB188" s="5"/>
      <c r="UJC188" s="5"/>
      <c r="UJD188" s="5"/>
      <c r="UJE188" s="5"/>
      <c r="UJF188" s="5"/>
      <c r="UJG188" s="5"/>
      <c r="UJH188" s="5"/>
      <c r="UJI188" s="5"/>
      <c r="UJJ188" s="5"/>
      <c r="UJK188" s="5"/>
      <c r="UJL188" s="5"/>
      <c r="UJM188" s="5"/>
      <c r="UJN188" s="5"/>
      <c r="UJO188" s="5"/>
      <c r="UJP188" s="5"/>
      <c r="UJQ188" s="5"/>
      <c r="UJR188" s="5"/>
      <c r="UJS188" s="5"/>
      <c r="UJT188" s="5"/>
      <c r="UJU188" s="5"/>
      <c r="UJV188" s="5"/>
      <c r="UJW188" s="5"/>
      <c r="UJX188" s="5"/>
      <c r="UJY188" s="5"/>
      <c r="UJZ188" s="5"/>
      <c r="UKA188" s="5"/>
      <c r="UKB188" s="5"/>
      <c r="UKC188" s="5"/>
      <c r="UKD188" s="5"/>
      <c r="UKE188" s="5"/>
      <c r="UKF188" s="5"/>
      <c r="UKG188" s="5"/>
      <c r="UKH188" s="5"/>
      <c r="UKI188" s="5"/>
      <c r="UKJ188" s="5"/>
      <c r="UKK188" s="5"/>
      <c r="UKL188" s="5"/>
      <c r="UKM188" s="5"/>
      <c r="UKN188" s="5"/>
      <c r="UKO188" s="5"/>
      <c r="UKP188" s="5"/>
      <c r="UKQ188" s="5"/>
      <c r="UKR188" s="5"/>
      <c r="UKS188" s="5"/>
      <c r="UKT188" s="5"/>
      <c r="UKU188" s="5"/>
      <c r="UKV188" s="5"/>
      <c r="UKW188" s="5"/>
      <c r="UKX188" s="5"/>
      <c r="UKY188" s="5"/>
      <c r="UKZ188" s="5"/>
      <c r="ULA188" s="5"/>
      <c r="ULB188" s="5"/>
      <c r="ULC188" s="5"/>
      <c r="ULD188" s="5"/>
      <c r="ULE188" s="5"/>
      <c r="ULF188" s="5"/>
      <c r="ULG188" s="5"/>
      <c r="ULH188" s="5"/>
      <c r="ULI188" s="5"/>
      <c r="ULJ188" s="5"/>
      <c r="ULK188" s="5"/>
      <c r="ULL188" s="5"/>
      <c r="ULM188" s="5"/>
      <c r="ULN188" s="5"/>
      <c r="ULO188" s="5"/>
      <c r="ULP188" s="5"/>
      <c r="ULQ188" s="5"/>
      <c r="ULR188" s="5"/>
      <c r="ULS188" s="5"/>
      <c r="ULT188" s="5"/>
      <c r="ULU188" s="5"/>
      <c r="ULV188" s="5"/>
      <c r="ULW188" s="5"/>
      <c r="ULX188" s="5"/>
      <c r="ULY188" s="5"/>
      <c r="ULZ188" s="5"/>
      <c r="UMA188" s="5"/>
      <c r="UMB188" s="5"/>
      <c r="UMC188" s="5"/>
      <c r="UMD188" s="5"/>
      <c r="UME188" s="5"/>
      <c r="UMF188" s="5"/>
      <c r="UMG188" s="5"/>
      <c r="UMH188" s="5"/>
      <c r="UMI188" s="5"/>
      <c r="UMJ188" s="5"/>
      <c r="UMK188" s="5"/>
      <c r="UML188" s="5"/>
      <c r="UMM188" s="5"/>
      <c r="UMN188" s="5"/>
      <c r="UMO188" s="5"/>
      <c r="UMP188" s="5"/>
      <c r="UMQ188" s="5"/>
      <c r="UMR188" s="5"/>
      <c r="UMS188" s="5"/>
      <c r="UMT188" s="5"/>
      <c r="UMU188" s="5"/>
      <c r="UMV188" s="5"/>
      <c r="UMW188" s="5"/>
      <c r="UMX188" s="5"/>
      <c r="UMY188" s="5"/>
      <c r="UMZ188" s="5"/>
      <c r="UNA188" s="5"/>
      <c r="UNB188" s="5"/>
      <c r="UNC188" s="5"/>
      <c r="UND188" s="5"/>
      <c r="UNE188" s="5"/>
      <c r="UNF188" s="5"/>
      <c r="UNG188" s="5"/>
      <c r="UNH188" s="5"/>
      <c r="UNI188" s="5"/>
      <c r="UNJ188" s="5"/>
      <c r="UNK188" s="5"/>
      <c r="UNL188" s="5"/>
      <c r="UNM188" s="5"/>
      <c r="UNN188" s="5"/>
      <c r="UNO188" s="5"/>
      <c r="UNP188" s="5"/>
      <c r="UNQ188" s="5"/>
      <c r="UNR188" s="5"/>
      <c r="UNS188" s="5"/>
      <c r="UNT188" s="5"/>
      <c r="UNU188" s="5"/>
      <c r="UNV188" s="5"/>
      <c r="UNW188" s="5"/>
      <c r="UNX188" s="5"/>
      <c r="UNY188" s="5"/>
      <c r="UNZ188" s="5"/>
      <c r="UOA188" s="5"/>
      <c r="UOB188" s="5"/>
      <c r="UOC188" s="5"/>
      <c r="UOD188" s="5"/>
      <c r="UOE188" s="5"/>
      <c r="UOF188" s="5"/>
      <c r="UOG188" s="5"/>
      <c r="UOH188" s="5"/>
      <c r="UOI188" s="5"/>
      <c r="UOJ188" s="5"/>
      <c r="UOK188" s="5"/>
      <c r="UOL188" s="5"/>
      <c r="UOM188" s="5"/>
      <c r="UON188" s="5"/>
      <c r="UOO188" s="5"/>
      <c r="UOP188" s="5"/>
      <c r="UOQ188" s="5"/>
      <c r="UOR188" s="5"/>
      <c r="UOS188" s="5"/>
      <c r="UOT188" s="5"/>
      <c r="UOU188" s="5"/>
      <c r="UOV188" s="5"/>
      <c r="UOW188" s="5"/>
      <c r="UOX188" s="5"/>
      <c r="UOY188" s="5"/>
      <c r="UOZ188" s="5"/>
      <c r="UPA188" s="5"/>
      <c r="UPB188" s="5"/>
      <c r="UPC188" s="5"/>
      <c r="UPD188" s="5"/>
      <c r="UPE188" s="5"/>
      <c r="UPF188" s="5"/>
      <c r="UPG188" s="5"/>
      <c r="UPH188" s="5"/>
      <c r="UPI188" s="5"/>
      <c r="UPJ188" s="5"/>
      <c r="UPK188" s="5"/>
      <c r="UPL188" s="5"/>
      <c r="UPM188" s="5"/>
      <c r="UPN188" s="5"/>
      <c r="UPO188" s="5"/>
      <c r="UPP188" s="5"/>
      <c r="UPQ188" s="5"/>
      <c r="UPR188" s="5"/>
      <c r="UPS188" s="5"/>
      <c r="UPT188" s="5"/>
      <c r="UPU188" s="5"/>
      <c r="UPV188" s="5"/>
      <c r="UPW188" s="5"/>
      <c r="UPX188" s="5"/>
      <c r="UPY188" s="5"/>
      <c r="UPZ188" s="5"/>
      <c r="UQA188" s="5"/>
      <c r="UQB188" s="5"/>
      <c r="UQC188" s="5"/>
      <c r="UQD188" s="5"/>
      <c r="UQE188" s="5"/>
      <c r="UQF188" s="5"/>
      <c r="UQG188" s="5"/>
      <c r="UQH188" s="5"/>
      <c r="UQI188" s="5"/>
      <c r="UQJ188" s="5"/>
      <c r="UQK188" s="5"/>
      <c r="UQL188" s="5"/>
      <c r="UQM188" s="5"/>
      <c r="UQN188" s="5"/>
      <c r="UQO188" s="5"/>
      <c r="UQP188" s="5"/>
      <c r="UQQ188" s="5"/>
      <c r="UQR188" s="5"/>
      <c r="UQS188" s="5"/>
      <c r="UQT188" s="5"/>
      <c r="UQU188" s="5"/>
      <c r="UQV188" s="5"/>
      <c r="UQW188" s="5"/>
      <c r="UQX188" s="5"/>
      <c r="UQY188" s="5"/>
      <c r="UQZ188" s="5"/>
      <c r="URA188" s="5"/>
      <c r="URB188" s="5"/>
      <c r="URC188" s="5"/>
      <c r="URD188" s="5"/>
      <c r="URE188" s="5"/>
      <c r="URF188" s="5"/>
      <c r="URG188" s="5"/>
      <c r="URH188" s="5"/>
      <c r="URI188" s="5"/>
      <c r="URJ188" s="5"/>
      <c r="URK188" s="5"/>
      <c r="URL188" s="5"/>
      <c r="URM188" s="5"/>
      <c r="URN188" s="5"/>
      <c r="URO188" s="5"/>
      <c r="URP188" s="5"/>
      <c r="URQ188" s="5"/>
      <c r="URR188" s="5"/>
      <c r="URS188" s="5"/>
      <c r="URT188" s="5"/>
      <c r="URU188" s="5"/>
      <c r="URV188" s="5"/>
      <c r="URW188" s="5"/>
      <c r="URX188" s="5"/>
      <c r="URY188" s="5"/>
      <c r="URZ188" s="5"/>
      <c r="USA188" s="5"/>
      <c r="USB188" s="5"/>
      <c r="USC188" s="5"/>
      <c r="USD188" s="5"/>
      <c r="USE188" s="5"/>
      <c r="USF188" s="5"/>
      <c r="USG188" s="5"/>
      <c r="USH188" s="5"/>
      <c r="USI188" s="5"/>
      <c r="USJ188" s="5"/>
      <c r="USK188" s="5"/>
      <c r="USL188" s="5"/>
      <c r="USM188" s="5"/>
      <c r="USN188" s="5"/>
      <c r="USO188" s="5"/>
      <c r="USP188" s="5"/>
      <c r="USQ188" s="5"/>
      <c r="USR188" s="5"/>
      <c r="USS188" s="5"/>
      <c r="UST188" s="5"/>
      <c r="USU188" s="5"/>
      <c r="USV188" s="5"/>
      <c r="USW188" s="5"/>
      <c r="USX188" s="5"/>
      <c r="USY188" s="5"/>
      <c r="USZ188" s="5"/>
      <c r="UTA188" s="5"/>
      <c r="UTB188" s="5"/>
      <c r="UTC188" s="5"/>
      <c r="UTD188" s="5"/>
      <c r="UTE188" s="5"/>
      <c r="UTF188" s="5"/>
      <c r="UTG188" s="5"/>
      <c r="UTH188" s="5"/>
      <c r="UTI188" s="5"/>
      <c r="UTJ188" s="5"/>
      <c r="UTK188" s="5"/>
      <c r="UTL188" s="5"/>
      <c r="UTM188" s="5"/>
      <c r="UTN188" s="5"/>
      <c r="UTO188" s="5"/>
      <c r="UTP188" s="5"/>
      <c r="UTQ188" s="5"/>
      <c r="UTR188" s="5"/>
      <c r="UTS188" s="5"/>
      <c r="UTT188" s="5"/>
      <c r="UTU188" s="5"/>
      <c r="UTV188" s="5"/>
      <c r="UTW188" s="5"/>
      <c r="UTX188" s="5"/>
      <c r="UTY188" s="5"/>
      <c r="UTZ188" s="5"/>
      <c r="UUA188" s="5"/>
      <c r="UUB188" s="5"/>
      <c r="UUC188" s="5"/>
      <c r="UUD188" s="5"/>
      <c r="UUE188" s="5"/>
      <c r="UUF188" s="5"/>
      <c r="UUG188" s="5"/>
      <c r="UUH188" s="5"/>
      <c r="UUI188" s="5"/>
      <c r="UUJ188" s="5"/>
      <c r="UUK188" s="5"/>
      <c r="UUL188" s="5"/>
      <c r="UUM188" s="5"/>
      <c r="UUN188" s="5"/>
      <c r="UUO188" s="5"/>
      <c r="UUP188" s="5"/>
      <c r="UUQ188" s="5"/>
      <c r="UUR188" s="5"/>
      <c r="UUS188" s="5"/>
      <c r="UUT188" s="5"/>
      <c r="UUU188" s="5"/>
      <c r="UUV188" s="5"/>
      <c r="UUW188" s="5"/>
      <c r="UUX188" s="5"/>
      <c r="UUY188" s="5"/>
      <c r="UUZ188" s="5"/>
      <c r="UVA188" s="5"/>
      <c r="UVB188" s="5"/>
      <c r="UVC188" s="5"/>
      <c r="UVD188" s="5"/>
      <c r="UVE188" s="5"/>
      <c r="UVF188" s="5"/>
      <c r="UVG188" s="5"/>
      <c r="UVH188" s="5"/>
      <c r="UVI188" s="5"/>
      <c r="UVJ188" s="5"/>
      <c r="UVK188" s="5"/>
      <c r="UVL188" s="5"/>
      <c r="UVM188" s="5"/>
      <c r="UVN188" s="5"/>
      <c r="UVO188" s="5"/>
      <c r="UVP188" s="5"/>
      <c r="UVQ188" s="5"/>
      <c r="UVR188" s="5"/>
      <c r="UVS188" s="5"/>
      <c r="UVT188" s="5"/>
      <c r="UVU188" s="5"/>
      <c r="UVV188" s="5"/>
      <c r="UVW188" s="5"/>
      <c r="UVX188" s="5"/>
      <c r="UVY188" s="5"/>
      <c r="UVZ188" s="5"/>
      <c r="UWA188" s="5"/>
      <c r="UWB188" s="5"/>
      <c r="UWC188" s="5"/>
      <c r="UWD188" s="5"/>
      <c r="UWE188" s="5"/>
      <c r="UWF188" s="5"/>
      <c r="UWG188" s="5"/>
      <c r="UWH188" s="5"/>
      <c r="UWI188" s="5"/>
      <c r="UWJ188" s="5"/>
      <c r="UWK188" s="5"/>
      <c r="UWL188" s="5"/>
      <c r="UWM188" s="5"/>
      <c r="UWN188" s="5"/>
      <c r="UWO188" s="5"/>
      <c r="UWP188" s="5"/>
      <c r="UWQ188" s="5"/>
      <c r="UWR188" s="5"/>
      <c r="UWS188" s="5"/>
      <c r="UWT188" s="5"/>
      <c r="UWU188" s="5"/>
      <c r="UWV188" s="5"/>
      <c r="UWW188" s="5"/>
      <c r="UWX188" s="5"/>
      <c r="UWY188" s="5"/>
      <c r="UWZ188" s="5"/>
      <c r="UXA188" s="5"/>
      <c r="UXB188" s="5"/>
      <c r="UXC188" s="5"/>
      <c r="UXD188" s="5"/>
      <c r="UXE188" s="5"/>
      <c r="UXF188" s="5"/>
      <c r="UXG188" s="5"/>
      <c r="UXH188" s="5"/>
      <c r="UXI188" s="5"/>
      <c r="UXJ188" s="5"/>
      <c r="UXK188" s="5"/>
      <c r="UXL188" s="5"/>
      <c r="UXM188" s="5"/>
      <c r="UXN188" s="5"/>
      <c r="UXO188" s="5"/>
      <c r="UXP188" s="5"/>
      <c r="UXQ188" s="5"/>
      <c r="UXR188" s="5"/>
      <c r="UXS188" s="5"/>
      <c r="UXT188" s="5"/>
      <c r="UXU188" s="5"/>
      <c r="UXV188" s="5"/>
      <c r="UXW188" s="5"/>
      <c r="UXX188" s="5"/>
      <c r="UXY188" s="5"/>
      <c r="UXZ188" s="5"/>
      <c r="UYA188" s="5"/>
      <c r="UYB188" s="5"/>
      <c r="UYC188" s="5"/>
      <c r="UYD188" s="5"/>
      <c r="UYE188" s="5"/>
      <c r="UYF188" s="5"/>
      <c r="UYG188" s="5"/>
      <c r="UYH188" s="5"/>
      <c r="UYI188" s="5"/>
      <c r="UYJ188" s="5"/>
      <c r="UYK188" s="5"/>
      <c r="UYL188" s="5"/>
      <c r="UYM188" s="5"/>
      <c r="UYN188" s="5"/>
      <c r="UYO188" s="5"/>
      <c r="UYP188" s="5"/>
      <c r="UYQ188" s="5"/>
      <c r="UYR188" s="5"/>
      <c r="UYS188" s="5"/>
      <c r="UYT188" s="5"/>
      <c r="UYU188" s="5"/>
      <c r="UYV188" s="5"/>
      <c r="UYW188" s="5"/>
      <c r="UYX188" s="5"/>
      <c r="UYY188" s="5"/>
      <c r="UYZ188" s="5"/>
      <c r="UZA188" s="5"/>
      <c r="UZB188" s="5"/>
      <c r="UZC188" s="5"/>
      <c r="UZD188" s="5"/>
      <c r="UZE188" s="5"/>
      <c r="UZF188" s="5"/>
      <c r="UZG188" s="5"/>
      <c r="UZH188" s="5"/>
      <c r="UZI188" s="5"/>
      <c r="UZJ188" s="5"/>
      <c r="UZK188" s="5"/>
      <c r="UZL188" s="5"/>
      <c r="UZM188" s="5"/>
      <c r="UZN188" s="5"/>
      <c r="UZO188" s="5"/>
      <c r="UZP188" s="5"/>
      <c r="UZQ188" s="5"/>
      <c r="UZR188" s="5"/>
      <c r="UZS188" s="5"/>
      <c r="UZT188" s="5"/>
      <c r="UZU188" s="5"/>
      <c r="UZV188" s="5"/>
      <c r="UZW188" s="5"/>
      <c r="UZX188" s="5"/>
      <c r="UZY188" s="5"/>
      <c r="UZZ188" s="5"/>
      <c r="VAA188" s="5"/>
      <c r="VAB188" s="5"/>
      <c r="VAC188" s="5"/>
      <c r="VAD188" s="5"/>
      <c r="VAE188" s="5"/>
      <c r="VAF188" s="5"/>
      <c r="VAG188" s="5"/>
      <c r="VAH188" s="5"/>
      <c r="VAI188" s="5"/>
      <c r="VAJ188" s="5"/>
      <c r="VAK188" s="5"/>
      <c r="VAL188" s="5"/>
      <c r="VAM188" s="5"/>
      <c r="VAN188" s="5"/>
      <c r="VAO188" s="5"/>
      <c r="VAP188" s="5"/>
      <c r="VAQ188" s="5"/>
      <c r="VAR188" s="5"/>
      <c r="VAS188" s="5"/>
      <c r="VAT188" s="5"/>
      <c r="VAU188" s="5"/>
      <c r="VAV188" s="5"/>
      <c r="VAW188" s="5"/>
      <c r="VAX188" s="5"/>
      <c r="VAY188" s="5"/>
      <c r="VAZ188" s="5"/>
      <c r="VBA188" s="5"/>
      <c r="VBB188" s="5"/>
      <c r="VBC188" s="5"/>
      <c r="VBD188" s="5"/>
      <c r="VBE188" s="5"/>
      <c r="VBF188" s="5"/>
      <c r="VBG188" s="5"/>
      <c r="VBH188" s="5"/>
      <c r="VBI188" s="5"/>
      <c r="VBJ188" s="5"/>
      <c r="VBK188" s="5"/>
      <c r="VBL188" s="5"/>
      <c r="VBM188" s="5"/>
      <c r="VBN188" s="5"/>
      <c r="VBO188" s="5"/>
      <c r="VBP188" s="5"/>
      <c r="VBQ188" s="5"/>
      <c r="VBR188" s="5"/>
      <c r="VBS188" s="5"/>
      <c r="VBT188" s="5"/>
      <c r="VBU188" s="5"/>
      <c r="VBV188" s="5"/>
      <c r="VBW188" s="5"/>
      <c r="VBX188" s="5"/>
      <c r="VBY188" s="5"/>
      <c r="VBZ188" s="5"/>
      <c r="VCA188" s="5"/>
      <c r="VCB188" s="5"/>
      <c r="VCC188" s="5"/>
      <c r="VCD188" s="5"/>
      <c r="VCE188" s="5"/>
      <c r="VCF188" s="5"/>
      <c r="VCG188" s="5"/>
      <c r="VCH188" s="5"/>
      <c r="VCI188" s="5"/>
      <c r="VCJ188" s="5"/>
      <c r="VCK188" s="5"/>
      <c r="VCL188" s="5"/>
      <c r="VCM188" s="5"/>
      <c r="VCN188" s="5"/>
      <c r="VCO188" s="5"/>
      <c r="VCP188" s="5"/>
      <c r="VCQ188" s="5"/>
      <c r="VCR188" s="5"/>
      <c r="VCS188" s="5"/>
      <c r="VCT188" s="5"/>
      <c r="VCU188" s="5"/>
      <c r="VCV188" s="5"/>
      <c r="VCW188" s="5"/>
      <c r="VCX188" s="5"/>
      <c r="VCY188" s="5"/>
      <c r="VCZ188" s="5"/>
      <c r="VDA188" s="5"/>
      <c r="VDB188" s="5"/>
      <c r="VDC188" s="5"/>
      <c r="VDD188" s="5"/>
      <c r="VDE188" s="5"/>
      <c r="VDF188" s="5"/>
      <c r="VDG188" s="5"/>
      <c r="VDH188" s="5"/>
      <c r="VDI188" s="5"/>
      <c r="VDJ188" s="5"/>
      <c r="VDK188" s="5"/>
      <c r="VDL188" s="5"/>
      <c r="VDM188" s="5"/>
      <c r="VDN188" s="5"/>
      <c r="VDO188" s="5"/>
      <c r="VDP188" s="5"/>
      <c r="VDQ188" s="5"/>
      <c r="VDR188" s="5"/>
      <c r="VDS188" s="5"/>
      <c r="VDT188" s="5"/>
      <c r="VDU188" s="5"/>
      <c r="VDV188" s="5"/>
      <c r="VDW188" s="5"/>
      <c r="VDX188" s="5"/>
      <c r="VDY188" s="5"/>
      <c r="VDZ188" s="5"/>
      <c r="VEA188" s="5"/>
      <c r="VEB188" s="5"/>
      <c r="VEC188" s="5"/>
      <c r="VED188" s="5"/>
      <c r="VEE188" s="5"/>
      <c r="VEF188" s="5"/>
      <c r="VEG188" s="5"/>
      <c r="VEH188" s="5"/>
      <c r="VEI188" s="5"/>
      <c r="VEJ188" s="5"/>
      <c r="VEK188" s="5"/>
      <c r="VEL188" s="5"/>
      <c r="VEM188" s="5"/>
      <c r="VEN188" s="5"/>
      <c r="VEO188" s="5"/>
      <c r="VEP188" s="5"/>
      <c r="VEQ188" s="5"/>
      <c r="VER188" s="5"/>
      <c r="VES188" s="5"/>
      <c r="VET188" s="5"/>
      <c r="VEU188" s="5"/>
      <c r="VEV188" s="5"/>
      <c r="VEW188" s="5"/>
      <c r="VEX188" s="5"/>
      <c r="VEY188" s="5"/>
      <c r="VEZ188" s="5"/>
      <c r="VFA188" s="5"/>
      <c r="VFB188" s="5"/>
      <c r="VFC188" s="5"/>
      <c r="VFD188" s="5"/>
      <c r="VFE188" s="5"/>
      <c r="VFF188" s="5"/>
      <c r="VFG188" s="5"/>
      <c r="VFH188" s="5"/>
      <c r="VFI188" s="5"/>
      <c r="VFJ188" s="5"/>
      <c r="VFK188" s="5"/>
      <c r="VFL188" s="5"/>
      <c r="VFM188" s="5"/>
      <c r="VFN188" s="5"/>
      <c r="VFO188" s="5"/>
      <c r="VFP188" s="5"/>
      <c r="VFQ188" s="5"/>
      <c r="VFR188" s="5"/>
      <c r="VFS188" s="5"/>
      <c r="VFT188" s="5"/>
      <c r="VFU188" s="5"/>
      <c r="VFV188" s="5"/>
      <c r="VFW188" s="5"/>
      <c r="VFX188" s="5"/>
      <c r="VFY188" s="5"/>
      <c r="VFZ188" s="5"/>
      <c r="VGA188" s="5"/>
      <c r="VGB188" s="5"/>
      <c r="VGC188" s="5"/>
      <c r="VGD188" s="5"/>
      <c r="VGE188" s="5"/>
      <c r="VGF188" s="5"/>
      <c r="VGG188" s="5"/>
      <c r="VGH188" s="5"/>
      <c r="VGI188" s="5"/>
      <c r="VGJ188" s="5"/>
      <c r="VGK188" s="5"/>
      <c r="VGL188" s="5"/>
      <c r="VGM188" s="5"/>
      <c r="VGN188" s="5"/>
      <c r="VGO188" s="5"/>
      <c r="VGP188" s="5"/>
      <c r="VGQ188" s="5"/>
      <c r="VGR188" s="5"/>
      <c r="VGS188" s="5"/>
      <c r="VGT188" s="5"/>
      <c r="VGU188" s="5"/>
      <c r="VGV188" s="5"/>
      <c r="VGW188" s="5"/>
      <c r="VGX188" s="5"/>
      <c r="VGY188" s="5"/>
      <c r="VGZ188" s="5"/>
      <c r="VHA188" s="5"/>
      <c r="VHB188" s="5"/>
      <c r="VHC188" s="5"/>
      <c r="VHD188" s="5"/>
      <c r="VHE188" s="5"/>
      <c r="VHF188" s="5"/>
      <c r="VHG188" s="5"/>
      <c r="VHH188" s="5"/>
      <c r="VHI188" s="5"/>
      <c r="VHJ188" s="5"/>
      <c r="VHK188" s="5"/>
      <c r="VHL188" s="5"/>
      <c r="VHM188" s="5"/>
      <c r="VHN188" s="5"/>
      <c r="VHO188" s="5"/>
      <c r="VHP188" s="5"/>
      <c r="VHQ188" s="5"/>
      <c r="VHR188" s="5"/>
      <c r="VHS188" s="5"/>
      <c r="VHT188" s="5"/>
      <c r="VHU188" s="5"/>
      <c r="VHV188" s="5"/>
      <c r="VHW188" s="5"/>
      <c r="VHX188" s="5"/>
      <c r="VHY188" s="5"/>
      <c r="VHZ188" s="5"/>
      <c r="VIA188" s="5"/>
      <c r="VIB188" s="5"/>
      <c r="VIC188" s="5"/>
      <c r="VID188" s="5"/>
      <c r="VIE188" s="5"/>
      <c r="VIF188" s="5"/>
      <c r="VIG188" s="5"/>
      <c r="VIH188" s="5"/>
      <c r="VII188" s="5"/>
      <c r="VIJ188" s="5"/>
      <c r="VIK188" s="5"/>
      <c r="VIL188" s="5"/>
      <c r="VIM188" s="5"/>
      <c r="VIN188" s="5"/>
      <c r="VIO188" s="5"/>
      <c r="VIP188" s="5"/>
      <c r="VIQ188" s="5"/>
      <c r="VIR188" s="5"/>
      <c r="VIS188" s="5"/>
      <c r="VIT188" s="5"/>
      <c r="VIU188" s="5"/>
      <c r="VIV188" s="5"/>
      <c r="VIW188" s="5"/>
      <c r="VIX188" s="5"/>
      <c r="VIY188" s="5"/>
      <c r="VIZ188" s="5"/>
      <c r="VJA188" s="5"/>
      <c r="VJB188" s="5"/>
      <c r="VJC188" s="5"/>
      <c r="VJD188" s="5"/>
      <c r="VJE188" s="5"/>
      <c r="VJF188" s="5"/>
      <c r="VJG188" s="5"/>
      <c r="VJH188" s="5"/>
      <c r="VJI188" s="5"/>
      <c r="VJJ188" s="5"/>
      <c r="VJK188" s="5"/>
      <c r="VJL188" s="5"/>
      <c r="VJM188" s="5"/>
      <c r="VJN188" s="5"/>
      <c r="VJO188" s="5"/>
      <c r="VJP188" s="5"/>
      <c r="VJQ188" s="5"/>
      <c r="VJR188" s="5"/>
      <c r="VJS188" s="5"/>
      <c r="VJT188" s="5"/>
      <c r="VJU188" s="5"/>
      <c r="VJV188" s="5"/>
      <c r="VJW188" s="5"/>
      <c r="VJX188" s="5"/>
      <c r="VJY188" s="5"/>
      <c r="VJZ188" s="5"/>
      <c r="VKA188" s="5"/>
      <c r="VKB188" s="5"/>
      <c r="VKC188" s="5"/>
      <c r="VKD188" s="5"/>
      <c r="VKE188" s="5"/>
      <c r="VKF188" s="5"/>
      <c r="VKG188" s="5"/>
      <c r="VKH188" s="5"/>
      <c r="VKI188" s="5"/>
      <c r="VKJ188" s="5"/>
      <c r="VKK188" s="5"/>
      <c r="VKL188" s="5"/>
      <c r="VKM188" s="5"/>
      <c r="VKN188" s="5"/>
      <c r="VKO188" s="5"/>
      <c r="VKP188" s="5"/>
      <c r="VKQ188" s="5"/>
      <c r="VKR188" s="5"/>
      <c r="VKS188" s="5"/>
      <c r="VKT188" s="5"/>
      <c r="VKU188" s="5"/>
      <c r="VKV188" s="5"/>
      <c r="VKW188" s="5"/>
      <c r="VKX188" s="5"/>
      <c r="VKY188" s="5"/>
      <c r="VKZ188" s="5"/>
      <c r="VLA188" s="5"/>
      <c r="VLB188" s="5"/>
      <c r="VLC188" s="5"/>
      <c r="VLD188" s="5"/>
      <c r="VLE188" s="5"/>
      <c r="VLF188" s="5"/>
      <c r="VLG188" s="5"/>
      <c r="VLH188" s="5"/>
      <c r="VLI188" s="5"/>
      <c r="VLJ188" s="5"/>
      <c r="VLK188" s="5"/>
      <c r="VLL188" s="5"/>
      <c r="VLM188" s="5"/>
      <c r="VLN188" s="5"/>
      <c r="VLO188" s="5"/>
      <c r="VLP188" s="5"/>
      <c r="VLQ188" s="5"/>
      <c r="VLR188" s="5"/>
      <c r="VLS188" s="5"/>
      <c r="VLT188" s="5"/>
      <c r="VLU188" s="5"/>
      <c r="VLV188" s="5"/>
      <c r="VLW188" s="5"/>
      <c r="VLX188" s="5"/>
      <c r="VLY188" s="5"/>
      <c r="VLZ188" s="5"/>
      <c r="VMA188" s="5"/>
      <c r="VMB188" s="5"/>
      <c r="VMC188" s="5"/>
      <c r="VMD188" s="5"/>
      <c r="VME188" s="5"/>
      <c r="VMF188" s="5"/>
      <c r="VMG188" s="5"/>
      <c r="VMH188" s="5"/>
      <c r="VMI188" s="5"/>
      <c r="VMJ188" s="5"/>
      <c r="VMK188" s="5"/>
      <c r="VML188" s="5"/>
      <c r="VMM188" s="5"/>
      <c r="VMN188" s="5"/>
      <c r="VMO188" s="5"/>
      <c r="VMP188" s="5"/>
      <c r="VMQ188" s="5"/>
      <c r="VMR188" s="5"/>
      <c r="VMS188" s="5"/>
      <c r="VMT188" s="5"/>
      <c r="VMU188" s="5"/>
      <c r="VMV188" s="5"/>
      <c r="VMW188" s="5"/>
      <c r="VMX188" s="5"/>
      <c r="VMY188" s="5"/>
      <c r="VMZ188" s="5"/>
      <c r="VNA188" s="5"/>
      <c r="VNB188" s="5"/>
      <c r="VNC188" s="5"/>
      <c r="VND188" s="5"/>
      <c r="VNE188" s="5"/>
      <c r="VNF188" s="5"/>
      <c r="VNG188" s="5"/>
      <c r="VNH188" s="5"/>
      <c r="VNI188" s="5"/>
      <c r="VNJ188" s="5"/>
      <c r="VNK188" s="5"/>
      <c r="VNL188" s="5"/>
      <c r="VNM188" s="5"/>
      <c r="VNN188" s="5"/>
      <c r="VNO188" s="5"/>
      <c r="VNP188" s="5"/>
      <c r="VNQ188" s="5"/>
      <c r="VNR188" s="5"/>
      <c r="VNS188" s="5"/>
      <c r="VNT188" s="5"/>
      <c r="VNU188" s="5"/>
      <c r="VNV188" s="5"/>
      <c r="VNW188" s="5"/>
      <c r="VNX188" s="5"/>
      <c r="VNY188" s="5"/>
      <c r="VNZ188" s="5"/>
      <c r="VOA188" s="5"/>
      <c r="VOB188" s="5"/>
      <c r="VOC188" s="5"/>
      <c r="VOD188" s="5"/>
      <c r="VOE188" s="5"/>
      <c r="VOF188" s="5"/>
      <c r="VOG188" s="5"/>
      <c r="VOH188" s="5"/>
      <c r="VOI188" s="5"/>
      <c r="VOJ188" s="5"/>
      <c r="VOK188" s="5"/>
      <c r="VOL188" s="5"/>
      <c r="VOM188" s="5"/>
      <c r="VON188" s="5"/>
      <c r="VOO188" s="5"/>
      <c r="VOP188" s="5"/>
      <c r="VOQ188" s="5"/>
      <c r="VOR188" s="5"/>
      <c r="VOS188" s="5"/>
      <c r="VOT188" s="5"/>
      <c r="VOU188" s="5"/>
      <c r="VOV188" s="5"/>
      <c r="VOW188" s="5"/>
      <c r="VOX188" s="5"/>
      <c r="VOY188" s="5"/>
      <c r="VOZ188" s="5"/>
      <c r="VPA188" s="5"/>
      <c r="VPB188" s="5"/>
      <c r="VPC188" s="5"/>
      <c r="VPD188" s="5"/>
      <c r="VPE188" s="5"/>
      <c r="VPF188" s="5"/>
      <c r="VPG188" s="5"/>
      <c r="VPH188" s="5"/>
      <c r="VPI188" s="5"/>
      <c r="VPJ188" s="5"/>
      <c r="VPK188" s="5"/>
      <c r="VPL188" s="5"/>
      <c r="VPM188" s="5"/>
      <c r="VPN188" s="5"/>
      <c r="VPO188" s="5"/>
      <c r="VPP188" s="5"/>
      <c r="VPQ188" s="5"/>
      <c r="VPR188" s="5"/>
      <c r="VPS188" s="5"/>
      <c r="VPT188" s="5"/>
      <c r="VPU188" s="5"/>
      <c r="VPV188" s="5"/>
      <c r="VPW188" s="5"/>
      <c r="VPX188" s="5"/>
      <c r="VPY188" s="5"/>
      <c r="VPZ188" s="5"/>
      <c r="VQA188" s="5"/>
      <c r="VQB188" s="5"/>
      <c r="VQC188" s="5"/>
      <c r="VQD188" s="5"/>
      <c r="VQE188" s="5"/>
      <c r="VQF188" s="5"/>
      <c r="VQG188" s="5"/>
      <c r="VQH188" s="5"/>
      <c r="VQI188" s="5"/>
      <c r="VQJ188" s="5"/>
      <c r="VQK188" s="5"/>
      <c r="VQL188" s="5"/>
      <c r="VQM188" s="5"/>
      <c r="VQN188" s="5"/>
      <c r="VQO188" s="5"/>
      <c r="VQP188" s="5"/>
      <c r="VQQ188" s="5"/>
      <c r="VQR188" s="5"/>
      <c r="VQS188" s="5"/>
      <c r="VQT188" s="5"/>
      <c r="VQU188" s="5"/>
      <c r="VQV188" s="5"/>
      <c r="VQW188" s="5"/>
      <c r="VQX188" s="5"/>
      <c r="VQY188" s="5"/>
      <c r="VQZ188" s="5"/>
      <c r="VRA188" s="5"/>
      <c r="VRB188" s="5"/>
      <c r="VRC188" s="5"/>
      <c r="VRD188" s="5"/>
      <c r="VRE188" s="5"/>
      <c r="VRF188" s="5"/>
      <c r="VRG188" s="5"/>
      <c r="VRH188" s="5"/>
      <c r="VRI188" s="5"/>
      <c r="VRJ188" s="5"/>
      <c r="VRK188" s="5"/>
      <c r="VRL188" s="5"/>
      <c r="VRM188" s="5"/>
      <c r="VRN188" s="5"/>
      <c r="VRO188" s="5"/>
      <c r="VRP188" s="5"/>
      <c r="VRQ188" s="5"/>
      <c r="VRR188" s="5"/>
      <c r="VRS188" s="5"/>
      <c r="VRT188" s="5"/>
      <c r="VRU188" s="5"/>
      <c r="VRV188" s="5"/>
      <c r="VRW188" s="5"/>
      <c r="VRX188" s="5"/>
      <c r="VRY188" s="5"/>
      <c r="VRZ188" s="5"/>
      <c r="VSA188" s="5"/>
      <c r="VSB188" s="5"/>
      <c r="VSC188" s="5"/>
      <c r="VSD188" s="5"/>
      <c r="VSE188" s="5"/>
      <c r="VSF188" s="5"/>
      <c r="VSG188" s="5"/>
      <c r="VSH188" s="5"/>
      <c r="VSI188" s="5"/>
      <c r="VSJ188" s="5"/>
      <c r="VSK188" s="5"/>
      <c r="VSL188" s="5"/>
      <c r="VSM188" s="5"/>
      <c r="VSN188" s="5"/>
      <c r="VSO188" s="5"/>
      <c r="VSP188" s="5"/>
      <c r="VSQ188" s="5"/>
      <c r="VSR188" s="5"/>
      <c r="VSS188" s="5"/>
      <c r="VST188" s="5"/>
      <c r="VSU188" s="5"/>
      <c r="VSV188" s="5"/>
      <c r="VSW188" s="5"/>
      <c r="VSX188" s="5"/>
      <c r="VSY188" s="5"/>
      <c r="VSZ188" s="5"/>
      <c r="VTA188" s="5"/>
      <c r="VTB188" s="5"/>
      <c r="VTC188" s="5"/>
      <c r="VTD188" s="5"/>
      <c r="VTE188" s="5"/>
      <c r="VTF188" s="5"/>
      <c r="VTG188" s="5"/>
      <c r="VTH188" s="5"/>
      <c r="VTI188" s="5"/>
      <c r="VTJ188" s="5"/>
      <c r="VTK188" s="5"/>
      <c r="VTL188" s="5"/>
      <c r="VTM188" s="5"/>
      <c r="VTN188" s="5"/>
      <c r="VTO188" s="5"/>
      <c r="VTP188" s="5"/>
      <c r="VTQ188" s="5"/>
      <c r="VTR188" s="5"/>
      <c r="VTS188" s="5"/>
      <c r="VTT188" s="5"/>
      <c r="VTU188" s="5"/>
      <c r="VTV188" s="5"/>
      <c r="VTW188" s="5"/>
      <c r="VTX188" s="5"/>
      <c r="VTY188" s="5"/>
      <c r="VTZ188" s="5"/>
      <c r="VUA188" s="5"/>
      <c r="VUB188" s="5"/>
      <c r="VUC188" s="5"/>
      <c r="VUD188" s="5"/>
      <c r="VUE188" s="5"/>
      <c r="VUF188" s="5"/>
      <c r="VUG188" s="5"/>
      <c r="VUH188" s="5"/>
      <c r="VUI188" s="5"/>
      <c r="VUJ188" s="5"/>
      <c r="VUK188" s="5"/>
      <c r="VUL188" s="5"/>
      <c r="VUM188" s="5"/>
      <c r="VUN188" s="5"/>
      <c r="VUO188" s="5"/>
      <c r="VUP188" s="5"/>
      <c r="VUQ188" s="5"/>
      <c r="VUR188" s="5"/>
      <c r="VUS188" s="5"/>
      <c r="VUT188" s="5"/>
      <c r="VUU188" s="5"/>
      <c r="VUV188" s="5"/>
      <c r="VUW188" s="5"/>
      <c r="VUX188" s="5"/>
      <c r="VUY188" s="5"/>
      <c r="VUZ188" s="5"/>
      <c r="VVA188" s="5"/>
      <c r="VVB188" s="5"/>
      <c r="VVC188" s="5"/>
      <c r="VVD188" s="5"/>
      <c r="VVE188" s="5"/>
      <c r="VVF188" s="5"/>
      <c r="VVG188" s="5"/>
      <c r="VVH188" s="5"/>
      <c r="VVI188" s="5"/>
      <c r="VVJ188" s="5"/>
      <c r="VVK188" s="5"/>
      <c r="VVL188" s="5"/>
      <c r="VVM188" s="5"/>
      <c r="VVN188" s="5"/>
      <c r="VVO188" s="5"/>
      <c r="VVP188" s="5"/>
      <c r="VVQ188" s="5"/>
      <c r="VVR188" s="5"/>
      <c r="VVS188" s="5"/>
      <c r="VVT188" s="5"/>
      <c r="VVU188" s="5"/>
      <c r="VVV188" s="5"/>
      <c r="VVW188" s="5"/>
      <c r="VVX188" s="5"/>
      <c r="VVY188" s="5"/>
      <c r="VVZ188" s="5"/>
      <c r="VWA188" s="5"/>
      <c r="VWB188" s="5"/>
      <c r="VWC188" s="5"/>
      <c r="VWD188" s="5"/>
      <c r="VWE188" s="5"/>
      <c r="VWF188" s="5"/>
      <c r="VWG188" s="5"/>
      <c r="VWH188" s="5"/>
      <c r="VWI188" s="5"/>
      <c r="VWJ188" s="5"/>
      <c r="VWK188" s="5"/>
      <c r="VWL188" s="5"/>
      <c r="VWM188" s="5"/>
      <c r="VWN188" s="5"/>
      <c r="VWO188" s="5"/>
      <c r="VWP188" s="5"/>
      <c r="VWQ188" s="5"/>
      <c r="VWR188" s="5"/>
      <c r="VWS188" s="5"/>
      <c r="VWT188" s="5"/>
      <c r="VWU188" s="5"/>
      <c r="VWV188" s="5"/>
      <c r="VWW188" s="5"/>
      <c r="VWX188" s="5"/>
      <c r="VWY188" s="5"/>
      <c r="VWZ188" s="5"/>
      <c r="VXA188" s="5"/>
      <c r="VXB188" s="5"/>
      <c r="VXC188" s="5"/>
      <c r="VXD188" s="5"/>
      <c r="VXE188" s="5"/>
      <c r="VXF188" s="5"/>
      <c r="VXG188" s="5"/>
      <c r="VXH188" s="5"/>
      <c r="VXI188" s="5"/>
      <c r="VXJ188" s="5"/>
      <c r="VXK188" s="5"/>
      <c r="VXL188" s="5"/>
      <c r="VXM188" s="5"/>
      <c r="VXN188" s="5"/>
      <c r="VXO188" s="5"/>
      <c r="VXP188" s="5"/>
      <c r="VXQ188" s="5"/>
      <c r="VXR188" s="5"/>
      <c r="VXS188" s="5"/>
      <c r="VXT188" s="5"/>
      <c r="VXU188" s="5"/>
      <c r="VXV188" s="5"/>
      <c r="VXW188" s="5"/>
      <c r="VXX188" s="5"/>
      <c r="VXY188" s="5"/>
      <c r="VXZ188" s="5"/>
      <c r="VYA188" s="5"/>
      <c r="VYB188" s="5"/>
      <c r="VYC188" s="5"/>
      <c r="VYD188" s="5"/>
      <c r="VYE188" s="5"/>
      <c r="VYF188" s="5"/>
      <c r="VYG188" s="5"/>
      <c r="VYH188" s="5"/>
      <c r="VYI188" s="5"/>
      <c r="VYJ188" s="5"/>
      <c r="VYK188" s="5"/>
      <c r="VYL188" s="5"/>
      <c r="VYM188" s="5"/>
      <c r="VYN188" s="5"/>
      <c r="VYO188" s="5"/>
      <c r="VYP188" s="5"/>
      <c r="VYQ188" s="5"/>
      <c r="VYR188" s="5"/>
      <c r="VYS188" s="5"/>
      <c r="VYT188" s="5"/>
      <c r="VYU188" s="5"/>
      <c r="VYV188" s="5"/>
      <c r="VYW188" s="5"/>
      <c r="VYX188" s="5"/>
      <c r="VYY188" s="5"/>
      <c r="VYZ188" s="5"/>
      <c r="VZA188" s="5"/>
      <c r="VZB188" s="5"/>
      <c r="VZC188" s="5"/>
      <c r="VZD188" s="5"/>
      <c r="VZE188" s="5"/>
      <c r="VZF188" s="5"/>
      <c r="VZG188" s="5"/>
      <c r="VZH188" s="5"/>
      <c r="VZI188" s="5"/>
      <c r="VZJ188" s="5"/>
      <c r="VZK188" s="5"/>
      <c r="VZL188" s="5"/>
      <c r="VZM188" s="5"/>
      <c r="VZN188" s="5"/>
      <c r="VZO188" s="5"/>
      <c r="VZP188" s="5"/>
      <c r="VZQ188" s="5"/>
      <c r="VZR188" s="5"/>
      <c r="VZS188" s="5"/>
      <c r="VZT188" s="5"/>
      <c r="VZU188" s="5"/>
      <c r="VZV188" s="5"/>
      <c r="VZW188" s="5"/>
      <c r="VZX188" s="5"/>
      <c r="VZY188" s="5"/>
      <c r="VZZ188" s="5"/>
      <c r="WAA188" s="5"/>
      <c r="WAB188" s="5"/>
      <c r="WAC188" s="5"/>
      <c r="WAD188" s="5"/>
      <c r="WAE188" s="5"/>
      <c r="WAF188" s="5"/>
      <c r="WAG188" s="5"/>
      <c r="WAH188" s="5"/>
      <c r="WAI188" s="5"/>
      <c r="WAJ188" s="5"/>
      <c r="WAK188" s="5"/>
      <c r="WAL188" s="5"/>
      <c r="WAM188" s="5"/>
      <c r="WAN188" s="5"/>
      <c r="WAO188" s="5"/>
      <c r="WAP188" s="5"/>
      <c r="WAQ188" s="5"/>
      <c r="WAR188" s="5"/>
      <c r="WAS188" s="5"/>
      <c r="WAT188" s="5"/>
      <c r="WAU188" s="5"/>
      <c r="WAV188" s="5"/>
      <c r="WAW188" s="5"/>
      <c r="WAX188" s="5"/>
      <c r="WAY188" s="5"/>
      <c r="WAZ188" s="5"/>
      <c r="WBA188" s="5"/>
      <c r="WBB188" s="5"/>
      <c r="WBC188" s="5"/>
      <c r="WBD188" s="5"/>
      <c r="WBE188" s="5"/>
      <c r="WBF188" s="5"/>
      <c r="WBG188" s="5"/>
      <c r="WBH188" s="5"/>
      <c r="WBI188" s="5"/>
      <c r="WBJ188" s="5"/>
      <c r="WBK188" s="5"/>
      <c r="WBL188" s="5"/>
      <c r="WBM188" s="5"/>
      <c r="WBN188" s="5"/>
      <c r="WBO188" s="5"/>
      <c r="WBP188" s="5"/>
      <c r="WBQ188" s="5"/>
      <c r="WBR188" s="5"/>
      <c r="WBS188" s="5"/>
      <c r="WBT188" s="5"/>
      <c r="WBU188" s="5"/>
      <c r="WBV188" s="5"/>
      <c r="WBW188" s="5"/>
      <c r="WBX188" s="5"/>
      <c r="WBY188" s="5"/>
      <c r="WBZ188" s="5"/>
      <c r="WCA188" s="5"/>
      <c r="WCB188" s="5"/>
      <c r="WCC188" s="5"/>
      <c r="WCD188" s="5"/>
      <c r="WCE188" s="5"/>
      <c r="WCF188" s="5"/>
      <c r="WCG188" s="5"/>
      <c r="WCH188" s="5"/>
      <c r="WCI188" s="5"/>
      <c r="WCJ188" s="5"/>
      <c r="WCK188" s="5"/>
      <c r="WCL188" s="5"/>
      <c r="WCM188" s="5"/>
      <c r="WCN188" s="5"/>
      <c r="WCO188" s="5"/>
      <c r="WCP188" s="5"/>
      <c r="WCQ188" s="5"/>
      <c r="WCR188" s="5"/>
      <c r="WCS188" s="5"/>
      <c r="WCT188" s="5"/>
      <c r="WCU188" s="5"/>
      <c r="WCV188" s="5"/>
      <c r="WCW188" s="5"/>
      <c r="WCX188" s="5"/>
      <c r="WCY188" s="5"/>
      <c r="WCZ188" s="5"/>
      <c r="WDA188" s="5"/>
      <c r="WDB188" s="5"/>
      <c r="WDC188" s="5"/>
      <c r="WDD188" s="5"/>
      <c r="WDE188" s="5"/>
      <c r="WDF188" s="5"/>
      <c r="WDG188" s="5"/>
      <c r="WDH188" s="5"/>
      <c r="WDI188" s="5"/>
      <c r="WDJ188" s="5"/>
      <c r="WDK188" s="5"/>
      <c r="WDL188" s="5"/>
      <c r="WDM188" s="5"/>
      <c r="WDN188" s="5"/>
      <c r="WDO188" s="5"/>
      <c r="WDP188" s="5"/>
      <c r="WDQ188" s="5"/>
      <c r="WDR188" s="5"/>
      <c r="WDS188" s="5"/>
      <c r="WDT188" s="5"/>
      <c r="WDU188" s="5"/>
      <c r="WDV188" s="5"/>
      <c r="WDW188" s="5"/>
      <c r="WDX188" s="5"/>
      <c r="WDY188" s="5"/>
      <c r="WDZ188" s="5"/>
      <c r="WEA188" s="5"/>
      <c r="WEB188" s="5"/>
      <c r="WEC188" s="5"/>
      <c r="WED188" s="5"/>
      <c r="WEE188" s="5"/>
      <c r="WEF188" s="5"/>
      <c r="WEG188" s="5"/>
      <c r="WEH188" s="5"/>
      <c r="WEI188" s="5"/>
      <c r="WEJ188" s="5"/>
      <c r="WEK188" s="5"/>
      <c r="WEL188" s="5"/>
      <c r="WEM188" s="5"/>
      <c r="WEN188" s="5"/>
      <c r="WEO188" s="5"/>
      <c r="WEP188" s="5"/>
      <c r="WEQ188" s="5"/>
      <c r="WER188" s="5"/>
      <c r="WES188" s="5"/>
      <c r="WET188" s="5"/>
      <c r="WEU188" s="5"/>
      <c r="WEV188" s="5"/>
      <c r="WEW188" s="5"/>
      <c r="WEX188" s="5"/>
      <c r="WEY188" s="5"/>
      <c r="WEZ188" s="5"/>
      <c r="WFA188" s="5"/>
      <c r="WFB188" s="5"/>
      <c r="WFC188" s="5"/>
      <c r="WFD188" s="5"/>
      <c r="WFE188" s="5"/>
      <c r="WFF188" s="5"/>
      <c r="WFG188" s="5"/>
      <c r="WFH188" s="5"/>
      <c r="WFI188" s="5"/>
      <c r="WFJ188" s="5"/>
      <c r="WFK188" s="5"/>
      <c r="WFL188" s="5"/>
      <c r="WFM188" s="5"/>
      <c r="WFN188" s="5"/>
      <c r="WFO188" s="5"/>
      <c r="WFP188" s="5"/>
      <c r="WFQ188" s="5"/>
      <c r="WFR188" s="5"/>
      <c r="WFS188" s="5"/>
      <c r="WFT188" s="5"/>
      <c r="WFU188" s="5"/>
      <c r="WFV188" s="5"/>
      <c r="WFW188" s="5"/>
      <c r="WFX188" s="5"/>
      <c r="WFY188" s="5"/>
      <c r="WFZ188" s="5"/>
      <c r="WGA188" s="5"/>
      <c r="WGB188" s="5"/>
      <c r="WGC188" s="5"/>
      <c r="WGD188" s="5"/>
      <c r="WGE188" s="5"/>
      <c r="WGF188" s="5"/>
      <c r="WGG188" s="5"/>
      <c r="WGH188" s="5"/>
      <c r="WGI188" s="5"/>
      <c r="WGJ188" s="5"/>
      <c r="WGK188" s="5"/>
      <c r="WGL188" s="5"/>
      <c r="WGM188" s="5"/>
      <c r="WGN188" s="5"/>
      <c r="WGO188" s="5"/>
      <c r="WGP188" s="5"/>
      <c r="WGQ188" s="5"/>
      <c r="WGR188" s="5"/>
      <c r="WGS188" s="5"/>
      <c r="WGT188" s="5"/>
      <c r="WGU188" s="5"/>
      <c r="WGV188" s="5"/>
      <c r="WGW188" s="5"/>
      <c r="WGX188" s="5"/>
      <c r="WGY188" s="5"/>
      <c r="WGZ188" s="5"/>
      <c r="WHA188" s="5"/>
      <c r="WHB188" s="5"/>
      <c r="WHC188" s="5"/>
      <c r="WHD188" s="5"/>
      <c r="WHE188" s="5"/>
      <c r="WHF188" s="5"/>
      <c r="WHG188" s="5"/>
      <c r="WHH188" s="5"/>
      <c r="WHI188" s="5"/>
      <c r="WHJ188" s="5"/>
      <c r="WHK188" s="5"/>
      <c r="WHL188" s="5"/>
      <c r="WHM188" s="5"/>
      <c r="WHN188" s="5"/>
      <c r="WHO188" s="5"/>
      <c r="WHP188" s="5"/>
      <c r="WHQ188" s="5"/>
      <c r="WHR188" s="5"/>
      <c r="WHS188" s="5"/>
      <c r="WHT188" s="5"/>
      <c r="WHU188" s="5"/>
      <c r="WHV188" s="5"/>
      <c r="WHW188" s="5"/>
      <c r="WHX188" s="5"/>
      <c r="WHY188" s="5"/>
      <c r="WHZ188" s="5"/>
      <c r="WIA188" s="5"/>
      <c r="WIB188" s="5"/>
      <c r="WIC188" s="5"/>
      <c r="WID188" s="5"/>
      <c r="WIE188" s="5"/>
      <c r="WIF188" s="5"/>
      <c r="WIG188" s="5"/>
      <c r="WIH188" s="5"/>
      <c r="WII188" s="5"/>
      <c r="WIJ188" s="5"/>
      <c r="WIK188" s="5"/>
      <c r="WIL188" s="5"/>
      <c r="WIM188" s="5"/>
      <c r="WIN188" s="5"/>
      <c r="WIO188" s="5"/>
      <c r="WIP188" s="5"/>
      <c r="WIQ188" s="5"/>
      <c r="WIR188" s="5"/>
      <c r="WIS188" s="5"/>
      <c r="WIT188" s="5"/>
      <c r="WIU188" s="5"/>
      <c r="WIV188" s="5"/>
      <c r="WIW188" s="5"/>
      <c r="WIX188" s="5"/>
      <c r="WIY188" s="5"/>
      <c r="WIZ188" s="5"/>
      <c r="WJA188" s="5"/>
      <c r="WJB188" s="5"/>
      <c r="WJC188" s="5"/>
      <c r="WJD188" s="5"/>
      <c r="WJE188" s="5"/>
      <c r="WJF188" s="5"/>
      <c r="WJG188" s="5"/>
      <c r="WJH188" s="5"/>
      <c r="WJI188" s="5"/>
      <c r="WJJ188" s="5"/>
      <c r="WJK188" s="5"/>
      <c r="WJL188" s="5"/>
      <c r="WJM188" s="5"/>
      <c r="WJN188" s="5"/>
      <c r="WJO188" s="5"/>
      <c r="WJP188" s="5"/>
      <c r="WJQ188" s="5"/>
      <c r="WJR188" s="5"/>
      <c r="WJS188" s="5"/>
      <c r="WJT188" s="5"/>
      <c r="WJU188" s="5"/>
      <c r="WJV188" s="5"/>
      <c r="WJW188" s="5"/>
      <c r="WJX188" s="5"/>
      <c r="WJY188" s="5"/>
      <c r="WJZ188" s="5"/>
      <c r="WKA188" s="5"/>
      <c r="WKB188" s="5"/>
      <c r="WKC188" s="5"/>
      <c r="WKD188" s="5"/>
      <c r="WKE188" s="5"/>
      <c r="WKF188" s="5"/>
      <c r="WKG188" s="5"/>
      <c r="WKH188" s="5"/>
      <c r="WKI188" s="5"/>
      <c r="WKJ188" s="5"/>
      <c r="WKK188" s="5"/>
      <c r="WKL188" s="5"/>
      <c r="WKM188" s="5"/>
      <c r="WKN188" s="5"/>
      <c r="WKO188" s="5"/>
      <c r="WKP188" s="5"/>
      <c r="WKQ188" s="5"/>
      <c r="WKR188" s="5"/>
      <c r="WKS188" s="5"/>
      <c r="WKT188" s="5"/>
      <c r="WKU188" s="5"/>
      <c r="WKV188" s="5"/>
      <c r="WKW188" s="5"/>
      <c r="WKX188" s="5"/>
      <c r="WKY188" s="5"/>
      <c r="WKZ188" s="5"/>
      <c r="WLA188" s="5"/>
      <c r="WLB188" s="5"/>
      <c r="WLC188" s="5"/>
      <c r="WLD188" s="5"/>
      <c r="WLE188" s="5"/>
      <c r="WLF188" s="5"/>
      <c r="WLG188" s="5"/>
      <c r="WLH188" s="5"/>
      <c r="WLI188" s="5"/>
      <c r="WLJ188" s="5"/>
      <c r="WLK188" s="5"/>
      <c r="WLL188" s="5"/>
      <c r="WLM188" s="5"/>
      <c r="WLN188" s="5"/>
      <c r="WLO188" s="5"/>
      <c r="WLP188" s="5"/>
      <c r="WLQ188" s="5"/>
      <c r="WLR188" s="5"/>
      <c r="WLS188" s="5"/>
      <c r="WLT188" s="5"/>
      <c r="WLU188" s="5"/>
      <c r="WLV188" s="5"/>
      <c r="WLW188" s="5"/>
      <c r="WLX188" s="5"/>
      <c r="WLY188" s="5"/>
      <c r="WLZ188" s="5"/>
      <c r="WMA188" s="5"/>
      <c r="WMB188" s="5"/>
      <c r="WMC188" s="5"/>
      <c r="WMD188" s="5"/>
      <c r="WME188" s="5"/>
      <c r="WMF188" s="5"/>
      <c r="WMG188" s="5"/>
      <c r="WMH188" s="5"/>
      <c r="WMI188" s="5"/>
      <c r="WMJ188" s="5"/>
      <c r="WMK188" s="5"/>
      <c r="WML188" s="5"/>
      <c r="WMM188" s="5"/>
      <c r="WMN188" s="5"/>
      <c r="WMO188" s="5"/>
      <c r="WMP188" s="5"/>
      <c r="WMQ188" s="5"/>
      <c r="WMR188" s="5"/>
      <c r="WMS188" s="5"/>
      <c r="WMT188" s="5"/>
      <c r="WMU188" s="5"/>
      <c r="WMV188" s="5"/>
      <c r="WMW188" s="5"/>
      <c r="WMX188" s="5"/>
      <c r="WMY188" s="5"/>
      <c r="WMZ188" s="5"/>
      <c r="WNA188" s="5"/>
      <c r="WNB188" s="5"/>
      <c r="WNC188" s="5"/>
      <c r="WND188" s="5"/>
      <c r="WNE188" s="5"/>
      <c r="WNF188" s="5"/>
      <c r="WNG188" s="5"/>
      <c r="WNH188" s="5"/>
      <c r="WNI188" s="5"/>
      <c r="WNJ188" s="5"/>
      <c r="WNK188" s="5"/>
      <c r="WNL188" s="5"/>
      <c r="WNM188" s="5"/>
      <c r="WNN188" s="5"/>
      <c r="WNO188" s="5"/>
      <c r="WNP188" s="5"/>
      <c r="WNQ188" s="5"/>
      <c r="WNR188" s="5"/>
      <c r="WNS188" s="5"/>
      <c r="WNT188" s="5"/>
      <c r="WNU188" s="5"/>
      <c r="WNV188" s="5"/>
      <c r="WNW188" s="5"/>
      <c r="WNX188" s="5"/>
      <c r="WNY188" s="5"/>
      <c r="WNZ188" s="5"/>
      <c r="WOA188" s="5"/>
      <c r="WOB188" s="5"/>
      <c r="WOC188" s="5"/>
      <c r="WOD188" s="5"/>
      <c r="WOE188" s="5"/>
      <c r="WOF188" s="5"/>
      <c r="WOG188" s="5"/>
      <c r="WOH188" s="5"/>
      <c r="WOI188" s="5"/>
      <c r="WOJ188" s="5"/>
      <c r="WOK188" s="5"/>
      <c r="WOL188" s="5"/>
      <c r="WOM188" s="5"/>
      <c r="WON188" s="5"/>
      <c r="WOO188" s="5"/>
      <c r="WOP188" s="5"/>
      <c r="WOQ188" s="5"/>
      <c r="WOR188" s="5"/>
      <c r="WOS188" s="5"/>
      <c r="WOT188" s="5"/>
      <c r="WOU188" s="5"/>
      <c r="WOV188" s="5"/>
      <c r="WOW188" s="5"/>
      <c r="WOX188" s="5"/>
      <c r="WOY188" s="5"/>
      <c r="WOZ188" s="5"/>
      <c r="WPA188" s="5"/>
      <c r="WPB188" s="5"/>
      <c r="WPC188" s="5"/>
      <c r="WPD188" s="5"/>
      <c r="WPE188" s="5"/>
      <c r="WPF188" s="5"/>
      <c r="WPG188" s="5"/>
      <c r="WPH188" s="5"/>
      <c r="WPI188" s="5"/>
      <c r="WPJ188" s="5"/>
      <c r="WPK188" s="5"/>
      <c r="WPL188" s="5"/>
      <c r="WPM188" s="5"/>
      <c r="WPN188" s="5"/>
      <c r="WPO188" s="5"/>
      <c r="WPP188" s="5"/>
      <c r="WPQ188" s="5"/>
      <c r="WPR188" s="5"/>
      <c r="WPS188" s="5"/>
      <c r="WPT188" s="5"/>
      <c r="WPU188" s="5"/>
      <c r="WPV188" s="5"/>
      <c r="WPW188" s="5"/>
      <c r="WPX188" s="5"/>
      <c r="WPY188" s="5"/>
      <c r="WPZ188" s="5"/>
      <c r="WQA188" s="5"/>
      <c r="WQB188" s="5"/>
      <c r="WQC188" s="5"/>
      <c r="WQD188" s="5"/>
      <c r="WQE188" s="5"/>
      <c r="WQF188" s="5"/>
      <c r="WQG188" s="5"/>
      <c r="WQH188" s="5"/>
      <c r="WQI188" s="5"/>
      <c r="WQJ188" s="5"/>
      <c r="WQK188" s="5"/>
      <c r="WQL188" s="5"/>
      <c r="WQM188" s="5"/>
      <c r="WQN188" s="5"/>
      <c r="WQO188" s="5"/>
      <c r="WQP188" s="5"/>
      <c r="WQQ188" s="5"/>
      <c r="WQR188" s="5"/>
      <c r="WQS188" s="5"/>
      <c r="WQT188" s="5"/>
      <c r="WQU188" s="5"/>
      <c r="WQV188" s="5"/>
      <c r="WQW188" s="5"/>
      <c r="WQX188" s="5"/>
      <c r="WQY188" s="5"/>
      <c r="WQZ188" s="5"/>
      <c r="WRA188" s="5"/>
      <c r="WRB188" s="5"/>
      <c r="WRC188" s="5"/>
      <c r="WRD188" s="5"/>
      <c r="WRE188" s="5"/>
      <c r="WRF188" s="5"/>
      <c r="WRG188" s="5"/>
      <c r="WRH188" s="5"/>
      <c r="WRI188" s="5"/>
      <c r="WRJ188" s="5"/>
      <c r="WRK188" s="5"/>
      <c r="WRL188" s="5"/>
      <c r="WRM188" s="5"/>
      <c r="WRN188" s="5"/>
      <c r="WRO188" s="5"/>
      <c r="WRP188" s="5"/>
      <c r="WRQ188" s="5"/>
      <c r="WRR188" s="5"/>
      <c r="WRS188" s="5"/>
      <c r="WRT188" s="5"/>
      <c r="WRU188" s="5"/>
      <c r="WRV188" s="5"/>
      <c r="WRW188" s="5"/>
      <c r="WRX188" s="5"/>
      <c r="WRY188" s="5"/>
      <c r="WRZ188" s="5"/>
      <c r="WSA188" s="5"/>
      <c r="WSB188" s="5"/>
      <c r="WSC188" s="5"/>
      <c r="WSD188" s="5"/>
      <c r="WSE188" s="5"/>
      <c r="WSF188" s="5"/>
      <c r="WSG188" s="5"/>
      <c r="WSH188" s="5"/>
      <c r="WSI188" s="5"/>
      <c r="WSJ188" s="5"/>
      <c r="WSK188" s="5"/>
      <c r="WSL188" s="5"/>
      <c r="WSM188" s="5"/>
      <c r="WSN188" s="5"/>
      <c r="WSO188" s="5"/>
      <c r="WSP188" s="5"/>
      <c r="WSQ188" s="5"/>
      <c r="WSR188" s="5"/>
      <c r="WSS188" s="5"/>
      <c r="WST188" s="5"/>
      <c r="WSU188" s="5"/>
      <c r="WSV188" s="5"/>
      <c r="WSW188" s="5"/>
      <c r="WSX188" s="5"/>
      <c r="WSY188" s="5"/>
      <c r="WSZ188" s="5"/>
      <c r="WTA188" s="5"/>
      <c r="WTB188" s="5"/>
      <c r="WTC188" s="5"/>
      <c r="WTD188" s="5"/>
      <c r="WTE188" s="5"/>
      <c r="WTF188" s="5"/>
      <c r="WTG188" s="5"/>
      <c r="WTH188" s="5"/>
      <c r="WTI188" s="5"/>
      <c r="WTJ188" s="5"/>
      <c r="WTK188" s="5"/>
      <c r="WTL188" s="5"/>
      <c r="WTM188" s="5"/>
      <c r="WTN188" s="5"/>
      <c r="WTO188" s="5"/>
      <c r="WTP188" s="5"/>
      <c r="WTQ188" s="5"/>
      <c r="WTR188" s="5"/>
      <c r="WTS188" s="5"/>
      <c r="WTT188" s="5"/>
      <c r="WTU188" s="5"/>
      <c r="WTV188" s="5"/>
      <c r="WTW188" s="5"/>
      <c r="WTX188" s="5"/>
      <c r="WTY188" s="5"/>
      <c r="WTZ188" s="5"/>
      <c r="WUA188" s="5"/>
      <c r="WUB188" s="5"/>
      <c r="WUC188" s="5"/>
      <c r="WUD188" s="5"/>
      <c r="WUE188" s="5"/>
      <c r="WUF188" s="5"/>
      <c r="WUG188" s="5"/>
      <c r="WUH188" s="5"/>
      <c r="WUI188" s="5"/>
      <c r="WUJ188" s="5"/>
      <c r="WUK188" s="5"/>
      <c r="WUL188" s="5"/>
      <c r="WUM188" s="5"/>
      <c r="WUN188" s="5"/>
      <c r="WUO188" s="5"/>
      <c r="WUP188" s="5"/>
      <c r="WUQ188" s="5"/>
      <c r="WUR188" s="5"/>
      <c r="WUS188" s="5"/>
      <c r="WUT188" s="5"/>
      <c r="WUU188" s="5"/>
      <c r="WUV188" s="5"/>
      <c r="WUW188" s="5"/>
      <c r="WUX188" s="5"/>
      <c r="WUY188" s="5"/>
      <c r="WUZ188" s="5"/>
      <c r="WVA188" s="5"/>
      <c r="WVB188" s="5"/>
      <c r="WVC188" s="5"/>
      <c r="WVD188" s="5"/>
      <c r="WVE188" s="5"/>
      <c r="WVF188" s="5"/>
      <c r="WVG188" s="5"/>
      <c r="WVH188" s="5"/>
      <c r="WVI188" s="5"/>
      <c r="WVJ188" s="5"/>
      <c r="WVK188" s="5"/>
      <c r="WVL188" s="5"/>
      <c r="WVM188" s="5"/>
      <c r="WVN188" s="5"/>
      <c r="WVO188" s="5"/>
      <c r="WVP188" s="5"/>
      <c r="WVQ188" s="5"/>
      <c r="WVR188" s="5"/>
      <c r="WVS188" s="5"/>
      <c r="WVT188" s="5"/>
      <c r="WVU188" s="5"/>
      <c r="WVV188" s="5"/>
      <c r="WVW188" s="5"/>
      <c r="WVX188" s="5"/>
      <c r="WVY188" s="5"/>
      <c r="WVZ188" s="5"/>
      <c r="WWA188" s="5"/>
      <c r="WWB188" s="5"/>
      <c r="WWC188" s="5"/>
      <c r="WWD188" s="5"/>
      <c r="WWE188" s="5"/>
      <c r="WWF188" s="5"/>
      <c r="WWG188" s="5"/>
      <c r="WWH188" s="5"/>
      <c r="WWI188" s="5"/>
      <c r="WWJ188" s="5"/>
      <c r="WWK188" s="5"/>
      <c r="WWL188" s="5"/>
      <c r="WWM188" s="5"/>
      <c r="WWN188" s="5"/>
      <c r="WWO188" s="5"/>
      <c r="WWP188" s="5"/>
      <c r="WWQ188" s="5"/>
      <c r="WWR188" s="5"/>
      <c r="WWS188" s="5"/>
      <c r="WWT188" s="5"/>
      <c r="WWU188" s="5"/>
      <c r="WWV188" s="5"/>
      <c r="WWW188" s="5"/>
      <c r="WWX188" s="5"/>
      <c r="WWY188" s="5"/>
      <c r="WWZ188" s="5"/>
      <c r="WXA188" s="5"/>
      <c r="WXB188" s="5"/>
      <c r="WXC188" s="5"/>
      <c r="WXD188" s="5"/>
      <c r="WXE188" s="5"/>
      <c r="WXF188" s="5"/>
      <c r="WXG188" s="5"/>
      <c r="WXH188" s="5"/>
      <c r="WXI188" s="5"/>
      <c r="WXJ188" s="5"/>
      <c r="WXK188" s="5"/>
      <c r="WXL188" s="5"/>
      <c r="WXM188" s="5"/>
      <c r="WXN188" s="5"/>
      <c r="WXO188" s="5"/>
      <c r="WXP188" s="5"/>
      <c r="WXQ188" s="5"/>
      <c r="WXR188" s="5"/>
      <c r="WXS188" s="5"/>
      <c r="WXT188" s="5"/>
      <c r="WXU188" s="5"/>
      <c r="WXV188" s="5"/>
      <c r="WXW188" s="5"/>
      <c r="WXX188" s="5"/>
      <c r="WXY188" s="5"/>
      <c r="WXZ188" s="5"/>
      <c r="WYA188" s="5"/>
      <c r="WYB188" s="5"/>
      <c r="WYC188" s="5"/>
      <c r="WYD188" s="5"/>
      <c r="WYE188" s="5"/>
      <c r="WYF188" s="5"/>
      <c r="WYG188" s="5"/>
      <c r="WYH188" s="5"/>
      <c r="WYI188" s="5"/>
      <c r="WYJ188" s="5"/>
      <c r="WYK188" s="5"/>
      <c r="WYL188" s="5"/>
      <c r="WYM188" s="5"/>
      <c r="WYN188" s="5"/>
      <c r="WYO188" s="5"/>
      <c r="WYP188" s="5"/>
      <c r="WYQ188" s="5"/>
      <c r="WYR188" s="5"/>
      <c r="WYS188" s="5"/>
      <c r="WYT188" s="5"/>
      <c r="WYU188" s="5"/>
      <c r="WYV188" s="5"/>
      <c r="WYW188" s="5"/>
      <c r="WYX188" s="5"/>
      <c r="WYY188" s="5"/>
      <c r="WYZ188" s="5"/>
      <c r="WZA188" s="5"/>
      <c r="WZB188" s="5"/>
      <c r="WZC188" s="5"/>
      <c r="WZD188" s="5"/>
      <c r="WZE188" s="5"/>
      <c r="WZF188" s="5"/>
      <c r="WZG188" s="5"/>
      <c r="WZH188" s="5"/>
      <c r="WZI188" s="5"/>
      <c r="WZJ188" s="5"/>
      <c r="WZK188" s="5"/>
      <c r="WZL188" s="5"/>
      <c r="WZM188" s="5"/>
      <c r="WZN188" s="5"/>
      <c r="WZO188" s="5"/>
      <c r="WZP188" s="5"/>
      <c r="WZQ188" s="5"/>
      <c r="WZR188" s="5"/>
      <c r="WZS188" s="5"/>
      <c r="WZT188" s="5"/>
      <c r="WZU188" s="5"/>
      <c r="WZV188" s="5"/>
      <c r="WZW188" s="5"/>
      <c r="WZX188" s="5"/>
      <c r="WZY188" s="5"/>
      <c r="WZZ188" s="5"/>
      <c r="XAA188" s="5"/>
      <c r="XAB188" s="5"/>
      <c r="XAC188" s="5"/>
      <c r="XAD188" s="5"/>
      <c r="XAE188" s="5"/>
      <c r="XAF188" s="5"/>
      <c r="XAG188" s="5"/>
      <c r="XAH188" s="5"/>
      <c r="XAI188" s="5"/>
      <c r="XAJ188" s="5"/>
      <c r="XAK188" s="5"/>
      <c r="XAL188" s="5"/>
      <c r="XAM188" s="5"/>
      <c r="XAN188" s="5"/>
      <c r="XAO188" s="5"/>
      <c r="XAP188" s="5"/>
      <c r="XAQ188" s="5"/>
      <c r="XAR188" s="5"/>
      <c r="XAS188" s="5"/>
      <c r="XAT188" s="5"/>
      <c r="XAU188" s="5"/>
      <c r="XAV188" s="5"/>
      <c r="XAW188" s="5"/>
      <c r="XAX188" s="5"/>
      <c r="XAY188" s="5"/>
      <c r="XAZ188" s="5"/>
      <c r="XBA188" s="5"/>
      <c r="XBB188" s="5"/>
      <c r="XBC188" s="5"/>
      <c r="XBD188" s="5"/>
      <c r="XBE188" s="5"/>
      <c r="XBF188" s="5"/>
      <c r="XBG188" s="5"/>
      <c r="XBH188" s="5"/>
      <c r="XBI188" s="5"/>
      <c r="XBJ188" s="5"/>
      <c r="XBK188" s="5"/>
      <c r="XBL188" s="5"/>
      <c r="XBM188" s="5"/>
      <c r="XBN188" s="5"/>
      <c r="XBO188" s="5"/>
      <c r="XBP188" s="5"/>
      <c r="XBQ188" s="5"/>
      <c r="XBR188" s="5"/>
      <c r="XBS188" s="5"/>
      <c r="XBT188" s="5"/>
      <c r="XBU188" s="5"/>
      <c r="XBV188" s="5"/>
      <c r="XBW188" s="5"/>
      <c r="XBX188" s="5"/>
      <c r="XBY188" s="5"/>
      <c r="XBZ188" s="5"/>
      <c r="XCA188" s="5"/>
      <c r="XCB188" s="5"/>
      <c r="XCC188" s="5"/>
      <c r="XCD188" s="5"/>
      <c r="XCE188" s="5"/>
      <c r="XCF188" s="5"/>
      <c r="XCG188" s="5"/>
      <c r="XCH188" s="5"/>
      <c r="XCI188" s="5"/>
      <c r="XCJ188" s="5"/>
      <c r="XCK188" s="5"/>
      <c r="XCL188" s="5"/>
      <c r="XCM188" s="5"/>
      <c r="XCN188" s="5"/>
      <c r="XCO188" s="5"/>
      <c r="XCP188" s="5"/>
      <c r="XCQ188" s="5"/>
      <c r="XCR188" s="5"/>
      <c r="XCS188" s="5"/>
      <c r="XCT188" s="5"/>
      <c r="XCU188" s="5"/>
      <c r="XCV188" s="5"/>
      <c r="XCW188" s="5"/>
      <c r="XCX188" s="5"/>
      <c r="XCY188" s="5"/>
      <c r="XCZ188" s="5"/>
      <c r="XDA188" s="5"/>
      <c r="XDB188" s="5"/>
      <c r="XDC188" s="5"/>
      <c r="XDD188" s="5"/>
      <c r="XDE188" s="5"/>
      <c r="XDF188" s="5"/>
      <c r="XDG188" s="5"/>
      <c r="XDH188" s="5"/>
      <c r="XDI188" s="5"/>
      <c r="XDJ188" s="5"/>
      <c r="XDK188" s="5"/>
      <c r="XDL188" s="5"/>
      <c r="XDM188" s="5"/>
      <c r="XDN188" s="5"/>
      <c r="XDO188" s="5"/>
      <c r="XDP188" s="5"/>
      <c r="XDQ188" s="5"/>
      <c r="XDR188" s="5"/>
      <c r="XDS188" s="5"/>
      <c r="XDT188" s="5"/>
      <c r="XDU188" s="5"/>
      <c r="XDV188" s="5"/>
      <c r="XDW188" s="5"/>
      <c r="XDX188" s="5"/>
      <c r="XDY188" s="5"/>
      <c r="XDZ188" s="5"/>
      <c r="XEA188" s="5"/>
      <c r="XEB188" s="5"/>
      <c r="XEC188" s="5"/>
      <c r="XED188" s="5"/>
      <c r="XEE188" s="5"/>
      <c r="XEF188" s="5"/>
      <c r="XEG188" s="5"/>
      <c r="XEH188" s="5"/>
      <c r="XEI188" s="5"/>
      <c r="XEJ188" s="5"/>
      <c r="XEK188" s="5"/>
      <c r="XEL188" s="5"/>
      <c r="XEM188" s="5"/>
      <c r="XEN188" s="5"/>
      <c r="XEO188" s="5"/>
      <c r="XEP188" s="5"/>
    </row>
    <row r="189" spans="2:16370" ht="15.75" hidden="1" x14ac:dyDescent="0.25">
      <c r="B189" s="381"/>
      <c r="C189" s="381" t="s">
        <v>472</v>
      </c>
      <c r="D189" s="1096" t="e">
        <f>(1.185+(0.00454*D19)-(0.0000026*(D19)^2)+((0.315*D21)))^2*1.1+D193</f>
        <v>#DIV/0!</v>
      </c>
      <c r="E189" s="1096">
        <f>(1.185+(0.00454*E19)-(0.0000026*(E19)^2)+((0.315*E21)))^2*1+E193</f>
        <v>1.4042250000000001</v>
      </c>
      <c r="F189" s="1096">
        <f>(1.185+(0.00454*F19)-(0.0000026*(F19)^2)+((0.315*F21)))^2*1+F193</f>
        <v>1.4042250000000001</v>
      </c>
      <c r="G189" s="1096">
        <f>(1.185+(0.00454*G19)-(0.0000026*(G19)^2)+((0.315*G21)))^2*1+G193</f>
        <v>1.4042250000000001</v>
      </c>
      <c r="H189" s="1096">
        <f>(1.185+(0.00454*H19)-(0.0000026*(H19)^2)+((0.315*H21)))^2*1+H193</f>
        <v>1.4042250000000001</v>
      </c>
      <c r="I189" s="616"/>
      <c r="J189" s="616"/>
      <c r="K189" s="386" t="s">
        <v>269</v>
      </c>
      <c r="L189" s="382"/>
      <c r="M189" s="5"/>
      <c r="N189" s="5"/>
      <c r="O189" s="5"/>
      <c r="P189" s="5"/>
      <c r="Q189" s="5"/>
      <c r="R189" s="5"/>
      <c r="S189" s="5"/>
      <c r="T189" s="5"/>
      <c r="U189" s="5"/>
      <c r="V189" s="5"/>
      <c r="W189" s="5"/>
      <c r="X189" s="5"/>
      <c r="Y189" s="5"/>
      <c r="Z189" s="5"/>
      <c r="AA189" s="5"/>
      <c r="AB189" s="5"/>
      <c r="AC189" s="5"/>
      <c r="AD189" s="5"/>
      <c r="AE189" s="358">
        <v>4</v>
      </c>
      <c r="AF189" s="552" t="s">
        <v>1010</v>
      </c>
      <c r="AG189" s="360">
        <v>79.37</v>
      </c>
      <c r="AH189" s="360">
        <v>9.68</v>
      </c>
      <c r="AI189" s="360">
        <v>2.64</v>
      </c>
      <c r="AJ189" s="360">
        <v>3.3</v>
      </c>
      <c r="AK189" s="360"/>
      <c r="AL189" s="360">
        <v>5.01</v>
      </c>
      <c r="AM189" s="360"/>
      <c r="AN189" s="1960">
        <v>9.1526999999999994</v>
      </c>
      <c r="AO189" s="1857"/>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c r="BOW189" s="5"/>
      <c r="BOX189" s="5"/>
      <c r="BOY189" s="5"/>
      <c r="BOZ189" s="5"/>
      <c r="BPA189" s="5"/>
      <c r="BPB189" s="5"/>
      <c r="BPC189" s="5"/>
      <c r="BPD189" s="5"/>
      <c r="BPE189" s="5"/>
      <c r="BPF189" s="5"/>
      <c r="BPG189" s="5"/>
      <c r="BPH189" s="5"/>
      <c r="BPI189" s="5"/>
      <c r="BPJ189" s="5"/>
      <c r="BPK189" s="5"/>
      <c r="BPL189" s="5"/>
      <c r="BPM189" s="5"/>
      <c r="BPN189" s="5"/>
      <c r="BPO189" s="5"/>
      <c r="BPP189" s="5"/>
      <c r="BPQ189" s="5"/>
      <c r="BPR189" s="5"/>
      <c r="BPS189" s="5"/>
      <c r="BPT189" s="5"/>
      <c r="BPU189" s="5"/>
      <c r="BPV189" s="5"/>
      <c r="BPW189" s="5"/>
      <c r="BPX189" s="5"/>
      <c r="BPY189" s="5"/>
      <c r="BPZ189" s="5"/>
      <c r="BQA189" s="5"/>
      <c r="BQB189" s="5"/>
      <c r="BQC189" s="5"/>
      <c r="BQD189" s="5"/>
      <c r="BQE189" s="5"/>
      <c r="BQF189" s="5"/>
      <c r="BQG189" s="5"/>
      <c r="BQH189" s="5"/>
      <c r="BQI189" s="5"/>
      <c r="BQJ189" s="5"/>
      <c r="BQK189" s="5"/>
      <c r="BQL189" s="5"/>
      <c r="BQM189" s="5"/>
      <c r="BQN189" s="5"/>
      <c r="BQO189" s="5"/>
      <c r="BQP189" s="5"/>
      <c r="BQQ189" s="5"/>
      <c r="BQR189" s="5"/>
      <c r="BQS189" s="5"/>
      <c r="BQT189" s="5"/>
      <c r="BQU189" s="5"/>
      <c r="BQV189" s="5"/>
      <c r="BQW189" s="5"/>
      <c r="BQX189" s="5"/>
      <c r="BQY189" s="5"/>
      <c r="BQZ189" s="5"/>
      <c r="BRA189" s="5"/>
      <c r="BRB189" s="5"/>
      <c r="BRC189" s="5"/>
      <c r="BRD189" s="5"/>
      <c r="BRE189" s="5"/>
      <c r="BRF189" s="5"/>
      <c r="BRG189" s="5"/>
      <c r="BRH189" s="5"/>
      <c r="BRI189" s="5"/>
      <c r="BRJ189" s="5"/>
      <c r="BRK189" s="5"/>
      <c r="BRL189" s="5"/>
      <c r="BRM189" s="5"/>
      <c r="BRN189" s="5"/>
      <c r="BRO189" s="5"/>
      <c r="BRP189" s="5"/>
      <c r="BRQ189" s="5"/>
      <c r="BRR189" s="5"/>
      <c r="BRS189" s="5"/>
      <c r="BRT189" s="5"/>
      <c r="BRU189" s="5"/>
      <c r="BRV189" s="5"/>
      <c r="BRW189" s="5"/>
      <c r="BRX189" s="5"/>
      <c r="BRY189" s="5"/>
      <c r="BRZ189" s="5"/>
      <c r="BSA189" s="5"/>
      <c r="BSB189" s="5"/>
      <c r="BSC189" s="5"/>
      <c r="BSD189" s="5"/>
      <c r="BSE189" s="5"/>
      <c r="BSF189" s="5"/>
      <c r="BSG189" s="5"/>
      <c r="BSH189" s="5"/>
      <c r="BSI189" s="5"/>
      <c r="BSJ189" s="5"/>
      <c r="BSK189" s="5"/>
      <c r="BSL189" s="5"/>
      <c r="BSM189" s="5"/>
      <c r="BSN189" s="5"/>
      <c r="BSO189" s="5"/>
      <c r="BSP189" s="5"/>
      <c r="BSQ189" s="5"/>
      <c r="BSR189" s="5"/>
      <c r="BSS189" s="5"/>
      <c r="BST189" s="5"/>
      <c r="BSU189" s="5"/>
      <c r="BSV189" s="5"/>
      <c r="BSW189" s="5"/>
      <c r="BSX189" s="5"/>
      <c r="BSY189" s="5"/>
      <c r="BSZ189" s="5"/>
      <c r="BTA189" s="5"/>
      <c r="BTB189" s="5"/>
      <c r="BTC189" s="5"/>
      <c r="BTD189" s="5"/>
      <c r="BTE189" s="5"/>
      <c r="BTF189" s="5"/>
      <c r="BTG189" s="5"/>
      <c r="BTH189" s="5"/>
      <c r="BTI189" s="5"/>
      <c r="BTJ189" s="5"/>
      <c r="BTK189" s="5"/>
      <c r="BTL189" s="5"/>
      <c r="BTM189" s="5"/>
      <c r="BTN189" s="5"/>
      <c r="BTO189" s="5"/>
      <c r="BTP189" s="5"/>
      <c r="BTQ189" s="5"/>
      <c r="BTR189" s="5"/>
      <c r="BTS189" s="5"/>
      <c r="BTT189" s="5"/>
      <c r="BTU189" s="5"/>
      <c r="BTV189" s="5"/>
      <c r="BTW189" s="5"/>
      <c r="BTX189" s="5"/>
      <c r="BTY189" s="5"/>
      <c r="BTZ189" s="5"/>
      <c r="BUA189" s="5"/>
      <c r="BUB189" s="5"/>
      <c r="BUC189" s="5"/>
      <c r="BUD189" s="5"/>
      <c r="BUE189" s="5"/>
      <c r="BUF189" s="5"/>
      <c r="BUG189" s="5"/>
      <c r="BUH189" s="5"/>
      <c r="BUI189" s="5"/>
      <c r="BUJ189" s="5"/>
      <c r="BUK189" s="5"/>
      <c r="BUL189" s="5"/>
      <c r="BUM189" s="5"/>
      <c r="BUN189" s="5"/>
      <c r="BUO189" s="5"/>
      <c r="BUP189" s="5"/>
      <c r="BUQ189" s="5"/>
      <c r="BUR189" s="5"/>
      <c r="BUS189" s="5"/>
      <c r="BUT189" s="5"/>
      <c r="BUU189" s="5"/>
      <c r="BUV189" s="5"/>
      <c r="BUW189" s="5"/>
      <c r="BUX189" s="5"/>
      <c r="BUY189" s="5"/>
      <c r="BUZ189" s="5"/>
      <c r="BVA189" s="5"/>
      <c r="BVB189" s="5"/>
      <c r="BVC189" s="5"/>
      <c r="BVD189" s="5"/>
      <c r="BVE189" s="5"/>
      <c r="BVF189" s="5"/>
      <c r="BVG189" s="5"/>
      <c r="BVH189" s="5"/>
      <c r="BVI189" s="5"/>
      <c r="BVJ189" s="5"/>
      <c r="BVK189" s="5"/>
      <c r="BVL189" s="5"/>
      <c r="BVM189" s="5"/>
      <c r="BVN189" s="5"/>
      <c r="BVO189" s="5"/>
      <c r="BVP189" s="5"/>
      <c r="BVQ189" s="5"/>
      <c r="BVR189" s="5"/>
      <c r="BVS189" s="5"/>
      <c r="BVT189" s="5"/>
      <c r="BVU189" s="5"/>
      <c r="BVV189" s="5"/>
      <c r="BVW189" s="5"/>
      <c r="BVX189" s="5"/>
      <c r="BVY189" s="5"/>
      <c r="BVZ189" s="5"/>
      <c r="BWA189" s="5"/>
      <c r="BWB189" s="5"/>
      <c r="BWC189" s="5"/>
      <c r="BWD189" s="5"/>
      <c r="BWE189" s="5"/>
      <c r="BWF189" s="5"/>
      <c r="BWG189" s="5"/>
      <c r="BWH189" s="5"/>
      <c r="BWI189" s="5"/>
      <c r="BWJ189" s="5"/>
      <c r="BWK189" s="5"/>
      <c r="BWL189" s="5"/>
      <c r="BWM189" s="5"/>
      <c r="BWN189" s="5"/>
      <c r="BWO189" s="5"/>
      <c r="BWP189" s="5"/>
      <c r="BWQ189" s="5"/>
      <c r="BWR189" s="5"/>
      <c r="BWS189" s="5"/>
      <c r="BWT189" s="5"/>
      <c r="BWU189" s="5"/>
      <c r="BWV189" s="5"/>
      <c r="BWW189" s="5"/>
      <c r="BWX189" s="5"/>
      <c r="BWY189" s="5"/>
      <c r="BWZ189" s="5"/>
      <c r="BXA189" s="5"/>
      <c r="BXB189" s="5"/>
      <c r="BXC189" s="5"/>
      <c r="BXD189" s="5"/>
      <c r="BXE189" s="5"/>
      <c r="BXF189" s="5"/>
      <c r="BXG189" s="5"/>
      <c r="BXH189" s="5"/>
      <c r="BXI189" s="5"/>
      <c r="BXJ189" s="5"/>
      <c r="BXK189" s="5"/>
      <c r="BXL189" s="5"/>
      <c r="BXM189" s="5"/>
      <c r="BXN189" s="5"/>
      <c r="BXO189" s="5"/>
      <c r="BXP189" s="5"/>
      <c r="BXQ189" s="5"/>
      <c r="BXR189" s="5"/>
      <c r="BXS189" s="5"/>
      <c r="BXT189" s="5"/>
      <c r="BXU189" s="5"/>
      <c r="BXV189" s="5"/>
      <c r="BXW189" s="5"/>
      <c r="BXX189" s="5"/>
      <c r="BXY189" s="5"/>
      <c r="BXZ189" s="5"/>
      <c r="BYA189" s="5"/>
      <c r="BYB189" s="5"/>
      <c r="BYC189" s="5"/>
      <c r="BYD189" s="5"/>
      <c r="BYE189" s="5"/>
      <c r="BYF189" s="5"/>
      <c r="BYG189" s="5"/>
      <c r="BYH189" s="5"/>
      <c r="BYI189" s="5"/>
      <c r="BYJ189" s="5"/>
      <c r="BYK189" s="5"/>
      <c r="BYL189" s="5"/>
      <c r="BYM189" s="5"/>
      <c r="BYN189" s="5"/>
      <c r="BYO189" s="5"/>
      <c r="BYP189" s="5"/>
      <c r="BYQ189" s="5"/>
      <c r="BYR189" s="5"/>
      <c r="BYS189" s="5"/>
      <c r="BYT189" s="5"/>
      <c r="BYU189" s="5"/>
      <c r="BYV189" s="5"/>
      <c r="BYW189" s="5"/>
      <c r="BYX189" s="5"/>
      <c r="BYY189" s="5"/>
      <c r="BYZ189" s="5"/>
      <c r="BZA189" s="5"/>
      <c r="BZB189" s="5"/>
      <c r="BZC189" s="5"/>
      <c r="BZD189" s="5"/>
      <c r="BZE189" s="5"/>
      <c r="BZF189" s="5"/>
      <c r="BZG189" s="5"/>
      <c r="BZH189" s="5"/>
      <c r="BZI189" s="5"/>
      <c r="BZJ189" s="5"/>
      <c r="BZK189" s="5"/>
      <c r="BZL189" s="5"/>
      <c r="BZM189" s="5"/>
      <c r="BZN189" s="5"/>
      <c r="BZO189" s="5"/>
      <c r="BZP189" s="5"/>
      <c r="BZQ189" s="5"/>
      <c r="BZR189" s="5"/>
      <c r="BZS189" s="5"/>
      <c r="BZT189" s="5"/>
      <c r="BZU189" s="5"/>
      <c r="BZV189" s="5"/>
      <c r="BZW189" s="5"/>
      <c r="BZX189" s="5"/>
      <c r="BZY189" s="5"/>
      <c r="BZZ189" s="5"/>
      <c r="CAA189" s="5"/>
      <c r="CAB189" s="5"/>
      <c r="CAC189" s="5"/>
      <c r="CAD189" s="5"/>
      <c r="CAE189" s="5"/>
      <c r="CAF189" s="5"/>
      <c r="CAG189" s="5"/>
      <c r="CAH189" s="5"/>
      <c r="CAI189" s="5"/>
      <c r="CAJ189" s="5"/>
      <c r="CAK189" s="5"/>
      <c r="CAL189" s="5"/>
      <c r="CAM189" s="5"/>
      <c r="CAN189" s="5"/>
      <c r="CAO189" s="5"/>
      <c r="CAP189" s="5"/>
      <c r="CAQ189" s="5"/>
      <c r="CAR189" s="5"/>
      <c r="CAS189" s="5"/>
      <c r="CAT189" s="5"/>
      <c r="CAU189" s="5"/>
      <c r="CAV189" s="5"/>
      <c r="CAW189" s="5"/>
      <c r="CAX189" s="5"/>
      <c r="CAY189" s="5"/>
      <c r="CAZ189" s="5"/>
      <c r="CBA189" s="5"/>
      <c r="CBB189" s="5"/>
      <c r="CBC189" s="5"/>
      <c r="CBD189" s="5"/>
      <c r="CBE189" s="5"/>
      <c r="CBF189" s="5"/>
      <c r="CBG189" s="5"/>
      <c r="CBH189" s="5"/>
      <c r="CBI189" s="5"/>
      <c r="CBJ189" s="5"/>
      <c r="CBK189" s="5"/>
      <c r="CBL189" s="5"/>
      <c r="CBM189" s="5"/>
      <c r="CBN189" s="5"/>
      <c r="CBO189" s="5"/>
      <c r="CBP189" s="5"/>
      <c r="CBQ189" s="5"/>
      <c r="CBR189" s="5"/>
      <c r="CBS189" s="5"/>
      <c r="CBT189" s="5"/>
      <c r="CBU189" s="5"/>
      <c r="CBV189" s="5"/>
      <c r="CBW189" s="5"/>
      <c r="CBX189" s="5"/>
      <c r="CBY189" s="5"/>
      <c r="CBZ189" s="5"/>
      <c r="CCA189" s="5"/>
      <c r="CCB189" s="5"/>
      <c r="CCC189" s="5"/>
      <c r="CCD189" s="5"/>
      <c r="CCE189" s="5"/>
      <c r="CCF189" s="5"/>
      <c r="CCG189" s="5"/>
      <c r="CCH189" s="5"/>
      <c r="CCI189" s="5"/>
      <c r="CCJ189" s="5"/>
      <c r="CCK189" s="5"/>
      <c r="CCL189" s="5"/>
      <c r="CCM189" s="5"/>
      <c r="CCN189" s="5"/>
      <c r="CCO189" s="5"/>
      <c r="CCP189" s="5"/>
      <c r="CCQ189" s="5"/>
      <c r="CCR189" s="5"/>
      <c r="CCS189" s="5"/>
      <c r="CCT189" s="5"/>
      <c r="CCU189" s="5"/>
      <c r="CCV189" s="5"/>
      <c r="CCW189" s="5"/>
      <c r="CCX189" s="5"/>
      <c r="CCY189" s="5"/>
      <c r="CCZ189" s="5"/>
      <c r="CDA189" s="5"/>
      <c r="CDB189" s="5"/>
      <c r="CDC189" s="5"/>
      <c r="CDD189" s="5"/>
      <c r="CDE189" s="5"/>
      <c r="CDF189" s="5"/>
      <c r="CDG189" s="5"/>
      <c r="CDH189" s="5"/>
      <c r="CDI189" s="5"/>
      <c r="CDJ189" s="5"/>
      <c r="CDK189" s="5"/>
      <c r="CDL189" s="5"/>
      <c r="CDM189" s="5"/>
      <c r="CDN189" s="5"/>
      <c r="CDO189" s="5"/>
      <c r="CDP189" s="5"/>
      <c r="CDQ189" s="5"/>
      <c r="CDR189" s="5"/>
      <c r="CDS189" s="5"/>
      <c r="CDT189" s="5"/>
      <c r="CDU189" s="5"/>
      <c r="CDV189" s="5"/>
      <c r="CDW189" s="5"/>
      <c r="CDX189" s="5"/>
      <c r="CDY189" s="5"/>
      <c r="CDZ189" s="5"/>
      <c r="CEA189" s="5"/>
      <c r="CEB189" s="5"/>
      <c r="CEC189" s="5"/>
      <c r="CED189" s="5"/>
      <c r="CEE189" s="5"/>
      <c r="CEF189" s="5"/>
      <c r="CEG189" s="5"/>
      <c r="CEH189" s="5"/>
      <c r="CEI189" s="5"/>
      <c r="CEJ189" s="5"/>
      <c r="CEK189" s="5"/>
      <c r="CEL189" s="5"/>
      <c r="CEM189" s="5"/>
      <c r="CEN189" s="5"/>
      <c r="CEO189" s="5"/>
      <c r="CEP189" s="5"/>
      <c r="CEQ189" s="5"/>
      <c r="CER189" s="5"/>
      <c r="CES189" s="5"/>
      <c r="CET189" s="5"/>
      <c r="CEU189" s="5"/>
      <c r="CEV189" s="5"/>
      <c r="CEW189" s="5"/>
      <c r="CEX189" s="5"/>
      <c r="CEY189" s="5"/>
      <c r="CEZ189" s="5"/>
      <c r="CFA189" s="5"/>
      <c r="CFB189" s="5"/>
      <c r="CFC189" s="5"/>
      <c r="CFD189" s="5"/>
      <c r="CFE189" s="5"/>
      <c r="CFF189" s="5"/>
      <c r="CFG189" s="5"/>
      <c r="CFH189" s="5"/>
      <c r="CFI189" s="5"/>
      <c r="CFJ189" s="5"/>
      <c r="CFK189" s="5"/>
      <c r="CFL189" s="5"/>
      <c r="CFM189" s="5"/>
      <c r="CFN189" s="5"/>
      <c r="CFO189" s="5"/>
      <c r="CFP189" s="5"/>
      <c r="CFQ189" s="5"/>
      <c r="CFR189" s="5"/>
      <c r="CFS189" s="5"/>
      <c r="CFT189" s="5"/>
      <c r="CFU189" s="5"/>
      <c r="CFV189" s="5"/>
      <c r="CFW189" s="5"/>
      <c r="CFX189" s="5"/>
      <c r="CFY189" s="5"/>
      <c r="CFZ189" s="5"/>
      <c r="CGA189" s="5"/>
      <c r="CGB189" s="5"/>
      <c r="CGC189" s="5"/>
      <c r="CGD189" s="5"/>
      <c r="CGE189" s="5"/>
      <c r="CGF189" s="5"/>
      <c r="CGG189" s="5"/>
      <c r="CGH189" s="5"/>
      <c r="CGI189" s="5"/>
      <c r="CGJ189" s="5"/>
      <c r="CGK189" s="5"/>
      <c r="CGL189" s="5"/>
      <c r="CGM189" s="5"/>
      <c r="CGN189" s="5"/>
      <c r="CGO189" s="5"/>
      <c r="CGP189" s="5"/>
      <c r="CGQ189" s="5"/>
      <c r="CGR189" s="5"/>
      <c r="CGS189" s="5"/>
      <c r="CGT189" s="5"/>
      <c r="CGU189" s="5"/>
      <c r="CGV189" s="5"/>
      <c r="CGW189" s="5"/>
      <c r="CGX189" s="5"/>
      <c r="CGY189" s="5"/>
      <c r="CGZ189" s="5"/>
      <c r="CHA189" s="5"/>
      <c r="CHB189" s="5"/>
      <c r="CHC189" s="5"/>
      <c r="CHD189" s="5"/>
      <c r="CHE189" s="5"/>
      <c r="CHF189" s="5"/>
      <c r="CHG189" s="5"/>
      <c r="CHH189" s="5"/>
      <c r="CHI189" s="5"/>
      <c r="CHJ189" s="5"/>
      <c r="CHK189" s="5"/>
      <c r="CHL189" s="5"/>
      <c r="CHM189" s="5"/>
      <c r="CHN189" s="5"/>
      <c r="CHO189" s="5"/>
      <c r="CHP189" s="5"/>
      <c r="CHQ189" s="5"/>
      <c r="CHR189" s="5"/>
      <c r="CHS189" s="5"/>
      <c r="CHT189" s="5"/>
      <c r="CHU189" s="5"/>
      <c r="CHV189" s="5"/>
      <c r="CHW189" s="5"/>
      <c r="CHX189" s="5"/>
      <c r="CHY189" s="5"/>
      <c r="CHZ189" s="5"/>
      <c r="CIA189" s="5"/>
      <c r="CIB189" s="5"/>
      <c r="CIC189" s="5"/>
      <c r="CID189" s="5"/>
      <c r="CIE189" s="5"/>
      <c r="CIF189" s="5"/>
      <c r="CIG189" s="5"/>
      <c r="CIH189" s="5"/>
      <c r="CII189" s="5"/>
      <c r="CIJ189" s="5"/>
      <c r="CIK189" s="5"/>
      <c r="CIL189" s="5"/>
      <c r="CIM189" s="5"/>
      <c r="CIN189" s="5"/>
      <c r="CIO189" s="5"/>
      <c r="CIP189" s="5"/>
      <c r="CIQ189" s="5"/>
      <c r="CIR189" s="5"/>
      <c r="CIS189" s="5"/>
      <c r="CIT189" s="5"/>
      <c r="CIU189" s="5"/>
      <c r="CIV189" s="5"/>
      <c r="CIW189" s="5"/>
      <c r="CIX189" s="5"/>
      <c r="CIY189" s="5"/>
      <c r="CIZ189" s="5"/>
      <c r="CJA189" s="5"/>
      <c r="CJB189" s="5"/>
      <c r="CJC189" s="5"/>
      <c r="CJD189" s="5"/>
      <c r="CJE189" s="5"/>
      <c r="CJF189" s="5"/>
      <c r="CJG189" s="5"/>
      <c r="CJH189" s="5"/>
      <c r="CJI189" s="5"/>
      <c r="CJJ189" s="5"/>
      <c r="CJK189" s="5"/>
      <c r="CJL189" s="5"/>
      <c r="CJM189" s="5"/>
      <c r="CJN189" s="5"/>
      <c r="CJO189" s="5"/>
      <c r="CJP189" s="5"/>
      <c r="CJQ189" s="5"/>
      <c r="CJR189" s="5"/>
      <c r="CJS189" s="5"/>
      <c r="CJT189" s="5"/>
      <c r="CJU189" s="5"/>
      <c r="CJV189" s="5"/>
      <c r="CJW189" s="5"/>
      <c r="CJX189" s="5"/>
      <c r="CJY189" s="5"/>
      <c r="CJZ189" s="5"/>
      <c r="CKA189" s="5"/>
      <c r="CKB189" s="5"/>
      <c r="CKC189" s="5"/>
      <c r="CKD189" s="5"/>
      <c r="CKE189" s="5"/>
      <c r="CKF189" s="5"/>
      <c r="CKG189" s="5"/>
      <c r="CKH189" s="5"/>
      <c r="CKI189" s="5"/>
      <c r="CKJ189" s="5"/>
      <c r="CKK189" s="5"/>
      <c r="CKL189" s="5"/>
      <c r="CKM189" s="5"/>
      <c r="CKN189" s="5"/>
      <c r="CKO189" s="5"/>
      <c r="CKP189" s="5"/>
      <c r="CKQ189" s="5"/>
      <c r="CKR189" s="5"/>
      <c r="CKS189" s="5"/>
      <c r="CKT189" s="5"/>
      <c r="CKU189" s="5"/>
      <c r="CKV189" s="5"/>
      <c r="CKW189" s="5"/>
      <c r="CKX189" s="5"/>
      <c r="CKY189" s="5"/>
      <c r="CKZ189" s="5"/>
      <c r="CLA189" s="5"/>
      <c r="CLB189" s="5"/>
      <c r="CLC189" s="5"/>
      <c r="CLD189" s="5"/>
      <c r="CLE189" s="5"/>
      <c r="CLF189" s="5"/>
      <c r="CLG189" s="5"/>
      <c r="CLH189" s="5"/>
      <c r="CLI189" s="5"/>
      <c r="CLJ189" s="5"/>
      <c r="CLK189" s="5"/>
      <c r="CLL189" s="5"/>
      <c r="CLM189" s="5"/>
      <c r="CLN189" s="5"/>
      <c r="CLO189" s="5"/>
      <c r="CLP189" s="5"/>
      <c r="CLQ189" s="5"/>
      <c r="CLR189" s="5"/>
      <c r="CLS189" s="5"/>
      <c r="CLT189" s="5"/>
      <c r="CLU189" s="5"/>
      <c r="CLV189" s="5"/>
      <c r="CLW189" s="5"/>
      <c r="CLX189" s="5"/>
      <c r="CLY189" s="5"/>
      <c r="CLZ189" s="5"/>
      <c r="CMA189" s="5"/>
      <c r="CMB189" s="5"/>
      <c r="CMC189" s="5"/>
      <c r="CMD189" s="5"/>
      <c r="CME189" s="5"/>
      <c r="CMF189" s="5"/>
      <c r="CMG189" s="5"/>
      <c r="CMH189" s="5"/>
      <c r="CMI189" s="5"/>
      <c r="CMJ189" s="5"/>
      <c r="CMK189" s="5"/>
      <c r="CML189" s="5"/>
      <c r="CMM189" s="5"/>
      <c r="CMN189" s="5"/>
      <c r="CMO189" s="5"/>
      <c r="CMP189" s="5"/>
      <c r="CMQ189" s="5"/>
      <c r="CMR189" s="5"/>
      <c r="CMS189" s="5"/>
      <c r="CMT189" s="5"/>
      <c r="CMU189" s="5"/>
      <c r="CMV189" s="5"/>
      <c r="CMW189" s="5"/>
      <c r="CMX189" s="5"/>
      <c r="CMY189" s="5"/>
      <c r="CMZ189" s="5"/>
      <c r="CNA189" s="5"/>
      <c r="CNB189" s="5"/>
      <c r="CNC189" s="5"/>
      <c r="CND189" s="5"/>
      <c r="CNE189" s="5"/>
      <c r="CNF189" s="5"/>
      <c r="CNG189" s="5"/>
      <c r="CNH189" s="5"/>
      <c r="CNI189" s="5"/>
      <c r="CNJ189" s="5"/>
      <c r="CNK189" s="5"/>
      <c r="CNL189" s="5"/>
      <c r="CNM189" s="5"/>
      <c r="CNN189" s="5"/>
      <c r="CNO189" s="5"/>
      <c r="CNP189" s="5"/>
      <c r="CNQ189" s="5"/>
      <c r="CNR189" s="5"/>
      <c r="CNS189" s="5"/>
      <c r="CNT189" s="5"/>
      <c r="CNU189" s="5"/>
      <c r="CNV189" s="5"/>
      <c r="CNW189" s="5"/>
      <c r="CNX189" s="5"/>
      <c r="CNY189" s="5"/>
      <c r="CNZ189" s="5"/>
      <c r="COA189" s="5"/>
      <c r="COB189" s="5"/>
      <c r="COC189" s="5"/>
      <c r="COD189" s="5"/>
      <c r="COE189" s="5"/>
      <c r="COF189" s="5"/>
      <c r="COG189" s="5"/>
      <c r="COH189" s="5"/>
      <c r="COI189" s="5"/>
      <c r="COJ189" s="5"/>
      <c r="COK189" s="5"/>
      <c r="COL189" s="5"/>
      <c r="COM189" s="5"/>
      <c r="CON189" s="5"/>
      <c r="COO189" s="5"/>
      <c r="COP189" s="5"/>
      <c r="COQ189" s="5"/>
      <c r="COR189" s="5"/>
      <c r="COS189" s="5"/>
      <c r="COT189" s="5"/>
      <c r="COU189" s="5"/>
      <c r="COV189" s="5"/>
      <c r="COW189" s="5"/>
      <c r="COX189" s="5"/>
      <c r="COY189" s="5"/>
      <c r="COZ189" s="5"/>
      <c r="CPA189" s="5"/>
      <c r="CPB189" s="5"/>
      <c r="CPC189" s="5"/>
      <c r="CPD189" s="5"/>
      <c r="CPE189" s="5"/>
      <c r="CPF189" s="5"/>
      <c r="CPG189" s="5"/>
      <c r="CPH189" s="5"/>
      <c r="CPI189" s="5"/>
      <c r="CPJ189" s="5"/>
      <c r="CPK189" s="5"/>
      <c r="CPL189" s="5"/>
      <c r="CPM189" s="5"/>
      <c r="CPN189" s="5"/>
      <c r="CPO189" s="5"/>
      <c r="CPP189" s="5"/>
      <c r="CPQ189" s="5"/>
      <c r="CPR189" s="5"/>
      <c r="CPS189" s="5"/>
      <c r="CPT189" s="5"/>
      <c r="CPU189" s="5"/>
      <c r="CPV189" s="5"/>
      <c r="CPW189" s="5"/>
      <c r="CPX189" s="5"/>
      <c r="CPY189" s="5"/>
      <c r="CPZ189" s="5"/>
      <c r="CQA189" s="5"/>
      <c r="CQB189" s="5"/>
      <c r="CQC189" s="5"/>
      <c r="CQD189" s="5"/>
      <c r="CQE189" s="5"/>
      <c r="CQF189" s="5"/>
      <c r="CQG189" s="5"/>
      <c r="CQH189" s="5"/>
      <c r="CQI189" s="5"/>
      <c r="CQJ189" s="5"/>
      <c r="CQK189" s="5"/>
      <c r="CQL189" s="5"/>
      <c r="CQM189" s="5"/>
      <c r="CQN189" s="5"/>
      <c r="CQO189" s="5"/>
      <c r="CQP189" s="5"/>
      <c r="CQQ189" s="5"/>
      <c r="CQR189" s="5"/>
      <c r="CQS189" s="5"/>
      <c r="CQT189" s="5"/>
      <c r="CQU189" s="5"/>
      <c r="CQV189" s="5"/>
      <c r="CQW189" s="5"/>
      <c r="CQX189" s="5"/>
      <c r="CQY189" s="5"/>
      <c r="CQZ189" s="5"/>
      <c r="CRA189" s="5"/>
      <c r="CRB189" s="5"/>
      <c r="CRC189" s="5"/>
      <c r="CRD189" s="5"/>
      <c r="CRE189" s="5"/>
      <c r="CRF189" s="5"/>
      <c r="CRG189" s="5"/>
      <c r="CRH189" s="5"/>
      <c r="CRI189" s="5"/>
      <c r="CRJ189" s="5"/>
      <c r="CRK189" s="5"/>
      <c r="CRL189" s="5"/>
      <c r="CRM189" s="5"/>
      <c r="CRN189" s="5"/>
      <c r="CRO189" s="5"/>
      <c r="CRP189" s="5"/>
      <c r="CRQ189" s="5"/>
      <c r="CRR189" s="5"/>
      <c r="CRS189" s="5"/>
      <c r="CRT189" s="5"/>
      <c r="CRU189" s="5"/>
      <c r="CRV189" s="5"/>
      <c r="CRW189" s="5"/>
      <c r="CRX189" s="5"/>
      <c r="CRY189" s="5"/>
      <c r="CRZ189" s="5"/>
      <c r="CSA189" s="5"/>
      <c r="CSB189" s="5"/>
      <c r="CSC189" s="5"/>
      <c r="CSD189" s="5"/>
      <c r="CSE189" s="5"/>
      <c r="CSF189" s="5"/>
      <c r="CSG189" s="5"/>
      <c r="CSH189" s="5"/>
      <c r="CSI189" s="5"/>
      <c r="CSJ189" s="5"/>
      <c r="CSK189" s="5"/>
      <c r="CSL189" s="5"/>
      <c r="CSM189" s="5"/>
      <c r="CSN189" s="5"/>
      <c r="CSO189" s="5"/>
      <c r="CSP189" s="5"/>
      <c r="CSQ189" s="5"/>
      <c r="CSR189" s="5"/>
      <c r="CSS189" s="5"/>
      <c r="CST189" s="5"/>
      <c r="CSU189" s="5"/>
      <c r="CSV189" s="5"/>
      <c r="CSW189" s="5"/>
      <c r="CSX189" s="5"/>
      <c r="CSY189" s="5"/>
      <c r="CSZ189" s="5"/>
      <c r="CTA189" s="5"/>
      <c r="CTB189" s="5"/>
      <c r="CTC189" s="5"/>
      <c r="CTD189" s="5"/>
      <c r="CTE189" s="5"/>
      <c r="CTF189" s="5"/>
      <c r="CTG189" s="5"/>
      <c r="CTH189" s="5"/>
      <c r="CTI189" s="5"/>
      <c r="CTJ189" s="5"/>
      <c r="CTK189" s="5"/>
      <c r="CTL189" s="5"/>
      <c r="CTM189" s="5"/>
      <c r="CTN189" s="5"/>
      <c r="CTO189" s="5"/>
      <c r="CTP189" s="5"/>
      <c r="CTQ189" s="5"/>
      <c r="CTR189" s="5"/>
      <c r="CTS189" s="5"/>
      <c r="CTT189" s="5"/>
      <c r="CTU189" s="5"/>
      <c r="CTV189" s="5"/>
      <c r="CTW189" s="5"/>
      <c r="CTX189" s="5"/>
      <c r="CTY189" s="5"/>
      <c r="CTZ189" s="5"/>
      <c r="CUA189" s="5"/>
      <c r="CUB189" s="5"/>
      <c r="CUC189" s="5"/>
      <c r="CUD189" s="5"/>
      <c r="CUE189" s="5"/>
      <c r="CUF189" s="5"/>
      <c r="CUG189" s="5"/>
      <c r="CUH189" s="5"/>
      <c r="CUI189" s="5"/>
      <c r="CUJ189" s="5"/>
      <c r="CUK189" s="5"/>
      <c r="CUL189" s="5"/>
      <c r="CUM189" s="5"/>
      <c r="CUN189" s="5"/>
      <c r="CUO189" s="5"/>
      <c r="CUP189" s="5"/>
      <c r="CUQ189" s="5"/>
      <c r="CUR189" s="5"/>
      <c r="CUS189" s="5"/>
      <c r="CUT189" s="5"/>
      <c r="CUU189" s="5"/>
      <c r="CUV189" s="5"/>
      <c r="CUW189" s="5"/>
      <c r="CUX189" s="5"/>
      <c r="CUY189" s="5"/>
      <c r="CUZ189" s="5"/>
      <c r="CVA189" s="5"/>
      <c r="CVB189" s="5"/>
      <c r="CVC189" s="5"/>
      <c r="CVD189" s="5"/>
      <c r="CVE189" s="5"/>
      <c r="CVF189" s="5"/>
      <c r="CVG189" s="5"/>
      <c r="CVH189" s="5"/>
      <c r="CVI189" s="5"/>
      <c r="CVJ189" s="5"/>
      <c r="CVK189" s="5"/>
      <c r="CVL189" s="5"/>
      <c r="CVM189" s="5"/>
      <c r="CVN189" s="5"/>
      <c r="CVO189" s="5"/>
      <c r="CVP189" s="5"/>
      <c r="CVQ189" s="5"/>
      <c r="CVR189" s="5"/>
      <c r="CVS189" s="5"/>
      <c r="CVT189" s="5"/>
      <c r="CVU189" s="5"/>
      <c r="CVV189" s="5"/>
      <c r="CVW189" s="5"/>
      <c r="CVX189" s="5"/>
      <c r="CVY189" s="5"/>
      <c r="CVZ189" s="5"/>
      <c r="CWA189" s="5"/>
      <c r="CWB189" s="5"/>
      <c r="CWC189" s="5"/>
      <c r="CWD189" s="5"/>
      <c r="CWE189" s="5"/>
      <c r="CWF189" s="5"/>
      <c r="CWG189" s="5"/>
      <c r="CWH189" s="5"/>
      <c r="CWI189" s="5"/>
      <c r="CWJ189" s="5"/>
      <c r="CWK189" s="5"/>
      <c r="CWL189" s="5"/>
      <c r="CWM189" s="5"/>
      <c r="CWN189" s="5"/>
      <c r="CWO189" s="5"/>
      <c r="CWP189" s="5"/>
      <c r="CWQ189" s="5"/>
      <c r="CWR189" s="5"/>
      <c r="CWS189" s="5"/>
      <c r="CWT189" s="5"/>
      <c r="CWU189" s="5"/>
      <c r="CWV189" s="5"/>
      <c r="CWW189" s="5"/>
      <c r="CWX189" s="5"/>
      <c r="CWY189" s="5"/>
      <c r="CWZ189" s="5"/>
      <c r="CXA189" s="5"/>
      <c r="CXB189" s="5"/>
      <c r="CXC189" s="5"/>
      <c r="CXD189" s="5"/>
      <c r="CXE189" s="5"/>
      <c r="CXF189" s="5"/>
      <c r="CXG189" s="5"/>
      <c r="CXH189" s="5"/>
      <c r="CXI189" s="5"/>
      <c r="CXJ189" s="5"/>
      <c r="CXK189" s="5"/>
      <c r="CXL189" s="5"/>
      <c r="CXM189" s="5"/>
      <c r="CXN189" s="5"/>
      <c r="CXO189" s="5"/>
      <c r="CXP189" s="5"/>
      <c r="CXQ189" s="5"/>
      <c r="CXR189" s="5"/>
      <c r="CXS189" s="5"/>
      <c r="CXT189" s="5"/>
      <c r="CXU189" s="5"/>
      <c r="CXV189" s="5"/>
      <c r="CXW189" s="5"/>
      <c r="CXX189" s="5"/>
      <c r="CXY189" s="5"/>
      <c r="CXZ189" s="5"/>
      <c r="CYA189" s="5"/>
      <c r="CYB189" s="5"/>
      <c r="CYC189" s="5"/>
      <c r="CYD189" s="5"/>
      <c r="CYE189" s="5"/>
      <c r="CYF189" s="5"/>
      <c r="CYG189" s="5"/>
      <c r="CYH189" s="5"/>
      <c r="CYI189" s="5"/>
      <c r="CYJ189" s="5"/>
      <c r="CYK189" s="5"/>
      <c r="CYL189" s="5"/>
      <c r="CYM189" s="5"/>
      <c r="CYN189" s="5"/>
      <c r="CYO189" s="5"/>
      <c r="CYP189" s="5"/>
      <c r="CYQ189" s="5"/>
      <c r="CYR189" s="5"/>
      <c r="CYS189" s="5"/>
      <c r="CYT189" s="5"/>
      <c r="CYU189" s="5"/>
      <c r="CYV189" s="5"/>
      <c r="CYW189" s="5"/>
      <c r="CYX189" s="5"/>
      <c r="CYY189" s="5"/>
      <c r="CYZ189" s="5"/>
      <c r="CZA189" s="5"/>
      <c r="CZB189" s="5"/>
      <c r="CZC189" s="5"/>
      <c r="CZD189" s="5"/>
      <c r="CZE189" s="5"/>
      <c r="CZF189" s="5"/>
      <c r="CZG189" s="5"/>
      <c r="CZH189" s="5"/>
      <c r="CZI189" s="5"/>
      <c r="CZJ189" s="5"/>
      <c r="CZK189" s="5"/>
      <c r="CZL189" s="5"/>
      <c r="CZM189" s="5"/>
      <c r="CZN189" s="5"/>
      <c r="CZO189" s="5"/>
      <c r="CZP189" s="5"/>
      <c r="CZQ189" s="5"/>
      <c r="CZR189" s="5"/>
      <c r="CZS189" s="5"/>
      <c r="CZT189" s="5"/>
      <c r="CZU189" s="5"/>
      <c r="CZV189" s="5"/>
      <c r="CZW189" s="5"/>
      <c r="CZX189" s="5"/>
      <c r="CZY189" s="5"/>
      <c r="CZZ189" s="5"/>
      <c r="DAA189" s="5"/>
      <c r="DAB189" s="5"/>
      <c r="DAC189" s="5"/>
      <c r="DAD189" s="5"/>
      <c r="DAE189" s="5"/>
      <c r="DAF189" s="5"/>
      <c r="DAG189" s="5"/>
      <c r="DAH189" s="5"/>
      <c r="DAI189" s="5"/>
      <c r="DAJ189" s="5"/>
      <c r="DAK189" s="5"/>
      <c r="DAL189" s="5"/>
      <c r="DAM189" s="5"/>
      <c r="DAN189" s="5"/>
      <c r="DAO189" s="5"/>
      <c r="DAP189" s="5"/>
      <c r="DAQ189" s="5"/>
      <c r="DAR189" s="5"/>
      <c r="DAS189" s="5"/>
      <c r="DAT189" s="5"/>
      <c r="DAU189" s="5"/>
      <c r="DAV189" s="5"/>
      <c r="DAW189" s="5"/>
      <c r="DAX189" s="5"/>
      <c r="DAY189" s="5"/>
      <c r="DAZ189" s="5"/>
      <c r="DBA189" s="5"/>
      <c r="DBB189" s="5"/>
      <c r="DBC189" s="5"/>
      <c r="DBD189" s="5"/>
      <c r="DBE189" s="5"/>
      <c r="DBF189" s="5"/>
      <c r="DBG189" s="5"/>
      <c r="DBH189" s="5"/>
      <c r="DBI189" s="5"/>
      <c r="DBJ189" s="5"/>
      <c r="DBK189" s="5"/>
      <c r="DBL189" s="5"/>
      <c r="DBM189" s="5"/>
      <c r="DBN189" s="5"/>
      <c r="DBO189" s="5"/>
      <c r="DBP189" s="5"/>
      <c r="DBQ189" s="5"/>
      <c r="DBR189" s="5"/>
      <c r="DBS189" s="5"/>
      <c r="DBT189" s="5"/>
      <c r="DBU189" s="5"/>
      <c r="DBV189" s="5"/>
      <c r="DBW189" s="5"/>
      <c r="DBX189" s="5"/>
      <c r="DBY189" s="5"/>
      <c r="DBZ189" s="5"/>
      <c r="DCA189" s="5"/>
      <c r="DCB189" s="5"/>
      <c r="DCC189" s="5"/>
      <c r="DCD189" s="5"/>
      <c r="DCE189" s="5"/>
      <c r="DCF189" s="5"/>
      <c r="DCG189" s="5"/>
      <c r="DCH189" s="5"/>
      <c r="DCI189" s="5"/>
      <c r="DCJ189" s="5"/>
      <c r="DCK189" s="5"/>
      <c r="DCL189" s="5"/>
      <c r="DCM189" s="5"/>
      <c r="DCN189" s="5"/>
      <c r="DCO189" s="5"/>
      <c r="DCP189" s="5"/>
      <c r="DCQ189" s="5"/>
      <c r="DCR189" s="5"/>
      <c r="DCS189" s="5"/>
      <c r="DCT189" s="5"/>
      <c r="DCU189" s="5"/>
      <c r="DCV189" s="5"/>
      <c r="DCW189" s="5"/>
      <c r="DCX189" s="5"/>
      <c r="DCY189" s="5"/>
      <c r="DCZ189" s="5"/>
      <c r="DDA189" s="5"/>
      <c r="DDB189" s="5"/>
      <c r="DDC189" s="5"/>
      <c r="DDD189" s="5"/>
      <c r="DDE189" s="5"/>
      <c r="DDF189" s="5"/>
      <c r="DDG189" s="5"/>
      <c r="DDH189" s="5"/>
      <c r="DDI189" s="5"/>
      <c r="DDJ189" s="5"/>
      <c r="DDK189" s="5"/>
      <c r="DDL189" s="5"/>
      <c r="DDM189" s="5"/>
      <c r="DDN189" s="5"/>
      <c r="DDO189" s="5"/>
      <c r="DDP189" s="5"/>
      <c r="DDQ189" s="5"/>
      <c r="DDR189" s="5"/>
      <c r="DDS189" s="5"/>
      <c r="DDT189" s="5"/>
      <c r="DDU189" s="5"/>
      <c r="DDV189" s="5"/>
      <c r="DDW189" s="5"/>
      <c r="DDX189" s="5"/>
      <c r="DDY189" s="5"/>
      <c r="DDZ189" s="5"/>
      <c r="DEA189" s="5"/>
      <c r="DEB189" s="5"/>
      <c r="DEC189" s="5"/>
      <c r="DED189" s="5"/>
      <c r="DEE189" s="5"/>
      <c r="DEF189" s="5"/>
      <c r="DEG189" s="5"/>
      <c r="DEH189" s="5"/>
      <c r="DEI189" s="5"/>
      <c r="DEJ189" s="5"/>
      <c r="DEK189" s="5"/>
      <c r="DEL189" s="5"/>
      <c r="DEM189" s="5"/>
      <c r="DEN189" s="5"/>
      <c r="DEO189" s="5"/>
      <c r="DEP189" s="5"/>
      <c r="DEQ189" s="5"/>
      <c r="DER189" s="5"/>
      <c r="DES189" s="5"/>
      <c r="DET189" s="5"/>
      <c r="DEU189" s="5"/>
      <c r="DEV189" s="5"/>
      <c r="DEW189" s="5"/>
      <c r="DEX189" s="5"/>
      <c r="DEY189" s="5"/>
      <c r="DEZ189" s="5"/>
      <c r="DFA189" s="5"/>
      <c r="DFB189" s="5"/>
      <c r="DFC189" s="5"/>
      <c r="DFD189" s="5"/>
      <c r="DFE189" s="5"/>
      <c r="DFF189" s="5"/>
      <c r="DFG189" s="5"/>
      <c r="DFH189" s="5"/>
      <c r="DFI189" s="5"/>
      <c r="DFJ189" s="5"/>
      <c r="DFK189" s="5"/>
      <c r="DFL189" s="5"/>
      <c r="DFM189" s="5"/>
      <c r="DFN189" s="5"/>
      <c r="DFO189" s="5"/>
      <c r="DFP189" s="5"/>
      <c r="DFQ189" s="5"/>
      <c r="DFR189" s="5"/>
      <c r="DFS189" s="5"/>
      <c r="DFT189" s="5"/>
      <c r="DFU189" s="5"/>
      <c r="DFV189" s="5"/>
      <c r="DFW189" s="5"/>
      <c r="DFX189" s="5"/>
      <c r="DFY189" s="5"/>
      <c r="DFZ189" s="5"/>
      <c r="DGA189" s="5"/>
      <c r="DGB189" s="5"/>
      <c r="DGC189" s="5"/>
      <c r="DGD189" s="5"/>
      <c r="DGE189" s="5"/>
      <c r="DGF189" s="5"/>
      <c r="DGG189" s="5"/>
      <c r="DGH189" s="5"/>
      <c r="DGI189" s="5"/>
      <c r="DGJ189" s="5"/>
      <c r="DGK189" s="5"/>
      <c r="DGL189" s="5"/>
      <c r="DGM189" s="5"/>
      <c r="DGN189" s="5"/>
      <c r="DGO189" s="5"/>
      <c r="DGP189" s="5"/>
      <c r="DGQ189" s="5"/>
      <c r="DGR189" s="5"/>
      <c r="DGS189" s="5"/>
      <c r="DGT189" s="5"/>
      <c r="DGU189" s="5"/>
      <c r="DGV189" s="5"/>
      <c r="DGW189" s="5"/>
      <c r="DGX189" s="5"/>
      <c r="DGY189" s="5"/>
      <c r="DGZ189" s="5"/>
      <c r="DHA189" s="5"/>
      <c r="DHB189" s="5"/>
      <c r="DHC189" s="5"/>
      <c r="DHD189" s="5"/>
      <c r="DHE189" s="5"/>
      <c r="DHF189" s="5"/>
      <c r="DHG189" s="5"/>
      <c r="DHH189" s="5"/>
      <c r="DHI189" s="5"/>
      <c r="DHJ189" s="5"/>
      <c r="DHK189" s="5"/>
      <c r="DHL189" s="5"/>
      <c r="DHM189" s="5"/>
      <c r="DHN189" s="5"/>
      <c r="DHO189" s="5"/>
      <c r="DHP189" s="5"/>
      <c r="DHQ189" s="5"/>
      <c r="DHR189" s="5"/>
      <c r="DHS189" s="5"/>
      <c r="DHT189" s="5"/>
      <c r="DHU189" s="5"/>
      <c r="DHV189" s="5"/>
      <c r="DHW189" s="5"/>
      <c r="DHX189" s="5"/>
      <c r="DHY189" s="5"/>
      <c r="DHZ189" s="5"/>
      <c r="DIA189" s="5"/>
      <c r="DIB189" s="5"/>
      <c r="DIC189" s="5"/>
      <c r="DID189" s="5"/>
      <c r="DIE189" s="5"/>
      <c r="DIF189" s="5"/>
      <c r="DIG189" s="5"/>
      <c r="DIH189" s="5"/>
      <c r="DII189" s="5"/>
      <c r="DIJ189" s="5"/>
      <c r="DIK189" s="5"/>
      <c r="DIL189" s="5"/>
      <c r="DIM189" s="5"/>
      <c r="DIN189" s="5"/>
      <c r="DIO189" s="5"/>
      <c r="DIP189" s="5"/>
      <c r="DIQ189" s="5"/>
      <c r="DIR189" s="5"/>
      <c r="DIS189" s="5"/>
      <c r="DIT189" s="5"/>
      <c r="DIU189" s="5"/>
      <c r="DIV189" s="5"/>
      <c r="DIW189" s="5"/>
      <c r="DIX189" s="5"/>
      <c r="DIY189" s="5"/>
      <c r="DIZ189" s="5"/>
      <c r="DJA189" s="5"/>
      <c r="DJB189" s="5"/>
      <c r="DJC189" s="5"/>
      <c r="DJD189" s="5"/>
      <c r="DJE189" s="5"/>
      <c r="DJF189" s="5"/>
      <c r="DJG189" s="5"/>
      <c r="DJH189" s="5"/>
      <c r="DJI189" s="5"/>
      <c r="DJJ189" s="5"/>
      <c r="DJK189" s="5"/>
      <c r="DJL189" s="5"/>
      <c r="DJM189" s="5"/>
      <c r="DJN189" s="5"/>
      <c r="DJO189" s="5"/>
      <c r="DJP189" s="5"/>
      <c r="DJQ189" s="5"/>
      <c r="DJR189" s="5"/>
      <c r="DJS189" s="5"/>
      <c r="DJT189" s="5"/>
      <c r="DJU189" s="5"/>
      <c r="DJV189" s="5"/>
      <c r="DJW189" s="5"/>
      <c r="DJX189" s="5"/>
      <c r="DJY189" s="5"/>
      <c r="DJZ189" s="5"/>
      <c r="DKA189" s="5"/>
      <c r="DKB189" s="5"/>
      <c r="DKC189" s="5"/>
      <c r="DKD189" s="5"/>
      <c r="DKE189" s="5"/>
      <c r="DKF189" s="5"/>
      <c r="DKG189" s="5"/>
      <c r="DKH189" s="5"/>
      <c r="DKI189" s="5"/>
      <c r="DKJ189" s="5"/>
      <c r="DKK189" s="5"/>
      <c r="DKL189" s="5"/>
      <c r="DKM189" s="5"/>
      <c r="DKN189" s="5"/>
      <c r="DKO189" s="5"/>
      <c r="DKP189" s="5"/>
      <c r="DKQ189" s="5"/>
      <c r="DKR189" s="5"/>
      <c r="DKS189" s="5"/>
      <c r="DKT189" s="5"/>
      <c r="DKU189" s="5"/>
      <c r="DKV189" s="5"/>
      <c r="DKW189" s="5"/>
      <c r="DKX189" s="5"/>
      <c r="DKY189" s="5"/>
      <c r="DKZ189" s="5"/>
      <c r="DLA189" s="5"/>
      <c r="DLB189" s="5"/>
      <c r="DLC189" s="5"/>
      <c r="DLD189" s="5"/>
      <c r="DLE189" s="5"/>
      <c r="DLF189" s="5"/>
      <c r="DLG189" s="5"/>
      <c r="DLH189" s="5"/>
      <c r="DLI189" s="5"/>
      <c r="DLJ189" s="5"/>
      <c r="DLK189" s="5"/>
      <c r="DLL189" s="5"/>
      <c r="DLM189" s="5"/>
      <c r="DLN189" s="5"/>
      <c r="DLO189" s="5"/>
      <c r="DLP189" s="5"/>
      <c r="DLQ189" s="5"/>
      <c r="DLR189" s="5"/>
      <c r="DLS189" s="5"/>
      <c r="DLT189" s="5"/>
      <c r="DLU189" s="5"/>
      <c r="DLV189" s="5"/>
      <c r="DLW189" s="5"/>
      <c r="DLX189" s="5"/>
      <c r="DLY189" s="5"/>
      <c r="DLZ189" s="5"/>
      <c r="DMA189" s="5"/>
      <c r="DMB189" s="5"/>
      <c r="DMC189" s="5"/>
      <c r="DMD189" s="5"/>
      <c r="DME189" s="5"/>
      <c r="DMF189" s="5"/>
      <c r="DMG189" s="5"/>
      <c r="DMH189" s="5"/>
      <c r="DMI189" s="5"/>
      <c r="DMJ189" s="5"/>
      <c r="DMK189" s="5"/>
      <c r="DML189" s="5"/>
      <c r="DMM189" s="5"/>
      <c r="DMN189" s="5"/>
      <c r="DMO189" s="5"/>
      <c r="DMP189" s="5"/>
      <c r="DMQ189" s="5"/>
      <c r="DMR189" s="5"/>
      <c r="DMS189" s="5"/>
      <c r="DMT189" s="5"/>
      <c r="DMU189" s="5"/>
      <c r="DMV189" s="5"/>
      <c r="DMW189" s="5"/>
      <c r="DMX189" s="5"/>
      <c r="DMY189" s="5"/>
      <c r="DMZ189" s="5"/>
      <c r="DNA189" s="5"/>
      <c r="DNB189" s="5"/>
      <c r="DNC189" s="5"/>
      <c r="DND189" s="5"/>
      <c r="DNE189" s="5"/>
      <c r="DNF189" s="5"/>
      <c r="DNG189" s="5"/>
      <c r="DNH189" s="5"/>
      <c r="DNI189" s="5"/>
      <c r="DNJ189" s="5"/>
      <c r="DNK189" s="5"/>
      <c r="DNL189" s="5"/>
      <c r="DNM189" s="5"/>
      <c r="DNN189" s="5"/>
      <c r="DNO189" s="5"/>
      <c r="DNP189" s="5"/>
      <c r="DNQ189" s="5"/>
      <c r="DNR189" s="5"/>
      <c r="DNS189" s="5"/>
      <c r="DNT189" s="5"/>
      <c r="DNU189" s="5"/>
      <c r="DNV189" s="5"/>
      <c r="DNW189" s="5"/>
      <c r="DNX189" s="5"/>
      <c r="DNY189" s="5"/>
      <c r="DNZ189" s="5"/>
      <c r="DOA189" s="5"/>
      <c r="DOB189" s="5"/>
      <c r="DOC189" s="5"/>
      <c r="DOD189" s="5"/>
      <c r="DOE189" s="5"/>
      <c r="DOF189" s="5"/>
      <c r="DOG189" s="5"/>
      <c r="DOH189" s="5"/>
      <c r="DOI189" s="5"/>
      <c r="DOJ189" s="5"/>
      <c r="DOK189" s="5"/>
      <c r="DOL189" s="5"/>
      <c r="DOM189" s="5"/>
      <c r="DON189" s="5"/>
      <c r="DOO189" s="5"/>
      <c r="DOP189" s="5"/>
      <c r="DOQ189" s="5"/>
      <c r="DOR189" s="5"/>
      <c r="DOS189" s="5"/>
      <c r="DOT189" s="5"/>
      <c r="DOU189" s="5"/>
      <c r="DOV189" s="5"/>
      <c r="DOW189" s="5"/>
      <c r="DOX189" s="5"/>
      <c r="DOY189" s="5"/>
      <c r="DOZ189" s="5"/>
      <c r="DPA189" s="5"/>
      <c r="DPB189" s="5"/>
      <c r="DPC189" s="5"/>
      <c r="DPD189" s="5"/>
      <c r="DPE189" s="5"/>
      <c r="DPF189" s="5"/>
      <c r="DPG189" s="5"/>
      <c r="DPH189" s="5"/>
      <c r="DPI189" s="5"/>
      <c r="DPJ189" s="5"/>
      <c r="DPK189" s="5"/>
      <c r="DPL189" s="5"/>
      <c r="DPM189" s="5"/>
      <c r="DPN189" s="5"/>
      <c r="DPO189" s="5"/>
      <c r="DPP189" s="5"/>
      <c r="DPQ189" s="5"/>
      <c r="DPR189" s="5"/>
      <c r="DPS189" s="5"/>
      <c r="DPT189" s="5"/>
      <c r="DPU189" s="5"/>
      <c r="DPV189" s="5"/>
      <c r="DPW189" s="5"/>
      <c r="DPX189" s="5"/>
      <c r="DPY189" s="5"/>
      <c r="DPZ189" s="5"/>
      <c r="DQA189" s="5"/>
      <c r="DQB189" s="5"/>
      <c r="DQC189" s="5"/>
      <c r="DQD189" s="5"/>
      <c r="DQE189" s="5"/>
      <c r="DQF189" s="5"/>
      <c r="DQG189" s="5"/>
      <c r="DQH189" s="5"/>
      <c r="DQI189" s="5"/>
      <c r="DQJ189" s="5"/>
      <c r="DQK189" s="5"/>
      <c r="DQL189" s="5"/>
      <c r="DQM189" s="5"/>
      <c r="DQN189" s="5"/>
      <c r="DQO189" s="5"/>
      <c r="DQP189" s="5"/>
      <c r="DQQ189" s="5"/>
      <c r="DQR189" s="5"/>
      <c r="DQS189" s="5"/>
      <c r="DQT189" s="5"/>
      <c r="DQU189" s="5"/>
      <c r="DQV189" s="5"/>
      <c r="DQW189" s="5"/>
      <c r="DQX189" s="5"/>
      <c r="DQY189" s="5"/>
      <c r="DQZ189" s="5"/>
      <c r="DRA189" s="5"/>
      <c r="DRB189" s="5"/>
      <c r="DRC189" s="5"/>
      <c r="DRD189" s="5"/>
      <c r="DRE189" s="5"/>
      <c r="DRF189" s="5"/>
      <c r="DRG189" s="5"/>
      <c r="DRH189" s="5"/>
      <c r="DRI189" s="5"/>
      <c r="DRJ189" s="5"/>
      <c r="DRK189" s="5"/>
      <c r="DRL189" s="5"/>
      <c r="DRM189" s="5"/>
      <c r="DRN189" s="5"/>
      <c r="DRO189" s="5"/>
      <c r="DRP189" s="5"/>
      <c r="DRQ189" s="5"/>
      <c r="DRR189" s="5"/>
      <c r="DRS189" s="5"/>
      <c r="DRT189" s="5"/>
      <c r="DRU189" s="5"/>
      <c r="DRV189" s="5"/>
      <c r="DRW189" s="5"/>
      <c r="DRX189" s="5"/>
      <c r="DRY189" s="5"/>
      <c r="DRZ189" s="5"/>
      <c r="DSA189" s="5"/>
      <c r="DSB189" s="5"/>
      <c r="DSC189" s="5"/>
      <c r="DSD189" s="5"/>
      <c r="DSE189" s="5"/>
      <c r="DSF189" s="5"/>
      <c r="DSG189" s="5"/>
      <c r="DSH189" s="5"/>
      <c r="DSI189" s="5"/>
      <c r="DSJ189" s="5"/>
      <c r="DSK189" s="5"/>
      <c r="DSL189" s="5"/>
      <c r="DSM189" s="5"/>
      <c r="DSN189" s="5"/>
      <c r="DSO189" s="5"/>
      <c r="DSP189" s="5"/>
      <c r="DSQ189" s="5"/>
      <c r="DSR189" s="5"/>
      <c r="DSS189" s="5"/>
      <c r="DST189" s="5"/>
      <c r="DSU189" s="5"/>
      <c r="DSV189" s="5"/>
      <c r="DSW189" s="5"/>
      <c r="DSX189" s="5"/>
      <c r="DSY189" s="5"/>
      <c r="DSZ189" s="5"/>
      <c r="DTA189" s="5"/>
      <c r="DTB189" s="5"/>
      <c r="DTC189" s="5"/>
      <c r="DTD189" s="5"/>
      <c r="DTE189" s="5"/>
      <c r="DTF189" s="5"/>
      <c r="DTG189" s="5"/>
      <c r="DTH189" s="5"/>
      <c r="DTI189" s="5"/>
      <c r="DTJ189" s="5"/>
      <c r="DTK189" s="5"/>
      <c r="DTL189" s="5"/>
      <c r="DTM189" s="5"/>
      <c r="DTN189" s="5"/>
      <c r="DTO189" s="5"/>
      <c r="DTP189" s="5"/>
      <c r="DTQ189" s="5"/>
      <c r="DTR189" s="5"/>
      <c r="DTS189" s="5"/>
      <c r="DTT189" s="5"/>
      <c r="DTU189" s="5"/>
      <c r="DTV189" s="5"/>
      <c r="DTW189" s="5"/>
      <c r="DTX189" s="5"/>
      <c r="DTY189" s="5"/>
      <c r="DTZ189" s="5"/>
      <c r="DUA189" s="5"/>
      <c r="DUB189" s="5"/>
      <c r="DUC189" s="5"/>
      <c r="DUD189" s="5"/>
      <c r="DUE189" s="5"/>
      <c r="DUF189" s="5"/>
      <c r="DUG189" s="5"/>
      <c r="DUH189" s="5"/>
      <c r="DUI189" s="5"/>
      <c r="DUJ189" s="5"/>
      <c r="DUK189" s="5"/>
      <c r="DUL189" s="5"/>
      <c r="DUM189" s="5"/>
      <c r="DUN189" s="5"/>
      <c r="DUO189" s="5"/>
      <c r="DUP189" s="5"/>
      <c r="DUQ189" s="5"/>
      <c r="DUR189" s="5"/>
      <c r="DUS189" s="5"/>
      <c r="DUT189" s="5"/>
      <c r="DUU189" s="5"/>
      <c r="DUV189" s="5"/>
      <c r="DUW189" s="5"/>
      <c r="DUX189" s="5"/>
      <c r="DUY189" s="5"/>
      <c r="DUZ189" s="5"/>
      <c r="DVA189" s="5"/>
      <c r="DVB189" s="5"/>
      <c r="DVC189" s="5"/>
      <c r="DVD189" s="5"/>
      <c r="DVE189" s="5"/>
      <c r="DVF189" s="5"/>
      <c r="DVG189" s="5"/>
      <c r="DVH189" s="5"/>
      <c r="DVI189" s="5"/>
      <c r="DVJ189" s="5"/>
      <c r="DVK189" s="5"/>
      <c r="DVL189" s="5"/>
      <c r="DVM189" s="5"/>
      <c r="DVN189" s="5"/>
      <c r="DVO189" s="5"/>
      <c r="DVP189" s="5"/>
      <c r="DVQ189" s="5"/>
      <c r="DVR189" s="5"/>
      <c r="DVS189" s="5"/>
      <c r="DVT189" s="5"/>
      <c r="DVU189" s="5"/>
      <c r="DVV189" s="5"/>
      <c r="DVW189" s="5"/>
      <c r="DVX189" s="5"/>
      <c r="DVY189" s="5"/>
      <c r="DVZ189" s="5"/>
      <c r="DWA189" s="5"/>
      <c r="DWB189" s="5"/>
      <c r="DWC189" s="5"/>
      <c r="DWD189" s="5"/>
      <c r="DWE189" s="5"/>
      <c r="DWF189" s="5"/>
      <c r="DWG189" s="5"/>
      <c r="DWH189" s="5"/>
      <c r="DWI189" s="5"/>
      <c r="DWJ189" s="5"/>
      <c r="DWK189" s="5"/>
      <c r="DWL189" s="5"/>
      <c r="DWM189" s="5"/>
      <c r="DWN189" s="5"/>
      <c r="DWO189" s="5"/>
      <c r="DWP189" s="5"/>
      <c r="DWQ189" s="5"/>
      <c r="DWR189" s="5"/>
      <c r="DWS189" s="5"/>
      <c r="DWT189" s="5"/>
      <c r="DWU189" s="5"/>
      <c r="DWV189" s="5"/>
      <c r="DWW189" s="5"/>
      <c r="DWX189" s="5"/>
      <c r="DWY189" s="5"/>
      <c r="DWZ189" s="5"/>
      <c r="DXA189" s="5"/>
      <c r="DXB189" s="5"/>
      <c r="DXC189" s="5"/>
      <c r="DXD189" s="5"/>
      <c r="DXE189" s="5"/>
      <c r="DXF189" s="5"/>
      <c r="DXG189" s="5"/>
      <c r="DXH189" s="5"/>
      <c r="DXI189" s="5"/>
      <c r="DXJ189" s="5"/>
      <c r="DXK189" s="5"/>
      <c r="DXL189" s="5"/>
      <c r="DXM189" s="5"/>
      <c r="DXN189" s="5"/>
      <c r="DXO189" s="5"/>
      <c r="DXP189" s="5"/>
      <c r="DXQ189" s="5"/>
      <c r="DXR189" s="5"/>
      <c r="DXS189" s="5"/>
      <c r="DXT189" s="5"/>
      <c r="DXU189" s="5"/>
      <c r="DXV189" s="5"/>
      <c r="DXW189" s="5"/>
      <c r="DXX189" s="5"/>
      <c r="DXY189" s="5"/>
      <c r="DXZ189" s="5"/>
      <c r="DYA189" s="5"/>
      <c r="DYB189" s="5"/>
      <c r="DYC189" s="5"/>
      <c r="DYD189" s="5"/>
      <c r="DYE189" s="5"/>
      <c r="DYF189" s="5"/>
      <c r="DYG189" s="5"/>
      <c r="DYH189" s="5"/>
      <c r="DYI189" s="5"/>
      <c r="DYJ189" s="5"/>
      <c r="DYK189" s="5"/>
      <c r="DYL189" s="5"/>
      <c r="DYM189" s="5"/>
      <c r="DYN189" s="5"/>
      <c r="DYO189" s="5"/>
      <c r="DYP189" s="5"/>
      <c r="DYQ189" s="5"/>
      <c r="DYR189" s="5"/>
      <c r="DYS189" s="5"/>
      <c r="DYT189" s="5"/>
      <c r="DYU189" s="5"/>
      <c r="DYV189" s="5"/>
      <c r="DYW189" s="5"/>
      <c r="DYX189" s="5"/>
      <c r="DYY189" s="5"/>
      <c r="DYZ189" s="5"/>
      <c r="DZA189" s="5"/>
      <c r="DZB189" s="5"/>
      <c r="DZC189" s="5"/>
      <c r="DZD189" s="5"/>
      <c r="DZE189" s="5"/>
      <c r="DZF189" s="5"/>
      <c r="DZG189" s="5"/>
      <c r="DZH189" s="5"/>
      <c r="DZI189" s="5"/>
      <c r="DZJ189" s="5"/>
      <c r="DZK189" s="5"/>
      <c r="DZL189" s="5"/>
      <c r="DZM189" s="5"/>
      <c r="DZN189" s="5"/>
      <c r="DZO189" s="5"/>
      <c r="DZP189" s="5"/>
      <c r="DZQ189" s="5"/>
      <c r="DZR189" s="5"/>
      <c r="DZS189" s="5"/>
      <c r="DZT189" s="5"/>
      <c r="DZU189" s="5"/>
      <c r="DZV189" s="5"/>
      <c r="DZW189" s="5"/>
      <c r="DZX189" s="5"/>
      <c r="DZY189" s="5"/>
      <c r="DZZ189" s="5"/>
      <c r="EAA189" s="5"/>
      <c r="EAB189" s="5"/>
      <c r="EAC189" s="5"/>
      <c r="EAD189" s="5"/>
      <c r="EAE189" s="5"/>
      <c r="EAF189" s="5"/>
      <c r="EAG189" s="5"/>
      <c r="EAH189" s="5"/>
      <c r="EAI189" s="5"/>
      <c r="EAJ189" s="5"/>
      <c r="EAK189" s="5"/>
      <c r="EAL189" s="5"/>
      <c r="EAM189" s="5"/>
      <c r="EAN189" s="5"/>
      <c r="EAO189" s="5"/>
      <c r="EAP189" s="5"/>
      <c r="EAQ189" s="5"/>
      <c r="EAR189" s="5"/>
      <c r="EAS189" s="5"/>
      <c r="EAT189" s="5"/>
      <c r="EAU189" s="5"/>
      <c r="EAV189" s="5"/>
      <c r="EAW189" s="5"/>
      <c r="EAX189" s="5"/>
      <c r="EAY189" s="5"/>
      <c r="EAZ189" s="5"/>
      <c r="EBA189" s="5"/>
      <c r="EBB189" s="5"/>
      <c r="EBC189" s="5"/>
      <c r="EBD189" s="5"/>
      <c r="EBE189" s="5"/>
      <c r="EBF189" s="5"/>
      <c r="EBG189" s="5"/>
      <c r="EBH189" s="5"/>
      <c r="EBI189" s="5"/>
      <c r="EBJ189" s="5"/>
      <c r="EBK189" s="5"/>
      <c r="EBL189" s="5"/>
      <c r="EBM189" s="5"/>
      <c r="EBN189" s="5"/>
      <c r="EBO189" s="5"/>
      <c r="EBP189" s="5"/>
      <c r="EBQ189" s="5"/>
      <c r="EBR189" s="5"/>
      <c r="EBS189" s="5"/>
      <c r="EBT189" s="5"/>
      <c r="EBU189" s="5"/>
      <c r="EBV189" s="5"/>
      <c r="EBW189" s="5"/>
      <c r="EBX189" s="5"/>
      <c r="EBY189" s="5"/>
      <c r="EBZ189" s="5"/>
      <c r="ECA189" s="5"/>
      <c r="ECB189" s="5"/>
      <c r="ECC189" s="5"/>
      <c r="ECD189" s="5"/>
      <c r="ECE189" s="5"/>
      <c r="ECF189" s="5"/>
      <c r="ECG189" s="5"/>
      <c r="ECH189" s="5"/>
      <c r="ECI189" s="5"/>
      <c r="ECJ189" s="5"/>
      <c r="ECK189" s="5"/>
      <c r="ECL189" s="5"/>
      <c r="ECM189" s="5"/>
      <c r="ECN189" s="5"/>
      <c r="ECO189" s="5"/>
      <c r="ECP189" s="5"/>
      <c r="ECQ189" s="5"/>
      <c r="ECR189" s="5"/>
      <c r="ECS189" s="5"/>
      <c r="ECT189" s="5"/>
      <c r="ECU189" s="5"/>
      <c r="ECV189" s="5"/>
      <c r="ECW189" s="5"/>
      <c r="ECX189" s="5"/>
      <c r="ECY189" s="5"/>
      <c r="ECZ189" s="5"/>
      <c r="EDA189" s="5"/>
      <c r="EDB189" s="5"/>
      <c r="EDC189" s="5"/>
      <c r="EDD189" s="5"/>
      <c r="EDE189" s="5"/>
      <c r="EDF189" s="5"/>
      <c r="EDG189" s="5"/>
      <c r="EDH189" s="5"/>
      <c r="EDI189" s="5"/>
      <c r="EDJ189" s="5"/>
      <c r="EDK189" s="5"/>
      <c r="EDL189" s="5"/>
      <c r="EDM189" s="5"/>
      <c r="EDN189" s="5"/>
      <c r="EDO189" s="5"/>
      <c r="EDP189" s="5"/>
      <c r="EDQ189" s="5"/>
      <c r="EDR189" s="5"/>
      <c r="EDS189" s="5"/>
      <c r="EDT189" s="5"/>
      <c r="EDU189" s="5"/>
      <c r="EDV189" s="5"/>
      <c r="EDW189" s="5"/>
      <c r="EDX189" s="5"/>
      <c r="EDY189" s="5"/>
      <c r="EDZ189" s="5"/>
      <c r="EEA189" s="5"/>
      <c r="EEB189" s="5"/>
      <c r="EEC189" s="5"/>
      <c r="EED189" s="5"/>
      <c r="EEE189" s="5"/>
      <c r="EEF189" s="5"/>
      <c r="EEG189" s="5"/>
      <c r="EEH189" s="5"/>
      <c r="EEI189" s="5"/>
      <c r="EEJ189" s="5"/>
      <c r="EEK189" s="5"/>
      <c r="EEL189" s="5"/>
      <c r="EEM189" s="5"/>
      <c r="EEN189" s="5"/>
      <c r="EEO189" s="5"/>
      <c r="EEP189" s="5"/>
      <c r="EEQ189" s="5"/>
      <c r="EER189" s="5"/>
      <c r="EES189" s="5"/>
      <c r="EET189" s="5"/>
      <c r="EEU189" s="5"/>
      <c r="EEV189" s="5"/>
      <c r="EEW189" s="5"/>
      <c r="EEX189" s="5"/>
      <c r="EEY189" s="5"/>
      <c r="EEZ189" s="5"/>
      <c r="EFA189" s="5"/>
      <c r="EFB189" s="5"/>
      <c r="EFC189" s="5"/>
      <c r="EFD189" s="5"/>
      <c r="EFE189" s="5"/>
      <c r="EFF189" s="5"/>
      <c r="EFG189" s="5"/>
      <c r="EFH189" s="5"/>
      <c r="EFI189" s="5"/>
      <c r="EFJ189" s="5"/>
      <c r="EFK189" s="5"/>
      <c r="EFL189" s="5"/>
      <c r="EFM189" s="5"/>
      <c r="EFN189" s="5"/>
      <c r="EFO189" s="5"/>
      <c r="EFP189" s="5"/>
      <c r="EFQ189" s="5"/>
      <c r="EFR189" s="5"/>
      <c r="EFS189" s="5"/>
      <c r="EFT189" s="5"/>
      <c r="EFU189" s="5"/>
      <c r="EFV189" s="5"/>
      <c r="EFW189" s="5"/>
      <c r="EFX189" s="5"/>
      <c r="EFY189" s="5"/>
      <c r="EFZ189" s="5"/>
      <c r="EGA189" s="5"/>
      <c r="EGB189" s="5"/>
      <c r="EGC189" s="5"/>
      <c r="EGD189" s="5"/>
      <c r="EGE189" s="5"/>
      <c r="EGF189" s="5"/>
      <c r="EGG189" s="5"/>
      <c r="EGH189" s="5"/>
      <c r="EGI189" s="5"/>
      <c r="EGJ189" s="5"/>
      <c r="EGK189" s="5"/>
      <c r="EGL189" s="5"/>
      <c r="EGM189" s="5"/>
      <c r="EGN189" s="5"/>
      <c r="EGO189" s="5"/>
      <c r="EGP189" s="5"/>
      <c r="EGQ189" s="5"/>
      <c r="EGR189" s="5"/>
      <c r="EGS189" s="5"/>
      <c r="EGT189" s="5"/>
      <c r="EGU189" s="5"/>
      <c r="EGV189" s="5"/>
      <c r="EGW189" s="5"/>
      <c r="EGX189" s="5"/>
      <c r="EGY189" s="5"/>
      <c r="EGZ189" s="5"/>
      <c r="EHA189" s="5"/>
      <c r="EHB189" s="5"/>
      <c r="EHC189" s="5"/>
      <c r="EHD189" s="5"/>
      <c r="EHE189" s="5"/>
      <c r="EHF189" s="5"/>
      <c r="EHG189" s="5"/>
      <c r="EHH189" s="5"/>
      <c r="EHI189" s="5"/>
      <c r="EHJ189" s="5"/>
      <c r="EHK189" s="5"/>
      <c r="EHL189" s="5"/>
      <c r="EHM189" s="5"/>
      <c r="EHN189" s="5"/>
      <c r="EHO189" s="5"/>
      <c r="EHP189" s="5"/>
      <c r="EHQ189" s="5"/>
      <c r="EHR189" s="5"/>
      <c r="EHS189" s="5"/>
      <c r="EHT189" s="5"/>
      <c r="EHU189" s="5"/>
      <c r="EHV189" s="5"/>
      <c r="EHW189" s="5"/>
      <c r="EHX189" s="5"/>
      <c r="EHY189" s="5"/>
      <c r="EHZ189" s="5"/>
      <c r="EIA189" s="5"/>
      <c r="EIB189" s="5"/>
      <c r="EIC189" s="5"/>
      <c r="EID189" s="5"/>
      <c r="EIE189" s="5"/>
      <c r="EIF189" s="5"/>
      <c r="EIG189" s="5"/>
      <c r="EIH189" s="5"/>
      <c r="EII189" s="5"/>
      <c r="EIJ189" s="5"/>
      <c r="EIK189" s="5"/>
      <c r="EIL189" s="5"/>
      <c r="EIM189" s="5"/>
      <c r="EIN189" s="5"/>
      <c r="EIO189" s="5"/>
      <c r="EIP189" s="5"/>
      <c r="EIQ189" s="5"/>
      <c r="EIR189" s="5"/>
      <c r="EIS189" s="5"/>
      <c r="EIT189" s="5"/>
      <c r="EIU189" s="5"/>
      <c r="EIV189" s="5"/>
      <c r="EIW189" s="5"/>
      <c r="EIX189" s="5"/>
      <c r="EIY189" s="5"/>
      <c r="EIZ189" s="5"/>
      <c r="EJA189" s="5"/>
      <c r="EJB189" s="5"/>
      <c r="EJC189" s="5"/>
      <c r="EJD189" s="5"/>
      <c r="EJE189" s="5"/>
      <c r="EJF189" s="5"/>
      <c r="EJG189" s="5"/>
      <c r="EJH189" s="5"/>
      <c r="EJI189" s="5"/>
      <c r="EJJ189" s="5"/>
      <c r="EJK189" s="5"/>
      <c r="EJL189" s="5"/>
      <c r="EJM189" s="5"/>
      <c r="EJN189" s="5"/>
      <c r="EJO189" s="5"/>
      <c r="EJP189" s="5"/>
      <c r="EJQ189" s="5"/>
      <c r="EJR189" s="5"/>
      <c r="EJS189" s="5"/>
      <c r="EJT189" s="5"/>
      <c r="EJU189" s="5"/>
      <c r="EJV189" s="5"/>
      <c r="EJW189" s="5"/>
      <c r="EJX189" s="5"/>
      <c r="EJY189" s="5"/>
      <c r="EJZ189" s="5"/>
      <c r="EKA189" s="5"/>
      <c r="EKB189" s="5"/>
      <c r="EKC189" s="5"/>
      <c r="EKD189" s="5"/>
      <c r="EKE189" s="5"/>
      <c r="EKF189" s="5"/>
      <c r="EKG189" s="5"/>
      <c r="EKH189" s="5"/>
      <c r="EKI189" s="5"/>
      <c r="EKJ189" s="5"/>
      <c r="EKK189" s="5"/>
      <c r="EKL189" s="5"/>
      <c r="EKM189" s="5"/>
      <c r="EKN189" s="5"/>
      <c r="EKO189" s="5"/>
      <c r="EKP189" s="5"/>
      <c r="EKQ189" s="5"/>
      <c r="EKR189" s="5"/>
      <c r="EKS189" s="5"/>
      <c r="EKT189" s="5"/>
      <c r="EKU189" s="5"/>
      <c r="EKV189" s="5"/>
      <c r="EKW189" s="5"/>
      <c r="EKX189" s="5"/>
      <c r="EKY189" s="5"/>
      <c r="EKZ189" s="5"/>
      <c r="ELA189" s="5"/>
      <c r="ELB189" s="5"/>
      <c r="ELC189" s="5"/>
      <c r="ELD189" s="5"/>
      <c r="ELE189" s="5"/>
      <c r="ELF189" s="5"/>
      <c r="ELG189" s="5"/>
      <c r="ELH189" s="5"/>
      <c r="ELI189" s="5"/>
      <c r="ELJ189" s="5"/>
      <c r="ELK189" s="5"/>
      <c r="ELL189" s="5"/>
      <c r="ELM189" s="5"/>
      <c r="ELN189" s="5"/>
      <c r="ELO189" s="5"/>
      <c r="ELP189" s="5"/>
      <c r="ELQ189" s="5"/>
      <c r="ELR189" s="5"/>
      <c r="ELS189" s="5"/>
      <c r="ELT189" s="5"/>
      <c r="ELU189" s="5"/>
      <c r="ELV189" s="5"/>
      <c r="ELW189" s="5"/>
      <c r="ELX189" s="5"/>
      <c r="ELY189" s="5"/>
      <c r="ELZ189" s="5"/>
      <c r="EMA189" s="5"/>
      <c r="EMB189" s="5"/>
      <c r="EMC189" s="5"/>
      <c r="EMD189" s="5"/>
      <c r="EME189" s="5"/>
      <c r="EMF189" s="5"/>
      <c r="EMG189" s="5"/>
      <c r="EMH189" s="5"/>
      <c r="EMI189" s="5"/>
      <c r="EMJ189" s="5"/>
      <c r="EMK189" s="5"/>
      <c r="EML189" s="5"/>
      <c r="EMM189" s="5"/>
      <c r="EMN189" s="5"/>
      <c r="EMO189" s="5"/>
      <c r="EMP189" s="5"/>
      <c r="EMQ189" s="5"/>
      <c r="EMR189" s="5"/>
      <c r="EMS189" s="5"/>
      <c r="EMT189" s="5"/>
      <c r="EMU189" s="5"/>
      <c r="EMV189" s="5"/>
      <c r="EMW189" s="5"/>
      <c r="EMX189" s="5"/>
      <c r="EMY189" s="5"/>
      <c r="EMZ189" s="5"/>
      <c r="ENA189" s="5"/>
      <c r="ENB189" s="5"/>
      <c r="ENC189" s="5"/>
      <c r="END189" s="5"/>
      <c r="ENE189" s="5"/>
      <c r="ENF189" s="5"/>
      <c r="ENG189" s="5"/>
      <c r="ENH189" s="5"/>
      <c r="ENI189" s="5"/>
      <c r="ENJ189" s="5"/>
      <c r="ENK189" s="5"/>
      <c r="ENL189" s="5"/>
      <c r="ENM189" s="5"/>
      <c r="ENN189" s="5"/>
      <c r="ENO189" s="5"/>
      <c r="ENP189" s="5"/>
      <c r="ENQ189" s="5"/>
      <c r="ENR189" s="5"/>
      <c r="ENS189" s="5"/>
      <c r="ENT189" s="5"/>
      <c r="ENU189" s="5"/>
      <c r="ENV189" s="5"/>
      <c r="ENW189" s="5"/>
      <c r="ENX189" s="5"/>
      <c r="ENY189" s="5"/>
      <c r="ENZ189" s="5"/>
      <c r="EOA189" s="5"/>
      <c r="EOB189" s="5"/>
      <c r="EOC189" s="5"/>
      <c r="EOD189" s="5"/>
      <c r="EOE189" s="5"/>
      <c r="EOF189" s="5"/>
      <c r="EOG189" s="5"/>
      <c r="EOH189" s="5"/>
      <c r="EOI189" s="5"/>
      <c r="EOJ189" s="5"/>
      <c r="EOK189" s="5"/>
      <c r="EOL189" s="5"/>
      <c r="EOM189" s="5"/>
      <c r="EON189" s="5"/>
      <c r="EOO189" s="5"/>
      <c r="EOP189" s="5"/>
      <c r="EOQ189" s="5"/>
      <c r="EOR189" s="5"/>
      <c r="EOS189" s="5"/>
      <c r="EOT189" s="5"/>
      <c r="EOU189" s="5"/>
      <c r="EOV189" s="5"/>
      <c r="EOW189" s="5"/>
      <c r="EOX189" s="5"/>
      <c r="EOY189" s="5"/>
      <c r="EOZ189" s="5"/>
      <c r="EPA189" s="5"/>
      <c r="EPB189" s="5"/>
      <c r="EPC189" s="5"/>
      <c r="EPD189" s="5"/>
      <c r="EPE189" s="5"/>
      <c r="EPF189" s="5"/>
      <c r="EPG189" s="5"/>
      <c r="EPH189" s="5"/>
      <c r="EPI189" s="5"/>
      <c r="EPJ189" s="5"/>
      <c r="EPK189" s="5"/>
      <c r="EPL189" s="5"/>
      <c r="EPM189" s="5"/>
      <c r="EPN189" s="5"/>
      <c r="EPO189" s="5"/>
      <c r="EPP189" s="5"/>
      <c r="EPQ189" s="5"/>
      <c r="EPR189" s="5"/>
      <c r="EPS189" s="5"/>
      <c r="EPT189" s="5"/>
      <c r="EPU189" s="5"/>
      <c r="EPV189" s="5"/>
      <c r="EPW189" s="5"/>
      <c r="EPX189" s="5"/>
      <c r="EPY189" s="5"/>
      <c r="EPZ189" s="5"/>
      <c r="EQA189" s="5"/>
      <c r="EQB189" s="5"/>
      <c r="EQC189" s="5"/>
      <c r="EQD189" s="5"/>
      <c r="EQE189" s="5"/>
      <c r="EQF189" s="5"/>
      <c r="EQG189" s="5"/>
      <c r="EQH189" s="5"/>
      <c r="EQI189" s="5"/>
      <c r="EQJ189" s="5"/>
      <c r="EQK189" s="5"/>
      <c r="EQL189" s="5"/>
      <c r="EQM189" s="5"/>
      <c r="EQN189" s="5"/>
      <c r="EQO189" s="5"/>
      <c r="EQP189" s="5"/>
      <c r="EQQ189" s="5"/>
      <c r="EQR189" s="5"/>
      <c r="EQS189" s="5"/>
      <c r="EQT189" s="5"/>
      <c r="EQU189" s="5"/>
      <c r="EQV189" s="5"/>
      <c r="EQW189" s="5"/>
      <c r="EQX189" s="5"/>
      <c r="EQY189" s="5"/>
      <c r="EQZ189" s="5"/>
      <c r="ERA189" s="5"/>
      <c r="ERB189" s="5"/>
      <c r="ERC189" s="5"/>
      <c r="ERD189" s="5"/>
      <c r="ERE189" s="5"/>
      <c r="ERF189" s="5"/>
      <c r="ERG189" s="5"/>
      <c r="ERH189" s="5"/>
      <c r="ERI189" s="5"/>
      <c r="ERJ189" s="5"/>
      <c r="ERK189" s="5"/>
      <c r="ERL189" s="5"/>
      <c r="ERM189" s="5"/>
      <c r="ERN189" s="5"/>
      <c r="ERO189" s="5"/>
      <c r="ERP189" s="5"/>
      <c r="ERQ189" s="5"/>
      <c r="ERR189" s="5"/>
      <c r="ERS189" s="5"/>
      <c r="ERT189" s="5"/>
      <c r="ERU189" s="5"/>
      <c r="ERV189" s="5"/>
      <c r="ERW189" s="5"/>
      <c r="ERX189" s="5"/>
      <c r="ERY189" s="5"/>
      <c r="ERZ189" s="5"/>
      <c r="ESA189" s="5"/>
      <c r="ESB189" s="5"/>
      <c r="ESC189" s="5"/>
      <c r="ESD189" s="5"/>
      <c r="ESE189" s="5"/>
      <c r="ESF189" s="5"/>
      <c r="ESG189" s="5"/>
      <c r="ESH189" s="5"/>
      <c r="ESI189" s="5"/>
      <c r="ESJ189" s="5"/>
      <c r="ESK189" s="5"/>
      <c r="ESL189" s="5"/>
      <c r="ESM189" s="5"/>
      <c r="ESN189" s="5"/>
      <c r="ESO189" s="5"/>
      <c r="ESP189" s="5"/>
      <c r="ESQ189" s="5"/>
      <c r="ESR189" s="5"/>
      <c r="ESS189" s="5"/>
      <c r="EST189" s="5"/>
      <c r="ESU189" s="5"/>
      <c r="ESV189" s="5"/>
      <c r="ESW189" s="5"/>
      <c r="ESX189" s="5"/>
      <c r="ESY189" s="5"/>
      <c r="ESZ189" s="5"/>
      <c r="ETA189" s="5"/>
      <c r="ETB189" s="5"/>
      <c r="ETC189" s="5"/>
      <c r="ETD189" s="5"/>
      <c r="ETE189" s="5"/>
      <c r="ETF189" s="5"/>
      <c r="ETG189" s="5"/>
      <c r="ETH189" s="5"/>
      <c r="ETI189" s="5"/>
      <c r="ETJ189" s="5"/>
      <c r="ETK189" s="5"/>
      <c r="ETL189" s="5"/>
      <c r="ETM189" s="5"/>
      <c r="ETN189" s="5"/>
      <c r="ETO189" s="5"/>
      <c r="ETP189" s="5"/>
      <c r="ETQ189" s="5"/>
      <c r="ETR189" s="5"/>
      <c r="ETS189" s="5"/>
      <c r="ETT189" s="5"/>
      <c r="ETU189" s="5"/>
      <c r="ETV189" s="5"/>
      <c r="ETW189" s="5"/>
      <c r="ETX189" s="5"/>
      <c r="ETY189" s="5"/>
      <c r="ETZ189" s="5"/>
      <c r="EUA189" s="5"/>
      <c r="EUB189" s="5"/>
      <c r="EUC189" s="5"/>
      <c r="EUD189" s="5"/>
      <c r="EUE189" s="5"/>
      <c r="EUF189" s="5"/>
      <c r="EUG189" s="5"/>
      <c r="EUH189" s="5"/>
      <c r="EUI189" s="5"/>
      <c r="EUJ189" s="5"/>
      <c r="EUK189" s="5"/>
      <c r="EUL189" s="5"/>
      <c r="EUM189" s="5"/>
      <c r="EUN189" s="5"/>
      <c r="EUO189" s="5"/>
      <c r="EUP189" s="5"/>
      <c r="EUQ189" s="5"/>
      <c r="EUR189" s="5"/>
      <c r="EUS189" s="5"/>
      <c r="EUT189" s="5"/>
      <c r="EUU189" s="5"/>
      <c r="EUV189" s="5"/>
      <c r="EUW189" s="5"/>
      <c r="EUX189" s="5"/>
      <c r="EUY189" s="5"/>
      <c r="EUZ189" s="5"/>
      <c r="EVA189" s="5"/>
      <c r="EVB189" s="5"/>
      <c r="EVC189" s="5"/>
      <c r="EVD189" s="5"/>
      <c r="EVE189" s="5"/>
      <c r="EVF189" s="5"/>
      <c r="EVG189" s="5"/>
      <c r="EVH189" s="5"/>
      <c r="EVI189" s="5"/>
      <c r="EVJ189" s="5"/>
      <c r="EVK189" s="5"/>
      <c r="EVL189" s="5"/>
      <c r="EVM189" s="5"/>
      <c r="EVN189" s="5"/>
      <c r="EVO189" s="5"/>
      <c r="EVP189" s="5"/>
      <c r="EVQ189" s="5"/>
      <c r="EVR189" s="5"/>
      <c r="EVS189" s="5"/>
      <c r="EVT189" s="5"/>
      <c r="EVU189" s="5"/>
      <c r="EVV189" s="5"/>
      <c r="EVW189" s="5"/>
      <c r="EVX189" s="5"/>
      <c r="EVY189" s="5"/>
      <c r="EVZ189" s="5"/>
      <c r="EWA189" s="5"/>
      <c r="EWB189" s="5"/>
      <c r="EWC189" s="5"/>
      <c r="EWD189" s="5"/>
      <c r="EWE189" s="5"/>
      <c r="EWF189" s="5"/>
      <c r="EWG189" s="5"/>
      <c r="EWH189" s="5"/>
      <c r="EWI189" s="5"/>
      <c r="EWJ189" s="5"/>
      <c r="EWK189" s="5"/>
      <c r="EWL189" s="5"/>
      <c r="EWM189" s="5"/>
      <c r="EWN189" s="5"/>
      <c r="EWO189" s="5"/>
      <c r="EWP189" s="5"/>
      <c r="EWQ189" s="5"/>
      <c r="EWR189" s="5"/>
      <c r="EWS189" s="5"/>
      <c r="EWT189" s="5"/>
      <c r="EWU189" s="5"/>
      <c r="EWV189" s="5"/>
      <c r="EWW189" s="5"/>
      <c r="EWX189" s="5"/>
      <c r="EWY189" s="5"/>
      <c r="EWZ189" s="5"/>
      <c r="EXA189" s="5"/>
      <c r="EXB189" s="5"/>
      <c r="EXC189" s="5"/>
      <c r="EXD189" s="5"/>
      <c r="EXE189" s="5"/>
      <c r="EXF189" s="5"/>
      <c r="EXG189" s="5"/>
      <c r="EXH189" s="5"/>
      <c r="EXI189" s="5"/>
      <c r="EXJ189" s="5"/>
      <c r="EXK189" s="5"/>
      <c r="EXL189" s="5"/>
      <c r="EXM189" s="5"/>
      <c r="EXN189" s="5"/>
      <c r="EXO189" s="5"/>
      <c r="EXP189" s="5"/>
      <c r="EXQ189" s="5"/>
      <c r="EXR189" s="5"/>
      <c r="EXS189" s="5"/>
      <c r="EXT189" s="5"/>
      <c r="EXU189" s="5"/>
      <c r="EXV189" s="5"/>
      <c r="EXW189" s="5"/>
      <c r="EXX189" s="5"/>
      <c r="EXY189" s="5"/>
      <c r="EXZ189" s="5"/>
      <c r="EYA189" s="5"/>
      <c r="EYB189" s="5"/>
      <c r="EYC189" s="5"/>
      <c r="EYD189" s="5"/>
      <c r="EYE189" s="5"/>
      <c r="EYF189" s="5"/>
      <c r="EYG189" s="5"/>
      <c r="EYH189" s="5"/>
      <c r="EYI189" s="5"/>
      <c r="EYJ189" s="5"/>
      <c r="EYK189" s="5"/>
      <c r="EYL189" s="5"/>
      <c r="EYM189" s="5"/>
      <c r="EYN189" s="5"/>
      <c r="EYO189" s="5"/>
      <c r="EYP189" s="5"/>
      <c r="EYQ189" s="5"/>
      <c r="EYR189" s="5"/>
      <c r="EYS189" s="5"/>
      <c r="EYT189" s="5"/>
      <c r="EYU189" s="5"/>
      <c r="EYV189" s="5"/>
      <c r="EYW189" s="5"/>
      <c r="EYX189" s="5"/>
      <c r="EYY189" s="5"/>
      <c r="EYZ189" s="5"/>
      <c r="EZA189" s="5"/>
      <c r="EZB189" s="5"/>
      <c r="EZC189" s="5"/>
      <c r="EZD189" s="5"/>
      <c r="EZE189" s="5"/>
      <c r="EZF189" s="5"/>
      <c r="EZG189" s="5"/>
      <c r="EZH189" s="5"/>
      <c r="EZI189" s="5"/>
      <c r="EZJ189" s="5"/>
      <c r="EZK189" s="5"/>
      <c r="EZL189" s="5"/>
      <c r="EZM189" s="5"/>
      <c r="EZN189" s="5"/>
      <c r="EZO189" s="5"/>
      <c r="EZP189" s="5"/>
      <c r="EZQ189" s="5"/>
      <c r="EZR189" s="5"/>
      <c r="EZS189" s="5"/>
      <c r="EZT189" s="5"/>
      <c r="EZU189" s="5"/>
      <c r="EZV189" s="5"/>
      <c r="EZW189" s="5"/>
      <c r="EZX189" s="5"/>
      <c r="EZY189" s="5"/>
      <c r="EZZ189" s="5"/>
      <c r="FAA189" s="5"/>
      <c r="FAB189" s="5"/>
      <c r="FAC189" s="5"/>
      <c r="FAD189" s="5"/>
      <c r="FAE189" s="5"/>
      <c r="FAF189" s="5"/>
      <c r="FAG189" s="5"/>
      <c r="FAH189" s="5"/>
      <c r="FAI189" s="5"/>
      <c r="FAJ189" s="5"/>
      <c r="FAK189" s="5"/>
      <c r="FAL189" s="5"/>
      <c r="FAM189" s="5"/>
      <c r="FAN189" s="5"/>
      <c r="FAO189" s="5"/>
      <c r="FAP189" s="5"/>
      <c r="FAQ189" s="5"/>
      <c r="FAR189" s="5"/>
      <c r="FAS189" s="5"/>
      <c r="FAT189" s="5"/>
      <c r="FAU189" s="5"/>
      <c r="FAV189" s="5"/>
      <c r="FAW189" s="5"/>
      <c r="FAX189" s="5"/>
      <c r="FAY189" s="5"/>
      <c r="FAZ189" s="5"/>
      <c r="FBA189" s="5"/>
      <c r="FBB189" s="5"/>
      <c r="FBC189" s="5"/>
      <c r="FBD189" s="5"/>
      <c r="FBE189" s="5"/>
      <c r="FBF189" s="5"/>
      <c r="FBG189" s="5"/>
      <c r="FBH189" s="5"/>
      <c r="FBI189" s="5"/>
      <c r="FBJ189" s="5"/>
      <c r="FBK189" s="5"/>
      <c r="FBL189" s="5"/>
      <c r="FBM189" s="5"/>
      <c r="FBN189" s="5"/>
      <c r="FBO189" s="5"/>
      <c r="FBP189" s="5"/>
      <c r="FBQ189" s="5"/>
      <c r="FBR189" s="5"/>
      <c r="FBS189" s="5"/>
      <c r="FBT189" s="5"/>
      <c r="FBU189" s="5"/>
      <c r="FBV189" s="5"/>
      <c r="FBW189" s="5"/>
      <c r="FBX189" s="5"/>
      <c r="FBY189" s="5"/>
      <c r="FBZ189" s="5"/>
      <c r="FCA189" s="5"/>
      <c r="FCB189" s="5"/>
      <c r="FCC189" s="5"/>
      <c r="FCD189" s="5"/>
      <c r="FCE189" s="5"/>
      <c r="FCF189" s="5"/>
      <c r="FCG189" s="5"/>
      <c r="FCH189" s="5"/>
      <c r="FCI189" s="5"/>
      <c r="FCJ189" s="5"/>
      <c r="FCK189" s="5"/>
      <c r="FCL189" s="5"/>
      <c r="FCM189" s="5"/>
      <c r="FCN189" s="5"/>
      <c r="FCO189" s="5"/>
      <c r="FCP189" s="5"/>
      <c r="FCQ189" s="5"/>
      <c r="FCR189" s="5"/>
      <c r="FCS189" s="5"/>
      <c r="FCT189" s="5"/>
      <c r="FCU189" s="5"/>
      <c r="FCV189" s="5"/>
      <c r="FCW189" s="5"/>
      <c r="FCX189" s="5"/>
      <c r="FCY189" s="5"/>
      <c r="FCZ189" s="5"/>
      <c r="FDA189" s="5"/>
      <c r="FDB189" s="5"/>
      <c r="FDC189" s="5"/>
      <c r="FDD189" s="5"/>
      <c r="FDE189" s="5"/>
      <c r="FDF189" s="5"/>
      <c r="FDG189" s="5"/>
      <c r="FDH189" s="5"/>
      <c r="FDI189" s="5"/>
      <c r="FDJ189" s="5"/>
      <c r="FDK189" s="5"/>
      <c r="FDL189" s="5"/>
      <c r="FDM189" s="5"/>
      <c r="FDN189" s="5"/>
      <c r="FDO189" s="5"/>
      <c r="FDP189" s="5"/>
      <c r="FDQ189" s="5"/>
      <c r="FDR189" s="5"/>
      <c r="FDS189" s="5"/>
      <c r="FDT189" s="5"/>
      <c r="FDU189" s="5"/>
      <c r="FDV189" s="5"/>
      <c r="FDW189" s="5"/>
      <c r="FDX189" s="5"/>
      <c r="FDY189" s="5"/>
      <c r="FDZ189" s="5"/>
      <c r="FEA189" s="5"/>
      <c r="FEB189" s="5"/>
      <c r="FEC189" s="5"/>
      <c r="FED189" s="5"/>
      <c r="FEE189" s="5"/>
      <c r="FEF189" s="5"/>
      <c r="FEG189" s="5"/>
      <c r="FEH189" s="5"/>
      <c r="FEI189" s="5"/>
      <c r="FEJ189" s="5"/>
      <c r="FEK189" s="5"/>
      <c r="FEL189" s="5"/>
      <c r="FEM189" s="5"/>
      <c r="FEN189" s="5"/>
      <c r="FEO189" s="5"/>
      <c r="FEP189" s="5"/>
      <c r="FEQ189" s="5"/>
      <c r="FER189" s="5"/>
      <c r="FES189" s="5"/>
      <c r="FET189" s="5"/>
      <c r="FEU189" s="5"/>
      <c r="FEV189" s="5"/>
      <c r="FEW189" s="5"/>
      <c r="FEX189" s="5"/>
      <c r="FEY189" s="5"/>
      <c r="FEZ189" s="5"/>
      <c r="FFA189" s="5"/>
      <c r="FFB189" s="5"/>
      <c r="FFC189" s="5"/>
      <c r="FFD189" s="5"/>
      <c r="FFE189" s="5"/>
      <c r="FFF189" s="5"/>
      <c r="FFG189" s="5"/>
      <c r="FFH189" s="5"/>
      <c r="FFI189" s="5"/>
      <c r="FFJ189" s="5"/>
      <c r="FFK189" s="5"/>
      <c r="FFL189" s="5"/>
      <c r="FFM189" s="5"/>
      <c r="FFN189" s="5"/>
      <c r="FFO189" s="5"/>
      <c r="FFP189" s="5"/>
      <c r="FFQ189" s="5"/>
      <c r="FFR189" s="5"/>
      <c r="FFS189" s="5"/>
      <c r="FFT189" s="5"/>
      <c r="FFU189" s="5"/>
      <c r="FFV189" s="5"/>
      <c r="FFW189" s="5"/>
      <c r="FFX189" s="5"/>
      <c r="FFY189" s="5"/>
      <c r="FFZ189" s="5"/>
      <c r="FGA189" s="5"/>
      <c r="FGB189" s="5"/>
      <c r="FGC189" s="5"/>
      <c r="FGD189" s="5"/>
      <c r="FGE189" s="5"/>
      <c r="FGF189" s="5"/>
      <c r="FGG189" s="5"/>
      <c r="FGH189" s="5"/>
      <c r="FGI189" s="5"/>
      <c r="FGJ189" s="5"/>
      <c r="FGK189" s="5"/>
      <c r="FGL189" s="5"/>
      <c r="FGM189" s="5"/>
      <c r="FGN189" s="5"/>
      <c r="FGO189" s="5"/>
      <c r="FGP189" s="5"/>
      <c r="FGQ189" s="5"/>
      <c r="FGR189" s="5"/>
      <c r="FGS189" s="5"/>
      <c r="FGT189" s="5"/>
      <c r="FGU189" s="5"/>
      <c r="FGV189" s="5"/>
      <c r="FGW189" s="5"/>
      <c r="FGX189" s="5"/>
      <c r="FGY189" s="5"/>
      <c r="FGZ189" s="5"/>
      <c r="FHA189" s="5"/>
      <c r="FHB189" s="5"/>
      <c r="FHC189" s="5"/>
      <c r="FHD189" s="5"/>
      <c r="FHE189" s="5"/>
      <c r="FHF189" s="5"/>
      <c r="FHG189" s="5"/>
      <c r="FHH189" s="5"/>
      <c r="FHI189" s="5"/>
      <c r="FHJ189" s="5"/>
      <c r="FHK189" s="5"/>
      <c r="FHL189" s="5"/>
      <c r="FHM189" s="5"/>
      <c r="FHN189" s="5"/>
      <c r="FHO189" s="5"/>
      <c r="FHP189" s="5"/>
      <c r="FHQ189" s="5"/>
      <c r="FHR189" s="5"/>
      <c r="FHS189" s="5"/>
      <c r="FHT189" s="5"/>
      <c r="FHU189" s="5"/>
      <c r="FHV189" s="5"/>
      <c r="FHW189" s="5"/>
      <c r="FHX189" s="5"/>
      <c r="FHY189" s="5"/>
      <c r="FHZ189" s="5"/>
      <c r="FIA189" s="5"/>
      <c r="FIB189" s="5"/>
      <c r="FIC189" s="5"/>
      <c r="FID189" s="5"/>
      <c r="FIE189" s="5"/>
      <c r="FIF189" s="5"/>
      <c r="FIG189" s="5"/>
      <c r="FIH189" s="5"/>
      <c r="FII189" s="5"/>
      <c r="FIJ189" s="5"/>
      <c r="FIK189" s="5"/>
      <c r="FIL189" s="5"/>
      <c r="FIM189" s="5"/>
      <c r="FIN189" s="5"/>
      <c r="FIO189" s="5"/>
      <c r="FIP189" s="5"/>
      <c r="FIQ189" s="5"/>
      <c r="FIR189" s="5"/>
      <c r="FIS189" s="5"/>
      <c r="FIT189" s="5"/>
      <c r="FIU189" s="5"/>
      <c r="FIV189" s="5"/>
      <c r="FIW189" s="5"/>
      <c r="FIX189" s="5"/>
      <c r="FIY189" s="5"/>
      <c r="FIZ189" s="5"/>
      <c r="FJA189" s="5"/>
      <c r="FJB189" s="5"/>
      <c r="FJC189" s="5"/>
      <c r="FJD189" s="5"/>
      <c r="FJE189" s="5"/>
      <c r="FJF189" s="5"/>
      <c r="FJG189" s="5"/>
      <c r="FJH189" s="5"/>
      <c r="FJI189" s="5"/>
      <c r="FJJ189" s="5"/>
      <c r="FJK189" s="5"/>
      <c r="FJL189" s="5"/>
      <c r="FJM189" s="5"/>
      <c r="FJN189" s="5"/>
      <c r="FJO189" s="5"/>
      <c r="FJP189" s="5"/>
      <c r="FJQ189" s="5"/>
      <c r="FJR189" s="5"/>
      <c r="FJS189" s="5"/>
      <c r="FJT189" s="5"/>
      <c r="FJU189" s="5"/>
      <c r="FJV189" s="5"/>
      <c r="FJW189" s="5"/>
      <c r="FJX189" s="5"/>
      <c r="FJY189" s="5"/>
      <c r="FJZ189" s="5"/>
      <c r="FKA189" s="5"/>
      <c r="FKB189" s="5"/>
      <c r="FKC189" s="5"/>
      <c r="FKD189" s="5"/>
      <c r="FKE189" s="5"/>
      <c r="FKF189" s="5"/>
      <c r="FKG189" s="5"/>
      <c r="FKH189" s="5"/>
      <c r="FKI189" s="5"/>
      <c r="FKJ189" s="5"/>
      <c r="FKK189" s="5"/>
      <c r="FKL189" s="5"/>
      <c r="FKM189" s="5"/>
      <c r="FKN189" s="5"/>
      <c r="FKO189" s="5"/>
      <c r="FKP189" s="5"/>
      <c r="FKQ189" s="5"/>
      <c r="FKR189" s="5"/>
      <c r="FKS189" s="5"/>
      <c r="FKT189" s="5"/>
      <c r="FKU189" s="5"/>
      <c r="FKV189" s="5"/>
      <c r="FKW189" s="5"/>
      <c r="FKX189" s="5"/>
      <c r="FKY189" s="5"/>
      <c r="FKZ189" s="5"/>
      <c r="FLA189" s="5"/>
      <c r="FLB189" s="5"/>
      <c r="FLC189" s="5"/>
      <c r="FLD189" s="5"/>
      <c r="FLE189" s="5"/>
      <c r="FLF189" s="5"/>
      <c r="FLG189" s="5"/>
      <c r="FLH189" s="5"/>
      <c r="FLI189" s="5"/>
      <c r="FLJ189" s="5"/>
      <c r="FLK189" s="5"/>
      <c r="FLL189" s="5"/>
      <c r="FLM189" s="5"/>
      <c r="FLN189" s="5"/>
      <c r="FLO189" s="5"/>
      <c r="FLP189" s="5"/>
      <c r="FLQ189" s="5"/>
      <c r="FLR189" s="5"/>
      <c r="FLS189" s="5"/>
      <c r="FLT189" s="5"/>
      <c r="FLU189" s="5"/>
      <c r="FLV189" s="5"/>
      <c r="FLW189" s="5"/>
      <c r="FLX189" s="5"/>
      <c r="FLY189" s="5"/>
      <c r="FLZ189" s="5"/>
      <c r="FMA189" s="5"/>
      <c r="FMB189" s="5"/>
      <c r="FMC189" s="5"/>
      <c r="FMD189" s="5"/>
      <c r="FME189" s="5"/>
      <c r="FMF189" s="5"/>
      <c r="FMG189" s="5"/>
      <c r="FMH189" s="5"/>
      <c r="FMI189" s="5"/>
      <c r="FMJ189" s="5"/>
      <c r="FMK189" s="5"/>
      <c r="FML189" s="5"/>
      <c r="FMM189" s="5"/>
      <c r="FMN189" s="5"/>
      <c r="FMO189" s="5"/>
      <c r="FMP189" s="5"/>
      <c r="FMQ189" s="5"/>
      <c r="FMR189" s="5"/>
      <c r="FMS189" s="5"/>
      <c r="FMT189" s="5"/>
      <c r="FMU189" s="5"/>
      <c r="FMV189" s="5"/>
      <c r="FMW189" s="5"/>
      <c r="FMX189" s="5"/>
      <c r="FMY189" s="5"/>
      <c r="FMZ189" s="5"/>
      <c r="FNA189" s="5"/>
      <c r="FNB189" s="5"/>
      <c r="FNC189" s="5"/>
      <c r="FND189" s="5"/>
      <c r="FNE189" s="5"/>
      <c r="FNF189" s="5"/>
      <c r="FNG189" s="5"/>
      <c r="FNH189" s="5"/>
      <c r="FNI189" s="5"/>
      <c r="FNJ189" s="5"/>
      <c r="FNK189" s="5"/>
      <c r="FNL189" s="5"/>
      <c r="FNM189" s="5"/>
      <c r="FNN189" s="5"/>
      <c r="FNO189" s="5"/>
      <c r="FNP189" s="5"/>
      <c r="FNQ189" s="5"/>
      <c r="FNR189" s="5"/>
      <c r="FNS189" s="5"/>
      <c r="FNT189" s="5"/>
      <c r="FNU189" s="5"/>
      <c r="FNV189" s="5"/>
      <c r="FNW189" s="5"/>
      <c r="FNX189" s="5"/>
      <c r="FNY189" s="5"/>
      <c r="FNZ189" s="5"/>
      <c r="FOA189" s="5"/>
      <c r="FOB189" s="5"/>
      <c r="FOC189" s="5"/>
      <c r="FOD189" s="5"/>
      <c r="FOE189" s="5"/>
      <c r="FOF189" s="5"/>
      <c r="FOG189" s="5"/>
      <c r="FOH189" s="5"/>
      <c r="FOI189" s="5"/>
      <c r="FOJ189" s="5"/>
      <c r="FOK189" s="5"/>
      <c r="FOL189" s="5"/>
      <c r="FOM189" s="5"/>
      <c r="FON189" s="5"/>
      <c r="FOO189" s="5"/>
      <c r="FOP189" s="5"/>
      <c r="FOQ189" s="5"/>
      <c r="FOR189" s="5"/>
      <c r="FOS189" s="5"/>
      <c r="FOT189" s="5"/>
      <c r="FOU189" s="5"/>
      <c r="FOV189" s="5"/>
      <c r="FOW189" s="5"/>
      <c r="FOX189" s="5"/>
      <c r="FOY189" s="5"/>
      <c r="FOZ189" s="5"/>
      <c r="FPA189" s="5"/>
      <c r="FPB189" s="5"/>
      <c r="FPC189" s="5"/>
      <c r="FPD189" s="5"/>
      <c r="FPE189" s="5"/>
      <c r="FPF189" s="5"/>
      <c r="FPG189" s="5"/>
      <c r="FPH189" s="5"/>
      <c r="FPI189" s="5"/>
      <c r="FPJ189" s="5"/>
      <c r="FPK189" s="5"/>
      <c r="FPL189" s="5"/>
      <c r="FPM189" s="5"/>
      <c r="FPN189" s="5"/>
      <c r="FPO189" s="5"/>
      <c r="FPP189" s="5"/>
      <c r="FPQ189" s="5"/>
      <c r="FPR189" s="5"/>
      <c r="FPS189" s="5"/>
      <c r="FPT189" s="5"/>
      <c r="FPU189" s="5"/>
      <c r="FPV189" s="5"/>
      <c r="FPW189" s="5"/>
      <c r="FPX189" s="5"/>
      <c r="FPY189" s="5"/>
      <c r="FPZ189" s="5"/>
      <c r="FQA189" s="5"/>
      <c r="FQB189" s="5"/>
      <c r="FQC189" s="5"/>
      <c r="FQD189" s="5"/>
      <c r="FQE189" s="5"/>
      <c r="FQF189" s="5"/>
      <c r="FQG189" s="5"/>
      <c r="FQH189" s="5"/>
      <c r="FQI189" s="5"/>
      <c r="FQJ189" s="5"/>
      <c r="FQK189" s="5"/>
      <c r="FQL189" s="5"/>
      <c r="FQM189" s="5"/>
      <c r="FQN189" s="5"/>
      <c r="FQO189" s="5"/>
      <c r="FQP189" s="5"/>
      <c r="FQQ189" s="5"/>
      <c r="FQR189" s="5"/>
      <c r="FQS189" s="5"/>
      <c r="FQT189" s="5"/>
      <c r="FQU189" s="5"/>
      <c r="FQV189" s="5"/>
      <c r="FQW189" s="5"/>
      <c r="FQX189" s="5"/>
      <c r="FQY189" s="5"/>
      <c r="FQZ189" s="5"/>
      <c r="FRA189" s="5"/>
      <c r="FRB189" s="5"/>
      <c r="FRC189" s="5"/>
      <c r="FRD189" s="5"/>
      <c r="FRE189" s="5"/>
      <c r="FRF189" s="5"/>
      <c r="FRG189" s="5"/>
      <c r="FRH189" s="5"/>
      <c r="FRI189" s="5"/>
      <c r="FRJ189" s="5"/>
      <c r="FRK189" s="5"/>
      <c r="FRL189" s="5"/>
      <c r="FRM189" s="5"/>
      <c r="FRN189" s="5"/>
      <c r="FRO189" s="5"/>
      <c r="FRP189" s="5"/>
      <c r="FRQ189" s="5"/>
      <c r="FRR189" s="5"/>
      <c r="FRS189" s="5"/>
      <c r="FRT189" s="5"/>
      <c r="FRU189" s="5"/>
      <c r="FRV189" s="5"/>
      <c r="FRW189" s="5"/>
      <c r="FRX189" s="5"/>
      <c r="FRY189" s="5"/>
      <c r="FRZ189" s="5"/>
      <c r="FSA189" s="5"/>
      <c r="FSB189" s="5"/>
      <c r="FSC189" s="5"/>
      <c r="FSD189" s="5"/>
      <c r="FSE189" s="5"/>
      <c r="FSF189" s="5"/>
      <c r="FSG189" s="5"/>
      <c r="FSH189" s="5"/>
      <c r="FSI189" s="5"/>
      <c r="FSJ189" s="5"/>
      <c r="FSK189" s="5"/>
      <c r="FSL189" s="5"/>
      <c r="FSM189" s="5"/>
      <c r="FSN189" s="5"/>
      <c r="FSO189" s="5"/>
      <c r="FSP189" s="5"/>
      <c r="FSQ189" s="5"/>
      <c r="FSR189" s="5"/>
      <c r="FSS189" s="5"/>
      <c r="FST189" s="5"/>
      <c r="FSU189" s="5"/>
      <c r="FSV189" s="5"/>
      <c r="FSW189" s="5"/>
      <c r="FSX189" s="5"/>
      <c r="FSY189" s="5"/>
      <c r="FSZ189" s="5"/>
      <c r="FTA189" s="5"/>
      <c r="FTB189" s="5"/>
      <c r="FTC189" s="5"/>
      <c r="FTD189" s="5"/>
      <c r="FTE189" s="5"/>
      <c r="FTF189" s="5"/>
      <c r="FTG189" s="5"/>
      <c r="FTH189" s="5"/>
      <c r="FTI189" s="5"/>
      <c r="FTJ189" s="5"/>
      <c r="FTK189" s="5"/>
      <c r="FTL189" s="5"/>
      <c r="FTM189" s="5"/>
      <c r="FTN189" s="5"/>
      <c r="FTO189" s="5"/>
      <c r="FTP189" s="5"/>
      <c r="FTQ189" s="5"/>
      <c r="FTR189" s="5"/>
      <c r="FTS189" s="5"/>
      <c r="FTT189" s="5"/>
      <c r="FTU189" s="5"/>
      <c r="FTV189" s="5"/>
      <c r="FTW189" s="5"/>
      <c r="FTX189" s="5"/>
      <c r="FTY189" s="5"/>
      <c r="FTZ189" s="5"/>
      <c r="FUA189" s="5"/>
      <c r="FUB189" s="5"/>
      <c r="FUC189" s="5"/>
      <c r="FUD189" s="5"/>
      <c r="FUE189" s="5"/>
      <c r="FUF189" s="5"/>
      <c r="FUG189" s="5"/>
      <c r="FUH189" s="5"/>
      <c r="FUI189" s="5"/>
      <c r="FUJ189" s="5"/>
      <c r="FUK189" s="5"/>
      <c r="FUL189" s="5"/>
      <c r="FUM189" s="5"/>
      <c r="FUN189" s="5"/>
      <c r="FUO189" s="5"/>
      <c r="FUP189" s="5"/>
      <c r="FUQ189" s="5"/>
      <c r="FUR189" s="5"/>
      <c r="FUS189" s="5"/>
      <c r="FUT189" s="5"/>
      <c r="FUU189" s="5"/>
      <c r="FUV189" s="5"/>
      <c r="FUW189" s="5"/>
      <c r="FUX189" s="5"/>
      <c r="FUY189" s="5"/>
      <c r="FUZ189" s="5"/>
      <c r="FVA189" s="5"/>
      <c r="FVB189" s="5"/>
      <c r="FVC189" s="5"/>
      <c r="FVD189" s="5"/>
      <c r="FVE189" s="5"/>
      <c r="FVF189" s="5"/>
      <c r="FVG189" s="5"/>
      <c r="FVH189" s="5"/>
      <c r="FVI189" s="5"/>
      <c r="FVJ189" s="5"/>
      <c r="FVK189" s="5"/>
      <c r="FVL189" s="5"/>
      <c r="FVM189" s="5"/>
      <c r="FVN189" s="5"/>
      <c r="FVO189" s="5"/>
      <c r="FVP189" s="5"/>
      <c r="FVQ189" s="5"/>
      <c r="FVR189" s="5"/>
      <c r="FVS189" s="5"/>
      <c r="FVT189" s="5"/>
      <c r="FVU189" s="5"/>
      <c r="FVV189" s="5"/>
      <c r="FVW189" s="5"/>
      <c r="FVX189" s="5"/>
      <c r="FVY189" s="5"/>
      <c r="FVZ189" s="5"/>
      <c r="FWA189" s="5"/>
      <c r="FWB189" s="5"/>
      <c r="FWC189" s="5"/>
      <c r="FWD189" s="5"/>
      <c r="FWE189" s="5"/>
      <c r="FWF189" s="5"/>
      <c r="FWG189" s="5"/>
      <c r="FWH189" s="5"/>
      <c r="FWI189" s="5"/>
      <c r="FWJ189" s="5"/>
      <c r="FWK189" s="5"/>
      <c r="FWL189" s="5"/>
      <c r="FWM189" s="5"/>
      <c r="FWN189" s="5"/>
      <c r="FWO189" s="5"/>
      <c r="FWP189" s="5"/>
      <c r="FWQ189" s="5"/>
      <c r="FWR189" s="5"/>
      <c r="FWS189" s="5"/>
      <c r="FWT189" s="5"/>
      <c r="FWU189" s="5"/>
      <c r="FWV189" s="5"/>
      <c r="FWW189" s="5"/>
      <c r="FWX189" s="5"/>
      <c r="FWY189" s="5"/>
      <c r="FWZ189" s="5"/>
      <c r="FXA189" s="5"/>
      <c r="FXB189" s="5"/>
      <c r="FXC189" s="5"/>
      <c r="FXD189" s="5"/>
      <c r="FXE189" s="5"/>
      <c r="FXF189" s="5"/>
      <c r="FXG189" s="5"/>
      <c r="FXH189" s="5"/>
      <c r="FXI189" s="5"/>
      <c r="FXJ189" s="5"/>
      <c r="FXK189" s="5"/>
      <c r="FXL189" s="5"/>
      <c r="FXM189" s="5"/>
      <c r="FXN189" s="5"/>
      <c r="FXO189" s="5"/>
      <c r="FXP189" s="5"/>
      <c r="FXQ189" s="5"/>
      <c r="FXR189" s="5"/>
      <c r="FXS189" s="5"/>
      <c r="FXT189" s="5"/>
      <c r="FXU189" s="5"/>
      <c r="FXV189" s="5"/>
      <c r="FXW189" s="5"/>
      <c r="FXX189" s="5"/>
      <c r="FXY189" s="5"/>
      <c r="FXZ189" s="5"/>
      <c r="FYA189" s="5"/>
      <c r="FYB189" s="5"/>
      <c r="FYC189" s="5"/>
      <c r="FYD189" s="5"/>
      <c r="FYE189" s="5"/>
      <c r="FYF189" s="5"/>
      <c r="FYG189" s="5"/>
      <c r="FYH189" s="5"/>
      <c r="FYI189" s="5"/>
      <c r="FYJ189" s="5"/>
      <c r="FYK189" s="5"/>
      <c r="FYL189" s="5"/>
      <c r="FYM189" s="5"/>
      <c r="FYN189" s="5"/>
      <c r="FYO189" s="5"/>
      <c r="FYP189" s="5"/>
      <c r="FYQ189" s="5"/>
      <c r="FYR189" s="5"/>
      <c r="FYS189" s="5"/>
      <c r="FYT189" s="5"/>
      <c r="FYU189" s="5"/>
      <c r="FYV189" s="5"/>
      <c r="FYW189" s="5"/>
      <c r="FYX189" s="5"/>
      <c r="FYY189" s="5"/>
      <c r="FYZ189" s="5"/>
      <c r="FZA189" s="5"/>
      <c r="FZB189" s="5"/>
      <c r="FZC189" s="5"/>
      <c r="FZD189" s="5"/>
      <c r="FZE189" s="5"/>
      <c r="FZF189" s="5"/>
      <c r="FZG189" s="5"/>
      <c r="FZH189" s="5"/>
      <c r="FZI189" s="5"/>
      <c r="FZJ189" s="5"/>
      <c r="FZK189" s="5"/>
      <c r="FZL189" s="5"/>
      <c r="FZM189" s="5"/>
      <c r="FZN189" s="5"/>
      <c r="FZO189" s="5"/>
      <c r="FZP189" s="5"/>
      <c r="FZQ189" s="5"/>
      <c r="FZR189" s="5"/>
      <c r="FZS189" s="5"/>
      <c r="FZT189" s="5"/>
      <c r="FZU189" s="5"/>
      <c r="FZV189" s="5"/>
      <c r="FZW189" s="5"/>
      <c r="FZX189" s="5"/>
      <c r="FZY189" s="5"/>
      <c r="FZZ189" s="5"/>
      <c r="GAA189" s="5"/>
      <c r="GAB189" s="5"/>
      <c r="GAC189" s="5"/>
      <c r="GAD189" s="5"/>
      <c r="GAE189" s="5"/>
      <c r="GAF189" s="5"/>
      <c r="GAG189" s="5"/>
      <c r="GAH189" s="5"/>
      <c r="GAI189" s="5"/>
      <c r="GAJ189" s="5"/>
      <c r="GAK189" s="5"/>
      <c r="GAL189" s="5"/>
      <c r="GAM189" s="5"/>
      <c r="GAN189" s="5"/>
      <c r="GAO189" s="5"/>
      <c r="GAP189" s="5"/>
      <c r="GAQ189" s="5"/>
      <c r="GAR189" s="5"/>
      <c r="GAS189" s="5"/>
      <c r="GAT189" s="5"/>
      <c r="GAU189" s="5"/>
      <c r="GAV189" s="5"/>
      <c r="GAW189" s="5"/>
      <c r="GAX189" s="5"/>
      <c r="GAY189" s="5"/>
      <c r="GAZ189" s="5"/>
      <c r="GBA189" s="5"/>
      <c r="GBB189" s="5"/>
      <c r="GBC189" s="5"/>
      <c r="GBD189" s="5"/>
      <c r="GBE189" s="5"/>
      <c r="GBF189" s="5"/>
      <c r="GBG189" s="5"/>
      <c r="GBH189" s="5"/>
      <c r="GBI189" s="5"/>
      <c r="GBJ189" s="5"/>
      <c r="GBK189" s="5"/>
      <c r="GBL189" s="5"/>
      <c r="GBM189" s="5"/>
      <c r="GBN189" s="5"/>
      <c r="GBO189" s="5"/>
      <c r="GBP189" s="5"/>
      <c r="GBQ189" s="5"/>
      <c r="GBR189" s="5"/>
      <c r="GBS189" s="5"/>
      <c r="GBT189" s="5"/>
      <c r="GBU189" s="5"/>
      <c r="GBV189" s="5"/>
      <c r="GBW189" s="5"/>
      <c r="GBX189" s="5"/>
      <c r="GBY189" s="5"/>
      <c r="GBZ189" s="5"/>
      <c r="GCA189" s="5"/>
      <c r="GCB189" s="5"/>
      <c r="GCC189" s="5"/>
      <c r="GCD189" s="5"/>
      <c r="GCE189" s="5"/>
      <c r="GCF189" s="5"/>
      <c r="GCG189" s="5"/>
      <c r="GCH189" s="5"/>
      <c r="GCI189" s="5"/>
      <c r="GCJ189" s="5"/>
      <c r="GCK189" s="5"/>
      <c r="GCL189" s="5"/>
      <c r="GCM189" s="5"/>
      <c r="GCN189" s="5"/>
      <c r="GCO189" s="5"/>
      <c r="GCP189" s="5"/>
      <c r="GCQ189" s="5"/>
      <c r="GCR189" s="5"/>
      <c r="GCS189" s="5"/>
      <c r="GCT189" s="5"/>
      <c r="GCU189" s="5"/>
      <c r="GCV189" s="5"/>
      <c r="GCW189" s="5"/>
      <c r="GCX189" s="5"/>
      <c r="GCY189" s="5"/>
      <c r="GCZ189" s="5"/>
      <c r="GDA189" s="5"/>
      <c r="GDB189" s="5"/>
      <c r="GDC189" s="5"/>
      <c r="GDD189" s="5"/>
      <c r="GDE189" s="5"/>
      <c r="GDF189" s="5"/>
      <c r="GDG189" s="5"/>
      <c r="GDH189" s="5"/>
      <c r="GDI189" s="5"/>
      <c r="GDJ189" s="5"/>
      <c r="GDK189" s="5"/>
      <c r="GDL189" s="5"/>
      <c r="GDM189" s="5"/>
      <c r="GDN189" s="5"/>
      <c r="GDO189" s="5"/>
      <c r="GDP189" s="5"/>
      <c r="GDQ189" s="5"/>
      <c r="GDR189" s="5"/>
      <c r="GDS189" s="5"/>
      <c r="GDT189" s="5"/>
      <c r="GDU189" s="5"/>
      <c r="GDV189" s="5"/>
      <c r="GDW189" s="5"/>
      <c r="GDX189" s="5"/>
      <c r="GDY189" s="5"/>
      <c r="GDZ189" s="5"/>
      <c r="GEA189" s="5"/>
      <c r="GEB189" s="5"/>
      <c r="GEC189" s="5"/>
      <c r="GED189" s="5"/>
      <c r="GEE189" s="5"/>
      <c r="GEF189" s="5"/>
      <c r="GEG189" s="5"/>
      <c r="GEH189" s="5"/>
      <c r="GEI189" s="5"/>
      <c r="GEJ189" s="5"/>
      <c r="GEK189" s="5"/>
      <c r="GEL189" s="5"/>
      <c r="GEM189" s="5"/>
      <c r="GEN189" s="5"/>
      <c r="GEO189" s="5"/>
      <c r="GEP189" s="5"/>
      <c r="GEQ189" s="5"/>
      <c r="GER189" s="5"/>
      <c r="GES189" s="5"/>
      <c r="GET189" s="5"/>
      <c r="GEU189" s="5"/>
      <c r="GEV189" s="5"/>
      <c r="GEW189" s="5"/>
      <c r="GEX189" s="5"/>
      <c r="GEY189" s="5"/>
      <c r="GEZ189" s="5"/>
      <c r="GFA189" s="5"/>
      <c r="GFB189" s="5"/>
      <c r="GFC189" s="5"/>
      <c r="GFD189" s="5"/>
      <c r="GFE189" s="5"/>
      <c r="GFF189" s="5"/>
      <c r="GFG189" s="5"/>
      <c r="GFH189" s="5"/>
      <c r="GFI189" s="5"/>
      <c r="GFJ189" s="5"/>
      <c r="GFK189" s="5"/>
      <c r="GFL189" s="5"/>
      <c r="GFM189" s="5"/>
      <c r="GFN189" s="5"/>
      <c r="GFO189" s="5"/>
      <c r="GFP189" s="5"/>
      <c r="GFQ189" s="5"/>
      <c r="GFR189" s="5"/>
      <c r="GFS189" s="5"/>
      <c r="GFT189" s="5"/>
      <c r="GFU189" s="5"/>
      <c r="GFV189" s="5"/>
      <c r="GFW189" s="5"/>
      <c r="GFX189" s="5"/>
      <c r="GFY189" s="5"/>
      <c r="GFZ189" s="5"/>
      <c r="GGA189" s="5"/>
      <c r="GGB189" s="5"/>
      <c r="GGC189" s="5"/>
      <c r="GGD189" s="5"/>
      <c r="GGE189" s="5"/>
      <c r="GGF189" s="5"/>
      <c r="GGG189" s="5"/>
      <c r="GGH189" s="5"/>
      <c r="GGI189" s="5"/>
      <c r="GGJ189" s="5"/>
      <c r="GGK189" s="5"/>
      <c r="GGL189" s="5"/>
      <c r="GGM189" s="5"/>
      <c r="GGN189" s="5"/>
      <c r="GGO189" s="5"/>
      <c r="GGP189" s="5"/>
      <c r="GGQ189" s="5"/>
      <c r="GGR189" s="5"/>
      <c r="GGS189" s="5"/>
      <c r="GGT189" s="5"/>
      <c r="GGU189" s="5"/>
      <c r="GGV189" s="5"/>
      <c r="GGW189" s="5"/>
      <c r="GGX189" s="5"/>
      <c r="GGY189" s="5"/>
      <c r="GGZ189" s="5"/>
      <c r="GHA189" s="5"/>
      <c r="GHB189" s="5"/>
      <c r="GHC189" s="5"/>
      <c r="GHD189" s="5"/>
      <c r="GHE189" s="5"/>
      <c r="GHF189" s="5"/>
      <c r="GHG189" s="5"/>
      <c r="GHH189" s="5"/>
      <c r="GHI189" s="5"/>
      <c r="GHJ189" s="5"/>
      <c r="GHK189" s="5"/>
      <c r="GHL189" s="5"/>
      <c r="GHM189" s="5"/>
      <c r="GHN189" s="5"/>
      <c r="GHO189" s="5"/>
      <c r="GHP189" s="5"/>
      <c r="GHQ189" s="5"/>
      <c r="GHR189" s="5"/>
      <c r="GHS189" s="5"/>
      <c r="GHT189" s="5"/>
      <c r="GHU189" s="5"/>
      <c r="GHV189" s="5"/>
      <c r="GHW189" s="5"/>
      <c r="GHX189" s="5"/>
      <c r="GHY189" s="5"/>
      <c r="GHZ189" s="5"/>
      <c r="GIA189" s="5"/>
      <c r="GIB189" s="5"/>
      <c r="GIC189" s="5"/>
      <c r="GID189" s="5"/>
      <c r="GIE189" s="5"/>
      <c r="GIF189" s="5"/>
      <c r="GIG189" s="5"/>
      <c r="GIH189" s="5"/>
      <c r="GII189" s="5"/>
      <c r="GIJ189" s="5"/>
      <c r="GIK189" s="5"/>
      <c r="GIL189" s="5"/>
      <c r="GIM189" s="5"/>
      <c r="GIN189" s="5"/>
      <c r="GIO189" s="5"/>
      <c r="GIP189" s="5"/>
      <c r="GIQ189" s="5"/>
      <c r="GIR189" s="5"/>
      <c r="GIS189" s="5"/>
      <c r="GIT189" s="5"/>
      <c r="GIU189" s="5"/>
      <c r="GIV189" s="5"/>
      <c r="GIW189" s="5"/>
      <c r="GIX189" s="5"/>
      <c r="GIY189" s="5"/>
      <c r="GIZ189" s="5"/>
      <c r="GJA189" s="5"/>
      <c r="GJB189" s="5"/>
      <c r="GJC189" s="5"/>
      <c r="GJD189" s="5"/>
      <c r="GJE189" s="5"/>
      <c r="GJF189" s="5"/>
      <c r="GJG189" s="5"/>
      <c r="GJH189" s="5"/>
      <c r="GJI189" s="5"/>
      <c r="GJJ189" s="5"/>
      <c r="GJK189" s="5"/>
      <c r="GJL189" s="5"/>
      <c r="GJM189" s="5"/>
      <c r="GJN189" s="5"/>
      <c r="GJO189" s="5"/>
      <c r="GJP189" s="5"/>
      <c r="GJQ189" s="5"/>
      <c r="GJR189" s="5"/>
      <c r="GJS189" s="5"/>
      <c r="GJT189" s="5"/>
      <c r="GJU189" s="5"/>
      <c r="GJV189" s="5"/>
      <c r="GJW189" s="5"/>
      <c r="GJX189" s="5"/>
      <c r="GJY189" s="5"/>
      <c r="GJZ189" s="5"/>
      <c r="GKA189" s="5"/>
      <c r="GKB189" s="5"/>
      <c r="GKC189" s="5"/>
      <c r="GKD189" s="5"/>
      <c r="GKE189" s="5"/>
      <c r="GKF189" s="5"/>
      <c r="GKG189" s="5"/>
      <c r="GKH189" s="5"/>
      <c r="GKI189" s="5"/>
      <c r="GKJ189" s="5"/>
      <c r="GKK189" s="5"/>
      <c r="GKL189" s="5"/>
      <c r="GKM189" s="5"/>
      <c r="GKN189" s="5"/>
      <c r="GKO189" s="5"/>
      <c r="GKP189" s="5"/>
      <c r="GKQ189" s="5"/>
      <c r="GKR189" s="5"/>
      <c r="GKS189" s="5"/>
      <c r="GKT189" s="5"/>
      <c r="GKU189" s="5"/>
      <c r="GKV189" s="5"/>
      <c r="GKW189" s="5"/>
      <c r="GKX189" s="5"/>
      <c r="GKY189" s="5"/>
      <c r="GKZ189" s="5"/>
      <c r="GLA189" s="5"/>
      <c r="GLB189" s="5"/>
      <c r="GLC189" s="5"/>
      <c r="GLD189" s="5"/>
      <c r="GLE189" s="5"/>
      <c r="GLF189" s="5"/>
      <c r="GLG189" s="5"/>
      <c r="GLH189" s="5"/>
      <c r="GLI189" s="5"/>
      <c r="GLJ189" s="5"/>
      <c r="GLK189" s="5"/>
      <c r="GLL189" s="5"/>
      <c r="GLM189" s="5"/>
      <c r="GLN189" s="5"/>
      <c r="GLO189" s="5"/>
      <c r="GLP189" s="5"/>
      <c r="GLQ189" s="5"/>
      <c r="GLR189" s="5"/>
      <c r="GLS189" s="5"/>
      <c r="GLT189" s="5"/>
      <c r="GLU189" s="5"/>
      <c r="GLV189" s="5"/>
      <c r="GLW189" s="5"/>
      <c r="GLX189" s="5"/>
      <c r="GLY189" s="5"/>
      <c r="GLZ189" s="5"/>
      <c r="GMA189" s="5"/>
      <c r="GMB189" s="5"/>
      <c r="GMC189" s="5"/>
      <c r="GMD189" s="5"/>
      <c r="GME189" s="5"/>
      <c r="GMF189" s="5"/>
      <c r="GMG189" s="5"/>
      <c r="GMH189" s="5"/>
      <c r="GMI189" s="5"/>
      <c r="GMJ189" s="5"/>
      <c r="GMK189" s="5"/>
      <c r="GML189" s="5"/>
      <c r="GMM189" s="5"/>
      <c r="GMN189" s="5"/>
      <c r="GMO189" s="5"/>
      <c r="GMP189" s="5"/>
      <c r="GMQ189" s="5"/>
      <c r="GMR189" s="5"/>
      <c r="GMS189" s="5"/>
      <c r="GMT189" s="5"/>
      <c r="GMU189" s="5"/>
      <c r="GMV189" s="5"/>
      <c r="GMW189" s="5"/>
      <c r="GMX189" s="5"/>
      <c r="GMY189" s="5"/>
      <c r="GMZ189" s="5"/>
      <c r="GNA189" s="5"/>
      <c r="GNB189" s="5"/>
      <c r="GNC189" s="5"/>
      <c r="GND189" s="5"/>
      <c r="GNE189" s="5"/>
      <c r="GNF189" s="5"/>
      <c r="GNG189" s="5"/>
      <c r="GNH189" s="5"/>
      <c r="GNI189" s="5"/>
      <c r="GNJ189" s="5"/>
      <c r="GNK189" s="5"/>
      <c r="GNL189" s="5"/>
      <c r="GNM189" s="5"/>
      <c r="GNN189" s="5"/>
      <c r="GNO189" s="5"/>
      <c r="GNP189" s="5"/>
      <c r="GNQ189" s="5"/>
      <c r="GNR189" s="5"/>
      <c r="GNS189" s="5"/>
      <c r="GNT189" s="5"/>
      <c r="GNU189" s="5"/>
      <c r="GNV189" s="5"/>
      <c r="GNW189" s="5"/>
      <c r="GNX189" s="5"/>
      <c r="GNY189" s="5"/>
      <c r="GNZ189" s="5"/>
      <c r="GOA189" s="5"/>
      <c r="GOB189" s="5"/>
      <c r="GOC189" s="5"/>
      <c r="GOD189" s="5"/>
      <c r="GOE189" s="5"/>
      <c r="GOF189" s="5"/>
      <c r="GOG189" s="5"/>
      <c r="GOH189" s="5"/>
      <c r="GOI189" s="5"/>
      <c r="GOJ189" s="5"/>
      <c r="GOK189" s="5"/>
      <c r="GOL189" s="5"/>
      <c r="GOM189" s="5"/>
      <c r="GON189" s="5"/>
      <c r="GOO189" s="5"/>
      <c r="GOP189" s="5"/>
      <c r="GOQ189" s="5"/>
      <c r="GOR189" s="5"/>
      <c r="GOS189" s="5"/>
      <c r="GOT189" s="5"/>
      <c r="GOU189" s="5"/>
      <c r="GOV189" s="5"/>
      <c r="GOW189" s="5"/>
      <c r="GOX189" s="5"/>
      <c r="GOY189" s="5"/>
      <c r="GOZ189" s="5"/>
      <c r="GPA189" s="5"/>
      <c r="GPB189" s="5"/>
      <c r="GPC189" s="5"/>
      <c r="GPD189" s="5"/>
      <c r="GPE189" s="5"/>
      <c r="GPF189" s="5"/>
      <c r="GPG189" s="5"/>
      <c r="GPH189" s="5"/>
      <c r="GPI189" s="5"/>
      <c r="GPJ189" s="5"/>
      <c r="GPK189" s="5"/>
      <c r="GPL189" s="5"/>
      <c r="GPM189" s="5"/>
      <c r="GPN189" s="5"/>
      <c r="GPO189" s="5"/>
      <c r="GPP189" s="5"/>
      <c r="GPQ189" s="5"/>
      <c r="GPR189" s="5"/>
      <c r="GPS189" s="5"/>
      <c r="GPT189" s="5"/>
      <c r="GPU189" s="5"/>
      <c r="GPV189" s="5"/>
      <c r="GPW189" s="5"/>
      <c r="GPX189" s="5"/>
      <c r="GPY189" s="5"/>
      <c r="GPZ189" s="5"/>
      <c r="GQA189" s="5"/>
      <c r="GQB189" s="5"/>
      <c r="GQC189" s="5"/>
      <c r="GQD189" s="5"/>
      <c r="GQE189" s="5"/>
      <c r="GQF189" s="5"/>
      <c r="GQG189" s="5"/>
      <c r="GQH189" s="5"/>
      <c r="GQI189" s="5"/>
      <c r="GQJ189" s="5"/>
      <c r="GQK189" s="5"/>
      <c r="GQL189" s="5"/>
      <c r="GQM189" s="5"/>
      <c r="GQN189" s="5"/>
      <c r="GQO189" s="5"/>
      <c r="GQP189" s="5"/>
      <c r="GQQ189" s="5"/>
      <c r="GQR189" s="5"/>
      <c r="GQS189" s="5"/>
      <c r="GQT189" s="5"/>
      <c r="GQU189" s="5"/>
      <c r="GQV189" s="5"/>
      <c r="GQW189" s="5"/>
      <c r="GQX189" s="5"/>
      <c r="GQY189" s="5"/>
      <c r="GQZ189" s="5"/>
      <c r="GRA189" s="5"/>
      <c r="GRB189" s="5"/>
      <c r="GRC189" s="5"/>
      <c r="GRD189" s="5"/>
      <c r="GRE189" s="5"/>
      <c r="GRF189" s="5"/>
      <c r="GRG189" s="5"/>
      <c r="GRH189" s="5"/>
      <c r="GRI189" s="5"/>
      <c r="GRJ189" s="5"/>
      <c r="GRK189" s="5"/>
      <c r="GRL189" s="5"/>
      <c r="GRM189" s="5"/>
      <c r="GRN189" s="5"/>
      <c r="GRO189" s="5"/>
      <c r="GRP189" s="5"/>
      <c r="GRQ189" s="5"/>
      <c r="GRR189" s="5"/>
      <c r="GRS189" s="5"/>
      <c r="GRT189" s="5"/>
      <c r="GRU189" s="5"/>
      <c r="GRV189" s="5"/>
      <c r="GRW189" s="5"/>
      <c r="GRX189" s="5"/>
      <c r="GRY189" s="5"/>
      <c r="GRZ189" s="5"/>
      <c r="GSA189" s="5"/>
      <c r="GSB189" s="5"/>
      <c r="GSC189" s="5"/>
      <c r="GSD189" s="5"/>
      <c r="GSE189" s="5"/>
      <c r="GSF189" s="5"/>
      <c r="GSG189" s="5"/>
      <c r="GSH189" s="5"/>
      <c r="GSI189" s="5"/>
      <c r="GSJ189" s="5"/>
      <c r="GSK189" s="5"/>
      <c r="GSL189" s="5"/>
      <c r="GSM189" s="5"/>
      <c r="GSN189" s="5"/>
      <c r="GSO189" s="5"/>
      <c r="GSP189" s="5"/>
      <c r="GSQ189" s="5"/>
      <c r="GSR189" s="5"/>
      <c r="GSS189" s="5"/>
      <c r="GST189" s="5"/>
      <c r="GSU189" s="5"/>
      <c r="GSV189" s="5"/>
      <c r="GSW189" s="5"/>
      <c r="GSX189" s="5"/>
      <c r="GSY189" s="5"/>
      <c r="GSZ189" s="5"/>
      <c r="GTA189" s="5"/>
      <c r="GTB189" s="5"/>
      <c r="GTC189" s="5"/>
      <c r="GTD189" s="5"/>
      <c r="GTE189" s="5"/>
      <c r="GTF189" s="5"/>
      <c r="GTG189" s="5"/>
      <c r="GTH189" s="5"/>
      <c r="GTI189" s="5"/>
      <c r="GTJ189" s="5"/>
      <c r="GTK189" s="5"/>
      <c r="GTL189" s="5"/>
      <c r="GTM189" s="5"/>
      <c r="GTN189" s="5"/>
      <c r="GTO189" s="5"/>
      <c r="GTP189" s="5"/>
      <c r="GTQ189" s="5"/>
      <c r="GTR189" s="5"/>
      <c r="GTS189" s="5"/>
      <c r="GTT189" s="5"/>
      <c r="GTU189" s="5"/>
      <c r="GTV189" s="5"/>
      <c r="GTW189" s="5"/>
      <c r="GTX189" s="5"/>
      <c r="GTY189" s="5"/>
      <c r="GTZ189" s="5"/>
      <c r="GUA189" s="5"/>
      <c r="GUB189" s="5"/>
      <c r="GUC189" s="5"/>
      <c r="GUD189" s="5"/>
      <c r="GUE189" s="5"/>
      <c r="GUF189" s="5"/>
      <c r="GUG189" s="5"/>
      <c r="GUH189" s="5"/>
      <c r="GUI189" s="5"/>
      <c r="GUJ189" s="5"/>
      <c r="GUK189" s="5"/>
      <c r="GUL189" s="5"/>
      <c r="GUM189" s="5"/>
      <c r="GUN189" s="5"/>
      <c r="GUO189" s="5"/>
      <c r="GUP189" s="5"/>
      <c r="GUQ189" s="5"/>
      <c r="GUR189" s="5"/>
      <c r="GUS189" s="5"/>
      <c r="GUT189" s="5"/>
      <c r="GUU189" s="5"/>
      <c r="GUV189" s="5"/>
      <c r="GUW189" s="5"/>
      <c r="GUX189" s="5"/>
      <c r="GUY189" s="5"/>
      <c r="GUZ189" s="5"/>
      <c r="GVA189" s="5"/>
      <c r="GVB189" s="5"/>
      <c r="GVC189" s="5"/>
      <c r="GVD189" s="5"/>
      <c r="GVE189" s="5"/>
      <c r="GVF189" s="5"/>
      <c r="GVG189" s="5"/>
      <c r="GVH189" s="5"/>
      <c r="GVI189" s="5"/>
      <c r="GVJ189" s="5"/>
      <c r="GVK189" s="5"/>
      <c r="GVL189" s="5"/>
      <c r="GVM189" s="5"/>
      <c r="GVN189" s="5"/>
      <c r="GVO189" s="5"/>
      <c r="GVP189" s="5"/>
      <c r="GVQ189" s="5"/>
      <c r="GVR189" s="5"/>
      <c r="GVS189" s="5"/>
      <c r="GVT189" s="5"/>
      <c r="GVU189" s="5"/>
      <c r="GVV189" s="5"/>
      <c r="GVW189" s="5"/>
      <c r="GVX189" s="5"/>
      <c r="GVY189" s="5"/>
      <c r="GVZ189" s="5"/>
      <c r="GWA189" s="5"/>
      <c r="GWB189" s="5"/>
      <c r="GWC189" s="5"/>
      <c r="GWD189" s="5"/>
      <c r="GWE189" s="5"/>
      <c r="GWF189" s="5"/>
      <c r="GWG189" s="5"/>
      <c r="GWH189" s="5"/>
      <c r="GWI189" s="5"/>
      <c r="GWJ189" s="5"/>
      <c r="GWK189" s="5"/>
      <c r="GWL189" s="5"/>
      <c r="GWM189" s="5"/>
      <c r="GWN189" s="5"/>
      <c r="GWO189" s="5"/>
      <c r="GWP189" s="5"/>
      <c r="GWQ189" s="5"/>
      <c r="GWR189" s="5"/>
      <c r="GWS189" s="5"/>
      <c r="GWT189" s="5"/>
      <c r="GWU189" s="5"/>
      <c r="GWV189" s="5"/>
      <c r="GWW189" s="5"/>
      <c r="GWX189" s="5"/>
      <c r="GWY189" s="5"/>
      <c r="GWZ189" s="5"/>
      <c r="GXA189" s="5"/>
      <c r="GXB189" s="5"/>
      <c r="GXC189" s="5"/>
      <c r="GXD189" s="5"/>
      <c r="GXE189" s="5"/>
      <c r="GXF189" s="5"/>
      <c r="GXG189" s="5"/>
      <c r="GXH189" s="5"/>
      <c r="GXI189" s="5"/>
      <c r="GXJ189" s="5"/>
      <c r="GXK189" s="5"/>
      <c r="GXL189" s="5"/>
      <c r="GXM189" s="5"/>
      <c r="GXN189" s="5"/>
      <c r="GXO189" s="5"/>
      <c r="GXP189" s="5"/>
      <c r="GXQ189" s="5"/>
      <c r="GXR189" s="5"/>
      <c r="GXS189" s="5"/>
      <c r="GXT189" s="5"/>
      <c r="GXU189" s="5"/>
      <c r="GXV189" s="5"/>
      <c r="GXW189" s="5"/>
      <c r="GXX189" s="5"/>
      <c r="GXY189" s="5"/>
      <c r="GXZ189" s="5"/>
      <c r="GYA189" s="5"/>
      <c r="GYB189" s="5"/>
      <c r="GYC189" s="5"/>
      <c r="GYD189" s="5"/>
      <c r="GYE189" s="5"/>
      <c r="GYF189" s="5"/>
      <c r="GYG189" s="5"/>
      <c r="GYH189" s="5"/>
      <c r="GYI189" s="5"/>
      <c r="GYJ189" s="5"/>
      <c r="GYK189" s="5"/>
      <c r="GYL189" s="5"/>
      <c r="GYM189" s="5"/>
      <c r="GYN189" s="5"/>
      <c r="GYO189" s="5"/>
      <c r="GYP189" s="5"/>
      <c r="GYQ189" s="5"/>
      <c r="GYR189" s="5"/>
      <c r="GYS189" s="5"/>
      <c r="GYT189" s="5"/>
      <c r="GYU189" s="5"/>
      <c r="GYV189" s="5"/>
      <c r="GYW189" s="5"/>
      <c r="GYX189" s="5"/>
      <c r="GYY189" s="5"/>
      <c r="GYZ189" s="5"/>
      <c r="GZA189" s="5"/>
      <c r="GZB189" s="5"/>
      <c r="GZC189" s="5"/>
      <c r="GZD189" s="5"/>
      <c r="GZE189" s="5"/>
      <c r="GZF189" s="5"/>
      <c r="GZG189" s="5"/>
      <c r="GZH189" s="5"/>
      <c r="GZI189" s="5"/>
      <c r="GZJ189" s="5"/>
      <c r="GZK189" s="5"/>
      <c r="GZL189" s="5"/>
      <c r="GZM189" s="5"/>
      <c r="GZN189" s="5"/>
      <c r="GZO189" s="5"/>
      <c r="GZP189" s="5"/>
      <c r="GZQ189" s="5"/>
      <c r="GZR189" s="5"/>
      <c r="GZS189" s="5"/>
      <c r="GZT189" s="5"/>
      <c r="GZU189" s="5"/>
      <c r="GZV189" s="5"/>
      <c r="GZW189" s="5"/>
      <c r="GZX189" s="5"/>
      <c r="GZY189" s="5"/>
      <c r="GZZ189" s="5"/>
      <c r="HAA189" s="5"/>
      <c r="HAB189" s="5"/>
      <c r="HAC189" s="5"/>
      <c r="HAD189" s="5"/>
      <c r="HAE189" s="5"/>
      <c r="HAF189" s="5"/>
      <c r="HAG189" s="5"/>
      <c r="HAH189" s="5"/>
      <c r="HAI189" s="5"/>
      <c r="HAJ189" s="5"/>
      <c r="HAK189" s="5"/>
      <c r="HAL189" s="5"/>
      <c r="HAM189" s="5"/>
      <c r="HAN189" s="5"/>
      <c r="HAO189" s="5"/>
      <c r="HAP189" s="5"/>
      <c r="HAQ189" s="5"/>
      <c r="HAR189" s="5"/>
      <c r="HAS189" s="5"/>
      <c r="HAT189" s="5"/>
      <c r="HAU189" s="5"/>
      <c r="HAV189" s="5"/>
      <c r="HAW189" s="5"/>
      <c r="HAX189" s="5"/>
      <c r="HAY189" s="5"/>
      <c r="HAZ189" s="5"/>
      <c r="HBA189" s="5"/>
      <c r="HBB189" s="5"/>
      <c r="HBC189" s="5"/>
      <c r="HBD189" s="5"/>
      <c r="HBE189" s="5"/>
      <c r="HBF189" s="5"/>
      <c r="HBG189" s="5"/>
      <c r="HBH189" s="5"/>
      <c r="HBI189" s="5"/>
      <c r="HBJ189" s="5"/>
      <c r="HBK189" s="5"/>
      <c r="HBL189" s="5"/>
      <c r="HBM189" s="5"/>
      <c r="HBN189" s="5"/>
      <c r="HBO189" s="5"/>
      <c r="HBP189" s="5"/>
      <c r="HBQ189" s="5"/>
      <c r="HBR189" s="5"/>
      <c r="HBS189" s="5"/>
      <c r="HBT189" s="5"/>
      <c r="HBU189" s="5"/>
      <c r="HBV189" s="5"/>
      <c r="HBW189" s="5"/>
      <c r="HBX189" s="5"/>
      <c r="HBY189" s="5"/>
      <c r="HBZ189" s="5"/>
      <c r="HCA189" s="5"/>
      <c r="HCB189" s="5"/>
      <c r="HCC189" s="5"/>
      <c r="HCD189" s="5"/>
      <c r="HCE189" s="5"/>
      <c r="HCF189" s="5"/>
      <c r="HCG189" s="5"/>
      <c r="HCH189" s="5"/>
      <c r="HCI189" s="5"/>
      <c r="HCJ189" s="5"/>
      <c r="HCK189" s="5"/>
      <c r="HCL189" s="5"/>
      <c r="HCM189" s="5"/>
      <c r="HCN189" s="5"/>
      <c r="HCO189" s="5"/>
      <c r="HCP189" s="5"/>
      <c r="HCQ189" s="5"/>
      <c r="HCR189" s="5"/>
      <c r="HCS189" s="5"/>
      <c r="HCT189" s="5"/>
      <c r="HCU189" s="5"/>
      <c r="HCV189" s="5"/>
      <c r="HCW189" s="5"/>
      <c r="HCX189" s="5"/>
      <c r="HCY189" s="5"/>
      <c r="HCZ189" s="5"/>
      <c r="HDA189" s="5"/>
      <c r="HDB189" s="5"/>
      <c r="HDC189" s="5"/>
      <c r="HDD189" s="5"/>
      <c r="HDE189" s="5"/>
      <c r="HDF189" s="5"/>
      <c r="HDG189" s="5"/>
      <c r="HDH189" s="5"/>
      <c r="HDI189" s="5"/>
      <c r="HDJ189" s="5"/>
      <c r="HDK189" s="5"/>
      <c r="HDL189" s="5"/>
      <c r="HDM189" s="5"/>
      <c r="HDN189" s="5"/>
      <c r="HDO189" s="5"/>
      <c r="HDP189" s="5"/>
      <c r="HDQ189" s="5"/>
      <c r="HDR189" s="5"/>
      <c r="HDS189" s="5"/>
      <c r="HDT189" s="5"/>
      <c r="HDU189" s="5"/>
      <c r="HDV189" s="5"/>
      <c r="HDW189" s="5"/>
      <c r="HDX189" s="5"/>
      <c r="HDY189" s="5"/>
      <c r="HDZ189" s="5"/>
      <c r="HEA189" s="5"/>
      <c r="HEB189" s="5"/>
      <c r="HEC189" s="5"/>
      <c r="HED189" s="5"/>
      <c r="HEE189" s="5"/>
      <c r="HEF189" s="5"/>
      <c r="HEG189" s="5"/>
      <c r="HEH189" s="5"/>
      <c r="HEI189" s="5"/>
      <c r="HEJ189" s="5"/>
      <c r="HEK189" s="5"/>
      <c r="HEL189" s="5"/>
      <c r="HEM189" s="5"/>
      <c r="HEN189" s="5"/>
      <c r="HEO189" s="5"/>
      <c r="HEP189" s="5"/>
      <c r="HEQ189" s="5"/>
      <c r="HER189" s="5"/>
      <c r="HES189" s="5"/>
      <c r="HET189" s="5"/>
      <c r="HEU189" s="5"/>
      <c r="HEV189" s="5"/>
      <c r="HEW189" s="5"/>
      <c r="HEX189" s="5"/>
      <c r="HEY189" s="5"/>
      <c r="HEZ189" s="5"/>
      <c r="HFA189" s="5"/>
      <c r="HFB189" s="5"/>
      <c r="HFC189" s="5"/>
      <c r="HFD189" s="5"/>
      <c r="HFE189" s="5"/>
      <c r="HFF189" s="5"/>
      <c r="HFG189" s="5"/>
      <c r="HFH189" s="5"/>
      <c r="HFI189" s="5"/>
      <c r="HFJ189" s="5"/>
      <c r="HFK189" s="5"/>
      <c r="HFL189" s="5"/>
      <c r="HFM189" s="5"/>
      <c r="HFN189" s="5"/>
      <c r="HFO189" s="5"/>
      <c r="HFP189" s="5"/>
      <c r="HFQ189" s="5"/>
      <c r="HFR189" s="5"/>
      <c r="HFS189" s="5"/>
      <c r="HFT189" s="5"/>
      <c r="HFU189" s="5"/>
      <c r="HFV189" s="5"/>
      <c r="HFW189" s="5"/>
      <c r="HFX189" s="5"/>
      <c r="HFY189" s="5"/>
      <c r="HFZ189" s="5"/>
      <c r="HGA189" s="5"/>
      <c r="HGB189" s="5"/>
      <c r="HGC189" s="5"/>
      <c r="HGD189" s="5"/>
      <c r="HGE189" s="5"/>
      <c r="HGF189" s="5"/>
      <c r="HGG189" s="5"/>
      <c r="HGH189" s="5"/>
      <c r="HGI189" s="5"/>
      <c r="HGJ189" s="5"/>
      <c r="HGK189" s="5"/>
      <c r="HGL189" s="5"/>
      <c r="HGM189" s="5"/>
      <c r="HGN189" s="5"/>
      <c r="HGO189" s="5"/>
      <c r="HGP189" s="5"/>
      <c r="HGQ189" s="5"/>
      <c r="HGR189" s="5"/>
      <c r="HGS189" s="5"/>
      <c r="HGT189" s="5"/>
      <c r="HGU189" s="5"/>
      <c r="HGV189" s="5"/>
      <c r="HGW189" s="5"/>
      <c r="HGX189" s="5"/>
      <c r="HGY189" s="5"/>
      <c r="HGZ189" s="5"/>
      <c r="HHA189" s="5"/>
      <c r="HHB189" s="5"/>
      <c r="HHC189" s="5"/>
      <c r="HHD189" s="5"/>
      <c r="HHE189" s="5"/>
      <c r="HHF189" s="5"/>
      <c r="HHG189" s="5"/>
      <c r="HHH189" s="5"/>
      <c r="HHI189" s="5"/>
      <c r="HHJ189" s="5"/>
      <c r="HHK189" s="5"/>
      <c r="HHL189" s="5"/>
      <c r="HHM189" s="5"/>
      <c r="HHN189" s="5"/>
      <c r="HHO189" s="5"/>
      <c r="HHP189" s="5"/>
      <c r="HHQ189" s="5"/>
      <c r="HHR189" s="5"/>
      <c r="HHS189" s="5"/>
      <c r="HHT189" s="5"/>
      <c r="HHU189" s="5"/>
      <c r="HHV189" s="5"/>
      <c r="HHW189" s="5"/>
      <c r="HHX189" s="5"/>
      <c r="HHY189" s="5"/>
      <c r="HHZ189" s="5"/>
      <c r="HIA189" s="5"/>
      <c r="HIB189" s="5"/>
      <c r="HIC189" s="5"/>
      <c r="HID189" s="5"/>
      <c r="HIE189" s="5"/>
      <c r="HIF189" s="5"/>
      <c r="HIG189" s="5"/>
      <c r="HIH189" s="5"/>
      <c r="HII189" s="5"/>
      <c r="HIJ189" s="5"/>
      <c r="HIK189" s="5"/>
      <c r="HIL189" s="5"/>
      <c r="HIM189" s="5"/>
      <c r="HIN189" s="5"/>
      <c r="HIO189" s="5"/>
      <c r="HIP189" s="5"/>
      <c r="HIQ189" s="5"/>
      <c r="HIR189" s="5"/>
      <c r="HIS189" s="5"/>
      <c r="HIT189" s="5"/>
      <c r="HIU189" s="5"/>
      <c r="HIV189" s="5"/>
      <c r="HIW189" s="5"/>
      <c r="HIX189" s="5"/>
      <c r="HIY189" s="5"/>
      <c r="HIZ189" s="5"/>
      <c r="HJA189" s="5"/>
      <c r="HJB189" s="5"/>
      <c r="HJC189" s="5"/>
      <c r="HJD189" s="5"/>
      <c r="HJE189" s="5"/>
      <c r="HJF189" s="5"/>
      <c r="HJG189" s="5"/>
      <c r="HJH189" s="5"/>
      <c r="HJI189" s="5"/>
      <c r="HJJ189" s="5"/>
      <c r="HJK189" s="5"/>
      <c r="HJL189" s="5"/>
      <c r="HJM189" s="5"/>
      <c r="HJN189" s="5"/>
      <c r="HJO189" s="5"/>
      <c r="HJP189" s="5"/>
      <c r="HJQ189" s="5"/>
      <c r="HJR189" s="5"/>
      <c r="HJS189" s="5"/>
      <c r="HJT189" s="5"/>
      <c r="HJU189" s="5"/>
      <c r="HJV189" s="5"/>
      <c r="HJW189" s="5"/>
      <c r="HJX189" s="5"/>
      <c r="HJY189" s="5"/>
      <c r="HJZ189" s="5"/>
      <c r="HKA189" s="5"/>
      <c r="HKB189" s="5"/>
      <c r="HKC189" s="5"/>
      <c r="HKD189" s="5"/>
      <c r="HKE189" s="5"/>
      <c r="HKF189" s="5"/>
      <c r="HKG189" s="5"/>
      <c r="HKH189" s="5"/>
      <c r="HKI189" s="5"/>
      <c r="HKJ189" s="5"/>
      <c r="HKK189" s="5"/>
      <c r="HKL189" s="5"/>
      <c r="HKM189" s="5"/>
      <c r="HKN189" s="5"/>
      <c r="HKO189" s="5"/>
      <c r="HKP189" s="5"/>
      <c r="HKQ189" s="5"/>
      <c r="HKR189" s="5"/>
      <c r="HKS189" s="5"/>
      <c r="HKT189" s="5"/>
      <c r="HKU189" s="5"/>
      <c r="HKV189" s="5"/>
      <c r="HKW189" s="5"/>
      <c r="HKX189" s="5"/>
      <c r="HKY189" s="5"/>
      <c r="HKZ189" s="5"/>
      <c r="HLA189" s="5"/>
      <c r="HLB189" s="5"/>
      <c r="HLC189" s="5"/>
      <c r="HLD189" s="5"/>
      <c r="HLE189" s="5"/>
      <c r="HLF189" s="5"/>
      <c r="HLG189" s="5"/>
      <c r="HLH189" s="5"/>
      <c r="HLI189" s="5"/>
      <c r="HLJ189" s="5"/>
      <c r="HLK189" s="5"/>
      <c r="HLL189" s="5"/>
      <c r="HLM189" s="5"/>
      <c r="HLN189" s="5"/>
      <c r="HLO189" s="5"/>
      <c r="HLP189" s="5"/>
      <c r="HLQ189" s="5"/>
      <c r="HLR189" s="5"/>
      <c r="HLS189" s="5"/>
      <c r="HLT189" s="5"/>
      <c r="HLU189" s="5"/>
      <c r="HLV189" s="5"/>
      <c r="HLW189" s="5"/>
      <c r="HLX189" s="5"/>
      <c r="HLY189" s="5"/>
      <c r="HLZ189" s="5"/>
      <c r="HMA189" s="5"/>
      <c r="HMB189" s="5"/>
      <c r="HMC189" s="5"/>
      <c r="HMD189" s="5"/>
      <c r="HME189" s="5"/>
      <c r="HMF189" s="5"/>
      <c r="HMG189" s="5"/>
      <c r="HMH189" s="5"/>
      <c r="HMI189" s="5"/>
      <c r="HMJ189" s="5"/>
      <c r="HMK189" s="5"/>
      <c r="HML189" s="5"/>
      <c r="HMM189" s="5"/>
      <c r="HMN189" s="5"/>
      <c r="HMO189" s="5"/>
      <c r="HMP189" s="5"/>
      <c r="HMQ189" s="5"/>
      <c r="HMR189" s="5"/>
      <c r="HMS189" s="5"/>
      <c r="HMT189" s="5"/>
      <c r="HMU189" s="5"/>
      <c r="HMV189" s="5"/>
      <c r="HMW189" s="5"/>
      <c r="HMX189" s="5"/>
      <c r="HMY189" s="5"/>
      <c r="HMZ189" s="5"/>
      <c r="HNA189" s="5"/>
      <c r="HNB189" s="5"/>
      <c r="HNC189" s="5"/>
      <c r="HND189" s="5"/>
      <c r="HNE189" s="5"/>
      <c r="HNF189" s="5"/>
      <c r="HNG189" s="5"/>
      <c r="HNH189" s="5"/>
      <c r="HNI189" s="5"/>
      <c r="HNJ189" s="5"/>
      <c r="HNK189" s="5"/>
      <c r="HNL189" s="5"/>
      <c r="HNM189" s="5"/>
      <c r="HNN189" s="5"/>
      <c r="HNO189" s="5"/>
      <c r="HNP189" s="5"/>
      <c r="HNQ189" s="5"/>
      <c r="HNR189" s="5"/>
      <c r="HNS189" s="5"/>
      <c r="HNT189" s="5"/>
      <c r="HNU189" s="5"/>
      <c r="HNV189" s="5"/>
      <c r="HNW189" s="5"/>
      <c r="HNX189" s="5"/>
      <c r="HNY189" s="5"/>
      <c r="HNZ189" s="5"/>
      <c r="HOA189" s="5"/>
      <c r="HOB189" s="5"/>
      <c r="HOC189" s="5"/>
      <c r="HOD189" s="5"/>
      <c r="HOE189" s="5"/>
      <c r="HOF189" s="5"/>
      <c r="HOG189" s="5"/>
      <c r="HOH189" s="5"/>
      <c r="HOI189" s="5"/>
      <c r="HOJ189" s="5"/>
      <c r="HOK189" s="5"/>
      <c r="HOL189" s="5"/>
      <c r="HOM189" s="5"/>
      <c r="HON189" s="5"/>
      <c r="HOO189" s="5"/>
      <c r="HOP189" s="5"/>
      <c r="HOQ189" s="5"/>
      <c r="HOR189" s="5"/>
      <c r="HOS189" s="5"/>
      <c r="HOT189" s="5"/>
      <c r="HOU189" s="5"/>
      <c r="HOV189" s="5"/>
      <c r="HOW189" s="5"/>
      <c r="HOX189" s="5"/>
      <c r="HOY189" s="5"/>
      <c r="HOZ189" s="5"/>
      <c r="HPA189" s="5"/>
      <c r="HPB189" s="5"/>
      <c r="HPC189" s="5"/>
      <c r="HPD189" s="5"/>
      <c r="HPE189" s="5"/>
      <c r="HPF189" s="5"/>
      <c r="HPG189" s="5"/>
      <c r="HPH189" s="5"/>
      <c r="HPI189" s="5"/>
      <c r="HPJ189" s="5"/>
      <c r="HPK189" s="5"/>
      <c r="HPL189" s="5"/>
      <c r="HPM189" s="5"/>
      <c r="HPN189" s="5"/>
      <c r="HPO189" s="5"/>
      <c r="HPP189" s="5"/>
      <c r="HPQ189" s="5"/>
      <c r="HPR189" s="5"/>
      <c r="HPS189" s="5"/>
      <c r="HPT189" s="5"/>
      <c r="HPU189" s="5"/>
      <c r="HPV189" s="5"/>
      <c r="HPW189" s="5"/>
      <c r="HPX189" s="5"/>
      <c r="HPY189" s="5"/>
      <c r="HPZ189" s="5"/>
      <c r="HQA189" s="5"/>
      <c r="HQB189" s="5"/>
      <c r="HQC189" s="5"/>
      <c r="HQD189" s="5"/>
      <c r="HQE189" s="5"/>
      <c r="HQF189" s="5"/>
      <c r="HQG189" s="5"/>
      <c r="HQH189" s="5"/>
      <c r="HQI189" s="5"/>
      <c r="HQJ189" s="5"/>
      <c r="HQK189" s="5"/>
      <c r="HQL189" s="5"/>
      <c r="HQM189" s="5"/>
      <c r="HQN189" s="5"/>
      <c r="HQO189" s="5"/>
      <c r="HQP189" s="5"/>
      <c r="HQQ189" s="5"/>
      <c r="HQR189" s="5"/>
      <c r="HQS189" s="5"/>
      <c r="HQT189" s="5"/>
      <c r="HQU189" s="5"/>
      <c r="HQV189" s="5"/>
      <c r="HQW189" s="5"/>
      <c r="HQX189" s="5"/>
      <c r="HQY189" s="5"/>
      <c r="HQZ189" s="5"/>
      <c r="HRA189" s="5"/>
      <c r="HRB189" s="5"/>
      <c r="HRC189" s="5"/>
      <c r="HRD189" s="5"/>
      <c r="HRE189" s="5"/>
      <c r="HRF189" s="5"/>
      <c r="HRG189" s="5"/>
      <c r="HRH189" s="5"/>
      <c r="HRI189" s="5"/>
      <c r="HRJ189" s="5"/>
      <c r="HRK189" s="5"/>
      <c r="HRL189" s="5"/>
      <c r="HRM189" s="5"/>
      <c r="HRN189" s="5"/>
      <c r="HRO189" s="5"/>
      <c r="HRP189" s="5"/>
      <c r="HRQ189" s="5"/>
      <c r="HRR189" s="5"/>
      <c r="HRS189" s="5"/>
      <c r="HRT189" s="5"/>
      <c r="HRU189" s="5"/>
      <c r="HRV189" s="5"/>
      <c r="HRW189" s="5"/>
      <c r="HRX189" s="5"/>
      <c r="HRY189" s="5"/>
      <c r="HRZ189" s="5"/>
      <c r="HSA189" s="5"/>
      <c r="HSB189" s="5"/>
      <c r="HSC189" s="5"/>
      <c r="HSD189" s="5"/>
      <c r="HSE189" s="5"/>
      <c r="HSF189" s="5"/>
      <c r="HSG189" s="5"/>
      <c r="HSH189" s="5"/>
      <c r="HSI189" s="5"/>
      <c r="HSJ189" s="5"/>
      <c r="HSK189" s="5"/>
      <c r="HSL189" s="5"/>
      <c r="HSM189" s="5"/>
      <c r="HSN189" s="5"/>
      <c r="HSO189" s="5"/>
      <c r="HSP189" s="5"/>
      <c r="HSQ189" s="5"/>
      <c r="HSR189" s="5"/>
      <c r="HSS189" s="5"/>
      <c r="HST189" s="5"/>
      <c r="HSU189" s="5"/>
      <c r="HSV189" s="5"/>
      <c r="HSW189" s="5"/>
      <c r="HSX189" s="5"/>
      <c r="HSY189" s="5"/>
      <c r="HSZ189" s="5"/>
      <c r="HTA189" s="5"/>
      <c r="HTB189" s="5"/>
      <c r="HTC189" s="5"/>
      <c r="HTD189" s="5"/>
      <c r="HTE189" s="5"/>
      <c r="HTF189" s="5"/>
      <c r="HTG189" s="5"/>
      <c r="HTH189" s="5"/>
      <c r="HTI189" s="5"/>
      <c r="HTJ189" s="5"/>
      <c r="HTK189" s="5"/>
      <c r="HTL189" s="5"/>
      <c r="HTM189" s="5"/>
      <c r="HTN189" s="5"/>
      <c r="HTO189" s="5"/>
      <c r="HTP189" s="5"/>
      <c r="HTQ189" s="5"/>
      <c r="HTR189" s="5"/>
      <c r="HTS189" s="5"/>
      <c r="HTT189" s="5"/>
      <c r="HTU189" s="5"/>
      <c r="HTV189" s="5"/>
      <c r="HTW189" s="5"/>
      <c r="HTX189" s="5"/>
      <c r="HTY189" s="5"/>
      <c r="HTZ189" s="5"/>
      <c r="HUA189" s="5"/>
      <c r="HUB189" s="5"/>
      <c r="HUC189" s="5"/>
      <c r="HUD189" s="5"/>
      <c r="HUE189" s="5"/>
      <c r="HUF189" s="5"/>
      <c r="HUG189" s="5"/>
      <c r="HUH189" s="5"/>
      <c r="HUI189" s="5"/>
      <c r="HUJ189" s="5"/>
      <c r="HUK189" s="5"/>
      <c r="HUL189" s="5"/>
      <c r="HUM189" s="5"/>
      <c r="HUN189" s="5"/>
      <c r="HUO189" s="5"/>
      <c r="HUP189" s="5"/>
      <c r="HUQ189" s="5"/>
      <c r="HUR189" s="5"/>
      <c r="HUS189" s="5"/>
      <c r="HUT189" s="5"/>
      <c r="HUU189" s="5"/>
      <c r="HUV189" s="5"/>
      <c r="HUW189" s="5"/>
      <c r="HUX189" s="5"/>
      <c r="HUY189" s="5"/>
      <c r="HUZ189" s="5"/>
      <c r="HVA189" s="5"/>
      <c r="HVB189" s="5"/>
      <c r="HVC189" s="5"/>
      <c r="HVD189" s="5"/>
      <c r="HVE189" s="5"/>
      <c r="HVF189" s="5"/>
      <c r="HVG189" s="5"/>
      <c r="HVH189" s="5"/>
      <c r="HVI189" s="5"/>
      <c r="HVJ189" s="5"/>
      <c r="HVK189" s="5"/>
      <c r="HVL189" s="5"/>
      <c r="HVM189" s="5"/>
      <c r="HVN189" s="5"/>
      <c r="HVO189" s="5"/>
      <c r="HVP189" s="5"/>
      <c r="HVQ189" s="5"/>
      <c r="HVR189" s="5"/>
      <c r="HVS189" s="5"/>
      <c r="HVT189" s="5"/>
      <c r="HVU189" s="5"/>
      <c r="HVV189" s="5"/>
      <c r="HVW189" s="5"/>
      <c r="HVX189" s="5"/>
      <c r="HVY189" s="5"/>
      <c r="HVZ189" s="5"/>
      <c r="HWA189" s="5"/>
      <c r="HWB189" s="5"/>
      <c r="HWC189" s="5"/>
      <c r="HWD189" s="5"/>
      <c r="HWE189" s="5"/>
      <c r="HWF189" s="5"/>
      <c r="HWG189" s="5"/>
      <c r="HWH189" s="5"/>
      <c r="HWI189" s="5"/>
      <c r="HWJ189" s="5"/>
      <c r="HWK189" s="5"/>
      <c r="HWL189" s="5"/>
      <c r="HWM189" s="5"/>
      <c r="HWN189" s="5"/>
      <c r="HWO189" s="5"/>
      <c r="HWP189" s="5"/>
      <c r="HWQ189" s="5"/>
      <c r="HWR189" s="5"/>
      <c r="HWS189" s="5"/>
      <c r="HWT189" s="5"/>
      <c r="HWU189" s="5"/>
      <c r="HWV189" s="5"/>
      <c r="HWW189" s="5"/>
      <c r="HWX189" s="5"/>
      <c r="HWY189" s="5"/>
      <c r="HWZ189" s="5"/>
      <c r="HXA189" s="5"/>
      <c r="HXB189" s="5"/>
      <c r="HXC189" s="5"/>
      <c r="HXD189" s="5"/>
      <c r="HXE189" s="5"/>
      <c r="HXF189" s="5"/>
      <c r="HXG189" s="5"/>
      <c r="HXH189" s="5"/>
      <c r="HXI189" s="5"/>
      <c r="HXJ189" s="5"/>
      <c r="HXK189" s="5"/>
      <c r="HXL189" s="5"/>
      <c r="HXM189" s="5"/>
      <c r="HXN189" s="5"/>
      <c r="HXO189" s="5"/>
      <c r="HXP189" s="5"/>
      <c r="HXQ189" s="5"/>
      <c r="HXR189" s="5"/>
      <c r="HXS189" s="5"/>
      <c r="HXT189" s="5"/>
      <c r="HXU189" s="5"/>
      <c r="HXV189" s="5"/>
      <c r="HXW189" s="5"/>
      <c r="HXX189" s="5"/>
      <c r="HXY189" s="5"/>
      <c r="HXZ189" s="5"/>
      <c r="HYA189" s="5"/>
      <c r="HYB189" s="5"/>
      <c r="HYC189" s="5"/>
      <c r="HYD189" s="5"/>
      <c r="HYE189" s="5"/>
      <c r="HYF189" s="5"/>
      <c r="HYG189" s="5"/>
      <c r="HYH189" s="5"/>
      <c r="HYI189" s="5"/>
      <c r="HYJ189" s="5"/>
      <c r="HYK189" s="5"/>
      <c r="HYL189" s="5"/>
      <c r="HYM189" s="5"/>
      <c r="HYN189" s="5"/>
      <c r="HYO189" s="5"/>
      <c r="HYP189" s="5"/>
      <c r="HYQ189" s="5"/>
      <c r="HYR189" s="5"/>
      <c r="HYS189" s="5"/>
      <c r="HYT189" s="5"/>
      <c r="HYU189" s="5"/>
      <c r="HYV189" s="5"/>
      <c r="HYW189" s="5"/>
      <c r="HYX189" s="5"/>
      <c r="HYY189" s="5"/>
      <c r="HYZ189" s="5"/>
      <c r="HZA189" s="5"/>
      <c r="HZB189" s="5"/>
      <c r="HZC189" s="5"/>
      <c r="HZD189" s="5"/>
      <c r="HZE189" s="5"/>
      <c r="HZF189" s="5"/>
      <c r="HZG189" s="5"/>
      <c r="HZH189" s="5"/>
      <c r="HZI189" s="5"/>
      <c r="HZJ189" s="5"/>
      <c r="HZK189" s="5"/>
      <c r="HZL189" s="5"/>
      <c r="HZM189" s="5"/>
      <c r="HZN189" s="5"/>
      <c r="HZO189" s="5"/>
      <c r="HZP189" s="5"/>
      <c r="HZQ189" s="5"/>
      <c r="HZR189" s="5"/>
      <c r="HZS189" s="5"/>
      <c r="HZT189" s="5"/>
      <c r="HZU189" s="5"/>
      <c r="HZV189" s="5"/>
      <c r="HZW189" s="5"/>
      <c r="HZX189" s="5"/>
      <c r="HZY189" s="5"/>
      <c r="HZZ189" s="5"/>
      <c r="IAA189" s="5"/>
      <c r="IAB189" s="5"/>
      <c r="IAC189" s="5"/>
      <c r="IAD189" s="5"/>
      <c r="IAE189" s="5"/>
      <c r="IAF189" s="5"/>
      <c r="IAG189" s="5"/>
      <c r="IAH189" s="5"/>
      <c r="IAI189" s="5"/>
      <c r="IAJ189" s="5"/>
      <c r="IAK189" s="5"/>
      <c r="IAL189" s="5"/>
      <c r="IAM189" s="5"/>
      <c r="IAN189" s="5"/>
      <c r="IAO189" s="5"/>
      <c r="IAP189" s="5"/>
      <c r="IAQ189" s="5"/>
      <c r="IAR189" s="5"/>
      <c r="IAS189" s="5"/>
      <c r="IAT189" s="5"/>
      <c r="IAU189" s="5"/>
      <c r="IAV189" s="5"/>
      <c r="IAW189" s="5"/>
      <c r="IAX189" s="5"/>
      <c r="IAY189" s="5"/>
      <c r="IAZ189" s="5"/>
      <c r="IBA189" s="5"/>
      <c r="IBB189" s="5"/>
      <c r="IBC189" s="5"/>
      <c r="IBD189" s="5"/>
      <c r="IBE189" s="5"/>
      <c r="IBF189" s="5"/>
      <c r="IBG189" s="5"/>
      <c r="IBH189" s="5"/>
      <c r="IBI189" s="5"/>
      <c r="IBJ189" s="5"/>
      <c r="IBK189" s="5"/>
      <c r="IBL189" s="5"/>
      <c r="IBM189" s="5"/>
      <c r="IBN189" s="5"/>
      <c r="IBO189" s="5"/>
      <c r="IBP189" s="5"/>
      <c r="IBQ189" s="5"/>
      <c r="IBR189" s="5"/>
      <c r="IBS189" s="5"/>
      <c r="IBT189" s="5"/>
      <c r="IBU189" s="5"/>
      <c r="IBV189" s="5"/>
      <c r="IBW189" s="5"/>
      <c r="IBX189" s="5"/>
      <c r="IBY189" s="5"/>
      <c r="IBZ189" s="5"/>
      <c r="ICA189" s="5"/>
      <c r="ICB189" s="5"/>
      <c r="ICC189" s="5"/>
      <c r="ICD189" s="5"/>
      <c r="ICE189" s="5"/>
      <c r="ICF189" s="5"/>
      <c r="ICG189" s="5"/>
      <c r="ICH189" s="5"/>
      <c r="ICI189" s="5"/>
      <c r="ICJ189" s="5"/>
      <c r="ICK189" s="5"/>
      <c r="ICL189" s="5"/>
      <c r="ICM189" s="5"/>
      <c r="ICN189" s="5"/>
      <c r="ICO189" s="5"/>
      <c r="ICP189" s="5"/>
      <c r="ICQ189" s="5"/>
      <c r="ICR189" s="5"/>
      <c r="ICS189" s="5"/>
      <c r="ICT189" s="5"/>
      <c r="ICU189" s="5"/>
      <c r="ICV189" s="5"/>
      <c r="ICW189" s="5"/>
      <c r="ICX189" s="5"/>
      <c r="ICY189" s="5"/>
      <c r="ICZ189" s="5"/>
      <c r="IDA189" s="5"/>
      <c r="IDB189" s="5"/>
      <c r="IDC189" s="5"/>
      <c r="IDD189" s="5"/>
      <c r="IDE189" s="5"/>
      <c r="IDF189" s="5"/>
      <c r="IDG189" s="5"/>
      <c r="IDH189" s="5"/>
      <c r="IDI189" s="5"/>
      <c r="IDJ189" s="5"/>
      <c r="IDK189" s="5"/>
      <c r="IDL189" s="5"/>
      <c r="IDM189" s="5"/>
      <c r="IDN189" s="5"/>
      <c r="IDO189" s="5"/>
      <c r="IDP189" s="5"/>
      <c r="IDQ189" s="5"/>
      <c r="IDR189" s="5"/>
      <c r="IDS189" s="5"/>
      <c r="IDT189" s="5"/>
      <c r="IDU189" s="5"/>
      <c r="IDV189" s="5"/>
      <c r="IDW189" s="5"/>
      <c r="IDX189" s="5"/>
      <c r="IDY189" s="5"/>
      <c r="IDZ189" s="5"/>
      <c r="IEA189" s="5"/>
      <c r="IEB189" s="5"/>
      <c r="IEC189" s="5"/>
      <c r="IED189" s="5"/>
      <c r="IEE189" s="5"/>
      <c r="IEF189" s="5"/>
      <c r="IEG189" s="5"/>
      <c r="IEH189" s="5"/>
      <c r="IEI189" s="5"/>
      <c r="IEJ189" s="5"/>
      <c r="IEK189" s="5"/>
      <c r="IEL189" s="5"/>
      <c r="IEM189" s="5"/>
      <c r="IEN189" s="5"/>
      <c r="IEO189" s="5"/>
      <c r="IEP189" s="5"/>
      <c r="IEQ189" s="5"/>
      <c r="IER189" s="5"/>
      <c r="IES189" s="5"/>
      <c r="IET189" s="5"/>
      <c r="IEU189" s="5"/>
      <c r="IEV189" s="5"/>
      <c r="IEW189" s="5"/>
      <c r="IEX189" s="5"/>
      <c r="IEY189" s="5"/>
      <c r="IEZ189" s="5"/>
      <c r="IFA189" s="5"/>
      <c r="IFB189" s="5"/>
      <c r="IFC189" s="5"/>
      <c r="IFD189" s="5"/>
      <c r="IFE189" s="5"/>
      <c r="IFF189" s="5"/>
      <c r="IFG189" s="5"/>
      <c r="IFH189" s="5"/>
      <c r="IFI189" s="5"/>
      <c r="IFJ189" s="5"/>
      <c r="IFK189" s="5"/>
      <c r="IFL189" s="5"/>
      <c r="IFM189" s="5"/>
      <c r="IFN189" s="5"/>
      <c r="IFO189" s="5"/>
      <c r="IFP189" s="5"/>
      <c r="IFQ189" s="5"/>
      <c r="IFR189" s="5"/>
      <c r="IFS189" s="5"/>
      <c r="IFT189" s="5"/>
      <c r="IFU189" s="5"/>
      <c r="IFV189" s="5"/>
      <c r="IFW189" s="5"/>
      <c r="IFX189" s="5"/>
      <c r="IFY189" s="5"/>
      <c r="IFZ189" s="5"/>
      <c r="IGA189" s="5"/>
      <c r="IGB189" s="5"/>
      <c r="IGC189" s="5"/>
      <c r="IGD189" s="5"/>
      <c r="IGE189" s="5"/>
      <c r="IGF189" s="5"/>
      <c r="IGG189" s="5"/>
      <c r="IGH189" s="5"/>
      <c r="IGI189" s="5"/>
      <c r="IGJ189" s="5"/>
      <c r="IGK189" s="5"/>
      <c r="IGL189" s="5"/>
      <c r="IGM189" s="5"/>
      <c r="IGN189" s="5"/>
      <c r="IGO189" s="5"/>
      <c r="IGP189" s="5"/>
      <c r="IGQ189" s="5"/>
      <c r="IGR189" s="5"/>
      <c r="IGS189" s="5"/>
      <c r="IGT189" s="5"/>
      <c r="IGU189" s="5"/>
      <c r="IGV189" s="5"/>
      <c r="IGW189" s="5"/>
      <c r="IGX189" s="5"/>
      <c r="IGY189" s="5"/>
      <c r="IGZ189" s="5"/>
      <c r="IHA189" s="5"/>
      <c r="IHB189" s="5"/>
      <c r="IHC189" s="5"/>
      <c r="IHD189" s="5"/>
      <c r="IHE189" s="5"/>
      <c r="IHF189" s="5"/>
      <c r="IHG189" s="5"/>
      <c r="IHH189" s="5"/>
      <c r="IHI189" s="5"/>
      <c r="IHJ189" s="5"/>
      <c r="IHK189" s="5"/>
      <c r="IHL189" s="5"/>
      <c r="IHM189" s="5"/>
      <c r="IHN189" s="5"/>
      <c r="IHO189" s="5"/>
      <c r="IHP189" s="5"/>
      <c r="IHQ189" s="5"/>
      <c r="IHR189" s="5"/>
      <c r="IHS189" s="5"/>
      <c r="IHT189" s="5"/>
      <c r="IHU189" s="5"/>
      <c r="IHV189" s="5"/>
      <c r="IHW189" s="5"/>
      <c r="IHX189" s="5"/>
      <c r="IHY189" s="5"/>
      <c r="IHZ189" s="5"/>
      <c r="IIA189" s="5"/>
      <c r="IIB189" s="5"/>
      <c r="IIC189" s="5"/>
      <c r="IID189" s="5"/>
      <c r="IIE189" s="5"/>
      <c r="IIF189" s="5"/>
      <c r="IIG189" s="5"/>
      <c r="IIH189" s="5"/>
      <c r="III189" s="5"/>
      <c r="IIJ189" s="5"/>
      <c r="IIK189" s="5"/>
      <c r="IIL189" s="5"/>
      <c r="IIM189" s="5"/>
      <c r="IIN189" s="5"/>
      <c r="IIO189" s="5"/>
      <c r="IIP189" s="5"/>
      <c r="IIQ189" s="5"/>
      <c r="IIR189" s="5"/>
      <c r="IIS189" s="5"/>
      <c r="IIT189" s="5"/>
      <c r="IIU189" s="5"/>
      <c r="IIV189" s="5"/>
      <c r="IIW189" s="5"/>
      <c r="IIX189" s="5"/>
      <c r="IIY189" s="5"/>
      <c r="IIZ189" s="5"/>
      <c r="IJA189" s="5"/>
      <c r="IJB189" s="5"/>
      <c r="IJC189" s="5"/>
      <c r="IJD189" s="5"/>
      <c r="IJE189" s="5"/>
      <c r="IJF189" s="5"/>
      <c r="IJG189" s="5"/>
      <c r="IJH189" s="5"/>
      <c r="IJI189" s="5"/>
      <c r="IJJ189" s="5"/>
      <c r="IJK189" s="5"/>
      <c r="IJL189" s="5"/>
      <c r="IJM189" s="5"/>
      <c r="IJN189" s="5"/>
      <c r="IJO189" s="5"/>
      <c r="IJP189" s="5"/>
      <c r="IJQ189" s="5"/>
      <c r="IJR189" s="5"/>
      <c r="IJS189" s="5"/>
      <c r="IJT189" s="5"/>
      <c r="IJU189" s="5"/>
      <c r="IJV189" s="5"/>
      <c r="IJW189" s="5"/>
      <c r="IJX189" s="5"/>
      <c r="IJY189" s="5"/>
      <c r="IJZ189" s="5"/>
      <c r="IKA189" s="5"/>
      <c r="IKB189" s="5"/>
      <c r="IKC189" s="5"/>
      <c r="IKD189" s="5"/>
      <c r="IKE189" s="5"/>
      <c r="IKF189" s="5"/>
      <c r="IKG189" s="5"/>
      <c r="IKH189" s="5"/>
      <c r="IKI189" s="5"/>
      <c r="IKJ189" s="5"/>
      <c r="IKK189" s="5"/>
      <c r="IKL189" s="5"/>
      <c r="IKM189" s="5"/>
      <c r="IKN189" s="5"/>
      <c r="IKO189" s="5"/>
      <c r="IKP189" s="5"/>
      <c r="IKQ189" s="5"/>
      <c r="IKR189" s="5"/>
      <c r="IKS189" s="5"/>
      <c r="IKT189" s="5"/>
      <c r="IKU189" s="5"/>
      <c r="IKV189" s="5"/>
      <c r="IKW189" s="5"/>
      <c r="IKX189" s="5"/>
      <c r="IKY189" s="5"/>
      <c r="IKZ189" s="5"/>
      <c r="ILA189" s="5"/>
      <c r="ILB189" s="5"/>
      <c r="ILC189" s="5"/>
      <c r="ILD189" s="5"/>
      <c r="ILE189" s="5"/>
      <c r="ILF189" s="5"/>
      <c r="ILG189" s="5"/>
      <c r="ILH189" s="5"/>
      <c r="ILI189" s="5"/>
      <c r="ILJ189" s="5"/>
      <c r="ILK189" s="5"/>
      <c r="ILL189" s="5"/>
      <c r="ILM189" s="5"/>
      <c r="ILN189" s="5"/>
      <c r="ILO189" s="5"/>
      <c r="ILP189" s="5"/>
      <c r="ILQ189" s="5"/>
      <c r="ILR189" s="5"/>
      <c r="ILS189" s="5"/>
      <c r="ILT189" s="5"/>
      <c r="ILU189" s="5"/>
      <c r="ILV189" s="5"/>
      <c r="ILW189" s="5"/>
      <c r="ILX189" s="5"/>
      <c r="ILY189" s="5"/>
      <c r="ILZ189" s="5"/>
      <c r="IMA189" s="5"/>
      <c r="IMB189" s="5"/>
      <c r="IMC189" s="5"/>
      <c r="IMD189" s="5"/>
      <c r="IME189" s="5"/>
      <c r="IMF189" s="5"/>
      <c r="IMG189" s="5"/>
      <c r="IMH189" s="5"/>
      <c r="IMI189" s="5"/>
      <c r="IMJ189" s="5"/>
      <c r="IMK189" s="5"/>
      <c r="IML189" s="5"/>
      <c r="IMM189" s="5"/>
      <c r="IMN189" s="5"/>
      <c r="IMO189" s="5"/>
      <c r="IMP189" s="5"/>
      <c r="IMQ189" s="5"/>
      <c r="IMR189" s="5"/>
      <c r="IMS189" s="5"/>
      <c r="IMT189" s="5"/>
      <c r="IMU189" s="5"/>
      <c r="IMV189" s="5"/>
      <c r="IMW189" s="5"/>
      <c r="IMX189" s="5"/>
      <c r="IMY189" s="5"/>
      <c r="IMZ189" s="5"/>
      <c r="INA189" s="5"/>
      <c r="INB189" s="5"/>
      <c r="INC189" s="5"/>
      <c r="IND189" s="5"/>
      <c r="INE189" s="5"/>
      <c r="INF189" s="5"/>
      <c r="ING189" s="5"/>
      <c r="INH189" s="5"/>
      <c r="INI189" s="5"/>
      <c r="INJ189" s="5"/>
      <c r="INK189" s="5"/>
      <c r="INL189" s="5"/>
      <c r="INM189" s="5"/>
      <c r="INN189" s="5"/>
      <c r="INO189" s="5"/>
      <c r="INP189" s="5"/>
      <c r="INQ189" s="5"/>
      <c r="INR189" s="5"/>
      <c r="INS189" s="5"/>
      <c r="INT189" s="5"/>
      <c r="INU189" s="5"/>
      <c r="INV189" s="5"/>
      <c r="INW189" s="5"/>
      <c r="INX189" s="5"/>
      <c r="INY189" s="5"/>
      <c r="INZ189" s="5"/>
      <c r="IOA189" s="5"/>
      <c r="IOB189" s="5"/>
      <c r="IOC189" s="5"/>
      <c r="IOD189" s="5"/>
      <c r="IOE189" s="5"/>
      <c r="IOF189" s="5"/>
      <c r="IOG189" s="5"/>
      <c r="IOH189" s="5"/>
      <c r="IOI189" s="5"/>
      <c r="IOJ189" s="5"/>
      <c r="IOK189" s="5"/>
      <c r="IOL189" s="5"/>
      <c r="IOM189" s="5"/>
      <c r="ION189" s="5"/>
      <c r="IOO189" s="5"/>
      <c r="IOP189" s="5"/>
      <c r="IOQ189" s="5"/>
      <c r="IOR189" s="5"/>
      <c r="IOS189" s="5"/>
      <c r="IOT189" s="5"/>
      <c r="IOU189" s="5"/>
      <c r="IOV189" s="5"/>
      <c r="IOW189" s="5"/>
      <c r="IOX189" s="5"/>
      <c r="IOY189" s="5"/>
      <c r="IOZ189" s="5"/>
      <c r="IPA189" s="5"/>
      <c r="IPB189" s="5"/>
      <c r="IPC189" s="5"/>
      <c r="IPD189" s="5"/>
      <c r="IPE189" s="5"/>
      <c r="IPF189" s="5"/>
      <c r="IPG189" s="5"/>
      <c r="IPH189" s="5"/>
      <c r="IPI189" s="5"/>
      <c r="IPJ189" s="5"/>
      <c r="IPK189" s="5"/>
      <c r="IPL189" s="5"/>
      <c r="IPM189" s="5"/>
      <c r="IPN189" s="5"/>
      <c r="IPO189" s="5"/>
      <c r="IPP189" s="5"/>
      <c r="IPQ189" s="5"/>
      <c r="IPR189" s="5"/>
      <c r="IPS189" s="5"/>
      <c r="IPT189" s="5"/>
      <c r="IPU189" s="5"/>
      <c r="IPV189" s="5"/>
      <c r="IPW189" s="5"/>
      <c r="IPX189" s="5"/>
      <c r="IPY189" s="5"/>
      <c r="IPZ189" s="5"/>
      <c r="IQA189" s="5"/>
      <c r="IQB189" s="5"/>
      <c r="IQC189" s="5"/>
      <c r="IQD189" s="5"/>
      <c r="IQE189" s="5"/>
      <c r="IQF189" s="5"/>
      <c r="IQG189" s="5"/>
      <c r="IQH189" s="5"/>
      <c r="IQI189" s="5"/>
      <c r="IQJ189" s="5"/>
      <c r="IQK189" s="5"/>
      <c r="IQL189" s="5"/>
      <c r="IQM189" s="5"/>
      <c r="IQN189" s="5"/>
      <c r="IQO189" s="5"/>
      <c r="IQP189" s="5"/>
      <c r="IQQ189" s="5"/>
      <c r="IQR189" s="5"/>
      <c r="IQS189" s="5"/>
      <c r="IQT189" s="5"/>
      <c r="IQU189" s="5"/>
      <c r="IQV189" s="5"/>
      <c r="IQW189" s="5"/>
      <c r="IQX189" s="5"/>
      <c r="IQY189" s="5"/>
      <c r="IQZ189" s="5"/>
      <c r="IRA189" s="5"/>
      <c r="IRB189" s="5"/>
      <c r="IRC189" s="5"/>
      <c r="IRD189" s="5"/>
      <c r="IRE189" s="5"/>
      <c r="IRF189" s="5"/>
      <c r="IRG189" s="5"/>
      <c r="IRH189" s="5"/>
      <c r="IRI189" s="5"/>
      <c r="IRJ189" s="5"/>
      <c r="IRK189" s="5"/>
      <c r="IRL189" s="5"/>
      <c r="IRM189" s="5"/>
      <c r="IRN189" s="5"/>
      <c r="IRO189" s="5"/>
      <c r="IRP189" s="5"/>
      <c r="IRQ189" s="5"/>
      <c r="IRR189" s="5"/>
      <c r="IRS189" s="5"/>
      <c r="IRT189" s="5"/>
      <c r="IRU189" s="5"/>
      <c r="IRV189" s="5"/>
      <c r="IRW189" s="5"/>
      <c r="IRX189" s="5"/>
      <c r="IRY189" s="5"/>
      <c r="IRZ189" s="5"/>
      <c r="ISA189" s="5"/>
      <c r="ISB189" s="5"/>
      <c r="ISC189" s="5"/>
      <c r="ISD189" s="5"/>
      <c r="ISE189" s="5"/>
      <c r="ISF189" s="5"/>
      <c r="ISG189" s="5"/>
      <c r="ISH189" s="5"/>
      <c r="ISI189" s="5"/>
      <c r="ISJ189" s="5"/>
      <c r="ISK189" s="5"/>
      <c r="ISL189" s="5"/>
      <c r="ISM189" s="5"/>
      <c r="ISN189" s="5"/>
      <c r="ISO189" s="5"/>
      <c r="ISP189" s="5"/>
      <c r="ISQ189" s="5"/>
      <c r="ISR189" s="5"/>
      <c r="ISS189" s="5"/>
      <c r="IST189" s="5"/>
      <c r="ISU189" s="5"/>
      <c r="ISV189" s="5"/>
      <c r="ISW189" s="5"/>
      <c r="ISX189" s="5"/>
      <c r="ISY189" s="5"/>
      <c r="ISZ189" s="5"/>
      <c r="ITA189" s="5"/>
      <c r="ITB189" s="5"/>
      <c r="ITC189" s="5"/>
      <c r="ITD189" s="5"/>
      <c r="ITE189" s="5"/>
      <c r="ITF189" s="5"/>
      <c r="ITG189" s="5"/>
      <c r="ITH189" s="5"/>
      <c r="ITI189" s="5"/>
      <c r="ITJ189" s="5"/>
      <c r="ITK189" s="5"/>
      <c r="ITL189" s="5"/>
      <c r="ITM189" s="5"/>
      <c r="ITN189" s="5"/>
      <c r="ITO189" s="5"/>
      <c r="ITP189" s="5"/>
      <c r="ITQ189" s="5"/>
      <c r="ITR189" s="5"/>
      <c r="ITS189" s="5"/>
      <c r="ITT189" s="5"/>
      <c r="ITU189" s="5"/>
      <c r="ITV189" s="5"/>
      <c r="ITW189" s="5"/>
      <c r="ITX189" s="5"/>
      <c r="ITY189" s="5"/>
      <c r="ITZ189" s="5"/>
      <c r="IUA189" s="5"/>
      <c r="IUB189" s="5"/>
      <c r="IUC189" s="5"/>
      <c r="IUD189" s="5"/>
      <c r="IUE189" s="5"/>
      <c r="IUF189" s="5"/>
      <c r="IUG189" s="5"/>
      <c r="IUH189" s="5"/>
      <c r="IUI189" s="5"/>
      <c r="IUJ189" s="5"/>
      <c r="IUK189" s="5"/>
      <c r="IUL189" s="5"/>
      <c r="IUM189" s="5"/>
      <c r="IUN189" s="5"/>
      <c r="IUO189" s="5"/>
      <c r="IUP189" s="5"/>
      <c r="IUQ189" s="5"/>
      <c r="IUR189" s="5"/>
      <c r="IUS189" s="5"/>
      <c r="IUT189" s="5"/>
      <c r="IUU189" s="5"/>
      <c r="IUV189" s="5"/>
      <c r="IUW189" s="5"/>
      <c r="IUX189" s="5"/>
      <c r="IUY189" s="5"/>
      <c r="IUZ189" s="5"/>
      <c r="IVA189" s="5"/>
      <c r="IVB189" s="5"/>
      <c r="IVC189" s="5"/>
      <c r="IVD189" s="5"/>
      <c r="IVE189" s="5"/>
      <c r="IVF189" s="5"/>
      <c r="IVG189" s="5"/>
      <c r="IVH189" s="5"/>
      <c r="IVI189" s="5"/>
      <c r="IVJ189" s="5"/>
      <c r="IVK189" s="5"/>
      <c r="IVL189" s="5"/>
      <c r="IVM189" s="5"/>
      <c r="IVN189" s="5"/>
      <c r="IVO189" s="5"/>
      <c r="IVP189" s="5"/>
      <c r="IVQ189" s="5"/>
      <c r="IVR189" s="5"/>
      <c r="IVS189" s="5"/>
      <c r="IVT189" s="5"/>
      <c r="IVU189" s="5"/>
      <c r="IVV189" s="5"/>
      <c r="IVW189" s="5"/>
      <c r="IVX189" s="5"/>
      <c r="IVY189" s="5"/>
      <c r="IVZ189" s="5"/>
      <c r="IWA189" s="5"/>
      <c r="IWB189" s="5"/>
      <c r="IWC189" s="5"/>
      <c r="IWD189" s="5"/>
      <c r="IWE189" s="5"/>
      <c r="IWF189" s="5"/>
      <c r="IWG189" s="5"/>
      <c r="IWH189" s="5"/>
      <c r="IWI189" s="5"/>
      <c r="IWJ189" s="5"/>
      <c r="IWK189" s="5"/>
      <c r="IWL189" s="5"/>
      <c r="IWM189" s="5"/>
      <c r="IWN189" s="5"/>
      <c r="IWO189" s="5"/>
      <c r="IWP189" s="5"/>
      <c r="IWQ189" s="5"/>
      <c r="IWR189" s="5"/>
      <c r="IWS189" s="5"/>
      <c r="IWT189" s="5"/>
      <c r="IWU189" s="5"/>
      <c r="IWV189" s="5"/>
      <c r="IWW189" s="5"/>
      <c r="IWX189" s="5"/>
      <c r="IWY189" s="5"/>
      <c r="IWZ189" s="5"/>
      <c r="IXA189" s="5"/>
      <c r="IXB189" s="5"/>
      <c r="IXC189" s="5"/>
      <c r="IXD189" s="5"/>
      <c r="IXE189" s="5"/>
      <c r="IXF189" s="5"/>
      <c r="IXG189" s="5"/>
      <c r="IXH189" s="5"/>
      <c r="IXI189" s="5"/>
      <c r="IXJ189" s="5"/>
      <c r="IXK189" s="5"/>
      <c r="IXL189" s="5"/>
      <c r="IXM189" s="5"/>
      <c r="IXN189" s="5"/>
      <c r="IXO189" s="5"/>
      <c r="IXP189" s="5"/>
      <c r="IXQ189" s="5"/>
      <c r="IXR189" s="5"/>
      <c r="IXS189" s="5"/>
      <c r="IXT189" s="5"/>
      <c r="IXU189" s="5"/>
      <c r="IXV189" s="5"/>
      <c r="IXW189" s="5"/>
      <c r="IXX189" s="5"/>
      <c r="IXY189" s="5"/>
      <c r="IXZ189" s="5"/>
      <c r="IYA189" s="5"/>
      <c r="IYB189" s="5"/>
      <c r="IYC189" s="5"/>
      <c r="IYD189" s="5"/>
      <c r="IYE189" s="5"/>
      <c r="IYF189" s="5"/>
      <c r="IYG189" s="5"/>
      <c r="IYH189" s="5"/>
      <c r="IYI189" s="5"/>
      <c r="IYJ189" s="5"/>
      <c r="IYK189" s="5"/>
      <c r="IYL189" s="5"/>
      <c r="IYM189" s="5"/>
      <c r="IYN189" s="5"/>
      <c r="IYO189" s="5"/>
      <c r="IYP189" s="5"/>
      <c r="IYQ189" s="5"/>
      <c r="IYR189" s="5"/>
      <c r="IYS189" s="5"/>
      <c r="IYT189" s="5"/>
      <c r="IYU189" s="5"/>
      <c r="IYV189" s="5"/>
      <c r="IYW189" s="5"/>
      <c r="IYX189" s="5"/>
      <c r="IYY189" s="5"/>
      <c r="IYZ189" s="5"/>
      <c r="IZA189" s="5"/>
      <c r="IZB189" s="5"/>
      <c r="IZC189" s="5"/>
      <c r="IZD189" s="5"/>
      <c r="IZE189" s="5"/>
      <c r="IZF189" s="5"/>
      <c r="IZG189" s="5"/>
      <c r="IZH189" s="5"/>
      <c r="IZI189" s="5"/>
      <c r="IZJ189" s="5"/>
      <c r="IZK189" s="5"/>
      <c r="IZL189" s="5"/>
      <c r="IZM189" s="5"/>
      <c r="IZN189" s="5"/>
      <c r="IZO189" s="5"/>
      <c r="IZP189" s="5"/>
      <c r="IZQ189" s="5"/>
      <c r="IZR189" s="5"/>
      <c r="IZS189" s="5"/>
      <c r="IZT189" s="5"/>
      <c r="IZU189" s="5"/>
      <c r="IZV189" s="5"/>
      <c r="IZW189" s="5"/>
      <c r="IZX189" s="5"/>
      <c r="IZY189" s="5"/>
      <c r="IZZ189" s="5"/>
      <c r="JAA189" s="5"/>
      <c r="JAB189" s="5"/>
      <c r="JAC189" s="5"/>
      <c r="JAD189" s="5"/>
      <c r="JAE189" s="5"/>
      <c r="JAF189" s="5"/>
      <c r="JAG189" s="5"/>
      <c r="JAH189" s="5"/>
      <c r="JAI189" s="5"/>
      <c r="JAJ189" s="5"/>
      <c r="JAK189" s="5"/>
      <c r="JAL189" s="5"/>
      <c r="JAM189" s="5"/>
      <c r="JAN189" s="5"/>
      <c r="JAO189" s="5"/>
      <c r="JAP189" s="5"/>
      <c r="JAQ189" s="5"/>
      <c r="JAR189" s="5"/>
      <c r="JAS189" s="5"/>
      <c r="JAT189" s="5"/>
      <c r="JAU189" s="5"/>
      <c r="JAV189" s="5"/>
      <c r="JAW189" s="5"/>
      <c r="JAX189" s="5"/>
      <c r="JAY189" s="5"/>
      <c r="JAZ189" s="5"/>
      <c r="JBA189" s="5"/>
      <c r="JBB189" s="5"/>
      <c r="JBC189" s="5"/>
      <c r="JBD189" s="5"/>
      <c r="JBE189" s="5"/>
      <c r="JBF189" s="5"/>
      <c r="JBG189" s="5"/>
      <c r="JBH189" s="5"/>
      <c r="JBI189" s="5"/>
      <c r="JBJ189" s="5"/>
      <c r="JBK189" s="5"/>
      <c r="JBL189" s="5"/>
      <c r="JBM189" s="5"/>
      <c r="JBN189" s="5"/>
      <c r="JBO189" s="5"/>
      <c r="JBP189" s="5"/>
      <c r="JBQ189" s="5"/>
      <c r="JBR189" s="5"/>
      <c r="JBS189" s="5"/>
      <c r="JBT189" s="5"/>
      <c r="JBU189" s="5"/>
      <c r="JBV189" s="5"/>
      <c r="JBW189" s="5"/>
      <c r="JBX189" s="5"/>
      <c r="JBY189" s="5"/>
      <c r="JBZ189" s="5"/>
      <c r="JCA189" s="5"/>
      <c r="JCB189" s="5"/>
      <c r="JCC189" s="5"/>
      <c r="JCD189" s="5"/>
      <c r="JCE189" s="5"/>
      <c r="JCF189" s="5"/>
      <c r="JCG189" s="5"/>
      <c r="JCH189" s="5"/>
      <c r="JCI189" s="5"/>
      <c r="JCJ189" s="5"/>
      <c r="JCK189" s="5"/>
      <c r="JCL189" s="5"/>
      <c r="JCM189" s="5"/>
      <c r="JCN189" s="5"/>
      <c r="JCO189" s="5"/>
      <c r="JCP189" s="5"/>
      <c r="JCQ189" s="5"/>
      <c r="JCR189" s="5"/>
      <c r="JCS189" s="5"/>
      <c r="JCT189" s="5"/>
      <c r="JCU189" s="5"/>
      <c r="JCV189" s="5"/>
      <c r="JCW189" s="5"/>
      <c r="JCX189" s="5"/>
      <c r="JCY189" s="5"/>
      <c r="JCZ189" s="5"/>
      <c r="JDA189" s="5"/>
      <c r="JDB189" s="5"/>
      <c r="JDC189" s="5"/>
      <c r="JDD189" s="5"/>
      <c r="JDE189" s="5"/>
      <c r="JDF189" s="5"/>
      <c r="JDG189" s="5"/>
      <c r="JDH189" s="5"/>
      <c r="JDI189" s="5"/>
      <c r="JDJ189" s="5"/>
      <c r="JDK189" s="5"/>
      <c r="JDL189" s="5"/>
      <c r="JDM189" s="5"/>
      <c r="JDN189" s="5"/>
      <c r="JDO189" s="5"/>
      <c r="JDP189" s="5"/>
      <c r="JDQ189" s="5"/>
      <c r="JDR189" s="5"/>
      <c r="JDS189" s="5"/>
      <c r="JDT189" s="5"/>
      <c r="JDU189" s="5"/>
      <c r="JDV189" s="5"/>
      <c r="JDW189" s="5"/>
      <c r="JDX189" s="5"/>
      <c r="JDY189" s="5"/>
      <c r="JDZ189" s="5"/>
      <c r="JEA189" s="5"/>
      <c r="JEB189" s="5"/>
      <c r="JEC189" s="5"/>
      <c r="JED189" s="5"/>
      <c r="JEE189" s="5"/>
      <c r="JEF189" s="5"/>
      <c r="JEG189" s="5"/>
      <c r="JEH189" s="5"/>
      <c r="JEI189" s="5"/>
      <c r="JEJ189" s="5"/>
      <c r="JEK189" s="5"/>
      <c r="JEL189" s="5"/>
      <c r="JEM189" s="5"/>
      <c r="JEN189" s="5"/>
      <c r="JEO189" s="5"/>
      <c r="JEP189" s="5"/>
      <c r="JEQ189" s="5"/>
      <c r="JER189" s="5"/>
      <c r="JES189" s="5"/>
      <c r="JET189" s="5"/>
      <c r="JEU189" s="5"/>
      <c r="JEV189" s="5"/>
      <c r="JEW189" s="5"/>
      <c r="JEX189" s="5"/>
      <c r="JEY189" s="5"/>
      <c r="JEZ189" s="5"/>
      <c r="JFA189" s="5"/>
      <c r="JFB189" s="5"/>
      <c r="JFC189" s="5"/>
      <c r="JFD189" s="5"/>
      <c r="JFE189" s="5"/>
      <c r="JFF189" s="5"/>
      <c r="JFG189" s="5"/>
      <c r="JFH189" s="5"/>
      <c r="JFI189" s="5"/>
      <c r="JFJ189" s="5"/>
      <c r="JFK189" s="5"/>
      <c r="JFL189" s="5"/>
      <c r="JFM189" s="5"/>
      <c r="JFN189" s="5"/>
      <c r="JFO189" s="5"/>
      <c r="JFP189" s="5"/>
      <c r="JFQ189" s="5"/>
      <c r="JFR189" s="5"/>
      <c r="JFS189" s="5"/>
      <c r="JFT189" s="5"/>
      <c r="JFU189" s="5"/>
      <c r="JFV189" s="5"/>
      <c r="JFW189" s="5"/>
      <c r="JFX189" s="5"/>
      <c r="JFY189" s="5"/>
      <c r="JFZ189" s="5"/>
      <c r="JGA189" s="5"/>
      <c r="JGB189" s="5"/>
      <c r="JGC189" s="5"/>
      <c r="JGD189" s="5"/>
      <c r="JGE189" s="5"/>
      <c r="JGF189" s="5"/>
      <c r="JGG189" s="5"/>
      <c r="JGH189" s="5"/>
      <c r="JGI189" s="5"/>
      <c r="JGJ189" s="5"/>
      <c r="JGK189" s="5"/>
      <c r="JGL189" s="5"/>
      <c r="JGM189" s="5"/>
      <c r="JGN189" s="5"/>
      <c r="JGO189" s="5"/>
      <c r="JGP189" s="5"/>
      <c r="JGQ189" s="5"/>
      <c r="JGR189" s="5"/>
      <c r="JGS189" s="5"/>
      <c r="JGT189" s="5"/>
      <c r="JGU189" s="5"/>
      <c r="JGV189" s="5"/>
      <c r="JGW189" s="5"/>
      <c r="JGX189" s="5"/>
      <c r="JGY189" s="5"/>
      <c r="JGZ189" s="5"/>
      <c r="JHA189" s="5"/>
      <c r="JHB189" s="5"/>
      <c r="JHC189" s="5"/>
      <c r="JHD189" s="5"/>
      <c r="JHE189" s="5"/>
      <c r="JHF189" s="5"/>
      <c r="JHG189" s="5"/>
      <c r="JHH189" s="5"/>
      <c r="JHI189" s="5"/>
      <c r="JHJ189" s="5"/>
      <c r="JHK189" s="5"/>
      <c r="JHL189" s="5"/>
      <c r="JHM189" s="5"/>
      <c r="JHN189" s="5"/>
      <c r="JHO189" s="5"/>
      <c r="JHP189" s="5"/>
      <c r="JHQ189" s="5"/>
      <c r="JHR189" s="5"/>
      <c r="JHS189" s="5"/>
      <c r="JHT189" s="5"/>
      <c r="JHU189" s="5"/>
      <c r="JHV189" s="5"/>
      <c r="JHW189" s="5"/>
      <c r="JHX189" s="5"/>
      <c r="JHY189" s="5"/>
      <c r="JHZ189" s="5"/>
      <c r="JIA189" s="5"/>
      <c r="JIB189" s="5"/>
      <c r="JIC189" s="5"/>
      <c r="JID189" s="5"/>
      <c r="JIE189" s="5"/>
      <c r="JIF189" s="5"/>
      <c r="JIG189" s="5"/>
      <c r="JIH189" s="5"/>
      <c r="JII189" s="5"/>
      <c r="JIJ189" s="5"/>
      <c r="JIK189" s="5"/>
      <c r="JIL189" s="5"/>
      <c r="JIM189" s="5"/>
      <c r="JIN189" s="5"/>
      <c r="JIO189" s="5"/>
      <c r="JIP189" s="5"/>
      <c r="JIQ189" s="5"/>
      <c r="JIR189" s="5"/>
      <c r="JIS189" s="5"/>
      <c r="JIT189" s="5"/>
      <c r="JIU189" s="5"/>
      <c r="JIV189" s="5"/>
      <c r="JIW189" s="5"/>
      <c r="JIX189" s="5"/>
      <c r="JIY189" s="5"/>
      <c r="JIZ189" s="5"/>
      <c r="JJA189" s="5"/>
      <c r="JJB189" s="5"/>
      <c r="JJC189" s="5"/>
      <c r="JJD189" s="5"/>
      <c r="JJE189" s="5"/>
      <c r="JJF189" s="5"/>
      <c r="JJG189" s="5"/>
      <c r="JJH189" s="5"/>
      <c r="JJI189" s="5"/>
      <c r="JJJ189" s="5"/>
      <c r="JJK189" s="5"/>
      <c r="JJL189" s="5"/>
      <c r="JJM189" s="5"/>
      <c r="JJN189" s="5"/>
      <c r="JJO189" s="5"/>
      <c r="JJP189" s="5"/>
      <c r="JJQ189" s="5"/>
      <c r="JJR189" s="5"/>
      <c r="JJS189" s="5"/>
      <c r="JJT189" s="5"/>
      <c r="JJU189" s="5"/>
      <c r="JJV189" s="5"/>
      <c r="JJW189" s="5"/>
      <c r="JJX189" s="5"/>
      <c r="JJY189" s="5"/>
      <c r="JJZ189" s="5"/>
      <c r="JKA189" s="5"/>
      <c r="JKB189" s="5"/>
      <c r="JKC189" s="5"/>
      <c r="JKD189" s="5"/>
      <c r="JKE189" s="5"/>
      <c r="JKF189" s="5"/>
      <c r="JKG189" s="5"/>
      <c r="JKH189" s="5"/>
      <c r="JKI189" s="5"/>
      <c r="JKJ189" s="5"/>
      <c r="JKK189" s="5"/>
      <c r="JKL189" s="5"/>
      <c r="JKM189" s="5"/>
      <c r="JKN189" s="5"/>
      <c r="JKO189" s="5"/>
      <c r="JKP189" s="5"/>
      <c r="JKQ189" s="5"/>
      <c r="JKR189" s="5"/>
      <c r="JKS189" s="5"/>
      <c r="JKT189" s="5"/>
      <c r="JKU189" s="5"/>
      <c r="JKV189" s="5"/>
      <c r="JKW189" s="5"/>
      <c r="JKX189" s="5"/>
      <c r="JKY189" s="5"/>
      <c r="JKZ189" s="5"/>
      <c r="JLA189" s="5"/>
      <c r="JLB189" s="5"/>
      <c r="JLC189" s="5"/>
      <c r="JLD189" s="5"/>
      <c r="JLE189" s="5"/>
      <c r="JLF189" s="5"/>
      <c r="JLG189" s="5"/>
      <c r="JLH189" s="5"/>
      <c r="JLI189" s="5"/>
      <c r="JLJ189" s="5"/>
      <c r="JLK189" s="5"/>
      <c r="JLL189" s="5"/>
      <c r="JLM189" s="5"/>
      <c r="JLN189" s="5"/>
      <c r="JLO189" s="5"/>
      <c r="JLP189" s="5"/>
      <c r="JLQ189" s="5"/>
      <c r="JLR189" s="5"/>
      <c r="JLS189" s="5"/>
      <c r="JLT189" s="5"/>
      <c r="JLU189" s="5"/>
      <c r="JLV189" s="5"/>
      <c r="JLW189" s="5"/>
      <c r="JLX189" s="5"/>
      <c r="JLY189" s="5"/>
      <c r="JLZ189" s="5"/>
      <c r="JMA189" s="5"/>
      <c r="JMB189" s="5"/>
      <c r="JMC189" s="5"/>
      <c r="JMD189" s="5"/>
      <c r="JME189" s="5"/>
      <c r="JMF189" s="5"/>
      <c r="JMG189" s="5"/>
      <c r="JMH189" s="5"/>
      <c r="JMI189" s="5"/>
      <c r="JMJ189" s="5"/>
      <c r="JMK189" s="5"/>
      <c r="JML189" s="5"/>
      <c r="JMM189" s="5"/>
      <c r="JMN189" s="5"/>
      <c r="JMO189" s="5"/>
      <c r="JMP189" s="5"/>
      <c r="JMQ189" s="5"/>
      <c r="JMR189" s="5"/>
      <c r="JMS189" s="5"/>
      <c r="JMT189" s="5"/>
      <c r="JMU189" s="5"/>
      <c r="JMV189" s="5"/>
      <c r="JMW189" s="5"/>
      <c r="JMX189" s="5"/>
      <c r="JMY189" s="5"/>
      <c r="JMZ189" s="5"/>
      <c r="JNA189" s="5"/>
      <c r="JNB189" s="5"/>
      <c r="JNC189" s="5"/>
      <c r="JND189" s="5"/>
      <c r="JNE189" s="5"/>
      <c r="JNF189" s="5"/>
      <c r="JNG189" s="5"/>
      <c r="JNH189" s="5"/>
      <c r="JNI189" s="5"/>
      <c r="JNJ189" s="5"/>
      <c r="JNK189" s="5"/>
      <c r="JNL189" s="5"/>
      <c r="JNM189" s="5"/>
      <c r="JNN189" s="5"/>
      <c r="JNO189" s="5"/>
      <c r="JNP189" s="5"/>
      <c r="JNQ189" s="5"/>
      <c r="JNR189" s="5"/>
      <c r="JNS189" s="5"/>
      <c r="JNT189" s="5"/>
      <c r="JNU189" s="5"/>
      <c r="JNV189" s="5"/>
      <c r="JNW189" s="5"/>
      <c r="JNX189" s="5"/>
      <c r="JNY189" s="5"/>
      <c r="JNZ189" s="5"/>
      <c r="JOA189" s="5"/>
      <c r="JOB189" s="5"/>
      <c r="JOC189" s="5"/>
      <c r="JOD189" s="5"/>
      <c r="JOE189" s="5"/>
      <c r="JOF189" s="5"/>
      <c r="JOG189" s="5"/>
      <c r="JOH189" s="5"/>
      <c r="JOI189" s="5"/>
      <c r="JOJ189" s="5"/>
      <c r="JOK189" s="5"/>
      <c r="JOL189" s="5"/>
      <c r="JOM189" s="5"/>
      <c r="JON189" s="5"/>
      <c r="JOO189" s="5"/>
      <c r="JOP189" s="5"/>
      <c r="JOQ189" s="5"/>
      <c r="JOR189" s="5"/>
      <c r="JOS189" s="5"/>
      <c r="JOT189" s="5"/>
      <c r="JOU189" s="5"/>
      <c r="JOV189" s="5"/>
      <c r="JOW189" s="5"/>
      <c r="JOX189" s="5"/>
      <c r="JOY189" s="5"/>
      <c r="JOZ189" s="5"/>
      <c r="JPA189" s="5"/>
      <c r="JPB189" s="5"/>
      <c r="JPC189" s="5"/>
      <c r="JPD189" s="5"/>
      <c r="JPE189" s="5"/>
      <c r="JPF189" s="5"/>
      <c r="JPG189" s="5"/>
      <c r="JPH189" s="5"/>
      <c r="JPI189" s="5"/>
      <c r="JPJ189" s="5"/>
      <c r="JPK189" s="5"/>
      <c r="JPL189" s="5"/>
      <c r="JPM189" s="5"/>
      <c r="JPN189" s="5"/>
      <c r="JPO189" s="5"/>
      <c r="JPP189" s="5"/>
      <c r="JPQ189" s="5"/>
      <c r="JPR189" s="5"/>
      <c r="JPS189" s="5"/>
      <c r="JPT189" s="5"/>
      <c r="JPU189" s="5"/>
      <c r="JPV189" s="5"/>
      <c r="JPW189" s="5"/>
      <c r="JPX189" s="5"/>
      <c r="JPY189" s="5"/>
      <c r="JPZ189" s="5"/>
      <c r="JQA189" s="5"/>
      <c r="JQB189" s="5"/>
      <c r="JQC189" s="5"/>
      <c r="JQD189" s="5"/>
      <c r="JQE189" s="5"/>
      <c r="JQF189" s="5"/>
      <c r="JQG189" s="5"/>
      <c r="JQH189" s="5"/>
      <c r="JQI189" s="5"/>
      <c r="JQJ189" s="5"/>
      <c r="JQK189" s="5"/>
      <c r="JQL189" s="5"/>
      <c r="JQM189" s="5"/>
      <c r="JQN189" s="5"/>
      <c r="JQO189" s="5"/>
      <c r="JQP189" s="5"/>
      <c r="JQQ189" s="5"/>
      <c r="JQR189" s="5"/>
      <c r="JQS189" s="5"/>
      <c r="JQT189" s="5"/>
      <c r="JQU189" s="5"/>
      <c r="JQV189" s="5"/>
      <c r="JQW189" s="5"/>
      <c r="JQX189" s="5"/>
      <c r="JQY189" s="5"/>
      <c r="JQZ189" s="5"/>
      <c r="JRA189" s="5"/>
      <c r="JRB189" s="5"/>
      <c r="JRC189" s="5"/>
      <c r="JRD189" s="5"/>
      <c r="JRE189" s="5"/>
      <c r="JRF189" s="5"/>
      <c r="JRG189" s="5"/>
      <c r="JRH189" s="5"/>
      <c r="JRI189" s="5"/>
      <c r="JRJ189" s="5"/>
      <c r="JRK189" s="5"/>
      <c r="JRL189" s="5"/>
      <c r="JRM189" s="5"/>
      <c r="JRN189" s="5"/>
      <c r="JRO189" s="5"/>
      <c r="JRP189" s="5"/>
      <c r="JRQ189" s="5"/>
      <c r="JRR189" s="5"/>
      <c r="JRS189" s="5"/>
      <c r="JRT189" s="5"/>
      <c r="JRU189" s="5"/>
      <c r="JRV189" s="5"/>
      <c r="JRW189" s="5"/>
      <c r="JRX189" s="5"/>
      <c r="JRY189" s="5"/>
      <c r="JRZ189" s="5"/>
      <c r="JSA189" s="5"/>
      <c r="JSB189" s="5"/>
      <c r="JSC189" s="5"/>
      <c r="JSD189" s="5"/>
      <c r="JSE189" s="5"/>
      <c r="JSF189" s="5"/>
      <c r="JSG189" s="5"/>
      <c r="JSH189" s="5"/>
      <c r="JSI189" s="5"/>
      <c r="JSJ189" s="5"/>
      <c r="JSK189" s="5"/>
      <c r="JSL189" s="5"/>
      <c r="JSM189" s="5"/>
      <c r="JSN189" s="5"/>
      <c r="JSO189" s="5"/>
      <c r="JSP189" s="5"/>
      <c r="JSQ189" s="5"/>
      <c r="JSR189" s="5"/>
      <c r="JSS189" s="5"/>
      <c r="JST189" s="5"/>
      <c r="JSU189" s="5"/>
      <c r="JSV189" s="5"/>
      <c r="JSW189" s="5"/>
      <c r="JSX189" s="5"/>
      <c r="JSY189" s="5"/>
      <c r="JSZ189" s="5"/>
      <c r="JTA189" s="5"/>
      <c r="JTB189" s="5"/>
      <c r="JTC189" s="5"/>
      <c r="JTD189" s="5"/>
      <c r="JTE189" s="5"/>
      <c r="JTF189" s="5"/>
      <c r="JTG189" s="5"/>
      <c r="JTH189" s="5"/>
      <c r="JTI189" s="5"/>
      <c r="JTJ189" s="5"/>
      <c r="JTK189" s="5"/>
      <c r="JTL189" s="5"/>
      <c r="JTM189" s="5"/>
      <c r="JTN189" s="5"/>
      <c r="JTO189" s="5"/>
      <c r="JTP189" s="5"/>
      <c r="JTQ189" s="5"/>
      <c r="JTR189" s="5"/>
      <c r="JTS189" s="5"/>
      <c r="JTT189" s="5"/>
      <c r="JTU189" s="5"/>
      <c r="JTV189" s="5"/>
      <c r="JTW189" s="5"/>
      <c r="JTX189" s="5"/>
      <c r="JTY189" s="5"/>
      <c r="JTZ189" s="5"/>
      <c r="JUA189" s="5"/>
      <c r="JUB189" s="5"/>
      <c r="JUC189" s="5"/>
      <c r="JUD189" s="5"/>
      <c r="JUE189" s="5"/>
      <c r="JUF189" s="5"/>
      <c r="JUG189" s="5"/>
      <c r="JUH189" s="5"/>
      <c r="JUI189" s="5"/>
      <c r="JUJ189" s="5"/>
      <c r="JUK189" s="5"/>
      <c r="JUL189" s="5"/>
      <c r="JUM189" s="5"/>
      <c r="JUN189" s="5"/>
      <c r="JUO189" s="5"/>
      <c r="JUP189" s="5"/>
      <c r="JUQ189" s="5"/>
      <c r="JUR189" s="5"/>
      <c r="JUS189" s="5"/>
      <c r="JUT189" s="5"/>
      <c r="JUU189" s="5"/>
      <c r="JUV189" s="5"/>
      <c r="JUW189" s="5"/>
      <c r="JUX189" s="5"/>
      <c r="JUY189" s="5"/>
      <c r="JUZ189" s="5"/>
      <c r="JVA189" s="5"/>
      <c r="JVB189" s="5"/>
      <c r="JVC189" s="5"/>
      <c r="JVD189" s="5"/>
      <c r="JVE189" s="5"/>
      <c r="JVF189" s="5"/>
      <c r="JVG189" s="5"/>
      <c r="JVH189" s="5"/>
      <c r="JVI189" s="5"/>
      <c r="JVJ189" s="5"/>
      <c r="JVK189" s="5"/>
      <c r="JVL189" s="5"/>
      <c r="JVM189" s="5"/>
      <c r="JVN189" s="5"/>
      <c r="JVO189" s="5"/>
      <c r="JVP189" s="5"/>
      <c r="JVQ189" s="5"/>
      <c r="JVR189" s="5"/>
      <c r="JVS189" s="5"/>
      <c r="JVT189" s="5"/>
      <c r="JVU189" s="5"/>
      <c r="JVV189" s="5"/>
      <c r="JVW189" s="5"/>
      <c r="JVX189" s="5"/>
      <c r="JVY189" s="5"/>
      <c r="JVZ189" s="5"/>
      <c r="JWA189" s="5"/>
      <c r="JWB189" s="5"/>
      <c r="JWC189" s="5"/>
      <c r="JWD189" s="5"/>
      <c r="JWE189" s="5"/>
      <c r="JWF189" s="5"/>
      <c r="JWG189" s="5"/>
      <c r="JWH189" s="5"/>
      <c r="JWI189" s="5"/>
      <c r="JWJ189" s="5"/>
      <c r="JWK189" s="5"/>
      <c r="JWL189" s="5"/>
      <c r="JWM189" s="5"/>
      <c r="JWN189" s="5"/>
      <c r="JWO189" s="5"/>
      <c r="JWP189" s="5"/>
      <c r="JWQ189" s="5"/>
      <c r="JWR189" s="5"/>
      <c r="JWS189" s="5"/>
      <c r="JWT189" s="5"/>
      <c r="JWU189" s="5"/>
      <c r="JWV189" s="5"/>
      <c r="JWW189" s="5"/>
      <c r="JWX189" s="5"/>
      <c r="JWY189" s="5"/>
      <c r="JWZ189" s="5"/>
      <c r="JXA189" s="5"/>
      <c r="JXB189" s="5"/>
      <c r="JXC189" s="5"/>
      <c r="JXD189" s="5"/>
      <c r="JXE189" s="5"/>
      <c r="JXF189" s="5"/>
      <c r="JXG189" s="5"/>
      <c r="JXH189" s="5"/>
      <c r="JXI189" s="5"/>
      <c r="JXJ189" s="5"/>
      <c r="JXK189" s="5"/>
      <c r="JXL189" s="5"/>
      <c r="JXM189" s="5"/>
      <c r="JXN189" s="5"/>
      <c r="JXO189" s="5"/>
      <c r="JXP189" s="5"/>
      <c r="JXQ189" s="5"/>
      <c r="JXR189" s="5"/>
      <c r="JXS189" s="5"/>
      <c r="JXT189" s="5"/>
      <c r="JXU189" s="5"/>
      <c r="JXV189" s="5"/>
      <c r="JXW189" s="5"/>
      <c r="JXX189" s="5"/>
      <c r="JXY189" s="5"/>
      <c r="JXZ189" s="5"/>
      <c r="JYA189" s="5"/>
      <c r="JYB189" s="5"/>
      <c r="JYC189" s="5"/>
      <c r="JYD189" s="5"/>
      <c r="JYE189" s="5"/>
      <c r="JYF189" s="5"/>
      <c r="JYG189" s="5"/>
      <c r="JYH189" s="5"/>
      <c r="JYI189" s="5"/>
      <c r="JYJ189" s="5"/>
      <c r="JYK189" s="5"/>
      <c r="JYL189" s="5"/>
      <c r="JYM189" s="5"/>
      <c r="JYN189" s="5"/>
      <c r="JYO189" s="5"/>
      <c r="JYP189" s="5"/>
      <c r="JYQ189" s="5"/>
      <c r="JYR189" s="5"/>
      <c r="JYS189" s="5"/>
      <c r="JYT189" s="5"/>
      <c r="JYU189" s="5"/>
      <c r="JYV189" s="5"/>
      <c r="JYW189" s="5"/>
      <c r="JYX189" s="5"/>
      <c r="JYY189" s="5"/>
      <c r="JYZ189" s="5"/>
      <c r="JZA189" s="5"/>
      <c r="JZB189" s="5"/>
      <c r="JZC189" s="5"/>
      <c r="JZD189" s="5"/>
      <c r="JZE189" s="5"/>
      <c r="JZF189" s="5"/>
      <c r="JZG189" s="5"/>
      <c r="JZH189" s="5"/>
      <c r="JZI189" s="5"/>
      <c r="JZJ189" s="5"/>
      <c r="JZK189" s="5"/>
      <c r="JZL189" s="5"/>
      <c r="JZM189" s="5"/>
      <c r="JZN189" s="5"/>
      <c r="JZO189" s="5"/>
      <c r="JZP189" s="5"/>
      <c r="JZQ189" s="5"/>
      <c r="JZR189" s="5"/>
      <c r="JZS189" s="5"/>
      <c r="JZT189" s="5"/>
      <c r="JZU189" s="5"/>
      <c r="JZV189" s="5"/>
      <c r="JZW189" s="5"/>
      <c r="JZX189" s="5"/>
      <c r="JZY189" s="5"/>
      <c r="JZZ189" s="5"/>
      <c r="KAA189" s="5"/>
      <c r="KAB189" s="5"/>
      <c r="KAC189" s="5"/>
      <c r="KAD189" s="5"/>
      <c r="KAE189" s="5"/>
      <c r="KAF189" s="5"/>
      <c r="KAG189" s="5"/>
      <c r="KAH189" s="5"/>
      <c r="KAI189" s="5"/>
      <c r="KAJ189" s="5"/>
      <c r="KAK189" s="5"/>
      <c r="KAL189" s="5"/>
      <c r="KAM189" s="5"/>
      <c r="KAN189" s="5"/>
      <c r="KAO189" s="5"/>
      <c r="KAP189" s="5"/>
      <c r="KAQ189" s="5"/>
      <c r="KAR189" s="5"/>
      <c r="KAS189" s="5"/>
      <c r="KAT189" s="5"/>
      <c r="KAU189" s="5"/>
      <c r="KAV189" s="5"/>
      <c r="KAW189" s="5"/>
      <c r="KAX189" s="5"/>
      <c r="KAY189" s="5"/>
      <c r="KAZ189" s="5"/>
      <c r="KBA189" s="5"/>
      <c r="KBB189" s="5"/>
      <c r="KBC189" s="5"/>
      <c r="KBD189" s="5"/>
      <c r="KBE189" s="5"/>
      <c r="KBF189" s="5"/>
      <c r="KBG189" s="5"/>
      <c r="KBH189" s="5"/>
      <c r="KBI189" s="5"/>
      <c r="KBJ189" s="5"/>
      <c r="KBK189" s="5"/>
      <c r="KBL189" s="5"/>
      <c r="KBM189" s="5"/>
      <c r="KBN189" s="5"/>
      <c r="KBO189" s="5"/>
      <c r="KBP189" s="5"/>
      <c r="KBQ189" s="5"/>
      <c r="KBR189" s="5"/>
      <c r="KBS189" s="5"/>
      <c r="KBT189" s="5"/>
      <c r="KBU189" s="5"/>
      <c r="KBV189" s="5"/>
      <c r="KBW189" s="5"/>
      <c r="KBX189" s="5"/>
      <c r="KBY189" s="5"/>
      <c r="KBZ189" s="5"/>
      <c r="KCA189" s="5"/>
      <c r="KCB189" s="5"/>
      <c r="KCC189" s="5"/>
      <c r="KCD189" s="5"/>
      <c r="KCE189" s="5"/>
      <c r="KCF189" s="5"/>
      <c r="KCG189" s="5"/>
      <c r="KCH189" s="5"/>
      <c r="KCI189" s="5"/>
      <c r="KCJ189" s="5"/>
      <c r="KCK189" s="5"/>
      <c r="KCL189" s="5"/>
      <c r="KCM189" s="5"/>
      <c r="KCN189" s="5"/>
      <c r="KCO189" s="5"/>
      <c r="KCP189" s="5"/>
      <c r="KCQ189" s="5"/>
      <c r="KCR189" s="5"/>
      <c r="KCS189" s="5"/>
      <c r="KCT189" s="5"/>
      <c r="KCU189" s="5"/>
      <c r="KCV189" s="5"/>
      <c r="KCW189" s="5"/>
      <c r="KCX189" s="5"/>
      <c r="KCY189" s="5"/>
      <c r="KCZ189" s="5"/>
      <c r="KDA189" s="5"/>
      <c r="KDB189" s="5"/>
      <c r="KDC189" s="5"/>
      <c r="KDD189" s="5"/>
      <c r="KDE189" s="5"/>
      <c r="KDF189" s="5"/>
      <c r="KDG189" s="5"/>
      <c r="KDH189" s="5"/>
      <c r="KDI189" s="5"/>
      <c r="KDJ189" s="5"/>
      <c r="KDK189" s="5"/>
      <c r="KDL189" s="5"/>
      <c r="KDM189" s="5"/>
      <c r="KDN189" s="5"/>
      <c r="KDO189" s="5"/>
      <c r="KDP189" s="5"/>
      <c r="KDQ189" s="5"/>
      <c r="KDR189" s="5"/>
      <c r="KDS189" s="5"/>
      <c r="KDT189" s="5"/>
      <c r="KDU189" s="5"/>
      <c r="KDV189" s="5"/>
      <c r="KDW189" s="5"/>
      <c r="KDX189" s="5"/>
      <c r="KDY189" s="5"/>
      <c r="KDZ189" s="5"/>
      <c r="KEA189" s="5"/>
      <c r="KEB189" s="5"/>
      <c r="KEC189" s="5"/>
      <c r="KED189" s="5"/>
      <c r="KEE189" s="5"/>
      <c r="KEF189" s="5"/>
      <c r="KEG189" s="5"/>
      <c r="KEH189" s="5"/>
      <c r="KEI189" s="5"/>
      <c r="KEJ189" s="5"/>
      <c r="KEK189" s="5"/>
      <c r="KEL189" s="5"/>
      <c r="KEM189" s="5"/>
      <c r="KEN189" s="5"/>
      <c r="KEO189" s="5"/>
      <c r="KEP189" s="5"/>
      <c r="KEQ189" s="5"/>
      <c r="KER189" s="5"/>
      <c r="KES189" s="5"/>
      <c r="KET189" s="5"/>
      <c r="KEU189" s="5"/>
      <c r="KEV189" s="5"/>
      <c r="KEW189" s="5"/>
      <c r="KEX189" s="5"/>
      <c r="KEY189" s="5"/>
      <c r="KEZ189" s="5"/>
      <c r="KFA189" s="5"/>
      <c r="KFB189" s="5"/>
      <c r="KFC189" s="5"/>
      <c r="KFD189" s="5"/>
      <c r="KFE189" s="5"/>
      <c r="KFF189" s="5"/>
      <c r="KFG189" s="5"/>
      <c r="KFH189" s="5"/>
      <c r="KFI189" s="5"/>
      <c r="KFJ189" s="5"/>
      <c r="KFK189" s="5"/>
      <c r="KFL189" s="5"/>
      <c r="KFM189" s="5"/>
      <c r="KFN189" s="5"/>
      <c r="KFO189" s="5"/>
      <c r="KFP189" s="5"/>
      <c r="KFQ189" s="5"/>
      <c r="KFR189" s="5"/>
      <c r="KFS189" s="5"/>
      <c r="KFT189" s="5"/>
      <c r="KFU189" s="5"/>
      <c r="KFV189" s="5"/>
      <c r="KFW189" s="5"/>
      <c r="KFX189" s="5"/>
      <c r="KFY189" s="5"/>
      <c r="KFZ189" s="5"/>
      <c r="KGA189" s="5"/>
      <c r="KGB189" s="5"/>
      <c r="KGC189" s="5"/>
      <c r="KGD189" s="5"/>
      <c r="KGE189" s="5"/>
      <c r="KGF189" s="5"/>
      <c r="KGG189" s="5"/>
      <c r="KGH189" s="5"/>
      <c r="KGI189" s="5"/>
      <c r="KGJ189" s="5"/>
      <c r="KGK189" s="5"/>
      <c r="KGL189" s="5"/>
      <c r="KGM189" s="5"/>
      <c r="KGN189" s="5"/>
      <c r="KGO189" s="5"/>
      <c r="KGP189" s="5"/>
      <c r="KGQ189" s="5"/>
      <c r="KGR189" s="5"/>
      <c r="KGS189" s="5"/>
      <c r="KGT189" s="5"/>
      <c r="KGU189" s="5"/>
      <c r="KGV189" s="5"/>
      <c r="KGW189" s="5"/>
      <c r="KGX189" s="5"/>
      <c r="KGY189" s="5"/>
      <c r="KGZ189" s="5"/>
      <c r="KHA189" s="5"/>
      <c r="KHB189" s="5"/>
      <c r="KHC189" s="5"/>
      <c r="KHD189" s="5"/>
      <c r="KHE189" s="5"/>
      <c r="KHF189" s="5"/>
      <c r="KHG189" s="5"/>
      <c r="KHH189" s="5"/>
      <c r="KHI189" s="5"/>
      <c r="KHJ189" s="5"/>
      <c r="KHK189" s="5"/>
      <c r="KHL189" s="5"/>
      <c r="KHM189" s="5"/>
      <c r="KHN189" s="5"/>
      <c r="KHO189" s="5"/>
      <c r="KHP189" s="5"/>
      <c r="KHQ189" s="5"/>
      <c r="KHR189" s="5"/>
      <c r="KHS189" s="5"/>
      <c r="KHT189" s="5"/>
      <c r="KHU189" s="5"/>
      <c r="KHV189" s="5"/>
      <c r="KHW189" s="5"/>
      <c r="KHX189" s="5"/>
      <c r="KHY189" s="5"/>
      <c r="KHZ189" s="5"/>
      <c r="KIA189" s="5"/>
      <c r="KIB189" s="5"/>
      <c r="KIC189" s="5"/>
      <c r="KID189" s="5"/>
      <c r="KIE189" s="5"/>
      <c r="KIF189" s="5"/>
      <c r="KIG189" s="5"/>
      <c r="KIH189" s="5"/>
      <c r="KII189" s="5"/>
      <c r="KIJ189" s="5"/>
      <c r="KIK189" s="5"/>
      <c r="KIL189" s="5"/>
      <c r="KIM189" s="5"/>
      <c r="KIN189" s="5"/>
      <c r="KIO189" s="5"/>
      <c r="KIP189" s="5"/>
      <c r="KIQ189" s="5"/>
      <c r="KIR189" s="5"/>
      <c r="KIS189" s="5"/>
      <c r="KIT189" s="5"/>
      <c r="KIU189" s="5"/>
      <c r="KIV189" s="5"/>
      <c r="KIW189" s="5"/>
      <c r="KIX189" s="5"/>
      <c r="KIY189" s="5"/>
      <c r="KIZ189" s="5"/>
      <c r="KJA189" s="5"/>
      <c r="KJB189" s="5"/>
      <c r="KJC189" s="5"/>
      <c r="KJD189" s="5"/>
      <c r="KJE189" s="5"/>
      <c r="KJF189" s="5"/>
      <c r="KJG189" s="5"/>
      <c r="KJH189" s="5"/>
      <c r="KJI189" s="5"/>
      <c r="KJJ189" s="5"/>
      <c r="KJK189" s="5"/>
      <c r="KJL189" s="5"/>
      <c r="KJM189" s="5"/>
      <c r="KJN189" s="5"/>
      <c r="KJO189" s="5"/>
      <c r="KJP189" s="5"/>
      <c r="KJQ189" s="5"/>
      <c r="KJR189" s="5"/>
      <c r="KJS189" s="5"/>
      <c r="KJT189" s="5"/>
      <c r="KJU189" s="5"/>
      <c r="KJV189" s="5"/>
      <c r="KJW189" s="5"/>
      <c r="KJX189" s="5"/>
      <c r="KJY189" s="5"/>
      <c r="KJZ189" s="5"/>
      <c r="KKA189" s="5"/>
      <c r="KKB189" s="5"/>
      <c r="KKC189" s="5"/>
      <c r="KKD189" s="5"/>
      <c r="KKE189" s="5"/>
      <c r="KKF189" s="5"/>
      <c r="KKG189" s="5"/>
      <c r="KKH189" s="5"/>
      <c r="KKI189" s="5"/>
      <c r="KKJ189" s="5"/>
      <c r="KKK189" s="5"/>
      <c r="KKL189" s="5"/>
      <c r="KKM189" s="5"/>
      <c r="KKN189" s="5"/>
      <c r="KKO189" s="5"/>
      <c r="KKP189" s="5"/>
      <c r="KKQ189" s="5"/>
      <c r="KKR189" s="5"/>
      <c r="KKS189" s="5"/>
      <c r="KKT189" s="5"/>
      <c r="KKU189" s="5"/>
      <c r="KKV189" s="5"/>
      <c r="KKW189" s="5"/>
      <c r="KKX189" s="5"/>
      <c r="KKY189" s="5"/>
      <c r="KKZ189" s="5"/>
      <c r="KLA189" s="5"/>
      <c r="KLB189" s="5"/>
      <c r="KLC189" s="5"/>
      <c r="KLD189" s="5"/>
      <c r="KLE189" s="5"/>
      <c r="KLF189" s="5"/>
      <c r="KLG189" s="5"/>
      <c r="KLH189" s="5"/>
      <c r="KLI189" s="5"/>
      <c r="KLJ189" s="5"/>
      <c r="KLK189" s="5"/>
      <c r="KLL189" s="5"/>
      <c r="KLM189" s="5"/>
      <c r="KLN189" s="5"/>
      <c r="KLO189" s="5"/>
      <c r="KLP189" s="5"/>
      <c r="KLQ189" s="5"/>
      <c r="KLR189" s="5"/>
      <c r="KLS189" s="5"/>
      <c r="KLT189" s="5"/>
      <c r="KLU189" s="5"/>
      <c r="KLV189" s="5"/>
      <c r="KLW189" s="5"/>
      <c r="KLX189" s="5"/>
      <c r="KLY189" s="5"/>
      <c r="KLZ189" s="5"/>
      <c r="KMA189" s="5"/>
      <c r="KMB189" s="5"/>
      <c r="KMC189" s="5"/>
      <c r="KMD189" s="5"/>
      <c r="KME189" s="5"/>
      <c r="KMF189" s="5"/>
      <c r="KMG189" s="5"/>
      <c r="KMH189" s="5"/>
      <c r="KMI189" s="5"/>
      <c r="KMJ189" s="5"/>
      <c r="KMK189" s="5"/>
      <c r="KML189" s="5"/>
      <c r="KMM189" s="5"/>
      <c r="KMN189" s="5"/>
      <c r="KMO189" s="5"/>
      <c r="KMP189" s="5"/>
      <c r="KMQ189" s="5"/>
      <c r="KMR189" s="5"/>
      <c r="KMS189" s="5"/>
      <c r="KMT189" s="5"/>
      <c r="KMU189" s="5"/>
      <c r="KMV189" s="5"/>
      <c r="KMW189" s="5"/>
      <c r="KMX189" s="5"/>
      <c r="KMY189" s="5"/>
      <c r="KMZ189" s="5"/>
      <c r="KNA189" s="5"/>
      <c r="KNB189" s="5"/>
      <c r="KNC189" s="5"/>
      <c r="KND189" s="5"/>
      <c r="KNE189" s="5"/>
      <c r="KNF189" s="5"/>
      <c r="KNG189" s="5"/>
      <c r="KNH189" s="5"/>
      <c r="KNI189" s="5"/>
      <c r="KNJ189" s="5"/>
      <c r="KNK189" s="5"/>
      <c r="KNL189" s="5"/>
      <c r="KNM189" s="5"/>
      <c r="KNN189" s="5"/>
      <c r="KNO189" s="5"/>
      <c r="KNP189" s="5"/>
      <c r="KNQ189" s="5"/>
      <c r="KNR189" s="5"/>
      <c r="KNS189" s="5"/>
      <c r="KNT189" s="5"/>
      <c r="KNU189" s="5"/>
      <c r="KNV189" s="5"/>
      <c r="KNW189" s="5"/>
      <c r="KNX189" s="5"/>
      <c r="KNY189" s="5"/>
      <c r="KNZ189" s="5"/>
      <c r="KOA189" s="5"/>
      <c r="KOB189" s="5"/>
      <c r="KOC189" s="5"/>
      <c r="KOD189" s="5"/>
      <c r="KOE189" s="5"/>
      <c r="KOF189" s="5"/>
      <c r="KOG189" s="5"/>
      <c r="KOH189" s="5"/>
      <c r="KOI189" s="5"/>
      <c r="KOJ189" s="5"/>
      <c r="KOK189" s="5"/>
      <c r="KOL189" s="5"/>
      <c r="KOM189" s="5"/>
      <c r="KON189" s="5"/>
      <c r="KOO189" s="5"/>
      <c r="KOP189" s="5"/>
      <c r="KOQ189" s="5"/>
      <c r="KOR189" s="5"/>
      <c r="KOS189" s="5"/>
      <c r="KOT189" s="5"/>
      <c r="KOU189" s="5"/>
      <c r="KOV189" s="5"/>
      <c r="KOW189" s="5"/>
      <c r="KOX189" s="5"/>
      <c r="KOY189" s="5"/>
      <c r="KOZ189" s="5"/>
      <c r="KPA189" s="5"/>
      <c r="KPB189" s="5"/>
      <c r="KPC189" s="5"/>
      <c r="KPD189" s="5"/>
      <c r="KPE189" s="5"/>
      <c r="KPF189" s="5"/>
      <c r="KPG189" s="5"/>
      <c r="KPH189" s="5"/>
      <c r="KPI189" s="5"/>
      <c r="KPJ189" s="5"/>
      <c r="KPK189" s="5"/>
      <c r="KPL189" s="5"/>
      <c r="KPM189" s="5"/>
      <c r="KPN189" s="5"/>
      <c r="KPO189" s="5"/>
      <c r="KPP189" s="5"/>
      <c r="KPQ189" s="5"/>
      <c r="KPR189" s="5"/>
      <c r="KPS189" s="5"/>
      <c r="KPT189" s="5"/>
      <c r="KPU189" s="5"/>
      <c r="KPV189" s="5"/>
      <c r="KPW189" s="5"/>
      <c r="KPX189" s="5"/>
      <c r="KPY189" s="5"/>
      <c r="KPZ189" s="5"/>
      <c r="KQA189" s="5"/>
      <c r="KQB189" s="5"/>
      <c r="KQC189" s="5"/>
      <c r="KQD189" s="5"/>
      <c r="KQE189" s="5"/>
      <c r="KQF189" s="5"/>
      <c r="KQG189" s="5"/>
      <c r="KQH189" s="5"/>
      <c r="KQI189" s="5"/>
      <c r="KQJ189" s="5"/>
      <c r="KQK189" s="5"/>
      <c r="KQL189" s="5"/>
      <c r="KQM189" s="5"/>
      <c r="KQN189" s="5"/>
      <c r="KQO189" s="5"/>
      <c r="KQP189" s="5"/>
      <c r="KQQ189" s="5"/>
      <c r="KQR189" s="5"/>
      <c r="KQS189" s="5"/>
      <c r="KQT189" s="5"/>
      <c r="KQU189" s="5"/>
      <c r="KQV189" s="5"/>
      <c r="KQW189" s="5"/>
      <c r="KQX189" s="5"/>
      <c r="KQY189" s="5"/>
      <c r="KQZ189" s="5"/>
      <c r="KRA189" s="5"/>
      <c r="KRB189" s="5"/>
      <c r="KRC189" s="5"/>
      <c r="KRD189" s="5"/>
      <c r="KRE189" s="5"/>
      <c r="KRF189" s="5"/>
      <c r="KRG189" s="5"/>
      <c r="KRH189" s="5"/>
      <c r="KRI189" s="5"/>
      <c r="KRJ189" s="5"/>
      <c r="KRK189" s="5"/>
      <c r="KRL189" s="5"/>
      <c r="KRM189" s="5"/>
      <c r="KRN189" s="5"/>
      <c r="KRO189" s="5"/>
      <c r="KRP189" s="5"/>
      <c r="KRQ189" s="5"/>
      <c r="KRR189" s="5"/>
      <c r="KRS189" s="5"/>
      <c r="KRT189" s="5"/>
      <c r="KRU189" s="5"/>
      <c r="KRV189" s="5"/>
      <c r="KRW189" s="5"/>
      <c r="KRX189" s="5"/>
      <c r="KRY189" s="5"/>
      <c r="KRZ189" s="5"/>
      <c r="KSA189" s="5"/>
      <c r="KSB189" s="5"/>
      <c r="KSC189" s="5"/>
      <c r="KSD189" s="5"/>
      <c r="KSE189" s="5"/>
      <c r="KSF189" s="5"/>
      <c r="KSG189" s="5"/>
      <c r="KSH189" s="5"/>
      <c r="KSI189" s="5"/>
      <c r="KSJ189" s="5"/>
      <c r="KSK189" s="5"/>
      <c r="KSL189" s="5"/>
      <c r="KSM189" s="5"/>
      <c r="KSN189" s="5"/>
      <c r="KSO189" s="5"/>
      <c r="KSP189" s="5"/>
      <c r="KSQ189" s="5"/>
      <c r="KSR189" s="5"/>
      <c r="KSS189" s="5"/>
      <c r="KST189" s="5"/>
      <c r="KSU189" s="5"/>
      <c r="KSV189" s="5"/>
      <c r="KSW189" s="5"/>
      <c r="KSX189" s="5"/>
      <c r="KSY189" s="5"/>
      <c r="KSZ189" s="5"/>
      <c r="KTA189" s="5"/>
      <c r="KTB189" s="5"/>
      <c r="KTC189" s="5"/>
      <c r="KTD189" s="5"/>
      <c r="KTE189" s="5"/>
      <c r="KTF189" s="5"/>
      <c r="KTG189" s="5"/>
      <c r="KTH189" s="5"/>
      <c r="KTI189" s="5"/>
      <c r="KTJ189" s="5"/>
      <c r="KTK189" s="5"/>
      <c r="KTL189" s="5"/>
      <c r="KTM189" s="5"/>
      <c r="KTN189" s="5"/>
      <c r="KTO189" s="5"/>
      <c r="KTP189" s="5"/>
      <c r="KTQ189" s="5"/>
      <c r="KTR189" s="5"/>
      <c r="KTS189" s="5"/>
      <c r="KTT189" s="5"/>
      <c r="KTU189" s="5"/>
      <c r="KTV189" s="5"/>
      <c r="KTW189" s="5"/>
      <c r="KTX189" s="5"/>
      <c r="KTY189" s="5"/>
      <c r="KTZ189" s="5"/>
      <c r="KUA189" s="5"/>
      <c r="KUB189" s="5"/>
      <c r="KUC189" s="5"/>
      <c r="KUD189" s="5"/>
      <c r="KUE189" s="5"/>
      <c r="KUF189" s="5"/>
      <c r="KUG189" s="5"/>
      <c r="KUH189" s="5"/>
      <c r="KUI189" s="5"/>
      <c r="KUJ189" s="5"/>
      <c r="KUK189" s="5"/>
      <c r="KUL189" s="5"/>
      <c r="KUM189" s="5"/>
      <c r="KUN189" s="5"/>
      <c r="KUO189" s="5"/>
      <c r="KUP189" s="5"/>
      <c r="KUQ189" s="5"/>
      <c r="KUR189" s="5"/>
      <c r="KUS189" s="5"/>
      <c r="KUT189" s="5"/>
      <c r="KUU189" s="5"/>
      <c r="KUV189" s="5"/>
      <c r="KUW189" s="5"/>
      <c r="KUX189" s="5"/>
      <c r="KUY189" s="5"/>
      <c r="KUZ189" s="5"/>
      <c r="KVA189" s="5"/>
      <c r="KVB189" s="5"/>
      <c r="KVC189" s="5"/>
      <c r="KVD189" s="5"/>
      <c r="KVE189" s="5"/>
      <c r="KVF189" s="5"/>
      <c r="KVG189" s="5"/>
      <c r="KVH189" s="5"/>
      <c r="KVI189" s="5"/>
      <c r="KVJ189" s="5"/>
      <c r="KVK189" s="5"/>
      <c r="KVL189" s="5"/>
      <c r="KVM189" s="5"/>
      <c r="KVN189" s="5"/>
      <c r="KVO189" s="5"/>
      <c r="KVP189" s="5"/>
      <c r="KVQ189" s="5"/>
      <c r="KVR189" s="5"/>
      <c r="KVS189" s="5"/>
      <c r="KVT189" s="5"/>
      <c r="KVU189" s="5"/>
      <c r="KVV189" s="5"/>
      <c r="KVW189" s="5"/>
      <c r="KVX189" s="5"/>
      <c r="KVY189" s="5"/>
      <c r="KVZ189" s="5"/>
      <c r="KWA189" s="5"/>
      <c r="KWB189" s="5"/>
      <c r="KWC189" s="5"/>
      <c r="KWD189" s="5"/>
      <c r="KWE189" s="5"/>
      <c r="KWF189" s="5"/>
      <c r="KWG189" s="5"/>
      <c r="KWH189" s="5"/>
      <c r="KWI189" s="5"/>
      <c r="KWJ189" s="5"/>
      <c r="KWK189" s="5"/>
      <c r="KWL189" s="5"/>
      <c r="KWM189" s="5"/>
      <c r="KWN189" s="5"/>
      <c r="KWO189" s="5"/>
      <c r="KWP189" s="5"/>
      <c r="KWQ189" s="5"/>
      <c r="KWR189" s="5"/>
      <c r="KWS189" s="5"/>
      <c r="KWT189" s="5"/>
      <c r="KWU189" s="5"/>
      <c r="KWV189" s="5"/>
      <c r="KWW189" s="5"/>
      <c r="KWX189" s="5"/>
      <c r="KWY189" s="5"/>
      <c r="KWZ189" s="5"/>
      <c r="KXA189" s="5"/>
      <c r="KXB189" s="5"/>
      <c r="KXC189" s="5"/>
      <c r="KXD189" s="5"/>
      <c r="KXE189" s="5"/>
      <c r="KXF189" s="5"/>
      <c r="KXG189" s="5"/>
      <c r="KXH189" s="5"/>
      <c r="KXI189" s="5"/>
      <c r="KXJ189" s="5"/>
      <c r="KXK189" s="5"/>
      <c r="KXL189" s="5"/>
      <c r="KXM189" s="5"/>
      <c r="KXN189" s="5"/>
      <c r="KXO189" s="5"/>
      <c r="KXP189" s="5"/>
      <c r="KXQ189" s="5"/>
      <c r="KXR189" s="5"/>
      <c r="KXS189" s="5"/>
      <c r="KXT189" s="5"/>
      <c r="KXU189" s="5"/>
      <c r="KXV189" s="5"/>
      <c r="KXW189" s="5"/>
      <c r="KXX189" s="5"/>
      <c r="KXY189" s="5"/>
      <c r="KXZ189" s="5"/>
      <c r="KYA189" s="5"/>
      <c r="KYB189" s="5"/>
      <c r="KYC189" s="5"/>
      <c r="KYD189" s="5"/>
      <c r="KYE189" s="5"/>
      <c r="KYF189" s="5"/>
      <c r="KYG189" s="5"/>
      <c r="KYH189" s="5"/>
      <c r="KYI189" s="5"/>
      <c r="KYJ189" s="5"/>
      <c r="KYK189" s="5"/>
      <c r="KYL189" s="5"/>
      <c r="KYM189" s="5"/>
      <c r="KYN189" s="5"/>
      <c r="KYO189" s="5"/>
      <c r="KYP189" s="5"/>
      <c r="KYQ189" s="5"/>
      <c r="KYR189" s="5"/>
      <c r="KYS189" s="5"/>
      <c r="KYT189" s="5"/>
      <c r="KYU189" s="5"/>
      <c r="KYV189" s="5"/>
      <c r="KYW189" s="5"/>
      <c r="KYX189" s="5"/>
      <c r="KYY189" s="5"/>
      <c r="KYZ189" s="5"/>
      <c r="KZA189" s="5"/>
      <c r="KZB189" s="5"/>
      <c r="KZC189" s="5"/>
      <c r="KZD189" s="5"/>
      <c r="KZE189" s="5"/>
      <c r="KZF189" s="5"/>
      <c r="KZG189" s="5"/>
      <c r="KZH189" s="5"/>
      <c r="KZI189" s="5"/>
      <c r="KZJ189" s="5"/>
      <c r="KZK189" s="5"/>
      <c r="KZL189" s="5"/>
      <c r="KZM189" s="5"/>
      <c r="KZN189" s="5"/>
      <c r="KZO189" s="5"/>
      <c r="KZP189" s="5"/>
      <c r="KZQ189" s="5"/>
      <c r="KZR189" s="5"/>
      <c r="KZS189" s="5"/>
      <c r="KZT189" s="5"/>
      <c r="KZU189" s="5"/>
      <c r="KZV189" s="5"/>
      <c r="KZW189" s="5"/>
      <c r="KZX189" s="5"/>
      <c r="KZY189" s="5"/>
      <c r="KZZ189" s="5"/>
      <c r="LAA189" s="5"/>
      <c r="LAB189" s="5"/>
      <c r="LAC189" s="5"/>
      <c r="LAD189" s="5"/>
      <c r="LAE189" s="5"/>
      <c r="LAF189" s="5"/>
      <c r="LAG189" s="5"/>
      <c r="LAH189" s="5"/>
      <c r="LAI189" s="5"/>
      <c r="LAJ189" s="5"/>
      <c r="LAK189" s="5"/>
      <c r="LAL189" s="5"/>
      <c r="LAM189" s="5"/>
      <c r="LAN189" s="5"/>
      <c r="LAO189" s="5"/>
      <c r="LAP189" s="5"/>
      <c r="LAQ189" s="5"/>
      <c r="LAR189" s="5"/>
      <c r="LAS189" s="5"/>
      <c r="LAT189" s="5"/>
      <c r="LAU189" s="5"/>
      <c r="LAV189" s="5"/>
      <c r="LAW189" s="5"/>
      <c r="LAX189" s="5"/>
      <c r="LAY189" s="5"/>
      <c r="LAZ189" s="5"/>
      <c r="LBA189" s="5"/>
      <c r="LBB189" s="5"/>
      <c r="LBC189" s="5"/>
      <c r="LBD189" s="5"/>
      <c r="LBE189" s="5"/>
      <c r="LBF189" s="5"/>
      <c r="LBG189" s="5"/>
      <c r="LBH189" s="5"/>
      <c r="LBI189" s="5"/>
      <c r="LBJ189" s="5"/>
      <c r="LBK189" s="5"/>
      <c r="LBL189" s="5"/>
      <c r="LBM189" s="5"/>
      <c r="LBN189" s="5"/>
      <c r="LBO189" s="5"/>
      <c r="LBP189" s="5"/>
      <c r="LBQ189" s="5"/>
      <c r="LBR189" s="5"/>
      <c r="LBS189" s="5"/>
      <c r="LBT189" s="5"/>
      <c r="LBU189" s="5"/>
      <c r="LBV189" s="5"/>
      <c r="LBW189" s="5"/>
      <c r="LBX189" s="5"/>
      <c r="LBY189" s="5"/>
      <c r="LBZ189" s="5"/>
      <c r="LCA189" s="5"/>
      <c r="LCB189" s="5"/>
      <c r="LCC189" s="5"/>
      <c r="LCD189" s="5"/>
      <c r="LCE189" s="5"/>
      <c r="LCF189" s="5"/>
      <c r="LCG189" s="5"/>
      <c r="LCH189" s="5"/>
      <c r="LCI189" s="5"/>
      <c r="LCJ189" s="5"/>
      <c r="LCK189" s="5"/>
      <c r="LCL189" s="5"/>
      <c r="LCM189" s="5"/>
      <c r="LCN189" s="5"/>
      <c r="LCO189" s="5"/>
      <c r="LCP189" s="5"/>
      <c r="LCQ189" s="5"/>
      <c r="LCR189" s="5"/>
      <c r="LCS189" s="5"/>
      <c r="LCT189" s="5"/>
      <c r="LCU189" s="5"/>
      <c r="LCV189" s="5"/>
      <c r="LCW189" s="5"/>
      <c r="LCX189" s="5"/>
      <c r="LCY189" s="5"/>
      <c r="LCZ189" s="5"/>
      <c r="LDA189" s="5"/>
      <c r="LDB189" s="5"/>
      <c r="LDC189" s="5"/>
      <c r="LDD189" s="5"/>
      <c r="LDE189" s="5"/>
      <c r="LDF189" s="5"/>
      <c r="LDG189" s="5"/>
      <c r="LDH189" s="5"/>
      <c r="LDI189" s="5"/>
      <c r="LDJ189" s="5"/>
      <c r="LDK189" s="5"/>
      <c r="LDL189" s="5"/>
      <c r="LDM189" s="5"/>
      <c r="LDN189" s="5"/>
      <c r="LDO189" s="5"/>
      <c r="LDP189" s="5"/>
      <c r="LDQ189" s="5"/>
      <c r="LDR189" s="5"/>
      <c r="LDS189" s="5"/>
      <c r="LDT189" s="5"/>
      <c r="LDU189" s="5"/>
      <c r="LDV189" s="5"/>
      <c r="LDW189" s="5"/>
      <c r="LDX189" s="5"/>
      <c r="LDY189" s="5"/>
      <c r="LDZ189" s="5"/>
      <c r="LEA189" s="5"/>
      <c r="LEB189" s="5"/>
      <c r="LEC189" s="5"/>
      <c r="LED189" s="5"/>
      <c r="LEE189" s="5"/>
      <c r="LEF189" s="5"/>
      <c r="LEG189" s="5"/>
      <c r="LEH189" s="5"/>
      <c r="LEI189" s="5"/>
      <c r="LEJ189" s="5"/>
      <c r="LEK189" s="5"/>
      <c r="LEL189" s="5"/>
      <c r="LEM189" s="5"/>
      <c r="LEN189" s="5"/>
      <c r="LEO189" s="5"/>
      <c r="LEP189" s="5"/>
      <c r="LEQ189" s="5"/>
      <c r="LER189" s="5"/>
      <c r="LES189" s="5"/>
      <c r="LET189" s="5"/>
      <c r="LEU189" s="5"/>
      <c r="LEV189" s="5"/>
      <c r="LEW189" s="5"/>
      <c r="LEX189" s="5"/>
      <c r="LEY189" s="5"/>
      <c r="LEZ189" s="5"/>
      <c r="LFA189" s="5"/>
      <c r="LFB189" s="5"/>
      <c r="LFC189" s="5"/>
      <c r="LFD189" s="5"/>
      <c r="LFE189" s="5"/>
      <c r="LFF189" s="5"/>
      <c r="LFG189" s="5"/>
      <c r="LFH189" s="5"/>
      <c r="LFI189" s="5"/>
      <c r="LFJ189" s="5"/>
      <c r="LFK189" s="5"/>
      <c r="LFL189" s="5"/>
      <c r="LFM189" s="5"/>
      <c r="LFN189" s="5"/>
      <c r="LFO189" s="5"/>
      <c r="LFP189" s="5"/>
      <c r="LFQ189" s="5"/>
      <c r="LFR189" s="5"/>
      <c r="LFS189" s="5"/>
      <c r="LFT189" s="5"/>
      <c r="LFU189" s="5"/>
      <c r="LFV189" s="5"/>
      <c r="LFW189" s="5"/>
      <c r="LFX189" s="5"/>
      <c r="LFY189" s="5"/>
      <c r="LFZ189" s="5"/>
      <c r="LGA189" s="5"/>
      <c r="LGB189" s="5"/>
      <c r="LGC189" s="5"/>
      <c r="LGD189" s="5"/>
      <c r="LGE189" s="5"/>
      <c r="LGF189" s="5"/>
      <c r="LGG189" s="5"/>
      <c r="LGH189" s="5"/>
      <c r="LGI189" s="5"/>
      <c r="LGJ189" s="5"/>
      <c r="LGK189" s="5"/>
      <c r="LGL189" s="5"/>
      <c r="LGM189" s="5"/>
      <c r="LGN189" s="5"/>
      <c r="LGO189" s="5"/>
      <c r="LGP189" s="5"/>
      <c r="LGQ189" s="5"/>
      <c r="LGR189" s="5"/>
      <c r="LGS189" s="5"/>
      <c r="LGT189" s="5"/>
      <c r="LGU189" s="5"/>
      <c r="LGV189" s="5"/>
      <c r="LGW189" s="5"/>
      <c r="LGX189" s="5"/>
      <c r="LGY189" s="5"/>
      <c r="LGZ189" s="5"/>
      <c r="LHA189" s="5"/>
      <c r="LHB189" s="5"/>
      <c r="LHC189" s="5"/>
      <c r="LHD189" s="5"/>
      <c r="LHE189" s="5"/>
      <c r="LHF189" s="5"/>
      <c r="LHG189" s="5"/>
      <c r="LHH189" s="5"/>
      <c r="LHI189" s="5"/>
      <c r="LHJ189" s="5"/>
      <c r="LHK189" s="5"/>
      <c r="LHL189" s="5"/>
      <c r="LHM189" s="5"/>
      <c r="LHN189" s="5"/>
      <c r="LHO189" s="5"/>
      <c r="LHP189" s="5"/>
      <c r="LHQ189" s="5"/>
      <c r="LHR189" s="5"/>
      <c r="LHS189" s="5"/>
      <c r="LHT189" s="5"/>
      <c r="LHU189" s="5"/>
      <c r="LHV189" s="5"/>
      <c r="LHW189" s="5"/>
      <c r="LHX189" s="5"/>
      <c r="LHY189" s="5"/>
      <c r="LHZ189" s="5"/>
      <c r="LIA189" s="5"/>
      <c r="LIB189" s="5"/>
      <c r="LIC189" s="5"/>
      <c r="LID189" s="5"/>
      <c r="LIE189" s="5"/>
      <c r="LIF189" s="5"/>
      <c r="LIG189" s="5"/>
      <c r="LIH189" s="5"/>
      <c r="LII189" s="5"/>
      <c r="LIJ189" s="5"/>
      <c r="LIK189" s="5"/>
      <c r="LIL189" s="5"/>
      <c r="LIM189" s="5"/>
      <c r="LIN189" s="5"/>
      <c r="LIO189" s="5"/>
      <c r="LIP189" s="5"/>
      <c r="LIQ189" s="5"/>
      <c r="LIR189" s="5"/>
      <c r="LIS189" s="5"/>
      <c r="LIT189" s="5"/>
      <c r="LIU189" s="5"/>
      <c r="LIV189" s="5"/>
      <c r="LIW189" s="5"/>
      <c r="LIX189" s="5"/>
      <c r="LIY189" s="5"/>
      <c r="LIZ189" s="5"/>
      <c r="LJA189" s="5"/>
      <c r="LJB189" s="5"/>
      <c r="LJC189" s="5"/>
      <c r="LJD189" s="5"/>
      <c r="LJE189" s="5"/>
      <c r="LJF189" s="5"/>
      <c r="LJG189" s="5"/>
      <c r="LJH189" s="5"/>
      <c r="LJI189" s="5"/>
      <c r="LJJ189" s="5"/>
      <c r="LJK189" s="5"/>
      <c r="LJL189" s="5"/>
      <c r="LJM189" s="5"/>
      <c r="LJN189" s="5"/>
      <c r="LJO189" s="5"/>
      <c r="LJP189" s="5"/>
      <c r="LJQ189" s="5"/>
      <c r="LJR189" s="5"/>
      <c r="LJS189" s="5"/>
      <c r="LJT189" s="5"/>
      <c r="LJU189" s="5"/>
      <c r="LJV189" s="5"/>
      <c r="LJW189" s="5"/>
      <c r="LJX189" s="5"/>
      <c r="LJY189" s="5"/>
      <c r="LJZ189" s="5"/>
      <c r="LKA189" s="5"/>
      <c r="LKB189" s="5"/>
      <c r="LKC189" s="5"/>
      <c r="LKD189" s="5"/>
      <c r="LKE189" s="5"/>
      <c r="LKF189" s="5"/>
      <c r="LKG189" s="5"/>
      <c r="LKH189" s="5"/>
      <c r="LKI189" s="5"/>
      <c r="LKJ189" s="5"/>
      <c r="LKK189" s="5"/>
      <c r="LKL189" s="5"/>
      <c r="LKM189" s="5"/>
      <c r="LKN189" s="5"/>
      <c r="LKO189" s="5"/>
      <c r="LKP189" s="5"/>
      <c r="LKQ189" s="5"/>
      <c r="LKR189" s="5"/>
      <c r="LKS189" s="5"/>
      <c r="LKT189" s="5"/>
      <c r="LKU189" s="5"/>
      <c r="LKV189" s="5"/>
      <c r="LKW189" s="5"/>
      <c r="LKX189" s="5"/>
      <c r="LKY189" s="5"/>
      <c r="LKZ189" s="5"/>
      <c r="LLA189" s="5"/>
      <c r="LLB189" s="5"/>
      <c r="LLC189" s="5"/>
      <c r="LLD189" s="5"/>
      <c r="LLE189" s="5"/>
      <c r="LLF189" s="5"/>
      <c r="LLG189" s="5"/>
      <c r="LLH189" s="5"/>
      <c r="LLI189" s="5"/>
      <c r="LLJ189" s="5"/>
      <c r="LLK189" s="5"/>
      <c r="LLL189" s="5"/>
      <c r="LLM189" s="5"/>
      <c r="LLN189" s="5"/>
      <c r="LLO189" s="5"/>
      <c r="LLP189" s="5"/>
      <c r="LLQ189" s="5"/>
      <c r="LLR189" s="5"/>
      <c r="LLS189" s="5"/>
      <c r="LLT189" s="5"/>
      <c r="LLU189" s="5"/>
      <c r="LLV189" s="5"/>
      <c r="LLW189" s="5"/>
      <c r="LLX189" s="5"/>
      <c r="LLY189" s="5"/>
      <c r="LLZ189" s="5"/>
      <c r="LMA189" s="5"/>
      <c r="LMB189" s="5"/>
      <c r="LMC189" s="5"/>
      <c r="LMD189" s="5"/>
      <c r="LME189" s="5"/>
      <c r="LMF189" s="5"/>
      <c r="LMG189" s="5"/>
      <c r="LMH189" s="5"/>
      <c r="LMI189" s="5"/>
      <c r="LMJ189" s="5"/>
      <c r="LMK189" s="5"/>
      <c r="LML189" s="5"/>
      <c r="LMM189" s="5"/>
      <c r="LMN189" s="5"/>
      <c r="LMO189" s="5"/>
      <c r="LMP189" s="5"/>
      <c r="LMQ189" s="5"/>
      <c r="LMR189" s="5"/>
      <c r="LMS189" s="5"/>
      <c r="LMT189" s="5"/>
      <c r="LMU189" s="5"/>
      <c r="LMV189" s="5"/>
      <c r="LMW189" s="5"/>
      <c r="LMX189" s="5"/>
      <c r="LMY189" s="5"/>
      <c r="LMZ189" s="5"/>
      <c r="LNA189" s="5"/>
      <c r="LNB189" s="5"/>
      <c r="LNC189" s="5"/>
      <c r="LND189" s="5"/>
      <c r="LNE189" s="5"/>
      <c r="LNF189" s="5"/>
      <c r="LNG189" s="5"/>
      <c r="LNH189" s="5"/>
      <c r="LNI189" s="5"/>
      <c r="LNJ189" s="5"/>
      <c r="LNK189" s="5"/>
      <c r="LNL189" s="5"/>
      <c r="LNM189" s="5"/>
      <c r="LNN189" s="5"/>
      <c r="LNO189" s="5"/>
      <c r="LNP189" s="5"/>
      <c r="LNQ189" s="5"/>
      <c r="LNR189" s="5"/>
      <c r="LNS189" s="5"/>
      <c r="LNT189" s="5"/>
      <c r="LNU189" s="5"/>
      <c r="LNV189" s="5"/>
      <c r="LNW189" s="5"/>
      <c r="LNX189" s="5"/>
      <c r="LNY189" s="5"/>
      <c r="LNZ189" s="5"/>
      <c r="LOA189" s="5"/>
      <c r="LOB189" s="5"/>
      <c r="LOC189" s="5"/>
      <c r="LOD189" s="5"/>
      <c r="LOE189" s="5"/>
      <c r="LOF189" s="5"/>
      <c r="LOG189" s="5"/>
      <c r="LOH189" s="5"/>
      <c r="LOI189" s="5"/>
      <c r="LOJ189" s="5"/>
      <c r="LOK189" s="5"/>
      <c r="LOL189" s="5"/>
      <c r="LOM189" s="5"/>
      <c r="LON189" s="5"/>
      <c r="LOO189" s="5"/>
      <c r="LOP189" s="5"/>
      <c r="LOQ189" s="5"/>
      <c r="LOR189" s="5"/>
      <c r="LOS189" s="5"/>
      <c r="LOT189" s="5"/>
      <c r="LOU189" s="5"/>
      <c r="LOV189" s="5"/>
      <c r="LOW189" s="5"/>
      <c r="LOX189" s="5"/>
      <c r="LOY189" s="5"/>
      <c r="LOZ189" s="5"/>
      <c r="LPA189" s="5"/>
      <c r="LPB189" s="5"/>
      <c r="LPC189" s="5"/>
      <c r="LPD189" s="5"/>
      <c r="LPE189" s="5"/>
      <c r="LPF189" s="5"/>
      <c r="LPG189" s="5"/>
      <c r="LPH189" s="5"/>
      <c r="LPI189" s="5"/>
      <c r="LPJ189" s="5"/>
      <c r="LPK189" s="5"/>
      <c r="LPL189" s="5"/>
      <c r="LPM189" s="5"/>
      <c r="LPN189" s="5"/>
      <c r="LPO189" s="5"/>
      <c r="LPP189" s="5"/>
      <c r="LPQ189" s="5"/>
      <c r="LPR189" s="5"/>
      <c r="LPS189" s="5"/>
      <c r="LPT189" s="5"/>
      <c r="LPU189" s="5"/>
      <c r="LPV189" s="5"/>
      <c r="LPW189" s="5"/>
      <c r="LPX189" s="5"/>
      <c r="LPY189" s="5"/>
      <c r="LPZ189" s="5"/>
      <c r="LQA189" s="5"/>
      <c r="LQB189" s="5"/>
      <c r="LQC189" s="5"/>
      <c r="LQD189" s="5"/>
      <c r="LQE189" s="5"/>
      <c r="LQF189" s="5"/>
      <c r="LQG189" s="5"/>
      <c r="LQH189" s="5"/>
      <c r="LQI189" s="5"/>
      <c r="LQJ189" s="5"/>
      <c r="LQK189" s="5"/>
      <c r="LQL189" s="5"/>
      <c r="LQM189" s="5"/>
      <c r="LQN189" s="5"/>
      <c r="LQO189" s="5"/>
      <c r="LQP189" s="5"/>
      <c r="LQQ189" s="5"/>
      <c r="LQR189" s="5"/>
      <c r="LQS189" s="5"/>
      <c r="LQT189" s="5"/>
      <c r="LQU189" s="5"/>
      <c r="LQV189" s="5"/>
      <c r="LQW189" s="5"/>
      <c r="LQX189" s="5"/>
      <c r="LQY189" s="5"/>
      <c r="LQZ189" s="5"/>
      <c r="LRA189" s="5"/>
      <c r="LRB189" s="5"/>
      <c r="LRC189" s="5"/>
      <c r="LRD189" s="5"/>
      <c r="LRE189" s="5"/>
      <c r="LRF189" s="5"/>
      <c r="LRG189" s="5"/>
      <c r="LRH189" s="5"/>
      <c r="LRI189" s="5"/>
      <c r="LRJ189" s="5"/>
      <c r="LRK189" s="5"/>
      <c r="LRL189" s="5"/>
      <c r="LRM189" s="5"/>
      <c r="LRN189" s="5"/>
      <c r="LRO189" s="5"/>
      <c r="LRP189" s="5"/>
      <c r="LRQ189" s="5"/>
      <c r="LRR189" s="5"/>
      <c r="LRS189" s="5"/>
      <c r="LRT189" s="5"/>
      <c r="LRU189" s="5"/>
      <c r="LRV189" s="5"/>
      <c r="LRW189" s="5"/>
      <c r="LRX189" s="5"/>
      <c r="LRY189" s="5"/>
      <c r="LRZ189" s="5"/>
      <c r="LSA189" s="5"/>
      <c r="LSB189" s="5"/>
      <c r="LSC189" s="5"/>
      <c r="LSD189" s="5"/>
      <c r="LSE189" s="5"/>
      <c r="LSF189" s="5"/>
      <c r="LSG189" s="5"/>
      <c r="LSH189" s="5"/>
      <c r="LSI189" s="5"/>
      <c r="LSJ189" s="5"/>
      <c r="LSK189" s="5"/>
      <c r="LSL189" s="5"/>
      <c r="LSM189" s="5"/>
      <c r="LSN189" s="5"/>
      <c r="LSO189" s="5"/>
      <c r="LSP189" s="5"/>
      <c r="LSQ189" s="5"/>
      <c r="LSR189" s="5"/>
      <c r="LSS189" s="5"/>
      <c r="LST189" s="5"/>
      <c r="LSU189" s="5"/>
      <c r="LSV189" s="5"/>
      <c r="LSW189" s="5"/>
      <c r="LSX189" s="5"/>
      <c r="LSY189" s="5"/>
      <c r="LSZ189" s="5"/>
      <c r="LTA189" s="5"/>
      <c r="LTB189" s="5"/>
      <c r="LTC189" s="5"/>
      <c r="LTD189" s="5"/>
      <c r="LTE189" s="5"/>
      <c r="LTF189" s="5"/>
      <c r="LTG189" s="5"/>
      <c r="LTH189" s="5"/>
      <c r="LTI189" s="5"/>
      <c r="LTJ189" s="5"/>
      <c r="LTK189" s="5"/>
      <c r="LTL189" s="5"/>
      <c r="LTM189" s="5"/>
      <c r="LTN189" s="5"/>
      <c r="LTO189" s="5"/>
      <c r="LTP189" s="5"/>
      <c r="LTQ189" s="5"/>
      <c r="LTR189" s="5"/>
      <c r="LTS189" s="5"/>
      <c r="LTT189" s="5"/>
      <c r="LTU189" s="5"/>
      <c r="LTV189" s="5"/>
      <c r="LTW189" s="5"/>
      <c r="LTX189" s="5"/>
      <c r="LTY189" s="5"/>
      <c r="LTZ189" s="5"/>
      <c r="LUA189" s="5"/>
      <c r="LUB189" s="5"/>
      <c r="LUC189" s="5"/>
      <c r="LUD189" s="5"/>
      <c r="LUE189" s="5"/>
      <c r="LUF189" s="5"/>
      <c r="LUG189" s="5"/>
      <c r="LUH189" s="5"/>
      <c r="LUI189" s="5"/>
      <c r="LUJ189" s="5"/>
      <c r="LUK189" s="5"/>
      <c r="LUL189" s="5"/>
      <c r="LUM189" s="5"/>
      <c r="LUN189" s="5"/>
      <c r="LUO189" s="5"/>
      <c r="LUP189" s="5"/>
      <c r="LUQ189" s="5"/>
      <c r="LUR189" s="5"/>
      <c r="LUS189" s="5"/>
      <c r="LUT189" s="5"/>
      <c r="LUU189" s="5"/>
      <c r="LUV189" s="5"/>
      <c r="LUW189" s="5"/>
      <c r="LUX189" s="5"/>
      <c r="LUY189" s="5"/>
      <c r="LUZ189" s="5"/>
      <c r="LVA189" s="5"/>
      <c r="LVB189" s="5"/>
      <c r="LVC189" s="5"/>
      <c r="LVD189" s="5"/>
      <c r="LVE189" s="5"/>
      <c r="LVF189" s="5"/>
      <c r="LVG189" s="5"/>
      <c r="LVH189" s="5"/>
      <c r="LVI189" s="5"/>
      <c r="LVJ189" s="5"/>
      <c r="LVK189" s="5"/>
      <c r="LVL189" s="5"/>
      <c r="LVM189" s="5"/>
      <c r="LVN189" s="5"/>
      <c r="LVO189" s="5"/>
      <c r="LVP189" s="5"/>
      <c r="LVQ189" s="5"/>
      <c r="LVR189" s="5"/>
      <c r="LVS189" s="5"/>
      <c r="LVT189" s="5"/>
      <c r="LVU189" s="5"/>
      <c r="LVV189" s="5"/>
      <c r="LVW189" s="5"/>
      <c r="LVX189" s="5"/>
      <c r="LVY189" s="5"/>
      <c r="LVZ189" s="5"/>
      <c r="LWA189" s="5"/>
      <c r="LWB189" s="5"/>
      <c r="LWC189" s="5"/>
      <c r="LWD189" s="5"/>
      <c r="LWE189" s="5"/>
      <c r="LWF189" s="5"/>
      <c r="LWG189" s="5"/>
      <c r="LWH189" s="5"/>
      <c r="LWI189" s="5"/>
      <c r="LWJ189" s="5"/>
      <c r="LWK189" s="5"/>
      <c r="LWL189" s="5"/>
      <c r="LWM189" s="5"/>
      <c r="LWN189" s="5"/>
      <c r="LWO189" s="5"/>
      <c r="LWP189" s="5"/>
      <c r="LWQ189" s="5"/>
      <c r="LWR189" s="5"/>
      <c r="LWS189" s="5"/>
      <c r="LWT189" s="5"/>
      <c r="LWU189" s="5"/>
      <c r="LWV189" s="5"/>
      <c r="LWW189" s="5"/>
      <c r="LWX189" s="5"/>
      <c r="LWY189" s="5"/>
      <c r="LWZ189" s="5"/>
      <c r="LXA189" s="5"/>
      <c r="LXB189" s="5"/>
      <c r="LXC189" s="5"/>
      <c r="LXD189" s="5"/>
      <c r="LXE189" s="5"/>
      <c r="LXF189" s="5"/>
      <c r="LXG189" s="5"/>
      <c r="LXH189" s="5"/>
      <c r="LXI189" s="5"/>
      <c r="LXJ189" s="5"/>
      <c r="LXK189" s="5"/>
      <c r="LXL189" s="5"/>
      <c r="LXM189" s="5"/>
      <c r="LXN189" s="5"/>
      <c r="LXO189" s="5"/>
      <c r="LXP189" s="5"/>
      <c r="LXQ189" s="5"/>
      <c r="LXR189" s="5"/>
      <c r="LXS189" s="5"/>
      <c r="LXT189" s="5"/>
      <c r="LXU189" s="5"/>
      <c r="LXV189" s="5"/>
      <c r="LXW189" s="5"/>
      <c r="LXX189" s="5"/>
      <c r="LXY189" s="5"/>
      <c r="LXZ189" s="5"/>
      <c r="LYA189" s="5"/>
      <c r="LYB189" s="5"/>
      <c r="LYC189" s="5"/>
      <c r="LYD189" s="5"/>
      <c r="LYE189" s="5"/>
      <c r="LYF189" s="5"/>
      <c r="LYG189" s="5"/>
      <c r="LYH189" s="5"/>
      <c r="LYI189" s="5"/>
      <c r="LYJ189" s="5"/>
      <c r="LYK189" s="5"/>
      <c r="LYL189" s="5"/>
      <c r="LYM189" s="5"/>
      <c r="LYN189" s="5"/>
      <c r="LYO189" s="5"/>
      <c r="LYP189" s="5"/>
      <c r="LYQ189" s="5"/>
      <c r="LYR189" s="5"/>
      <c r="LYS189" s="5"/>
      <c r="LYT189" s="5"/>
      <c r="LYU189" s="5"/>
      <c r="LYV189" s="5"/>
      <c r="LYW189" s="5"/>
      <c r="LYX189" s="5"/>
      <c r="LYY189" s="5"/>
      <c r="LYZ189" s="5"/>
      <c r="LZA189" s="5"/>
      <c r="LZB189" s="5"/>
      <c r="LZC189" s="5"/>
      <c r="LZD189" s="5"/>
      <c r="LZE189" s="5"/>
      <c r="LZF189" s="5"/>
      <c r="LZG189" s="5"/>
      <c r="LZH189" s="5"/>
      <c r="LZI189" s="5"/>
      <c r="LZJ189" s="5"/>
      <c r="LZK189" s="5"/>
      <c r="LZL189" s="5"/>
      <c r="LZM189" s="5"/>
      <c r="LZN189" s="5"/>
      <c r="LZO189" s="5"/>
      <c r="LZP189" s="5"/>
      <c r="LZQ189" s="5"/>
      <c r="LZR189" s="5"/>
      <c r="LZS189" s="5"/>
      <c r="LZT189" s="5"/>
      <c r="LZU189" s="5"/>
      <c r="LZV189" s="5"/>
      <c r="LZW189" s="5"/>
      <c r="LZX189" s="5"/>
      <c r="LZY189" s="5"/>
      <c r="LZZ189" s="5"/>
      <c r="MAA189" s="5"/>
      <c r="MAB189" s="5"/>
      <c r="MAC189" s="5"/>
      <c r="MAD189" s="5"/>
      <c r="MAE189" s="5"/>
      <c r="MAF189" s="5"/>
      <c r="MAG189" s="5"/>
      <c r="MAH189" s="5"/>
      <c r="MAI189" s="5"/>
      <c r="MAJ189" s="5"/>
      <c r="MAK189" s="5"/>
      <c r="MAL189" s="5"/>
      <c r="MAM189" s="5"/>
      <c r="MAN189" s="5"/>
      <c r="MAO189" s="5"/>
      <c r="MAP189" s="5"/>
      <c r="MAQ189" s="5"/>
      <c r="MAR189" s="5"/>
      <c r="MAS189" s="5"/>
      <c r="MAT189" s="5"/>
      <c r="MAU189" s="5"/>
      <c r="MAV189" s="5"/>
      <c r="MAW189" s="5"/>
      <c r="MAX189" s="5"/>
      <c r="MAY189" s="5"/>
      <c r="MAZ189" s="5"/>
      <c r="MBA189" s="5"/>
      <c r="MBB189" s="5"/>
      <c r="MBC189" s="5"/>
      <c r="MBD189" s="5"/>
      <c r="MBE189" s="5"/>
      <c r="MBF189" s="5"/>
      <c r="MBG189" s="5"/>
      <c r="MBH189" s="5"/>
      <c r="MBI189" s="5"/>
      <c r="MBJ189" s="5"/>
      <c r="MBK189" s="5"/>
      <c r="MBL189" s="5"/>
      <c r="MBM189" s="5"/>
      <c r="MBN189" s="5"/>
      <c r="MBO189" s="5"/>
      <c r="MBP189" s="5"/>
      <c r="MBQ189" s="5"/>
      <c r="MBR189" s="5"/>
      <c r="MBS189" s="5"/>
      <c r="MBT189" s="5"/>
      <c r="MBU189" s="5"/>
      <c r="MBV189" s="5"/>
      <c r="MBW189" s="5"/>
      <c r="MBX189" s="5"/>
      <c r="MBY189" s="5"/>
      <c r="MBZ189" s="5"/>
      <c r="MCA189" s="5"/>
      <c r="MCB189" s="5"/>
      <c r="MCC189" s="5"/>
      <c r="MCD189" s="5"/>
      <c r="MCE189" s="5"/>
      <c r="MCF189" s="5"/>
      <c r="MCG189" s="5"/>
      <c r="MCH189" s="5"/>
      <c r="MCI189" s="5"/>
      <c r="MCJ189" s="5"/>
      <c r="MCK189" s="5"/>
      <c r="MCL189" s="5"/>
      <c r="MCM189" s="5"/>
      <c r="MCN189" s="5"/>
      <c r="MCO189" s="5"/>
      <c r="MCP189" s="5"/>
      <c r="MCQ189" s="5"/>
      <c r="MCR189" s="5"/>
      <c r="MCS189" s="5"/>
      <c r="MCT189" s="5"/>
      <c r="MCU189" s="5"/>
      <c r="MCV189" s="5"/>
      <c r="MCW189" s="5"/>
      <c r="MCX189" s="5"/>
      <c r="MCY189" s="5"/>
      <c r="MCZ189" s="5"/>
      <c r="MDA189" s="5"/>
      <c r="MDB189" s="5"/>
      <c r="MDC189" s="5"/>
      <c r="MDD189" s="5"/>
      <c r="MDE189" s="5"/>
      <c r="MDF189" s="5"/>
      <c r="MDG189" s="5"/>
      <c r="MDH189" s="5"/>
      <c r="MDI189" s="5"/>
      <c r="MDJ189" s="5"/>
      <c r="MDK189" s="5"/>
      <c r="MDL189" s="5"/>
      <c r="MDM189" s="5"/>
      <c r="MDN189" s="5"/>
      <c r="MDO189" s="5"/>
      <c r="MDP189" s="5"/>
      <c r="MDQ189" s="5"/>
      <c r="MDR189" s="5"/>
      <c r="MDS189" s="5"/>
      <c r="MDT189" s="5"/>
      <c r="MDU189" s="5"/>
      <c r="MDV189" s="5"/>
      <c r="MDW189" s="5"/>
      <c r="MDX189" s="5"/>
      <c r="MDY189" s="5"/>
      <c r="MDZ189" s="5"/>
      <c r="MEA189" s="5"/>
      <c r="MEB189" s="5"/>
      <c r="MEC189" s="5"/>
      <c r="MED189" s="5"/>
      <c r="MEE189" s="5"/>
      <c r="MEF189" s="5"/>
      <c r="MEG189" s="5"/>
      <c r="MEH189" s="5"/>
      <c r="MEI189" s="5"/>
      <c r="MEJ189" s="5"/>
      <c r="MEK189" s="5"/>
      <c r="MEL189" s="5"/>
      <c r="MEM189" s="5"/>
      <c r="MEN189" s="5"/>
      <c r="MEO189" s="5"/>
      <c r="MEP189" s="5"/>
      <c r="MEQ189" s="5"/>
      <c r="MER189" s="5"/>
      <c r="MES189" s="5"/>
      <c r="MET189" s="5"/>
      <c r="MEU189" s="5"/>
      <c r="MEV189" s="5"/>
      <c r="MEW189" s="5"/>
      <c r="MEX189" s="5"/>
      <c r="MEY189" s="5"/>
      <c r="MEZ189" s="5"/>
      <c r="MFA189" s="5"/>
      <c r="MFB189" s="5"/>
      <c r="MFC189" s="5"/>
      <c r="MFD189" s="5"/>
      <c r="MFE189" s="5"/>
      <c r="MFF189" s="5"/>
      <c r="MFG189" s="5"/>
      <c r="MFH189" s="5"/>
      <c r="MFI189" s="5"/>
      <c r="MFJ189" s="5"/>
      <c r="MFK189" s="5"/>
      <c r="MFL189" s="5"/>
      <c r="MFM189" s="5"/>
      <c r="MFN189" s="5"/>
      <c r="MFO189" s="5"/>
      <c r="MFP189" s="5"/>
      <c r="MFQ189" s="5"/>
      <c r="MFR189" s="5"/>
      <c r="MFS189" s="5"/>
      <c r="MFT189" s="5"/>
      <c r="MFU189" s="5"/>
      <c r="MFV189" s="5"/>
      <c r="MFW189" s="5"/>
      <c r="MFX189" s="5"/>
      <c r="MFY189" s="5"/>
      <c r="MFZ189" s="5"/>
      <c r="MGA189" s="5"/>
      <c r="MGB189" s="5"/>
      <c r="MGC189" s="5"/>
      <c r="MGD189" s="5"/>
      <c r="MGE189" s="5"/>
      <c r="MGF189" s="5"/>
      <c r="MGG189" s="5"/>
      <c r="MGH189" s="5"/>
      <c r="MGI189" s="5"/>
      <c r="MGJ189" s="5"/>
      <c r="MGK189" s="5"/>
      <c r="MGL189" s="5"/>
      <c r="MGM189" s="5"/>
      <c r="MGN189" s="5"/>
      <c r="MGO189" s="5"/>
      <c r="MGP189" s="5"/>
      <c r="MGQ189" s="5"/>
      <c r="MGR189" s="5"/>
      <c r="MGS189" s="5"/>
      <c r="MGT189" s="5"/>
      <c r="MGU189" s="5"/>
      <c r="MGV189" s="5"/>
      <c r="MGW189" s="5"/>
      <c r="MGX189" s="5"/>
      <c r="MGY189" s="5"/>
      <c r="MGZ189" s="5"/>
      <c r="MHA189" s="5"/>
      <c r="MHB189" s="5"/>
      <c r="MHC189" s="5"/>
      <c r="MHD189" s="5"/>
      <c r="MHE189" s="5"/>
      <c r="MHF189" s="5"/>
      <c r="MHG189" s="5"/>
      <c r="MHH189" s="5"/>
      <c r="MHI189" s="5"/>
      <c r="MHJ189" s="5"/>
      <c r="MHK189" s="5"/>
      <c r="MHL189" s="5"/>
      <c r="MHM189" s="5"/>
      <c r="MHN189" s="5"/>
      <c r="MHO189" s="5"/>
      <c r="MHP189" s="5"/>
      <c r="MHQ189" s="5"/>
      <c r="MHR189" s="5"/>
      <c r="MHS189" s="5"/>
      <c r="MHT189" s="5"/>
      <c r="MHU189" s="5"/>
      <c r="MHV189" s="5"/>
      <c r="MHW189" s="5"/>
      <c r="MHX189" s="5"/>
      <c r="MHY189" s="5"/>
      <c r="MHZ189" s="5"/>
      <c r="MIA189" s="5"/>
      <c r="MIB189" s="5"/>
      <c r="MIC189" s="5"/>
      <c r="MID189" s="5"/>
      <c r="MIE189" s="5"/>
      <c r="MIF189" s="5"/>
      <c r="MIG189" s="5"/>
      <c r="MIH189" s="5"/>
      <c r="MII189" s="5"/>
      <c r="MIJ189" s="5"/>
      <c r="MIK189" s="5"/>
      <c r="MIL189" s="5"/>
      <c r="MIM189" s="5"/>
      <c r="MIN189" s="5"/>
      <c r="MIO189" s="5"/>
      <c r="MIP189" s="5"/>
      <c r="MIQ189" s="5"/>
      <c r="MIR189" s="5"/>
      <c r="MIS189" s="5"/>
      <c r="MIT189" s="5"/>
      <c r="MIU189" s="5"/>
      <c r="MIV189" s="5"/>
      <c r="MIW189" s="5"/>
      <c r="MIX189" s="5"/>
      <c r="MIY189" s="5"/>
      <c r="MIZ189" s="5"/>
      <c r="MJA189" s="5"/>
      <c r="MJB189" s="5"/>
      <c r="MJC189" s="5"/>
      <c r="MJD189" s="5"/>
      <c r="MJE189" s="5"/>
      <c r="MJF189" s="5"/>
      <c r="MJG189" s="5"/>
      <c r="MJH189" s="5"/>
      <c r="MJI189" s="5"/>
      <c r="MJJ189" s="5"/>
      <c r="MJK189" s="5"/>
      <c r="MJL189" s="5"/>
      <c r="MJM189" s="5"/>
      <c r="MJN189" s="5"/>
      <c r="MJO189" s="5"/>
      <c r="MJP189" s="5"/>
      <c r="MJQ189" s="5"/>
      <c r="MJR189" s="5"/>
      <c r="MJS189" s="5"/>
      <c r="MJT189" s="5"/>
      <c r="MJU189" s="5"/>
      <c r="MJV189" s="5"/>
      <c r="MJW189" s="5"/>
      <c r="MJX189" s="5"/>
      <c r="MJY189" s="5"/>
      <c r="MJZ189" s="5"/>
      <c r="MKA189" s="5"/>
      <c r="MKB189" s="5"/>
      <c r="MKC189" s="5"/>
      <c r="MKD189" s="5"/>
      <c r="MKE189" s="5"/>
      <c r="MKF189" s="5"/>
      <c r="MKG189" s="5"/>
      <c r="MKH189" s="5"/>
      <c r="MKI189" s="5"/>
      <c r="MKJ189" s="5"/>
      <c r="MKK189" s="5"/>
      <c r="MKL189" s="5"/>
      <c r="MKM189" s="5"/>
      <c r="MKN189" s="5"/>
      <c r="MKO189" s="5"/>
      <c r="MKP189" s="5"/>
      <c r="MKQ189" s="5"/>
      <c r="MKR189" s="5"/>
      <c r="MKS189" s="5"/>
      <c r="MKT189" s="5"/>
      <c r="MKU189" s="5"/>
      <c r="MKV189" s="5"/>
      <c r="MKW189" s="5"/>
      <c r="MKX189" s="5"/>
      <c r="MKY189" s="5"/>
      <c r="MKZ189" s="5"/>
      <c r="MLA189" s="5"/>
      <c r="MLB189" s="5"/>
      <c r="MLC189" s="5"/>
      <c r="MLD189" s="5"/>
      <c r="MLE189" s="5"/>
      <c r="MLF189" s="5"/>
      <c r="MLG189" s="5"/>
      <c r="MLH189" s="5"/>
      <c r="MLI189" s="5"/>
      <c r="MLJ189" s="5"/>
      <c r="MLK189" s="5"/>
      <c r="MLL189" s="5"/>
      <c r="MLM189" s="5"/>
      <c r="MLN189" s="5"/>
      <c r="MLO189" s="5"/>
      <c r="MLP189" s="5"/>
      <c r="MLQ189" s="5"/>
      <c r="MLR189" s="5"/>
      <c r="MLS189" s="5"/>
      <c r="MLT189" s="5"/>
      <c r="MLU189" s="5"/>
      <c r="MLV189" s="5"/>
      <c r="MLW189" s="5"/>
      <c r="MLX189" s="5"/>
      <c r="MLY189" s="5"/>
      <c r="MLZ189" s="5"/>
      <c r="MMA189" s="5"/>
      <c r="MMB189" s="5"/>
      <c r="MMC189" s="5"/>
      <c r="MMD189" s="5"/>
      <c r="MME189" s="5"/>
      <c r="MMF189" s="5"/>
      <c r="MMG189" s="5"/>
      <c r="MMH189" s="5"/>
      <c r="MMI189" s="5"/>
      <c r="MMJ189" s="5"/>
      <c r="MMK189" s="5"/>
      <c r="MML189" s="5"/>
      <c r="MMM189" s="5"/>
      <c r="MMN189" s="5"/>
      <c r="MMO189" s="5"/>
      <c r="MMP189" s="5"/>
      <c r="MMQ189" s="5"/>
      <c r="MMR189" s="5"/>
      <c r="MMS189" s="5"/>
      <c r="MMT189" s="5"/>
      <c r="MMU189" s="5"/>
      <c r="MMV189" s="5"/>
      <c r="MMW189" s="5"/>
      <c r="MMX189" s="5"/>
      <c r="MMY189" s="5"/>
      <c r="MMZ189" s="5"/>
      <c r="MNA189" s="5"/>
      <c r="MNB189" s="5"/>
      <c r="MNC189" s="5"/>
      <c r="MND189" s="5"/>
      <c r="MNE189" s="5"/>
      <c r="MNF189" s="5"/>
      <c r="MNG189" s="5"/>
      <c r="MNH189" s="5"/>
      <c r="MNI189" s="5"/>
      <c r="MNJ189" s="5"/>
      <c r="MNK189" s="5"/>
      <c r="MNL189" s="5"/>
      <c r="MNM189" s="5"/>
      <c r="MNN189" s="5"/>
      <c r="MNO189" s="5"/>
      <c r="MNP189" s="5"/>
      <c r="MNQ189" s="5"/>
      <c r="MNR189" s="5"/>
      <c r="MNS189" s="5"/>
      <c r="MNT189" s="5"/>
      <c r="MNU189" s="5"/>
      <c r="MNV189" s="5"/>
      <c r="MNW189" s="5"/>
      <c r="MNX189" s="5"/>
      <c r="MNY189" s="5"/>
      <c r="MNZ189" s="5"/>
      <c r="MOA189" s="5"/>
      <c r="MOB189" s="5"/>
      <c r="MOC189" s="5"/>
      <c r="MOD189" s="5"/>
      <c r="MOE189" s="5"/>
      <c r="MOF189" s="5"/>
      <c r="MOG189" s="5"/>
      <c r="MOH189" s="5"/>
      <c r="MOI189" s="5"/>
      <c r="MOJ189" s="5"/>
      <c r="MOK189" s="5"/>
      <c r="MOL189" s="5"/>
      <c r="MOM189" s="5"/>
      <c r="MON189" s="5"/>
      <c r="MOO189" s="5"/>
      <c r="MOP189" s="5"/>
      <c r="MOQ189" s="5"/>
      <c r="MOR189" s="5"/>
      <c r="MOS189" s="5"/>
      <c r="MOT189" s="5"/>
      <c r="MOU189" s="5"/>
      <c r="MOV189" s="5"/>
      <c r="MOW189" s="5"/>
      <c r="MOX189" s="5"/>
      <c r="MOY189" s="5"/>
      <c r="MOZ189" s="5"/>
      <c r="MPA189" s="5"/>
      <c r="MPB189" s="5"/>
      <c r="MPC189" s="5"/>
      <c r="MPD189" s="5"/>
      <c r="MPE189" s="5"/>
      <c r="MPF189" s="5"/>
      <c r="MPG189" s="5"/>
      <c r="MPH189" s="5"/>
      <c r="MPI189" s="5"/>
      <c r="MPJ189" s="5"/>
      <c r="MPK189" s="5"/>
      <c r="MPL189" s="5"/>
      <c r="MPM189" s="5"/>
      <c r="MPN189" s="5"/>
      <c r="MPO189" s="5"/>
      <c r="MPP189" s="5"/>
      <c r="MPQ189" s="5"/>
      <c r="MPR189" s="5"/>
      <c r="MPS189" s="5"/>
      <c r="MPT189" s="5"/>
      <c r="MPU189" s="5"/>
      <c r="MPV189" s="5"/>
      <c r="MPW189" s="5"/>
      <c r="MPX189" s="5"/>
      <c r="MPY189" s="5"/>
      <c r="MPZ189" s="5"/>
      <c r="MQA189" s="5"/>
      <c r="MQB189" s="5"/>
      <c r="MQC189" s="5"/>
      <c r="MQD189" s="5"/>
      <c r="MQE189" s="5"/>
      <c r="MQF189" s="5"/>
      <c r="MQG189" s="5"/>
      <c r="MQH189" s="5"/>
      <c r="MQI189" s="5"/>
      <c r="MQJ189" s="5"/>
      <c r="MQK189" s="5"/>
      <c r="MQL189" s="5"/>
      <c r="MQM189" s="5"/>
      <c r="MQN189" s="5"/>
      <c r="MQO189" s="5"/>
      <c r="MQP189" s="5"/>
      <c r="MQQ189" s="5"/>
      <c r="MQR189" s="5"/>
      <c r="MQS189" s="5"/>
      <c r="MQT189" s="5"/>
      <c r="MQU189" s="5"/>
      <c r="MQV189" s="5"/>
      <c r="MQW189" s="5"/>
      <c r="MQX189" s="5"/>
      <c r="MQY189" s="5"/>
      <c r="MQZ189" s="5"/>
      <c r="MRA189" s="5"/>
      <c r="MRB189" s="5"/>
      <c r="MRC189" s="5"/>
      <c r="MRD189" s="5"/>
      <c r="MRE189" s="5"/>
      <c r="MRF189" s="5"/>
      <c r="MRG189" s="5"/>
      <c r="MRH189" s="5"/>
      <c r="MRI189" s="5"/>
      <c r="MRJ189" s="5"/>
      <c r="MRK189" s="5"/>
      <c r="MRL189" s="5"/>
      <c r="MRM189" s="5"/>
      <c r="MRN189" s="5"/>
      <c r="MRO189" s="5"/>
      <c r="MRP189" s="5"/>
      <c r="MRQ189" s="5"/>
      <c r="MRR189" s="5"/>
      <c r="MRS189" s="5"/>
      <c r="MRT189" s="5"/>
      <c r="MRU189" s="5"/>
      <c r="MRV189" s="5"/>
      <c r="MRW189" s="5"/>
      <c r="MRX189" s="5"/>
      <c r="MRY189" s="5"/>
      <c r="MRZ189" s="5"/>
      <c r="MSA189" s="5"/>
      <c r="MSB189" s="5"/>
      <c r="MSC189" s="5"/>
      <c r="MSD189" s="5"/>
      <c r="MSE189" s="5"/>
      <c r="MSF189" s="5"/>
      <c r="MSG189" s="5"/>
      <c r="MSH189" s="5"/>
      <c r="MSI189" s="5"/>
      <c r="MSJ189" s="5"/>
      <c r="MSK189" s="5"/>
      <c r="MSL189" s="5"/>
      <c r="MSM189" s="5"/>
      <c r="MSN189" s="5"/>
      <c r="MSO189" s="5"/>
      <c r="MSP189" s="5"/>
      <c r="MSQ189" s="5"/>
      <c r="MSR189" s="5"/>
      <c r="MSS189" s="5"/>
      <c r="MST189" s="5"/>
      <c r="MSU189" s="5"/>
      <c r="MSV189" s="5"/>
      <c r="MSW189" s="5"/>
      <c r="MSX189" s="5"/>
      <c r="MSY189" s="5"/>
      <c r="MSZ189" s="5"/>
      <c r="MTA189" s="5"/>
      <c r="MTB189" s="5"/>
      <c r="MTC189" s="5"/>
      <c r="MTD189" s="5"/>
      <c r="MTE189" s="5"/>
      <c r="MTF189" s="5"/>
      <c r="MTG189" s="5"/>
      <c r="MTH189" s="5"/>
      <c r="MTI189" s="5"/>
      <c r="MTJ189" s="5"/>
      <c r="MTK189" s="5"/>
      <c r="MTL189" s="5"/>
      <c r="MTM189" s="5"/>
      <c r="MTN189" s="5"/>
      <c r="MTO189" s="5"/>
      <c r="MTP189" s="5"/>
      <c r="MTQ189" s="5"/>
      <c r="MTR189" s="5"/>
      <c r="MTS189" s="5"/>
      <c r="MTT189" s="5"/>
      <c r="MTU189" s="5"/>
      <c r="MTV189" s="5"/>
      <c r="MTW189" s="5"/>
      <c r="MTX189" s="5"/>
      <c r="MTY189" s="5"/>
      <c r="MTZ189" s="5"/>
      <c r="MUA189" s="5"/>
      <c r="MUB189" s="5"/>
      <c r="MUC189" s="5"/>
      <c r="MUD189" s="5"/>
      <c r="MUE189" s="5"/>
      <c r="MUF189" s="5"/>
      <c r="MUG189" s="5"/>
      <c r="MUH189" s="5"/>
      <c r="MUI189" s="5"/>
      <c r="MUJ189" s="5"/>
      <c r="MUK189" s="5"/>
      <c r="MUL189" s="5"/>
      <c r="MUM189" s="5"/>
      <c r="MUN189" s="5"/>
      <c r="MUO189" s="5"/>
      <c r="MUP189" s="5"/>
      <c r="MUQ189" s="5"/>
      <c r="MUR189" s="5"/>
      <c r="MUS189" s="5"/>
      <c r="MUT189" s="5"/>
      <c r="MUU189" s="5"/>
      <c r="MUV189" s="5"/>
      <c r="MUW189" s="5"/>
      <c r="MUX189" s="5"/>
      <c r="MUY189" s="5"/>
      <c r="MUZ189" s="5"/>
      <c r="MVA189" s="5"/>
      <c r="MVB189" s="5"/>
      <c r="MVC189" s="5"/>
      <c r="MVD189" s="5"/>
      <c r="MVE189" s="5"/>
      <c r="MVF189" s="5"/>
      <c r="MVG189" s="5"/>
      <c r="MVH189" s="5"/>
      <c r="MVI189" s="5"/>
      <c r="MVJ189" s="5"/>
      <c r="MVK189" s="5"/>
      <c r="MVL189" s="5"/>
      <c r="MVM189" s="5"/>
      <c r="MVN189" s="5"/>
      <c r="MVO189" s="5"/>
      <c r="MVP189" s="5"/>
      <c r="MVQ189" s="5"/>
      <c r="MVR189" s="5"/>
      <c r="MVS189" s="5"/>
      <c r="MVT189" s="5"/>
      <c r="MVU189" s="5"/>
      <c r="MVV189" s="5"/>
      <c r="MVW189" s="5"/>
      <c r="MVX189" s="5"/>
      <c r="MVY189" s="5"/>
      <c r="MVZ189" s="5"/>
      <c r="MWA189" s="5"/>
      <c r="MWB189" s="5"/>
      <c r="MWC189" s="5"/>
      <c r="MWD189" s="5"/>
      <c r="MWE189" s="5"/>
      <c r="MWF189" s="5"/>
      <c r="MWG189" s="5"/>
      <c r="MWH189" s="5"/>
      <c r="MWI189" s="5"/>
      <c r="MWJ189" s="5"/>
      <c r="MWK189" s="5"/>
      <c r="MWL189" s="5"/>
      <c r="MWM189" s="5"/>
      <c r="MWN189" s="5"/>
      <c r="MWO189" s="5"/>
      <c r="MWP189" s="5"/>
      <c r="MWQ189" s="5"/>
      <c r="MWR189" s="5"/>
      <c r="MWS189" s="5"/>
      <c r="MWT189" s="5"/>
      <c r="MWU189" s="5"/>
      <c r="MWV189" s="5"/>
      <c r="MWW189" s="5"/>
      <c r="MWX189" s="5"/>
      <c r="MWY189" s="5"/>
      <c r="MWZ189" s="5"/>
      <c r="MXA189" s="5"/>
      <c r="MXB189" s="5"/>
      <c r="MXC189" s="5"/>
      <c r="MXD189" s="5"/>
      <c r="MXE189" s="5"/>
      <c r="MXF189" s="5"/>
      <c r="MXG189" s="5"/>
      <c r="MXH189" s="5"/>
      <c r="MXI189" s="5"/>
      <c r="MXJ189" s="5"/>
      <c r="MXK189" s="5"/>
      <c r="MXL189" s="5"/>
      <c r="MXM189" s="5"/>
      <c r="MXN189" s="5"/>
      <c r="MXO189" s="5"/>
      <c r="MXP189" s="5"/>
      <c r="MXQ189" s="5"/>
      <c r="MXR189" s="5"/>
      <c r="MXS189" s="5"/>
      <c r="MXT189" s="5"/>
      <c r="MXU189" s="5"/>
      <c r="MXV189" s="5"/>
      <c r="MXW189" s="5"/>
      <c r="MXX189" s="5"/>
      <c r="MXY189" s="5"/>
      <c r="MXZ189" s="5"/>
      <c r="MYA189" s="5"/>
      <c r="MYB189" s="5"/>
      <c r="MYC189" s="5"/>
      <c r="MYD189" s="5"/>
      <c r="MYE189" s="5"/>
      <c r="MYF189" s="5"/>
      <c r="MYG189" s="5"/>
      <c r="MYH189" s="5"/>
      <c r="MYI189" s="5"/>
      <c r="MYJ189" s="5"/>
      <c r="MYK189" s="5"/>
      <c r="MYL189" s="5"/>
      <c r="MYM189" s="5"/>
      <c r="MYN189" s="5"/>
      <c r="MYO189" s="5"/>
      <c r="MYP189" s="5"/>
      <c r="MYQ189" s="5"/>
      <c r="MYR189" s="5"/>
      <c r="MYS189" s="5"/>
      <c r="MYT189" s="5"/>
      <c r="MYU189" s="5"/>
      <c r="MYV189" s="5"/>
      <c r="MYW189" s="5"/>
      <c r="MYX189" s="5"/>
      <c r="MYY189" s="5"/>
      <c r="MYZ189" s="5"/>
      <c r="MZA189" s="5"/>
      <c r="MZB189" s="5"/>
      <c r="MZC189" s="5"/>
      <c r="MZD189" s="5"/>
      <c r="MZE189" s="5"/>
      <c r="MZF189" s="5"/>
      <c r="MZG189" s="5"/>
      <c r="MZH189" s="5"/>
      <c r="MZI189" s="5"/>
      <c r="MZJ189" s="5"/>
      <c r="MZK189" s="5"/>
      <c r="MZL189" s="5"/>
      <c r="MZM189" s="5"/>
      <c r="MZN189" s="5"/>
      <c r="MZO189" s="5"/>
      <c r="MZP189" s="5"/>
      <c r="MZQ189" s="5"/>
      <c r="MZR189" s="5"/>
      <c r="MZS189" s="5"/>
      <c r="MZT189" s="5"/>
      <c r="MZU189" s="5"/>
      <c r="MZV189" s="5"/>
      <c r="MZW189" s="5"/>
      <c r="MZX189" s="5"/>
      <c r="MZY189" s="5"/>
      <c r="MZZ189" s="5"/>
      <c r="NAA189" s="5"/>
      <c r="NAB189" s="5"/>
      <c r="NAC189" s="5"/>
      <c r="NAD189" s="5"/>
      <c r="NAE189" s="5"/>
      <c r="NAF189" s="5"/>
      <c r="NAG189" s="5"/>
      <c r="NAH189" s="5"/>
      <c r="NAI189" s="5"/>
      <c r="NAJ189" s="5"/>
      <c r="NAK189" s="5"/>
      <c r="NAL189" s="5"/>
      <c r="NAM189" s="5"/>
      <c r="NAN189" s="5"/>
      <c r="NAO189" s="5"/>
      <c r="NAP189" s="5"/>
      <c r="NAQ189" s="5"/>
      <c r="NAR189" s="5"/>
      <c r="NAS189" s="5"/>
      <c r="NAT189" s="5"/>
      <c r="NAU189" s="5"/>
      <c r="NAV189" s="5"/>
      <c r="NAW189" s="5"/>
      <c r="NAX189" s="5"/>
      <c r="NAY189" s="5"/>
      <c r="NAZ189" s="5"/>
      <c r="NBA189" s="5"/>
      <c r="NBB189" s="5"/>
      <c r="NBC189" s="5"/>
      <c r="NBD189" s="5"/>
      <c r="NBE189" s="5"/>
      <c r="NBF189" s="5"/>
      <c r="NBG189" s="5"/>
      <c r="NBH189" s="5"/>
      <c r="NBI189" s="5"/>
      <c r="NBJ189" s="5"/>
      <c r="NBK189" s="5"/>
      <c r="NBL189" s="5"/>
      <c r="NBM189" s="5"/>
      <c r="NBN189" s="5"/>
      <c r="NBO189" s="5"/>
      <c r="NBP189" s="5"/>
      <c r="NBQ189" s="5"/>
      <c r="NBR189" s="5"/>
      <c r="NBS189" s="5"/>
      <c r="NBT189" s="5"/>
      <c r="NBU189" s="5"/>
      <c r="NBV189" s="5"/>
      <c r="NBW189" s="5"/>
      <c r="NBX189" s="5"/>
      <c r="NBY189" s="5"/>
      <c r="NBZ189" s="5"/>
      <c r="NCA189" s="5"/>
      <c r="NCB189" s="5"/>
      <c r="NCC189" s="5"/>
      <c r="NCD189" s="5"/>
      <c r="NCE189" s="5"/>
      <c r="NCF189" s="5"/>
      <c r="NCG189" s="5"/>
      <c r="NCH189" s="5"/>
      <c r="NCI189" s="5"/>
      <c r="NCJ189" s="5"/>
      <c r="NCK189" s="5"/>
      <c r="NCL189" s="5"/>
      <c r="NCM189" s="5"/>
      <c r="NCN189" s="5"/>
      <c r="NCO189" s="5"/>
      <c r="NCP189" s="5"/>
      <c r="NCQ189" s="5"/>
      <c r="NCR189" s="5"/>
      <c r="NCS189" s="5"/>
      <c r="NCT189" s="5"/>
      <c r="NCU189" s="5"/>
      <c r="NCV189" s="5"/>
      <c r="NCW189" s="5"/>
      <c r="NCX189" s="5"/>
      <c r="NCY189" s="5"/>
      <c r="NCZ189" s="5"/>
      <c r="NDA189" s="5"/>
      <c r="NDB189" s="5"/>
      <c r="NDC189" s="5"/>
      <c r="NDD189" s="5"/>
      <c r="NDE189" s="5"/>
      <c r="NDF189" s="5"/>
      <c r="NDG189" s="5"/>
      <c r="NDH189" s="5"/>
      <c r="NDI189" s="5"/>
      <c r="NDJ189" s="5"/>
      <c r="NDK189" s="5"/>
      <c r="NDL189" s="5"/>
      <c r="NDM189" s="5"/>
      <c r="NDN189" s="5"/>
      <c r="NDO189" s="5"/>
      <c r="NDP189" s="5"/>
      <c r="NDQ189" s="5"/>
      <c r="NDR189" s="5"/>
      <c r="NDS189" s="5"/>
      <c r="NDT189" s="5"/>
      <c r="NDU189" s="5"/>
      <c r="NDV189" s="5"/>
      <c r="NDW189" s="5"/>
      <c r="NDX189" s="5"/>
      <c r="NDY189" s="5"/>
      <c r="NDZ189" s="5"/>
      <c r="NEA189" s="5"/>
      <c r="NEB189" s="5"/>
      <c r="NEC189" s="5"/>
      <c r="NED189" s="5"/>
      <c r="NEE189" s="5"/>
      <c r="NEF189" s="5"/>
      <c r="NEG189" s="5"/>
      <c r="NEH189" s="5"/>
      <c r="NEI189" s="5"/>
      <c r="NEJ189" s="5"/>
      <c r="NEK189" s="5"/>
      <c r="NEL189" s="5"/>
      <c r="NEM189" s="5"/>
      <c r="NEN189" s="5"/>
      <c r="NEO189" s="5"/>
      <c r="NEP189" s="5"/>
      <c r="NEQ189" s="5"/>
      <c r="NER189" s="5"/>
      <c r="NES189" s="5"/>
      <c r="NET189" s="5"/>
      <c r="NEU189" s="5"/>
      <c r="NEV189" s="5"/>
      <c r="NEW189" s="5"/>
      <c r="NEX189" s="5"/>
      <c r="NEY189" s="5"/>
      <c r="NEZ189" s="5"/>
      <c r="NFA189" s="5"/>
      <c r="NFB189" s="5"/>
      <c r="NFC189" s="5"/>
      <c r="NFD189" s="5"/>
      <c r="NFE189" s="5"/>
      <c r="NFF189" s="5"/>
      <c r="NFG189" s="5"/>
      <c r="NFH189" s="5"/>
      <c r="NFI189" s="5"/>
      <c r="NFJ189" s="5"/>
      <c r="NFK189" s="5"/>
      <c r="NFL189" s="5"/>
      <c r="NFM189" s="5"/>
      <c r="NFN189" s="5"/>
      <c r="NFO189" s="5"/>
      <c r="NFP189" s="5"/>
      <c r="NFQ189" s="5"/>
      <c r="NFR189" s="5"/>
      <c r="NFS189" s="5"/>
      <c r="NFT189" s="5"/>
      <c r="NFU189" s="5"/>
      <c r="NFV189" s="5"/>
      <c r="NFW189" s="5"/>
      <c r="NFX189" s="5"/>
      <c r="NFY189" s="5"/>
      <c r="NFZ189" s="5"/>
      <c r="NGA189" s="5"/>
      <c r="NGB189" s="5"/>
      <c r="NGC189" s="5"/>
      <c r="NGD189" s="5"/>
      <c r="NGE189" s="5"/>
      <c r="NGF189" s="5"/>
      <c r="NGG189" s="5"/>
      <c r="NGH189" s="5"/>
      <c r="NGI189" s="5"/>
      <c r="NGJ189" s="5"/>
      <c r="NGK189" s="5"/>
      <c r="NGL189" s="5"/>
      <c r="NGM189" s="5"/>
      <c r="NGN189" s="5"/>
      <c r="NGO189" s="5"/>
      <c r="NGP189" s="5"/>
      <c r="NGQ189" s="5"/>
      <c r="NGR189" s="5"/>
      <c r="NGS189" s="5"/>
      <c r="NGT189" s="5"/>
      <c r="NGU189" s="5"/>
      <c r="NGV189" s="5"/>
      <c r="NGW189" s="5"/>
      <c r="NGX189" s="5"/>
      <c r="NGY189" s="5"/>
      <c r="NGZ189" s="5"/>
      <c r="NHA189" s="5"/>
      <c r="NHB189" s="5"/>
      <c r="NHC189" s="5"/>
      <c r="NHD189" s="5"/>
      <c r="NHE189" s="5"/>
      <c r="NHF189" s="5"/>
      <c r="NHG189" s="5"/>
      <c r="NHH189" s="5"/>
      <c r="NHI189" s="5"/>
      <c r="NHJ189" s="5"/>
      <c r="NHK189" s="5"/>
      <c r="NHL189" s="5"/>
      <c r="NHM189" s="5"/>
      <c r="NHN189" s="5"/>
      <c r="NHO189" s="5"/>
      <c r="NHP189" s="5"/>
      <c r="NHQ189" s="5"/>
      <c r="NHR189" s="5"/>
      <c r="NHS189" s="5"/>
      <c r="NHT189" s="5"/>
      <c r="NHU189" s="5"/>
      <c r="NHV189" s="5"/>
      <c r="NHW189" s="5"/>
      <c r="NHX189" s="5"/>
      <c r="NHY189" s="5"/>
      <c r="NHZ189" s="5"/>
      <c r="NIA189" s="5"/>
      <c r="NIB189" s="5"/>
      <c r="NIC189" s="5"/>
      <c r="NID189" s="5"/>
      <c r="NIE189" s="5"/>
      <c r="NIF189" s="5"/>
      <c r="NIG189" s="5"/>
      <c r="NIH189" s="5"/>
      <c r="NII189" s="5"/>
      <c r="NIJ189" s="5"/>
      <c r="NIK189" s="5"/>
      <c r="NIL189" s="5"/>
      <c r="NIM189" s="5"/>
      <c r="NIN189" s="5"/>
      <c r="NIO189" s="5"/>
      <c r="NIP189" s="5"/>
      <c r="NIQ189" s="5"/>
      <c r="NIR189" s="5"/>
      <c r="NIS189" s="5"/>
      <c r="NIT189" s="5"/>
      <c r="NIU189" s="5"/>
      <c r="NIV189" s="5"/>
      <c r="NIW189" s="5"/>
      <c r="NIX189" s="5"/>
      <c r="NIY189" s="5"/>
      <c r="NIZ189" s="5"/>
      <c r="NJA189" s="5"/>
      <c r="NJB189" s="5"/>
      <c r="NJC189" s="5"/>
      <c r="NJD189" s="5"/>
      <c r="NJE189" s="5"/>
      <c r="NJF189" s="5"/>
      <c r="NJG189" s="5"/>
      <c r="NJH189" s="5"/>
      <c r="NJI189" s="5"/>
      <c r="NJJ189" s="5"/>
      <c r="NJK189" s="5"/>
      <c r="NJL189" s="5"/>
      <c r="NJM189" s="5"/>
      <c r="NJN189" s="5"/>
      <c r="NJO189" s="5"/>
      <c r="NJP189" s="5"/>
      <c r="NJQ189" s="5"/>
      <c r="NJR189" s="5"/>
      <c r="NJS189" s="5"/>
      <c r="NJT189" s="5"/>
      <c r="NJU189" s="5"/>
      <c r="NJV189" s="5"/>
      <c r="NJW189" s="5"/>
      <c r="NJX189" s="5"/>
      <c r="NJY189" s="5"/>
      <c r="NJZ189" s="5"/>
      <c r="NKA189" s="5"/>
      <c r="NKB189" s="5"/>
      <c r="NKC189" s="5"/>
      <c r="NKD189" s="5"/>
      <c r="NKE189" s="5"/>
      <c r="NKF189" s="5"/>
      <c r="NKG189" s="5"/>
      <c r="NKH189" s="5"/>
      <c r="NKI189" s="5"/>
      <c r="NKJ189" s="5"/>
      <c r="NKK189" s="5"/>
      <c r="NKL189" s="5"/>
      <c r="NKM189" s="5"/>
      <c r="NKN189" s="5"/>
      <c r="NKO189" s="5"/>
      <c r="NKP189" s="5"/>
      <c r="NKQ189" s="5"/>
      <c r="NKR189" s="5"/>
      <c r="NKS189" s="5"/>
      <c r="NKT189" s="5"/>
      <c r="NKU189" s="5"/>
      <c r="NKV189" s="5"/>
      <c r="NKW189" s="5"/>
      <c r="NKX189" s="5"/>
      <c r="NKY189" s="5"/>
      <c r="NKZ189" s="5"/>
      <c r="NLA189" s="5"/>
      <c r="NLB189" s="5"/>
      <c r="NLC189" s="5"/>
      <c r="NLD189" s="5"/>
      <c r="NLE189" s="5"/>
      <c r="NLF189" s="5"/>
      <c r="NLG189" s="5"/>
      <c r="NLH189" s="5"/>
      <c r="NLI189" s="5"/>
      <c r="NLJ189" s="5"/>
      <c r="NLK189" s="5"/>
      <c r="NLL189" s="5"/>
      <c r="NLM189" s="5"/>
      <c r="NLN189" s="5"/>
      <c r="NLO189" s="5"/>
      <c r="NLP189" s="5"/>
      <c r="NLQ189" s="5"/>
      <c r="NLR189" s="5"/>
      <c r="NLS189" s="5"/>
      <c r="NLT189" s="5"/>
      <c r="NLU189" s="5"/>
      <c r="NLV189" s="5"/>
      <c r="NLW189" s="5"/>
      <c r="NLX189" s="5"/>
      <c r="NLY189" s="5"/>
      <c r="NLZ189" s="5"/>
      <c r="NMA189" s="5"/>
      <c r="NMB189" s="5"/>
      <c r="NMC189" s="5"/>
      <c r="NMD189" s="5"/>
      <c r="NME189" s="5"/>
      <c r="NMF189" s="5"/>
      <c r="NMG189" s="5"/>
      <c r="NMH189" s="5"/>
      <c r="NMI189" s="5"/>
      <c r="NMJ189" s="5"/>
      <c r="NMK189" s="5"/>
      <c r="NML189" s="5"/>
      <c r="NMM189" s="5"/>
      <c r="NMN189" s="5"/>
      <c r="NMO189" s="5"/>
      <c r="NMP189" s="5"/>
      <c r="NMQ189" s="5"/>
      <c r="NMR189" s="5"/>
      <c r="NMS189" s="5"/>
      <c r="NMT189" s="5"/>
      <c r="NMU189" s="5"/>
      <c r="NMV189" s="5"/>
      <c r="NMW189" s="5"/>
      <c r="NMX189" s="5"/>
      <c r="NMY189" s="5"/>
      <c r="NMZ189" s="5"/>
      <c r="NNA189" s="5"/>
      <c r="NNB189" s="5"/>
      <c r="NNC189" s="5"/>
      <c r="NND189" s="5"/>
      <c r="NNE189" s="5"/>
      <c r="NNF189" s="5"/>
      <c r="NNG189" s="5"/>
      <c r="NNH189" s="5"/>
      <c r="NNI189" s="5"/>
      <c r="NNJ189" s="5"/>
      <c r="NNK189" s="5"/>
      <c r="NNL189" s="5"/>
      <c r="NNM189" s="5"/>
      <c r="NNN189" s="5"/>
      <c r="NNO189" s="5"/>
      <c r="NNP189" s="5"/>
      <c r="NNQ189" s="5"/>
      <c r="NNR189" s="5"/>
      <c r="NNS189" s="5"/>
      <c r="NNT189" s="5"/>
      <c r="NNU189" s="5"/>
      <c r="NNV189" s="5"/>
      <c r="NNW189" s="5"/>
      <c r="NNX189" s="5"/>
      <c r="NNY189" s="5"/>
      <c r="NNZ189" s="5"/>
      <c r="NOA189" s="5"/>
      <c r="NOB189" s="5"/>
      <c r="NOC189" s="5"/>
      <c r="NOD189" s="5"/>
      <c r="NOE189" s="5"/>
      <c r="NOF189" s="5"/>
      <c r="NOG189" s="5"/>
      <c r="NOH189" s="5"/>
      <c r="NOI189" s="5"/>
      <c r="NOJ189" s="5"/>
      <c r="NOK189" s="5"/>
      <c r="NOL189" s="5"/>
      <c r="NOM189" s="5"/>
      <c r="NON189" s="5"/>
      <c r="NOO189" s="5"/>
      <c r="NOP189" s="5"/>
      <c r="NOQ189" s="5"/>
      <c r="NOR189" s="5"/>
      <c r="NOS189" s="5"/>
      <c r="NOT189" s="5"/>
      <c r="NOU189" s="5"/>
      <c r="NOV189" s="5"/>
      <c r="NOW189" s="5"/>
      <c r="NOX189" s="5"/>
      <c r="NOY189" s="5"/>
      <c r="NOZ189" s="5"/>
      <c r="NPA189" s="5"/>
      <c r="NPB189" s="5"/>
      <c r="NPC189" s="5"/>
      <c r="NPD189" s="5"/>
      <c r="NPE189" s="5"/>
      <c r="NPF189" s="5"/>
      <c r="NPG189" s="5"/>
      <c r="NPH189" s="5"/>
      <c r="NPI189" s="5"/>
      <c r="NPJ189" s="5"/>
      <c r="NPK189" s="5"/>
      <c r="NPL189" s="5"/>
      <c r="NPM189" s="5"/>
      <c r="NPN189" s="5"/>
      <c r="NPO189" s="5"/>
      <c r="NPP189" s="5"/>
      <c r="NPQ189" s="5"/>
      <c r="NPR189" s="5"/>
      <c r="NPS189" s="5"/>
      <c r="NPT189" s="5"/>
      <c r="NPU189" s="5"/>
      <c r="NPV189" s="5"/>
      <c r="NPW189" s="5"/>
      <c r="NPX189" s="5"/>
      <c r="NPY189" s="5"/>
      <c r="NPZ189" s="5"/>
      <c r="NQA189" s="5"/>
      <c r="NQB189" s="5"/>
      <c r="NQC189" s="5"/>
      <c r="NQD189" s="5"/>
      <c r="NQE189" s="5"/>
      <c r="NQF189" s="5"/>
      <c r="NQG189" s="5"/>
      <c r="NQH189" s="5"/>
      <c r="NQI189" s="5"/>
      <c r="NQJ189" s="5"/>
      <c r="NQK189" s="5"/>
      <c r="NQL189" s="5"/>
      <c r="NQM189" s="5"/>
      <c r="NQN189" s="5"/>
      <c r="NQO189" s="5"/>
      <c r="NQP189" s="5"/>
      <c r="NQQ189" s="5"/>
      <c r="NQR189" s="5"/>
      <c r="NQS189" s="5"/>
      <c r="NQT189" s="5"/>
      <c r="NQU189" s="5"/>
      <c r="NQV189" s="5"/>
      <c r="NQW189" s="5"/>
      <c r="NQX189" s="5"/>
      <c r="NQY189" s="5"/>
      <c r="NQZ189" s="5"/>
      <c r="NRA189" s="5"/>
      <c r="NRB189" s="5"/>
      <c r="NRC189" s="5"/>
      <c r="NRD189" s="5"/>
      <c r="NRE189" s="5"/>
      <c r="NRF189" s="5"/>
      <c r="NRG189" s="5"/>
      <c r="NRH189" s="5"/>
      <c r="NRI189" s="5"/>
      <c r="NRJ189" s="5"/>
      <c r="NRK189" s="5"/>
      <c r="NRL189" s="5"/>
      <c r="NRM189" s="5"/>
      <c r="NRN189" s="5"/>
      <c r="NRO189" s="5"/>
      <c r="NRP189" s="5"/>
      <c r="NRQ189" s="5"/>
      <c r="NRR189" s="5"/>
      <c r="NRS189" s="5"/>
      <c r="NRT189" s="5"/>
      <c r="NRU189" s="5"/>
      <c r="NRV189" s="5"/>
      <c r="NRW189" s="5"/>
      <c r="NRX189" s="5"/>
      <c r="NRY189" s="5"/>
      <c r="NRZ189" s="5"/>
      <c r="NSA189" s="5"/>
      <c r="NSB189" s="5"/>
      <c r="NSC189" s="5"/>
      <c r="NSD189" s="5"/>
      <c r="NSE189" s="5"/>
      <c r="NSF189" s="5"/>
      <c r="NSG189" s="5"/>
      <c r="NSH189" s="5"/>
      <c r="NSI189" s="5"/>
      <c r="NSJ189" s="5"/>
      <c r="NSK189" s="5"/>
      <c r="NSL189" s="5"/>
      <c r="NSM189" s="5"/>
      <c r="NSN189" s="5"/>
      <c r="NSO189" s="5"/>
      <c r="NSP189" s="5"/>
      <c r="NSQ189" s="5"/>
      <c r="NSR189" s="5"/>
      <c r="NSS189" s="5"/>
      <c r="NST189" s="5"/>
      <c r="NSU189" s="5"/>
      <c r="NSV189" s="5"/>
      <c r="NSW189" s="5"/>
      <c r="NSX189" s="5"/>
      <c r="NSY189" s="5"/>
      <c r="NSZ189" s="5"/>
      <c r="NTA189" s="5"/>
      <c r="NTB189" s="5"/>
      <c r="NTC189" s="5"/>
      <c r="NTD189" s="5"/>
      <c r="NTE189" s="5"/>
      <c r="NTF189" s="5"/>
      <c r="NTG189" s="5"/>
      <c r="NTH189" s="5"/>
      <c r="NTI189" s="5"/>
      <c r="NTJ189" s="5"/>
      <c r="NTK189" s="5"/>
      <c r="NTL189" s="5"/>
      <c r="NTM189" s="5"/>
      <c r="NTN189" s="5"/>
      <c r="NTO189" s="5"/>
      <c r="NTP189" s="5"/>
      <c r="NTQ189" s="5"/>
      <c r="NTR189" s="5"/>
      <c r="NTS189" s="5"/>
      <c r="NTT189" s="5"/>
      <c r="NTU189" s="5"/>
      <c r="NTV189" s="5"/>
      <c r="NTW189" s="5"/>
      <c r="NTX189" s="5"/>
      <c r="NTY189" s="5"/>
      <c r="NTZ189" s="5"/>
      <c r="NUA189" s="5"/>
      <c r="NUB189" s="5"/>
      <c r="NUC189" s="5"/>
      <c r="NUD189" s="5"/>
      <c r="NUE189" s="5"/>
      <c r="NUF189" s="5"/>
      <c r="NUG189" s="5"/>
      <c r="NUH189" s="5"/>
      <c r="NUI189" s="5"/>
      <c r="NUJ189" s="5"/>
      <c r="NUK189" s="5"/>
      <c r="NUL189" s="5"/>
      <c r="NUM189" s="5"/>
      <c r="NUN189" s="5"/>
      <c r="NUO189" s="5"/>
      <c r="NUP189" s="5"/>
      <c r="NUQ189" s="5"/>
      <c r="NUR189" s="5"/>
      <c r="NUS189" s="5"/>
      <c r="NUT189" s="5"/>
      <c r="NUU189" s="5"/>
      <c r="NUV189" s="5"/>
      <c r="NUW189" s="5"/>
      <c r="NUX189" s="5"/>
      <c r="NUY189" s="5"/>
      <c r="NUZ189" s="5"/>
      <c r="NVA189" s="5"/>
      <c r="NVB189" s="5"/>
      <c r="NVC189" s="5"/>
      <c r="NVD189" s="5"/>
      <c r="NVE189" s="5"/>
      <c r="NVF189" s="5"/>
      <c r="NVG189" s="5"/>
      <c r="NVH189" s="5"/>
      <c r="NVI189" s="5"/>
      <c r="NVJ189" s="5"/>
      <c r="NVK189" s="5"/>
      <c r="NVL189" s="5"/>
      <c r="NVM189" s="5"/>
      <c r="NVN189" s="5"/>
      <c r="NVO189" s="5"/>
      <c r="NVP189" s="5"/>
      <c r="NVQ189" s="5"/>
      <c r="NVR189" s="5"/>
      <c r="NVS189" s="5"/>
      <c r="NVT189" s="5"/>
      <c r="NVU189" s="5"/>
      <c r="NVV189" s="5"/>
      <c r="NVW189" s="5"/>
      <c r="NVX189" s="5"/>
      <c r="NVY189" s="5"/>
      <c r="NVZ189" s="5"/>
      <c r="NWA189" s="5"/>
      <c r="NWB189" s="5"/>
      <c r="NWC189" s="5"/>
      <c r="NWD189" s="5"/>
      <c r="NWE189" s="5"/>
      <c r="NWF189" s="5"/>
      <c r="NWG189" s="5"/>
      <c r="NWH189" s="5"/>
      <c r="NWI189" s="5"/>
      <c r="NWJ189" s="5"/>
      <c r="NWK189" s="5"/>
      <c r="NWL189" s="5"/>
      <c r="NWM189" s="5"/>
      <c r="NWN189" s="5"/>
      <c r="NWO189" s="5"/>
      <c r="NWP189" s="5"/>
      <c r="NWQ189" s="5"/>
      <c r="NWR189" s="5"/>
      <c r="NWS189" s="5"/>
      <c r="NWT189" s="5"/>
      <c r="NWU189" s="5"/>
      <c r="NWV189" s="5"/>
      <c r="NWW189" s="5"/>
      <c r="NWX189" s="5"/>
      <c r="NWY189" s="5"/>
      <c r="NWZ189" s="5"/>
      <c r="NXA189" s="5"/>
      <c r="NXB189" s="5"/>
      <c r="NXC189" s="5"/>
      <c r="NXD189" s="5"/>
      <c r="NXE189" s="5"/>
      <c r="NXF189" s="5"/>
      <c r="NXG189" s="5"/>
      <c r="NXH189" s="5"/>
      <c r="NXI189" s="5"/>
      <c r="NXJ189" s="5"/>
      <c r="NXK189" s="5"/>
      <c r="NXL189" s="5"/>
      <c r="NXM189" s="5"/>
      <c r="NXN189" s="5"/>
      <c r="NXO189" s="5"/>
      <c r="NXP189" s="5"/>
      <c r="NXQ189" s="5"/>
      <c r="NXR189" s="5"/>
      <c r="NXS189" s="5"/>
      <c r="NXT189" s="5"/>
      <c r="NXU189" s="5"/>
      <c r="NXV189" s="5"/>
      <c r="NXW189" s="5"/>
      <c r="NXX189" s="5"/>
      <c r="NXY189" s="5"/>
      <c r="NXZ189" s="5"/>
      <c r="NYA189" s="5"/>
      <c r="NYB189" s="5"/>
      <c r="NYC189" s="5"/>
      <c r="NYD189" s="5"/>
      <c r="NYE189" s="5"/>
      <c r="NYF189" s="5"/>
      <c r="NYG189" s="5"/>
      <c r="NYH189" s="5"/>
      <c r="NYI189" s="5"/>
      <c r="NYJ189" s="5"/>
      <c r="NYK189" s="5"/>
      <c r="NYL189" s="5"/>
      <c r="NYM189" s="5"/>
      <c r="NYN189" s="5"/>
      <c r="NYO189" s="5"/>
      <c r="NYP189" s="5"/>
      <c r="NYQ189" s="5"/>
      <c r="NYR189" s="5"/>
      <c r="NYS189" s="5"/>
      <c r="NYT189" s="5"/>
      <c r="NYU189" s="5"/>
      <c r="NYV189" s="5"/>
      <c r="NYW189" s="5"/>
      <c r="NYX189" s="5"/>
      <c r="NYY189" s="5"/>
      <c r="NYZ189" s="5"/>
      <c r="NZA189" s="5"/>
      <c r="NZB189" s="5"/>
      <c r="NZC189" s="5"/>
      <c r="NZD189" s="5"/>
      <c r="NZE189" s="5"/>
      <c r="NZF189" s="5"/>
      <c r="NZG189" s="5"/>
      <c r="NZH189" s="5"/>
      <c r="NZI189" s="5"/>
      <c r="NZJ189" s="5"/>
      <c r="NZK189" s="5"/>
      <c r="NZL189" s="5"/>
      <c r="NZM189" s="5"/>
      <c r="NZN189" s="5"/>
      <c r="NZO189" s="5"/>
      <c r="NZP189" s="5"/>
      <c r="NZQ189" s="5"/>
      <c r="NZR189" s="5"/>
      <c r="NZS189" s="5"/>
      <c r="NZT189" s="5"/>
      <c r="NZU189" s="5"/>
      <c r="NZV189" s="5"/>
      <c r="NZW189" s="5"/>
      <c r="NZX189" s="5"/>
      <c r="NZY189" s="5"/>
      <c r="NZZ189" s="5"/>
      <c r="OAA189" s="5"/>
      <c r="OAB189" s="5"/>
      <c r="OAC189" s="5"/>
      <c r="OAD189" s="5"/>
      <c r="OAE189" s="5"/>
      <c r="OAF189" s="5"/>
      <c r="OAG189" s="5"/>
      <c r="OAH189" s="5"/>
      <c r="OAI189" s="5"/>
      <c r="OAJ189" s="5"/>
      <c r="OAK189" s="5"/>
      <c r="OAL189" s="5"/>
      <c r="OAM189" s="5"/>
      <c r="OAN189" s="5"/>
      <c r="OAO189" s="5"/>
      <c r="OAP189" s="5"/>
      <c r="OAQ189" s="5"/>
      <c r="OAR189" s="5"/>
      <c r="OAS189" s="5"/>
      <c r="OAT189" s="5"/>
      <c r="OAU189" s="5"/>
      <c r="OAV189" s="5"/>
      <c r="OAW189" s="5"/>
      <c r="OAX189" s="5"/>
      <c r="OAY189" s="5"/>
      <c r="OAZ189" s="5"/>
      <c r="OBA189" s="5"/>
      <c r="OBB189" s="5"/>
      <c r="OBC189" s="5"/>
      <c r="OBD189" s="5"/>
      <c r="OBE189" s="5"/>
      <c r="OBF189" s="5"/>
      <c r="OBG189" s="5"/>
      <c r="OBH189" s="5"/>
      <c r="OBI189" s="5"/>
      <c r="OBJ189" s="5"/>
      <c r="OBK189" s="5"/>
      <c r="OBL189" s="5"/>
      <c r="OBM189" s="5"/>
      <c r="OBN189" s="5"/>
      <c r="OBO189" s="5"/>
      <c r="OBP189" s="5"/>
      <c r="OBQ189" s="5"/>
      <c r="OBR189" s="5"/>
      <c r="OBS189" s="5"/>
      <c r="OBT189" s="5"/>
      <c r="OBU189" s="5"/>
      <c r="OBV189" s="5"/>
      <c r="OBW189" s="5"/>
      <c r="OBX189" s="5"/>
      <c r="OBY189" s="5"/>
      <c r="OBZ189" s="5"/>
      <c r="OCA189" s="5"/>
      <c r="OCB189" s="5"/>
      <c r="OCC189" s="5"/>
      <c r="OCD189" s="5"/>
      <c r="OCE189" s="5"/>
      <c r="OCF189" s="5"/>
      <c r="OCG189" s="5"/>
      <c r="OCH189" s="5"/>
      <c r="OCI189" s="5"/>
      <c r="OCJ189" s="5"/>
      <c r="OCK189" s="5"/>
      <c r="OCL189" s="5"/>
      <c r="OCM189" s="5"/>
      <c r="OCN189" s="5"/>
      <c r="OCO189" s="5"/>
      <c r="OCP189" s="5"/>
      <c r="OCQ189" s="5"/>
      <c r="OCR189" s="5"/>
      <c r="OCS189" s="5"/>
      <c r="OCT189" s="5"/>
      <c r="OCU189" s="5"/>
      <c r="OCV189" s="5"/>
      <c r="OCW189" s="5"/>
      <c r="OCX189" s="5"/>
      <c r="OCY189" s="5"/>
      <c r="OCZ189" s="5"/>
      <c r="ODA189" s="5"/>
      <c r="ODB189" s="5"/>
      <c r="ODC189" s="5"/>
      <c r="ODD189" s="5"/>
      <c r="ODE189" s="5"/>
      <c r="ODF189" s="5"/>
      <c r="ODG189" s="5"/>
      <c r="ODH189" s="5"/>
      <c r="ODI189" s="5"/>
      <c r="ODJ189" s="5"/>
      <c r="ODK189" s="5"/>
      <c r="ODL189" s="5"/>
      <c r="ODM189" s="5"/>
      <c r="ODN189" s="5"/>
      <c r="ODO189" s="5"/>
      <c r="ODP189" s="5"/>
      <c r="ODQ189" s="5"/>
      <c r="ODR189" s="5"/>
      <c r="ODS189" s="5"/>
      <c r="ODT189" s="5"/>
      <c r="ODU189" s="5"/>
      <c r="ODV189" s="5"/>
      <c r="ODW189" s="5"/>
      <c r="ODX189" s="5"/>
      <c r="ODY189" s="5"/>
      <c r="ODZ189" s="5"/>
      <c r="OEA189" s="5"/>
      <c r="OEB189" s="5"/>
      <c r="OEC189" s="5"/>
      <c r="OED189" s="5"/>
      <c r="OEE189" s="5"/>
      <c r="OEF189" s="5"/>
      <c r="OEG189" s="5"/>
      <c r="OEH189" s="5"/>
      <c r="OEI189" s="5"/>
      <c r="OEJ189" s="5"/>
      <c r="OEK189" s="5"/>
      <c r="OEL189" s="5"/>
      <c r="OEM189" s="5"/>
      <c r="OEN189" s="5"/>
      <c r="OEO189" s="5"/>
      <c r="OEP189" s="5"/>
      <c r="OEQ189" s="5"/>
      <c r="OER189" s="5"/>
      <c r="OES189" s="5"/>
      <c r="OET189" s="5"/>
      <c r="OEU189" s="5"/>
      <c r="OEV189" s="5"/>
      <c r="OEW189" s="5"/>
      <c r="OEX189" s="5"/>
      <c r="OEY189" s="5"/>
      <c r="OEZ189" s="5"/>
      <c r="OFA189" s="5"/>
      <c r="OFB189" s="5"/>
      <c r="OFC189" s="5"/>
      <c r="OFD189" s="5"/>
      <c r="OFE189" s="5"/>
      <c r="OFF189" s="5"/>
      <c r="OFG189" s="5"/>
      <c r="OFH189" s="5"/>
      <c r="OFI189" s="5"/>
      <c r="OFJ189" s="5"/>
      <c r="OFK189" s="5"/>
      <c r="OFL189" s="5"/>
      <c r="OFM189" s="5"/>
      <c r="OFN189" s="5"/>
      <c r="OFO189" s="5"/>
      <c r="OFP189" s="5"/>
      <c r="OFQ189" s="5"/>
      <c r="OFR189" s="5"/>
      <c r="OFS189" s="5"/>
      <c r="OFT189" s="5"/>
      <c r="OFU189" s="5"/>
      <c r="OFV189" s="5"/>
      <c r="OFW189" s="5"/>
      <c r="OFX189" s="5"/>
      <c r="OFY189" s="5"/>
      <c r="OFZ189" s="5"/>
      <c r="OGA189" s="5"/>
      <c r="OGB189" s="5"/>
      <c r="OGC189" s="5"/>
      <c r="OGD189" s="5"/>
      <c r="OGE189" s="5"/>
      <c r="OGF189" s="5"/>
      <c r="OGG189" s="5"/>
      <c r="OGH189" s="5"/>
      <c r="OGI189" s="5"/>
      <c r="OGJ189" s="5"/>
      <c r="OGK189" s="5"/>
      <c r="OGL189" s="5"/>
      <c r="OGM189" s="5"/>
      <c r="OGN189" s="5"/>
      <c r="OGO189" s="5"/>
      <c r="OGP189" s="5"/>
      <c r="OGQ189" s="5"/>
      <c r="OGR189" s="5"/>
      <c r="OGS189" s="5"/>
      <c r="OGT189" s="5"/>
      <c r="OGU189" s="5"/>
      <c r="OGV189" s="5"/>
      <c r="OGW189" s="5"/>
      <c r="OGX189" s="5"/>
      <c r="OGY189" s="5"/>
      <c r="OGZ189" s="5"/>
      <c r="OHA189" s="5"/>
      <c r="OHB189" s="5"/>
      <c r="OHC189" s="5"/>
      <c r="OHD189" s="5"/>
      <c r="OHE189" s="5"/>
      <c r="OHF189" s="5"/>
      <c r="OHG189" s="5"/>
      <c r="OHH189" s="5"/>
      <c r="OHI189" s="5"/>
      <c r="OHJ189" s="5"/>
      <c r="OHK189" s="5"/>
      <c r="OHL189" s="5"/>
      <c r="OHM189" s="5"/>
      <c r="OHN189" s="5"/>
      <c r="OHO189" s="5"/>
      <c r="OHP189" s="5"/>
      <c r="OHQ189" s="5"/>
      <c r="OHR189" s="5"/>
      <c r="OHS189" s="5"/>
      <c r="OHT189" s="5"/>
      <c r="OHU189" s="5"/>
      <c r="OHV189" s="5"/>
      <c r="OHW189" s="5"/>
      <c r="OHX189" s="5"/>
      <c r="OHY189" s="5"/>
      <c r="OHZ189" s="5"/>
      <c r="OIA189" s="5"/>
      <c r="OIB189" s="5"/>
      <c r="OIC189" s="5"/>
      <c r="OID189" s="5"/>
      <c r="OIE189" s="5"/>
      <c r="OIF189" s="5"/>
      <c r="OIG189" s="5"/>
      <c r="OIH189" s="5"/>
      <c r="OII189" s="5"/>
      <c r="OIJ189" s="5"/>
      <c r="OIK189" s="5"/>
      <c r="OIL189" s="5"/>
      <c r="OIM189" s="5"/>
      <c r="OIN189" s="5"/>
      <c r="OIO189" s="5"/>
      <c r="OIP189" s="5"/>
      <c r="OIQ189" s="5"/>
      <c r="OIR189" s="5"/>
      <c r="OIS189" s="5"/>
      <c r="OIT189" s="5"/>
      <c r="OIU189" s="5"/>
      <c r="OIV189" s="5"/>
      <c r="OIW189" s="5"/>
      <c r="OIX189" s="5"/>
      <c r="OIY189" s="5"/>
      <c r="OIZ189" s="5"/>
      <c r="OJA189" s="5"/>
      <c r="OJB189" s="5"/>
      <c r="OJC189" s="5"/>
      <c r="OJD189" s="5"/>
      <c r="OJE189" s="5"/>
      <c r="OJF189" s="5"/>
      <c r="OJG189" s="5"/>
      <c r="OJH189" s="5"/>
      <c r="OJI189" s="5"/>
      <c r="OJJ189" s="5"/>
      <c r="OJK189" s="5"/>
      <c r="OJL189" s="5"/>
      <c r="OJM189" s="5"/>
      <c r="OJN189" s="5"/>
      <c r="OJO189" s="5"/>
      <c r="OJP189" s="5"/>
      <c r="OJQ189" s="5"/>
      <c r="OJR189" s="5"/>
      <c r="OJS189" s="5"/>
      <c r="OJT189" s="5"/>
      <c r="OJU189" s="5"/>
      <c r="OJV189" s="5"/>
      <c r="OJW189" s="5"/>
      <c r="OJX189" s="5"/>
      <c r="OJY189" s="5"/>
      <c r="OJZ189" s="5"/>
      <c r="OKA189" s="5"/>
      <c r="OKB189" s="5"/>
      <c r="OKC189" s="5"/>
      <c r="OKD189" s="5"/>
      <c r="OKE189" s="5"/>
      <c r="OKF189" s="5"/>
      <c r="OKG189" s="5"/>
      <c r="OKH189" s="5"/>
      <c r="OKI189" s="5"/>
      <c r="OKJ189" s="5"/>
      <c r="OKK189" s="5"/>
      <c r="OKL189" s="5"/>
      <c r="OKM189" s="5"/>
      <c r="OKN189" s="5"/>
      <c r="OKO189" s="5"/>
      <c r="OKP189" s="5"/>
      <c r="OKQ189" s="5"/>
      <c r="OKR189" s="5"/>
      <c r="OKS189" s="5"/>
      <c r="OKT189" s="5"/>
      <c r="OKU189" s="5"/>
      <c r="OKV189" s="5"/>
      <c r="OKW189" s="5"/>
      <c r="OKX189" s="5"/>
      <c r="OKY189" s="5"/>
      <c r="OKZ189" s="5"/>
      <c r="OLA189" s="5"/>
      <c r="OLB189" s="5"/>
      <c r="OLC189" s="5"/>
      <c r="OLD189" s="5"/>
      <c r="OLE189" s="5"/>
      <c r="OLF189" s="5"/>
      <c r="OLG189" s="5"/>
      <c r="OLH189" s="5"/>
      <c r="OLI189" s="5"/>
      <c r="OLJ189" s="5"/>
      <c r="OLK189" s="5"/>
      <c r="OLL189" s="5"/>
      <c r="OLM189" s="5"/>
      <c r="OLN189" s="5"/>
      <c r="OLO189" s="5"/>
      <c r="OLP189" s="5"/>
      <c r="OLQ189" s="5"/>
      <c r="OLR189" s="5"/>
      <c r="OLS189" s="5"/>
      <c r="OLT189" s="5"/>
      <c r="OLU189" s="5"/>
      <c r="OLV189" s="5"/>
      <c r="OLW189" s="5"/>
      <c r="OLX189" s="5"/>
      <c r="OLY189" s="5"/>
      <c r="OLZ189" s="5"/>
      <c r="OMA189" s="5"/>
      <c r="OMB189" s="5"/>
      <c r="OMC189" s="5"/>
      <c r="OMD189" s="5"/>
      <c r="OME189" s="5"/>
      <c r="OMF189" s="5"/>
      <c r="OMG189" s="5"/>
      <c r="OMH189" s="5"/>
      <c r="OMI189" s="5"/>
      <c r="OMJ189" s="5"/>
      <c r="OMK189" s="5"/>
      <c r="OML189" s="5"/>
      <c r="OMM189" s="5"/>
      <c r="OMN189" s="5"/>
      <c r="OMO189" s="5"/>
      <c r="OMP189" s="5"/>
      <c r="OMQ189" s="5"/>
      <c r="OMR189" s="5"/>
      <c r="OMS189" s="5"/>
      <c r="OMT189" s="5"/>
      <c r="OMU189" s="5"/>
      <c r="OMV189" s="5"/>
      <c r="OMW189" s="5"/>
      <c r="OMX189" s="5"/>
      <c r="OMY189" s="5"/>
      <c r="OMZ189" s="5"/>
      <c r="ONA189" s="5"/>
      <c r="ONB189" s="5"/>
      <c r="ONC189" s="5"/>
      <c r="OND189" s="5"/>
      <c r="ONE189" s="5"/>
      <c r="ONF189" s="5"/>
      <c r="ONG189" s="5"/>
      <c r="ONH189" s="5"/>
      <c r="ONI189" s="5"/>
      <c r="ONJ189" s="5"/>
      <c r="ONK189" s="5"/>
      <c r="ONL189" s="5"/>
      <c r="ONM189" s="5"/>
      <c r="ONN189" s="5"/>
      <c r="ONO189" s="5"/>
      <c r="ONP189" s="5"/>
      <c r="ONQ189" s="5"/>
      <c r="ONR189" s="5"/>
      <c r="ONS189" s="5"/>
      <c r="ONT189" s="5"/>
      <c r="ONU189" s="5"/>
      <c r="ONV189" s="5"/>
      <c r="ONW189" s="5"/>
      <c r="ONX189" s="5"/>
      <c r="ONY189" s="5"/>
      <c r="ONZ189" s="5"/>
      <c r="OOA189" s="5"/>
      <c r="OOB189" s="5"/>
      <c r="OOC189" s="5"/>
      <c r="OOD189" s="5"/>
      <c r="OOE189" s="5"/>
      <c r="OOF189" s="5"/>
      <c r="OOG189" s="5"/>
      <c r="OOH189" s="5"/>
      <c r="OOI189" s="5"/>
      <c r="OOJ189" s="5"/>
      <c r="OOK189" s="5"/>
      <c r="OOL189" s="5"/>
      <c r="OOM189" s="5"/>
      <c r="OON189" s="5"/>
      <c r="OOO189" s="5"/>
      <c r="OOP189" s="5"/>
      <c r="OOQ189" s="5"/>
      <c r="OOR189" s="5"/>
      <c r="OOS189" s="5"/>
      <c r="OOT189" s="5"/>
      <c r="OOU189" s="5"/>
      <c r="OOV189" s="5"/>
      <c r="OOW189" s="5"/>
      <c r="OOX189" s="5"/>
      <c r="OOY189" s="5"/>
      <c r="OOZ189" s="5"/>
      <c r="OPA189" s="5"/>
      <c r="OPB189" s="5"/>
      <c r="OPC189" s="5"/>
      <c r="OPD189" s="5"/>
      <c r="OPE189" s="5"/>
      <c r="OPF189" s="5"/>
      <c r="OPG189" s="5"/>
      <c r="OPH189" s="5"/>
      <c r="OPI189" s="5"/>
      <c r="OPJ189" s="5"/>
      <c r="OPK189" s="5"/>
      <c r="OPL189" s="5"/>
      <c r="OPM189" s="5"/>
      <c r="OPN189" s="5"/>
      <c r="OPO189" s="5"/>
      <c r="OPP189" s="5"/>
      <c r="OPQ189" s="5"/>
      <c r="OPR189" s="5"/>
      <c r="OPS189" s="5"/>
      <c r="OPT189" s="5"/>
      <c r="OPU189" s="5"/>
      <c r="OPV189" s="5"/>
      <c r="OPW189" s="5"/>
      <c r="OPX189" s="5"/>
      <c r="OPY189" s="5"/>
      <c r="OPZ189" s="5"/>
      <c r="OQA189" s="5"/>
      <c r="OQB189" s="5"/>
      <c r="OQC189" s="5"/>
      <c r="OQD189" s="5"/>
      <c r="OQE189" s="5"/>
      <c r="OQF189" s="5"/>
      <c r="OQG189" s="5"/>
      <c r="OQH189" s="5"/>
      <c r="OQI189" s="5"/>
      <c r="OQJ189" s="5"/>
      <c r="OQK189" s="5"/>
      <c r="OQL189" s="5"/>
      <c r="OQM189" s="5"/>
      <c r="OQN189" s="5"/>
      <c r="OQO189" s="5"/>
      <c r="OQP189" s="5"/>
      <c r="OQQ189" s="5"/>
      <c r="OQR189" s="5"/>
      <c r="OQS189" s="5"/>
      <c r="OQT189" s="5"/>
      <c r="OQU189" s="5"/>
      <c r="OQV189" s="5"/>
      <c r="OQW189" s="5"/>
      <c r="OQX189" s="5"/>
      <c r="OQY189" s="5"/>
      <c r="OQZ189" s="5"/>
      <c r="ORA189" s="5"/>
      <c r="ORB189" s="5"/>
      <c r="ORC189" s="5"/>
      <c r="ORD189" s="5"/>
      <c r="ORE189" s="5"/>
      <c r="ORF189" s="5"/>
      <c r="ORG189" s="5"/>
      <c r="ORH189" s="5"/>
      <c r="ORI189" s="5"/>
      <c r="ORJ189" s="5"/>
      <c r="ORK189" s="5"/>
      <c r="ORL189" s="5"/>
      <c r="ORM189" s="5"/>
      <c r="ORN189" s="5"/>
      <c r="ORO189" s="5"/>
      <c r="ORP189" s="5"/>
      <c r="ORQ189" s="5"/>
      <c r="ORR189" s="5"/>
      <c r="ORS189" s="5"/>
      <c r="ORT189" s="5"/>
      <c r="ORU189" s="5"/>
      <c r="ORV189" s="5"/>
      <c r="ORW189" s="5"/>
      <c r="ORX189" s="5"/>
      <c r="ORY189" s="5"/>
      <c r="ORZ189" s="5"/>
      <c r="OSA189" s="5"/>
      <c r="OSB189" s="5"/>
      <c r="OSC189" s="5"/>
      <c r="OSD189" s="5"/>
      <c r="OSE189" s="5"/>
      <c r="OSF189" s="5"/>
      <c r="OSG189" s="5"/>
      <c r="OSH189" s="5"/>
      <c r="OSI189" s="5"/>
      <c r="OSJ189" s="5"/>
      <c r="OSK189" s="5"/>
      <c r="OSL189" s="5"/>
      <c r="OSM189" s="5"/>
      <c r="OSN189" s="5"/>
      <c r="OSO189" s="5"/>
      <c r="OSP189" s="5"/>
      <c r="OSQ189" s="5"/>
      <c r="OSR189" s="5"/>
      <c r="OSS189" s="5"/>
      <c r="OST189" s="5"/>
      <c r="OSU189" s="5"/>
      <c r="OSV189" s="5"/>
      <c r="OSW189" s="5"/>
      <c r="OSX189" s="5"/>
      <c r="OSY189" s="5"/>
      <c r="OSZ189" s="5"/>
      <c r="OTA189" s="5"/>
      <c r="OTB189" s="5"/>
      <c r="OTC189" s="5"/>
      <c r="OTD189" s="5"/>
      <c r="OTE189" s="5"/>
      <c r="OTF189" s="5"/>
      <c r="OTG189" s="5"/>
      <c r="OTH189" s="5"/>
      <c r="OTI189" s="5"/>
      <c r="OTJ189" s="5"/>
      <c r="OTK189" s="5"/>
      <c r="OTL189" s="5"/>
      <c r="OTM189" s="5"/>
      <c r="OTN189" s="5"/>
      <c r="OTO189" s="5"/>
      <c r="OTP189" s="5"/>
      <c r="OTQ189" s="5"/>
      <c r="OTR189" s="5"/>
      <c r="OTS189" s="5"/>
      <c r="OTT189" s="5"/>
      <c r="OTU189" s="5"/>
      <c r="OTV189" s="5"/>
      <c r="OTW189" s="5"/>
      <c r="OTX189" s="5"/>
      <c r="OTY189" s="5"/>
      <c r="OTZ189" s="5"/>
      <c r="OUA189" s="5"/>
      <c r="OUB189" s="5"/>
      <c r="OUC189" s="5"/>
      <c r="OUD189" s="5"/>
      <c r="OUE189" s="5"/>
      <c r="OUF189" s="5"/>
      <c r="OUG189" s="5"/>
      <c r="OUH189" s="5"/>
      <c r="OUI189" s="5"/>
      <c r="OUJ189" s="5"/>
      <c r="OUK189" s="5"/>
      <c r="OUL189" s="5"/>
      <c r="OUM189" s="5"/>
      <c r="OUN189" s="5"/>
      <c r="OUO189" s="5"/>
      <c r="OUP189" s="5"/>
      <c r="OUQ189" s="5"/>
      <c r="OUR189" s="5"/>
      <c r="OUS189" s="5"/>
      <c r="OUT189" s="5"/>
      <c r="OUU189" s="5"/>
      <c r="OUV189" s="5"/>
      <c r="OUW189" s="5"/>
      <c r="OUX189" s="5"/>
      <c r="OUY189" s="5"/>
      <c r="OUZ189" s="5"/>
      <c r="OVA189" s="5"/>
      <c r="OVB189" s="5"/>
      <c r="OVC189" s="5"/>
      <c r="OVD189" s="5"/>
      <c r="OVE189" s="5"/>
      <c r="OVF189" s="5"/>
      <c r="OVG189" s="5"/>
      <c r="OVH189" s="5"/>
      <c r="OVI189" s="5"/>
      <c r="OVJ189" s="5"/>
      <c r="OVK189" s="5"/>
      <c r="OVL189" s="5"/>
      <c r="OVM189" s="5"/>
      <c r="OVN189" s="5"/>
      <c r="OVO189" s="5"/>
      <c r="OVP189" s="5"/>
      <c r="OVQ189" s="5"/>
      <c r="OVR189" s="5"/>
      <c r="OVS189" s="5"/>
      <c r="OVT189" s="5"/>
      <c r="OVU189" s="5"/>
      <c r="OVV189" s="5"/>
      <c r="OVW189" s="5"/>
      <c r="OVX189" s="5"/>
      <c r="OVY189" s="5"/>
      <c r="OVZ189" s="5"/>
      <c r="OWA189" s="5"/>
      <c r="OWB189" s="5"/>
      <c r="OWC189" s="5"/>
      <c r="OWD189" s="5"/>
      <c r="OWE189" s="5"/>
      <c r="OWF189" s="5"/>
      <c r="OWG189" s="5"/>
      <c r="OWH189" s="5"/>
      <c r="OWI189" s="5"/>
      <c r="OWJ189" s="5"/>
      <c r="OWK189" s="5"/>
      <c r="OWL189" s="5"/>
      <c r="OWM189" s="5"/>
      <c r="OWN189" s="5"/>
      <c r="OWO189" s="5"/>
      <c r="OWP189" s="5"/>
      <c r="OWQ189" s="5"/>
      <c r="OWR189" s="5"/>
      <c r="OWS189" s="5"/>
      <c r="OWT189" s="5"/>
      <c r="OWU189" s="5"/>
      <c r="OWV189" s="5"/>
      <c r="OWW189" s="5"/>
      <c r="OWX189" s="5"/>
      <c r="OWY189" s="5"/>
      <c r="OWZ189" s="5"/>
      <c r="OXA189" s="5"/>
      <c r="OXB189" s="5"/>
      <c r="OXC189" s="5"/>
      <c r="OXD189" s="5"/>
      <c r="OXE189" s="5"/>
      <c r="OXF189" s="5"/>
      <c r="OXG189" s="5"/>
      <c r="OXH189" s="5"/>
      <c r="OXI189" s="5"/>
      <c r="OXJ189" s="5"/>
      <c r="OXK189" s="5"/>
      <c r="OXL189" s="5"/>
      <c r="OXM189" s="5"/>
      <c r="OXN189" s="5"/>
      <c r="OXO189" s="5"/>
      <c r="OXP189" s="5"/>
      <c r="OXQ189" s="5"/>
      <c r="OXR189" s="5"/>
      <c r="OXS189" s="5"/>
      <c r="OXT189" s="5"/>
      <c r="OXU189" s="5"/>
      <c r="OXV189" s="5"/>
      <c r="OXW189" s="5"/>
      <c r="OXX189" s="5"/>
      <c r="OXY189" s="5"/>
      <c r="OXZ189" s="5"/>
      <c r="OYA189" s="5"/>
      <c r="OYB189" s="5"/>
      <c r="OYC189" s="5"/>
      <c r="OYD189" s="5"/>
      <c r="OYE189" s="5"/>
      <c r="OYF189" s="5"/>
      <c r="OYG189" s="5"/>
      <c r="OYH189" s="5"/>
      <c r="OYI189" s="5"/>
      <c r="OYJ189" s="5"/>
      <c r="OYK189" s="5"/>
      <c r="OYL189" s="5"/>
      <c r="OYM189" s="5"/>
      <c r="OYN189" s="5"/>
      <c r="OYO189" s="5"/>
      <c r="OYP189" s="5"/>
      <c r="OYQ189" s="5"/>
      <c r="OYR189" s="5"/>
      <c r="OYS189" s="5"/>
      <c r="OYT189" s="5"/>
      <c r="OYU189" s="5"/>
      <c r="OYV189" s="5"/>
      <c r="OYW189" s="5"/>
      <c r="OYX189" s="5"/>
      <c r="OYY189" s="5"/>
      <c r="OYZ189" s="5"/>
      <c r="OZA189" s="5"/>
      <c r="OZB189" s="5"/>
      <c r="OZC189" s="5"/>
      <c r="OZD189" s="5"/>
      <c r="OZE189" s="5"/>
      <c r="OZF189" s="5"/>
      <c r="OZG189" s="5"/>
      <c r="OZH189" s="5"/>
      <c r="OZI189" s="5"/>
      <c r="OZJ189" s="5"/>
      <c r="OZK189" s="5"/>
      <c r="OZL189" s="5"/>
      <c r="OZM189" s="5"/>
      <c r="OZN189" s="5"/>
      <c r="OZO189" s="5"/>
      <c r="OZP189" s="5"/>
      <c r="OZQ189" s="5"/>
      <c r="OZR189" s="5"/>
      <c r="OZS189" s="5"/>
      <c r="OZT189" s="5"/>
      <c r="OZU189" s="5"/>
      <c r="OZV189" s="5"/>
      <c r="OZW189" s="5"/>
      <c r="OZX189" s="5"/>
      <c r="OZY189" s="5"/>
      <c r="OZZ189" s="5"/>
      <c r="PAA189" s="5"/>
      <c r="PAB189" s="5"/>
      <c r="PAC189" s="5"/>
      <c r="PAD189" s="5"/>
      <c r="PAE189" s="5"/>
      <c r="PAF189" s="5"/>
      <c r="PAG189" s="5"/>
      <c r="PAH189" s="5"/>
      <c r="PAI189" s="5"/>
      <c r="PAJ189" s="5"/>
      <c r="PAK189" s="5"/>
      <c r="PAL189" s="5"/>
      <c r="PAM189" s="5"/>
      <c r="PAN189" s="5"/>
      <c r="PAO189" s="5"/>
      <c r="PAP189" s="5"/>
      <c r="PAQ189" s="5"/>
      <c r="PAR189" s="5"/>
      <c r="PAS189" s="5"/>
      <c r="PAT189" s="5"/>
      <c r="PAU189" s="5"/>
      <c r="PAV189" s="5"/>
      <c r="PAW189" s="5"/>
      <c r="PAX189" s="5"/>
      <c r="PAY189" s="5"/>
      <c r="PAZ189" s="5"/>
      <c r="PBA189" s="5"/>
      <c r="PBB189" s="5"/>
      <c r="PBC189" s="5"/>
      <c r="PBD189" s="5"/>
      <c r="PBE189" s="5"/>
      <c r="PBF189" s="5"/>
      <c r="PBG189" s="5"/>
      <c r="PBH189" s="5"/>
      <c r="PBI189" s="5"/>
      <c r="PBJ189" s="5"/>
      <c r="PBK189" s="5"/>
      <c r="PBL189" s="5"/>
      <c r="PBM189" s="5"/>
      <c r="PBN189" s="5"/>
      <c r="PBO189" s="5"/>
      <c r="PBP189" s="5"/>
      <c r="PBQ189" s="5"/>
      <c r="PBR189" s="5"/>
      <c r="PBS189" s="5"/>
      <c r="PBT189" s="5"/>
      <c r="PBU189" s="5"/>
      <c r="PBV189" s="5"/>
      <c r="PBW189" s="5"/>
      <c r="PBX189" s="5"/>
      <c r="PBY189" s="5"/>
      <c r="PBZ189" s="5"/>
      <c r="PCA189" s="5"/>
      <c r="PCB189" s="5"/>
      <c r="PCC189" s="5"/>
      <c r="PCD189" s="5"/>
      <c r="PCE189" s="5"/>
      <c r="PCF189" s="5"/>
      <c r="PCG189" s="5"/>
      <c r="PCH189" s="5"/>
      <c r="PCI189" s="5"/>
      <c r="PCJ189" s="5"/>
      <c r="PCK189" s="5"/>
      <c r="PCL189" s="5"/>
      <c r="PCM189" s="5"/>
      <c r="PCN189" s="5"/>
      <c r="PCO189" s="5"/>
      <c r="PCP189" s="5"/>
      <c r="PCQ189" s="5"/>
      <c r="PCR189" s="5"/>
      <c r="PCS189" s="5"/>
      <c r="PCT189" s="5"/>
      <c r="PCU189" s="5"/>
      <c r="PCV189" s="5"/>
      <c r="PCW189" s="5"/>
      <c r="PCX189" s="5"/>
      <c r="PCY189" s="5"/>
      <c r="PCZ189" s="5"/>
      <c r="PDA189" s="5"/>
      <c r="PDB189" s="5"/>
      <c r="PDC189" s="5"/>
      <c r="PDD189" s="5"/>
      <c r="PDE189" s="5"/>
      <c r="PDF189" s="5"/>
      <c r="PDG189" s="5"/>
      <c r="PDH189" s="5"/>
      <c r="PDI189" s="5"/>
      <c r="PDJ189" s="5"/>
      <c r="PDK189" s="5"/>
      <c r="PDL189" s="5"/>
      <c r="PDM189" s="5"/>
      <c r="PDN189" s="5"/>
      <c r="PDO189" s="5"/>
      <c r="PDP189" s="5"/>
      <c r="PDQ189" s="5"/>
      <c r="PDR189" s="5"/>
      <c r="PDS189" s="5"/>
      <c r="PDT189" s="5"/>
      <c r="PDU189" s="5"/>
      <c r="PDV189" s="5"/>
      <c r="PDW189" s="5"/>
      <c r="PDX189" s="5"/>
      <c r="PDY189" s="5"/>
      <c r="PDZ189" s="5"/>
      <c r="PEA189" s="5"/>
      <c r="PEB189" s="5"/>
      <c r="PEC189" s="5"/>
      <c r="PED189" s="5"/>
      <c r="PEE189" s="5"/>
      <c r="PEF189" s="5"/>
      <c r="PEG189" s="5"/>
      <c r="PEH189" s="5"/>
      <c r="PEI189" s="5"/>
      <c r="PEJ189" s="5"/>
      <c r="PEK189" s="5"/>
      <c r="PEL189" s="5"/>
      <c r="PEM189" s="5"/>
      <c r="PEN189" s="5"/>
      <c r="PEO189" s="5"/>
      <c r="PEP189" s="5"/>
      <c r="PEQ189" s="5"/>
      <c r="PER189" s="5"/>
      <c r="PES189" s="5"/>
      <c r="PET189" s="5"/>
      <c r="PEU189" s="5"/>
      <c r="PEV189" s="5"/>
      <c r="PEW189" s="5"/>
      <c r="PEX189" s="5"/>
      <c r="PEY189" s="5"/>
      <c r="PEZ189" s="5"/>
      <c r="PFA189" s="5"/>
      <c r="PFB189" s="5"/>
      <c r="PFC189" s="5"/>
      <c r="PFD189" s="5"/>
      <c r="PFE189" s="5"/>
      <c r="PFF189" s="5"/>
      <c r="PFG189" s="5"/>
      <c r="PFH189" s="5"/>
      <c r="PFI189" s="5"/>
      <c r="PFJ189" s="5"/>
      <c r="PFK189" s="5"/>
      <c r="PFL189" s="5"/>
      <c r="PFM189" s="5"/>
      <c r="PFN189" s="5"/>
      <c r="PFO189" s="5"/>
      <c r="PFP189" s="5"/>
      <c r="PFQ189" s="5"/>
      <c r="PFR189" s="5"/>
      <c r="PFS189" s="5"/>
      <c r="PFT189" s="5"/>
      <c r="PFU189" s="5"/>
      <c r="PFV189" s="5"/>
      <c r="PFW189" s="5"/>
      <c r="PFX189" s="5"/>
      <c r="PFY189" s="5"/>
      <c r="PFZ189" s="5"/>
      <c r="PGA189" s="5"/>
      <c r="PGB189" s="5"/>
      <c r="PGC189" s="5"/>
      <c r="PGD189" s="5"/>
      <c r="PGE189" s="5"/>
      <c r="PGF189" s="5"/>
      <c r="PGG189" s="5"/>
      <c r="PGH189" s="5"/>
      <c r="PGI189" s="5"/>
      <c r="PGJ189" s="5"/>
      <c r="PGK189" s="5"/>
      <c r="PGL189" s="5"/>
      <c r="PGM189" s="5"/>
      <c r="PGN189" s="5"/>
      <c r="PGO189" s="5"/>
      <c r="PGP189" s="5"/>
      <c r="PGQ189" s="5"/>
      <c r="PGR189" s="5"/>
      <c r="PGS189" s="5"/>
      <c r="PGT189" s="5"/>
      <c r="PGU189" s="5"/>
      <c r="PGV189" s="5"/>
      <c r="PGW189" s="5"/>
      <c r="PGX189" s="5"/>
      <c r="PGY189" s="5"/>
      <c r="PGZ189" s="5"/>
      <c r="PHA189" s="5"/>
      <c r="PHB189" s="5"/>
      <c r="PHC189" s="5"/>
      <c r="PHD189" s="5"/>
      <c r="PHE189" s="5"/>
      <c r="PHF189" s="5"/>
      <c r="PHG189" s="5"/>
      <c r="PHH189" s="5"/>
      <c r="PHI189" s="5"/>
      <c r="PHJ189" s="5"/>
      <c r="PHK189" s="5"/>
      <c r="PHL189" s="5"/>
      <c r="PHM189" s="5"/>
      <c r="PHN189" s="5"/>
      <c r="PHO189" s="5"/>
      <c r="PHP189" s="5"/>
      <c r="PHQ189" s="5"/>
      <c r="PHR189" s="5"/>
      <c r="PHS189" s="5"/>
      <c r="PHT189" s="5"/>
      <c r="PHU189" s="5"/>
      <c r="PHV189" s="5"/>
      <c r="PHW189" s="5"/>
      <c r="PHX189" s="5"/>
      <c r="PHY189" s="5"/>
      <c r="PHZ189" s="5"/>
      <c r="PIA189" s="5"/>
      <c r="PIB189" s="5"/>
      <c r="PIC189" s="5"/>
      <c r="PID189" s="5"/>
      <c r="PIE189" s="5"/>
      <c r="PIF189" s="5"/>
      <c r="PIG189" s="5"/>
      <c r="PIH189" s="5"/>
      <c r="PII189" s="5"/>
      <c r="PIJ189" s="5"/>
      <c r="PIK189" s="5"/>
      <c r="PIL189" s="5"/>
      <c r="PIM189" s="5"/>
      <c r="PIN189" s="5"/>
      <c r="PIO189" s="5"/>
      <c r="PIP189" s="5"/>
      <c r="PIQ189" s="5"/>
      <c r="PIR189" s="5"/>
      <c r="PIS189" s="5"/>
      <c r="PIT189" s="5"/>
      <c r="PIU189" s="5"/>
      <c r="PIV189" s="5"/>
      <c r="PIW189" s="5"/>
      <c r="PIX189" s="5"/>
      <c r="PIY189" s="5"/>
      <c r="PIZ189" s="5"/>
      <c r="PJA189" s="5"/>
      <c r="PJB189" s="5"/>
      <c r="PJC189" s="5"/>
      <c r="PJD189" s="5"/>
      <c r="PJE189" s="5"/>
      <c r="PJF189" s="5"/>
      <c r="PJG189" s="5"/>
      <c r="PJH189" s="5"/>
      <c r="PJI189" s="5"/>
      <c r="PJJ189" s="5"/>
      <c r="PJK189" s="5"/>
      <c r="PJL189" s="5"/>
      <c r="PJM189" s="5"/>
      <c r="PJN189" s="5"/>
      <c r="PJO189" s="5"/>
      <c r="PJP189" s="5"/>
      <c r="PJQ189" s="5"/>
      <c r="PJR189" s="5"/>
      <c r="PJS189" s="5"/>
      <c r="PJT189" s="5"/>
      <c r="PJU189" s="5"/>
      <c r="PJV189" s="5"/>
      <c r="PJW189" s="5"/>
      <c r="PJX189" s="5"/>
      <c r="PJY189" s="5"/>
      <c r="PJZ189" s="5"/>
      <c r="PKA189" s="5"/>
      <c r="PKB189" s="5"/>
      <c r="PKC189" s="5"/>
      <c r="PKD189" s="5"/>
      <c r="PKE189" s="5"/>
      <c r="PKF189" s="5"/>
      <c r="PKG189" s="5"/>
      <c r="PKH189" s="5"/>
      <c r="PKI189" s="5"/>
      <c r="PKJ189" s="5"/>
      <c r="PKK189" s="5"/>
      <c r="PKL189" s="5"/>
      <c r="PKM189" s="5"/>
      <c r="PKN189" s="5"/>
      <c r="PKO189" s="5"/>
      <c r="PKP189" s="5"/>
      <c r="PKQ189" s="5"/>
      <c r="PKR189" s="5"/>
      <c r="PKS189" s="5"/>
      <c r="PKT189" s="5"/>
      <c r="PKU189" s="5"/>
      <c r="PKV189" s="5"/>
      <c r="PKW189" s="5"/>
      <c r="PKX189" s="5"/>
      <c r="PKY189" s="5"/>
      <c r="PKZ189" s="5"/>
      <c r="PLA189" s="5"/>
      <c r="PLB189" s="5"/>
      <c r="PLC189" s="5"/>
      <c r="PLD189" s="5"/>
      <c r="PLE189" s="5"/>
      <c r="PLF189" s="5"/>
      <c r="PLG189" s="5"/>
      <c r="PLH189" s="5"/>
      <c r="PLI189" s="5"/>
      <c r="PLJ189" s="5"/>
      <c r="PLK189" s="5"/>
      <c r="PLL189" s="5"/>
      <c r="PLM189" s="5"/>
      <c r="PLN189" s="5"/>
      <c r="PLO189" s="5"/>
      <c r="PLP189" s="5"/>
      <c r="PLQ189" s="5"/>
      <c r="PLR189" s="5"/>
      <c r="PLS189" s="5"/>
      <c r="PLT189" s="5"/>
      <c r="PLU189" s="5"/>
      <c r="PLV189" s="5"/>
      <c r="PLW189" s="5"/>
      <c r="PLX189" s="5"/>
      <c r="PLY189" s="5"/>
      <c r="PLZ189" s="5"/>
      <c r="PMA189" s="5"/>
      <c r="PMB189" s="5"/>
      <c r="PMC189" s="5"/>
      <c r="PMD189" s="5"/>
      <c r="PME189" s="5"/>
      <c r="PMF189" s="5"/>
      <c r="PMG189" s="5"/>
      <c r="PMH189" s="5"/>
      <c r="PMI189" s="5"/>
      <c r="PMJ189" s="5"/>
      <c r="PMK189" s="5"/>
      <c r="PML189" s="5"/>
      <c r="PMM189" s="5"/>
      <c r="PMN189" s="5"/>
      <c r="PMO189" s="5"/>
      <c r="PMP189" s="5"/>
      <c r="PMQ189" s="5"/>
      <c r="PMR189" s="5"/>
      <c r="PMS189" s="5"/>
      <c r="PMT189" s="5"/>
      <c r="PMU189" s="5"/>
      <c r="PMV189" s="5"/>
      <c r="PMW189" s="5"/>
      <c r="PMX189" s="5"/>
      <c r="PMY189" s="5"/>
      <c r="PMZ189" s="5"/>
      <c r="PNA189" s="5"/>
      <c r="PNB189" s="5"/>
      <c r="PNC189" s="5"/>
      <c r="PND189" s="5"/>
      <c r="PNE189" s="5"/>
      <c r="PNF189" s="5"/>
      <c r="PNG189" s="5"/>
      <c r="PNH189" s="5"/>
      <c r="PNI189" s="5"/>
      <c r="PNJ189" s="5"/>
      <c r="PNK189" s="5"/>
      <c r="PNL189" s="5"/>
      <c r="PNM189" s="5"/>
      <c r="PNN189" s="5"/>
      <c r="PNO189" s="5"/>
      <c r="PNP189" s="5"/>
      <c r="PNQ189" s="5"/>
      <c r="PNR189" s="5"/>
      <c r="PNS189" s="5"/>
      <c r="PNT189" s="5"/>
      <c r="PNU189" s="5"/>
      <c r="PNV189" s="5"/>
      <c r="PNW189" s="5"/>
      <c r="PNX189" s="5"/>
      <c r="PNY189" s="5"/>
      <c r="PNZ189" s="5"/>
      <c r="POA189" s="5"/>
      <c r="POB189" s="5"/>
      <c r="POC189" s="5"/>
      <c r="POD189" s="5"/>
      <c r="POE189" s="5"/>
      <c r="POF189" s="5"/>
      <c r="POG189" s="5"/>
      <c r="POH189" s="5"/>
      <c r="POI189" s="5"/>
      <c r="POJ189" s="5"/>
      <c r="POK189" s="5"/>
      <c r="POL189" s="5"/>
      <c r="POM189" s="5"/>
      <c r="PON189" s="5"/>
      <c r="POO189" s="5"/>
      <c r="POP189" s="5"/>
      <c r="POQ189" s="5"/>
      <c r="POR189" s="5"/>
      <c r="POS189" s="5"/>
      <c r="POT189" s="5"/>
      <c r="POU189" s="5"/>
      <c r="POV189" s="5"/>
      <c r="POW189" s="5"/>
      <c r="POX189" s="5"/>
      <c r="POY189" s="5"/>
      <c r="POZ189" s="5"/>
      <c r="PPA189" s="5"/>
      <c r="PPB189" s="5"/>
      <c r="PPC189" s="5"/>
      <c r="PPD189" s="5"/>
      <c r="PPE189" s="5"/>
      <c r="PPF189" s="5"/>
      <c r="PPG189" s="5"/>
      <c r="PPH189" s="5"/>
      <c r="PPI189" s="5"/>
      <c r="PPJ189" s="5"/>
      <c r="PPK189" s="5"/>
      <c r="PPL189" s="5"/>
      <c r="PPM189" s="5"/>
      <c r="PPN189" s="5"/>
      <c r="PPO189" s="5"/>
      <c r="PPP189" s="5"/>
      <c r="PPQ189" s="5"/>
      <c r="PPR189" s="5"/>
      <c r="PPS189" s="5"/>
      <c r="PPT189" s="5"/>
      <c r="PPU189" s="5"/>
      <c r="PPV189" s="5"/>
      <c r="PPW189" s="5"/>
      <c r="PPX189" s="5"/>
      <c r="PPY189" s="5"/>
      <c r="PPZ189" s="5"/>
      <c r="PQA189" s="5"/>
      <c r="PQB189" s="5"/>
      <c r="PQC189" s="5"/>
      <c r="PQD189" s="5"/>
      <c r="PQE189" s="5"/>
      <c r="PQF189" s="5"/>
      <c r="PQG189" s="5"/>
      <c r="PQH189" s="5"/>
      <c r="PQI189" s="5"/>
      <c r="PQJ189" s="5"/>
      <c r="PQK189" s="5"/>
      <c r="PQL189" s="5"/>
      <c r="PQM189" s="5"/>
      <c r="PQN189" s="5"/>
      <c r="PQO189" s="5"/>
      <c r="PQP189" s="5"/>
      <c r="PQQ189" s="5"/>
      <c r="PQR189" s="5"/>
      <c r="PQS189" s="5"/>
      <c r="PQT189" s="5"/>
      <c r="PQU189" s="5"/>
      <c r="PQV189" s="5"/>
      <c r="PQW189" s="5"/>
      <c r="PQX189" s="5"/>
      <c r="PQY189" s="5"/>
      <c r="PQZ189" s="5"/>
      <c r="PRA189" s="5"/>
      <c r="PRB189" s="5"/>
      <c r="PRC189" s="5"/>
      <c r="PRD189" s="5"/>
      <c r="PRE189" s="5"/>
      <c r="PRF189" s="5"/>
      <c r="PRG189" s="5"/>
      <c r="PRH189" s="5"/>
      <c r="PRI189" s="5"/>
      <c r="PRJ189" s="5"/>
      <c r="PRK189" s="5"/>
      <c r="PRL189" s="5"/>
      <c r="PRM189" s="5"/>
      <c r="PRN189" s="5"/>
      <c r="PRO189" s="5"/>
      <c r="PRP189" s="5"/>
      <c r="PRQ189" s="5"/>
      <c r="PRR189" s="5"/>
      <c r="PRS189" s="5"/>
      <c r="PRT189" s="5"/>
      <c r="PRU189" s="5"/>
      <c r="PRV189" s="5"/>
      <c r="PRW189" s="5"/>
      <c r="PRX189" s="5"/>
      <c r="PRY189" s="5"/>
      <c r="PRZ189" s="5"/>
      <c r="PSA189" s="5"/>
      <c r="PSB189" s="5"/>
      <c r="PSC189" s="5"/>
      <c r="PSD189" s="5"/>
      <c r="PSE189" s="5"/>
      <c r="PSF189" s="5"/>
      <c r="PSG189" s="5"/>
      <c r="PSH189" s="5"/>
      <c r="PSI189" s="5"/>
      <c r="PSJ189" s="5"/>
      <c r="PSK189" s="5"/>
      <c r="PSL189" s="5"/>
      <c r="PSM189" s="5"/>
      <c r="PSN189" s="5"/>
      <c r="PSO189" s="5"/>
      <c r="PSP189" s="5"/>
      <c r="PSQ189" s="5"/>
      <c r="PSR189" s="5"/>
      <c r="PSS189" s="5"/>
      <c r="PST189" s="5"/>
      <c r="PSU189" s="5"/>
      <c r="PSV189" s="5"/>
      <c r="PSW189" s="5"/>
      <c r="PSX189" s="5"/>
      <c r="PSY189" s="5"/>
      <c r="PSZ189" s="5"/>
      <c r="PTA189" s="5"/>
      <c r="PTB189" s="5"/>
      <c r="PTC189" s="5"/>
      <c r="PTD189" s="5"/>
      <c r="PTE189" s="5"/>
      <c r="PTF189" s="5"/>
      <c r="PTG189" s="5"/>
      <c r="PTH189" s="5"/>
      <c r="PTI189" s="5"/>
      <c r="PTJ189" s="5"/>
      <c r="PTK189" s="5"/>
      <c r="PTL189" s="5"/>
      <c r="PTM189" s="5"/>
      <c r="PTN189" s="5"/>
      <c r="PTO189" s="5"/>
      <c r="PTP189" s="5"/>
      <c r="PTQ189" s="5"/>
      <c r="PTR189" s="5"/>
      <c r="PTS189" s="5"/>
      <c r="PTT189" s="5"/>
      <c r="PTU189" s="5"/>
      <c r="PTV189" s="5"/>
      <c r="PTW189" s="5"/>
      <c r="PTX189" s="5"/>
      <c r="PTY189" s="5"/>
      <c r="PTZ189" s="5"/>
      <c r="PUA189" s="5"/>
      <c r="PUB189" s="5"/>
      <c r="PUC189" s="5"/>
      <c r="PUD189" s="5"/>
      <c r="PUE189" s="5"/>
      <c r="PUF189" s="5"/>
      <c r="PUG189" s="5"/>
      <c r="PUH189" s="5"/>
      <c r="PUI189" s="5"/>
      <c r="PUJ189" s="5"/>
      <c r="PUK189" s="5"/>
      <c r="PUL189" s="5"/>
      <c r="PUM189" s="5"/>
      <c r="PUN189" s="5"/>
      <c r="PUO189" s="5"/>
      <c r="PUP189" s="5"/>
      <c r="PUQ189" s="5"/>
      <c r="PUR189" s="5"/>
      <c r="PUS189" s="5"/>
      <c r="PUT189" s="5"/>
      <c r="PUU189" s="5"/>
      <c r="PUV189" s="5"/>
      <c r="PUW189" s="5"/>
      <c r="PUX189" s="5"/>
      <c r="PUY189" s="5"/>
      <c r="PUZ189" s="5"/>
      <c r="PVA189" s="5"/>
      <c r="PVB189" s="5"/>
      <c r="PVC189" s="5"/>
      <c r="PVD189" s="5"/>
      <c r="PVE189" s="5"/>
      <c r="PVF189" s="5"/>
      <c r="PVG189" s="5"/>
      <c r="PVH189" s="5"/>
      <c r="PVI189" s="5"/>
      <c r="PVJ189" s="5"/>
      <c r="PVK189" s="5"/>
      <c r="PVL189" s="5"/>
      <c r="PVM189" s="5"/>
      <c r="PVN189" s="5"/>
      <c r="PVO189" s="5"/>
      <c r="PVP189" s="5"/>
      <c r="PVQ189" s="5"/>
      <c r="PVR189" s="5"/>
      <c r="PVS189" s="5"/>
      <c r="PVT189" s="5"/>
      <c r="PVU189" s="5"/>
      <c r="PVV189" s="5"/>
      <c r="PVW189" s="5"/>
      <c r="PVX189" s="5"/>
      <c r="PVY189" s="5"/>
      <c r="PVZ189" s="5"/>
      <c r="PWA189" s="5"/>
      <c r="PWB189" s="5"/>
      <c r="PWC189" s="5"/>
      <c r="PWD189" s="5"/>
      <c r="PWE189" s="5"/>
      <c r="PWF189" s="5"/>
      <c r="PWG189" s="5"/>
      <c r="PWH189" s="5"/>
      <c r="PWI189" s="5"/>
      <c r="PWJ189" s="5"/>
      <c r="PWK189" s="5"/>
      <c r="PWL189" s="5"/>
      <c r="PWM189" s="5"/>
      <c r="PWN189" s="5"/>
      <c r="PWO189" s="5"/>
      <c r="PWP189" s="5"/>
      <c r="PWQ189" s="5"/>
      <c r="PWR189" s="5"/>
      <c r="PWS189" s="5"/>
      <c r="PWT189" s="5"/>
      <c r="PWU189" s="5"/>
      <c r="PWV189" s="5"/>
      <c r="PWW189" s="5"/>
      <c r="PWX189" s="5"/>
      <c r="PWY189" s="5"/>
      <c r="PWZ189" s="5"/>
      <c r="PXA189" s="5"/>
      <c r="PXB189" s="5"/>
      <c r="PXC189" s="5"/>
      <c r="PXD189" s="5"/>
      <c r="PXE189" s="5"/>
      <c r="PXF189" s="5"/>
      <c r="PXG189" s="5"/>
      <c r="PXH189" s="5"/>
      <c r="PXI189" s="5"/>
      <c r="PXJ189" s="5"/>
      <c r="PXK189" s="5"/>
      <c r="PXL189" s="5"/>
      <c r="PXM189" s="5"/>
      <c r="PXN189" s="5"/>
      <c r="PXO189" s="5"/>
      <c r="PXP189" s="5"/>
      <c r="PXQ189" s="5"/>
      <c r="PXR189" s="5"/>
      <c r="PXS189" s="5"/>
      <c r="PXT189" s="5"/>
      <c r="PXU189" s="5"/>
      <c r="PXV189" s="5"/>
      <c r="PXW189" s="5"/>
      <c r="PXX189" s="5"/>
      <c r="PXY189" s="5"/>
      <c r="PXZ189" s="5"/>
      <c r="PYA189" s="5"/>
      <c r="PYB189" s="5"/>
      <c r="PYC189" s="5"/>
      <c r="PYD189" s="5"/>
      <c r="PYE189" s="5"/>
      <c r="PYF189" s="5"/>
      <c r="PYG189" s="5"/>
      <c r="PYH189" s="5"/>
      <c r="PYI189" s="5"/>
      <c r="PYJ189" s="5"/>
      <c r="PYK189" s="5"/>
      <c r="PYL189" s="5"/>
      <c r="PYM189" s="5"/>
      <c r="PYN189" s="5"/>
      <c r="PYO189" s="5"/>
      <c r="PYP189" s="5"/>
      <c r="PYQ189" s="5"/>
      <c r="PYR189" s="5"/>
      <c r="PYS189" s="5"/>
      <c r="PYT189" s="5"/>
      <c r="PYU189" s="5"/>
      <c r="PYV189" s="5"/>
      <c r="PYW189" s="5"/>
      <c r="PYX189" s="5"/>
      <c r="PYY189" s="5"/>
      <c r="PYZ189" s="5"/>
      <c r="PZA189" s="5"/>
      <c r="PZB189" s="5"/>
      <c r="PZC189" s="5"/>
      <c r="PZD189" s="5"/>
      <c r="PZE189" s="5"/>
      <c r="PZF189" s="5"/>
      <c r="PZG189" s="5"/>
      <c r="PZH189" s="5"/>
      <c r="PZI189" s="5"/>
      <c r="PZJ189" s="5"/>
      <c r="PZK189" s="5"/>
      <c r="PZL189" s="5"/>
      <c r="PZM189" s="5"/>
      <c r="PZN189" s="5"/>
      <c r="PZO189" s="5"/>
      <c r="PZP189" s="5"/>
      <c r="PZQ189" s="5"/>
      <c r="PZR189" s="5"/>
      <c r="PZS189" s="5"/>
      <c r="PZT189" s="5"/>
      <c r="PZU189" s="5"/>
      <c r="PZV189" s="5"/>
      <c r="PZW189" s="5"/>
      <c r="PZX189" s="5"/>
      <c r="PZY189" s="5"/>
      <c r="PZZ189" s="5"/>
      <c r="QAA189" s="5"/>
      <c r="QAB189" s="5"/>
      <c r="QAC189" s="5"/>
      <c r="QAD189" s="5"/>
      <c r="QAE189" s="5"/>
      <c r="QAF189" s="5"/>
      <c r="QAG189" s="5"/>
      <c r="QAH189" s="5"/>
      <c r="QAI189" s="5"/>
      <c r="QAJ189" s="5"/>
      <c r="QAK189" s="5"/>
      <c r="QAL189" s="5"/>
      <c r="QAM189" s="5"/>
      <c r="QAN189" s="5"/>
      <c r="QAO189" s="5"/>
      <c r="QAP189" s="5"/>
      <c r="QAQ189" s="5"/>
      <c r="QAR189" s="5"/>
      <c r="QAS189" s="5"/>
      <c r="QAT189" s="5"/>
      <c r="QAU189" s="5"/>
      <c r="QAV189" s="5"/>
      <c r="QAW189" s="5"/>
      <c r="QAX189" s="5"/>
      <c r="QAY189" s="5"/>
      <c r="QAZ189" s="5"/>
      <c r="QBA189" s="5"/>
      <c r="QBB189" s="5"/>
      <c r="QBC189" s="5"/>
      <c r="QBD189" s="5"/>
      <c r="QBE189" s="5"/>
      <c r="QBF189" s="5"/>
      <c r="QBG189" s="5"/>
      <c r="QBH189" s="5"/>
      <c r="QBI189" s="5"/>
      <c r="QBJ189" s="5"/>
      <c r="QBK189" s="5"/>
      <c r="QBL189" s="5"/>
      <c r="QBM189" s="5"/>
      <c r="QBN189" s="5"/>
      <c r="QBO189" s="5"/>
      <c r="QBP189" s="5"/>
      <c r="QBQ189" s="5"/>
      <c r="QBR189" s="5"/>
      <c r="QBS189" s="5"/>
      <c r="QBT189" s="5"/>
      <c r="QBU189" s="5"/>
      <c r="QBV189" s="5"/>
      <c r="QBW189" s="5"/>
      <c r="QBX189" s="5"/>
      <c r="QBY189" s="5"/>
      <c r="QBZ189" s="5"/>
      <c r="QCA189" s="5"/>
      <c r="QCB189" s="5"/>
      <c r="QCC189" s="5"/>
      <c r="QCD189" s="5"/>
      <c r="QCE189" s="5"/>
      <c r="QCF189" s="5"/>
      <c r="QCG189" s="5"/>
      <c r="QCH189" s="5"/>
      <c r="QCI189" s="5"/>
      <c r="QCJ189" s="5"/>
      <c r="QCK189" s="5"/>
      <c r="QCL189" s="5"/>
      <c r="QCM189" s="5"/>
      <c r="QCN189" s="5"/>
      <c r="QCO189" s="5"/>
      <c r="QCP189" s="5"/>
      <c r="QCQ189" s="5"/>
      <c r="QCR189" s="5"/>
      <c r="QCS189" s="5"/>
      <c r="QCT189" s="5"/>
      <c r="QCU189" s="5"/>
      <c r="QCV189" s="5"/>
      <c r="QCW189" s="5"/>
      <c r="QCX189" s="5"/>
      <c r="QCY189" s="5"/>
      <c r="QCZ189" s="5"/>
      <c r="QDA189" s="5"/>
      <c r="QDB189" s="5"/>
      <c r="QDC189" s="5"/>
      <c r="QDD189" s="5"/>
      <c r="QDE189" s="5"/>
      <c r="QDF189" s="5"/>
      <c r="QDG189" s="5"/>
      <c r="QDH189" s="5"/>
      <c r="QDI189" s="5"/>
      <c r="QDJ189" s="5"/>
      <c r="QDK189" s="5"/>
      <c r="QDL189" s="5"/>
      <c r="QDM189" s="5"/>
      <c r="QDN189" s="5"/>
      <c r="QDO189" s="5"/>
      <c r="QDP189" s="5"/>
      <c r="QDQ189" s="5"/>
      <c r="QDR189" s="5"/>
      <c r="QDS189" s="5"/>
      <c r="QDT189" s="5"/>
      <c r="QDU189" s="5"/>
      <c r="QDV189" s="5"/>
      <c r="QDW189" s="5"/>
      <c r="QDX189" s="5"/>
      <c r="QDY189" s="5"/>
      <c r="QDZ189" s="5"/>
      <c r="QEA189" s="5"/>
      <c r="QEB189" s="5"/>
      <c r="QEC189" s="5"/>
      <c r="QED189" s="5"/>
      <c r="QEE189" s="5"/>
      <c r="QEF189" s="5"/>
      <c r="QEG189" s="5"/>
      <c r="QEH189" s="5"/>
      <c r="QEI189" s="5"/>
      <c r="QEJ189" s="5"/>
      <c r="QEK189" s="5"/>
      <c r="QEL189" s="5"/>
      <c r="QEM189" s="5"/>
      <c r="QEN189" s="5"/>
      <c r="QEO189" s="5"/>
      <c r="QEP189" s="5"/>
      <c r="QEQ189" s="5"/>
      <c r="QER189" s="5"/>
      <c r="QES189" s="5"/>
      <c r="QET189" s="5"/>
      <c r="QEU189" s="5"/>
      <c r="QEV189" s="5"/>
      <c r="QEW189" s="5"/>
      <c r="QEX189" s="5"/>
      <c r="QEY189" s="5"/>
      <c r="QEZ189" s="5"/>
      <c r="QFA189" s="5"/>
      <c r="QFB189" s="5"/>
      <c r="QFC189" s="5"/>
      <c r="QFD189" s="5"/>
      <c r="QFE189" s="5"/>
      <c r="QFF189" s="5"/>
      <c r="QFG189" s="5"/>
      <c r="QFH189" s="5"/>
      <c r="QFI189" s="5"/>
      <c r="QFJ189" s="5"/>
      <c r="QFK189" s="5"/>
      <c r="QFL189" s="5"/>
      <c r="QFM189" s="5"/>
      <c r="QFN189" s="5"/>
      <c r="QFO189" s="5"/>
      <c r="QFP189" s="5"/>
      <c r="QFQ189" s="5"/>
      <c r="QFR189" s="5"/>
      <c r="QFS189" s="5"/>
      <c r="QFT189" s="5"/>
      <c r="QFU189" s="5"/>
      <c r="QFV189" s="5"/>
      <c r="QFW189" s="5"/>
      <c r="QFX189" s="5"/>
      <c r="QFY189" s="5"/>
      <c r="QFZ189" s="5"/>
      <c r="QGA189" s="5"/>
      <c r="QGB189" s="5"/>
      <c r="QGC189" s="5"/>
      <c r="QGD189" s="5"/>
      <c r="QGE189" s="5"/>
      <c r="QGF189" s="5"/>
      <c r="QGG189" s="5"/>
      <c r="QGH189" s="5"/>
      <c r="QGI189" s="5"/>
      <c r="QGJ189" s="5"/>
      <c r="QGK189" s="5"/>
      <c r="QGL189" s="5"/>
      <c r="QGM189" s="5"/>
      <c r="QGN189" s="5"/>
      <c r="QGO189" s="5"/>
      <c r="QGP189" s="5"/>
      <c r="QGQ189" s="5"/>
      <c r="QGR189" s="5"/>
      <c r="QGS189" s="5"/>
      <c r="QGT189" s="5"/>
      <c r="QGU189" s="5"/>
      <c r="QGV189" s="5"/>
      <c r="QGW189" s="5"/>
      <c r="QGX189" s="5"/>
      <c r="QGY189" s="5"/>
      <c r="QGZ189" s="5"/>
      <c r="QHA189" s="5"/>
      <c r="QHB189" s="5"/>
      <c r="QHC189" s="5"/>
      <c r="QHD189" s="5"/>
      <c r="QHE189" s="5"/>
      <c r="QHF189" s="5"/>
      <c r="QHG189" s="5"/>
      <c r="QHH189" s="5"/>
      <c r="QHI189" s="5"/>
      <c r="QHJ189" s="5"/>
      <c r="QHK189" s="5"/>
      <c r="QHL189" s="5"/>
      <c r="QHM189" s="5"/>
      <c r="QHN189" s="5"/>
      <c r="QHO189" s="5"/>
      <c r="QHP189" s="5"/>
      <c r="QHQ189" s="5"/>
      <c r="QHR189" s="5"/>
      <c r="QHS189" s="5"/>
      <c r="QHT189" s="5"/>
      <c r="QHU189" s="5"/>
      <c r="QHV189" s="5"/>
      <c r="QHW189" s="5"/>
      <c r="QHX189" s="5"/>
      <c r="QHY189" s="5"/>
      <c r="QHZ189" s="5"/>
      <c r="QIA189" s="5"/>
      <c r="QIB189" s="5"/>
      <c r="QIC189" s="5"/>
      <c r="QID189" s="5"/>
      <c r="QIE189" s="5"/>
      <c r="QIF189" s="5"/>
      <c r="QIG189" s="5"/>
      <c r="QIH189" s="5"/>
      <c r="QII189" s="5"/>
      <c r="QIJ189" s="5"/>
      <c r="QIK189" s="5"/>
      <c r="QIL189" s="5"/>
      <c r="QIM189" s="5"/>
      <c r="QIN189" s="5"/>
      <c r="QIO189" s="5"/>
      <c r="QIP189" s="5"/>
      <c r="QIQ189" s="5"/>
      <c r="QIR189" s="5"/>
      <c r="QIS189" s="5"/>
      <c r="QIT189" s="5"/>
      <c r="QIU189" s="5"/>
      <c r="QIV189" s="5"/>
      <c r="QIW189" s="5"/>
      <c r="QIX189" s="5"/>
      <c r="QIY189" s="5"/>
      <c r="QIZ189" s="5"/>
      <c r="QJA189" s="5"/>
      <c r="QJB189" s="5"/>
      <c r="QJC189" s="5"/>
      <c r="QJD189" s="5"/>
      <c r="QJE189" s="5"/>
      <c r="QJF189" s="5"/>
      <c r="QJG189" s="5"/>
      <c r="QJH189" s="5"/>
      <c r="QJI189" s="5"/>
      <c r="QJJ189" s="5"/>
      <c r="QJK189" s="5"/>
      <c r="QJL189" s="5"/>
      <c r="QJM189" s="5"/>
      <c r="QJN189" s="5"/>
      <c r="QJO189" s="5"/>
      <c r="QJP189" s="5"/>
      <c r="QJQ189" s="5"/>
      <c r="QJR189" s="5"/>
      <c r="QJS189" s="5"/>
      <c r="QJT189" s="5"/>
      <c r="QJU189" s="5"/>
      <c r="QJV189" s="5"/>
      <c r="QJW189" s="5"/>
      <c r="QJX189" s="5"/>
      <c r="QJY189" s="5"/>
      <c r="QJZ189" s="5"/>
      <c r="QKA189" s="5"/>
      <c r="QKB189" s="5"/>
      <c r="QKC189" s="5"/>
      <c r="QKD189" s="5"/>
      <c r="QKE189" s="5"/>
      <c r="QKF189" s="5"/>
      <c r="QKG189" s="5"/>
      <c r="QKH189" s="5"/>
      <c r="QKI189" s="5"/>
      <c r="QKJ189" s="5"/>
      <c r="QKK189" s="5"/>
      <c r="QKL189" s="5"/>
      <c r="QKM189" s="5"/>
      <c r="QKN189" s="5"/>
      <c r="QKO189" s="5"/>
      <c r="QKP189" s="5"/>
      <c r="QKQ189" s="5"/>
      <c r="QKR189" s="5"/>
      <c r="QKS189" s="5"/>
      <c r="QKT189" s="5"/>
      <c r="QKU189" s="5"/>
      <c r="QKV189" s="5"/>
      <c r="QKW189" s="5"/>
      <c r="QKX189" s="5"/>
      <c r="QKY189" s="5"/>
      <c r="QKZ189" s="5"/>
      <c r="QLA189" s="5"/>
      <c r="QLB189" s="5"/>
      <c r="QLC189" s="5"/>
      <c r="QLD189" s="5"/>
      <c r="QLE189" s="5"/>
      <c r="QLF189" s="5"/>
      <c r="QLG189" s="5"/>
      <c r="QLH189" s="5"/>
      <c r="QLI189" s="5"/>
      <c r="QLJ189" s="5"/>
      <c r="QLK189" s="5"/>
      <c r="QLL189" s="5"/>
      <c r="QLM189" s="5"/>
      <c r="QLN189" s="5"/>
      <c r="QLO189" s="5"/>
      <c r="QLP189" s="5"/>
      <c r="QLQ189" s="5"/>
      <c r="QLR189" s="5"/>
      <c r="QLS189" s="5"/>
      <c r="QLT189" s="5"/>
      <c r="QLU189" s="5"/>
      <c r="QLV189" s="5"/>
      <c r="QLW189" s="5"/>
      <c r="QLX189" s="5"/>
      <c r="QLY189" s="5"/>
      <c r="QLZ189" s="5"/>
      <c r="QMA189" s="5"/>
      <c r="QMB189" s="5"/>
      <c r="QMC189" s="5"/>
      <c r="QMD189" s="5"/>
      <c r="QME189" s="5"/>
      <c r="QMF189" s="5"/>
      <c r="QMG189" s="5"/>
      <c r="QMH189" s="5"/>
      <c r="QMI189" s="5"/>
      <c r="QMJ189" s="5"/>
      <c r="QMK189" s="5"/>
      <c r="QML189" s="5"/>
      <c r="QMM189" s="5"/>
      <c r="QMN189" s="5"/>
      <c r="QMO189" s="5"/>
      <c r="QMP189" s="5"/>
      <c r="QMQ189" s="5"/>
      <c r="QMR189" s="5"/>
      <c r="QMS189" s="5"/>
      <c r="QMT189" s="5"/>
      <c r="QMU189" s="5"/>
      <c r="QMV189" s="5"/>
      <c r="QMW189" s="5"/>
      <c r="QMX189" s="5"/>
      <c r="QMY189" s="5"/>
      <c r="QMZ189" s="5"/>
      <c r="QNA189" s="5"/>
      <c r="QNB189" s="5"/>
      <c r="QNC189" s="5"/>
      <c r="QND189" s="5"/>
      <c r="QNE189" s="5"/>
      <c r="QNF189" s="5"/>
      <c r="QNG189" s="5"/>
      <c r="QNH189" s="5"/>
      <c r="QNI189" s="5"/>
      <c r="QNJ189" s="5"/>
      <c r="QNK189" s="5"/>
      <c r="QNL189" s="5"/>
      <c r="QNM189" s="5"/>
      <c r="QNN189" s="5"/>
      <c r="QNO189" s="5"/>
      <c r="QNP189" s="5"/>
      <c r="QNQ189" s="5"/>
      <c r="QNR189" s="5"/>
      <c r="QNS189" s="5"/>
      <c r="QNT189" s="5"/>
      <c r="QNU189" s="5"/>
      <c r="QNV189" s="5"/>
      <c r="QNW189" s="5"/>
      <c r="QNX189" s="5"/>
      <c r="QNY189" s="5"/>
      <c r="QNZ189" s="5"/>
      <c r="QOA189" s="5"/>
      <c r="QOB189" s="5"/>
      <c r="QOC189" s="5"/>
      <c r="QOD189" s="5"/>
      <c r="QOE189" s="5"/>
      <c r="QOF189" s="5"/>
      <c r="QOG189" s="5"/>
      <c r="QOH189" s="5"/>
      <c r="QOI189" s="5"/>
      <c r="QOJ189" s="5"/>
      <c r="QOK189" s="5"/>
      <c r="QOL189" s="5"/>
      <c r="QOM189" s="5"/>
      <c r="QON189" s="5"/>
      <c r="QOO189" s="5"/>
      <c r="QOP189" s="5"/>
      <c r="QOQ189" s="5"/>
      <c r="QOR189" s="5"/>
      <c r="QOS189" s="5"/>
      <c r="QOT189" s="5"/>
      <c r="QOU189" s="5"/>
      <c r="QOV189" s="5"/>
      <c r="QOW189" s="5"/>
      <c r="QOX189" s="5"/>
      <c r="QOY189" s="5"/>
      <c r="QOZ189" s="5"/>
      <c r="QPA189" s="5"/>
      <c r="QPB189" s="5"/>
      <c r="QPC189" s="5"/>
      <c r="QPD189" s="5"/>
      <c r="QPE189" s="5"/>
      <c r="QPF189" s="5"/>
      <c r="QPG189" s="5"/>
      <c r="QPH189" s="5"/>
      <c r="QPI189" s="5"/>
      <c r="QPJ189" s="5"/>
      <c r="QPK189" s="5"/>
      <c r="QPL189" s="5"/>
      <c r="QPM189" s="5"/>
      <c r="QPN189" s="5"/>
      <c r="QPO189" s="5"/>
      <c r="QPP189" s="5"/>
      <c r="QPQ189" s="5"/>
      <c r="QPR189" s="5"/>
      <c r="QPS189" s="5"/>
      <c r="QPT189" s="5"/>
      <c r="QPU189" s="5"/>
      <c r="QPV189" s="5"/>
      <c r="QPW189" s="5"/>
      <c r="QPX189" s="5"/>
      <c r="QPY189" s="5"/>
      <c r="QPZ189" s="5"/>
      <c r="QQA189" s="5"/>
      <c r="QQB189" s="5"/>
      <c r="QQC189" s="5"/>
      <c r="QQD189" s="5"/>
      <c r="QQE189" s="5"/>
      <c r="QQF189" s="5"/>
      <c r="QQG189" s="5"/>
      <c r="QQH189" s="5"/>
      <c r="QQI189" s="5"/>
      <c r="QQJ189" s="5"/>
      <c r="QQK189" s="5"/>
      <c r="QQL189" s="5"/>
      <c r="QQM189" s="5"/>
      <c r="QQN189" s="5"/>
      <c r="QQO189" s="5"/>
      <c r="QQP189" s="5"/>
      <c r="QQQ189" s="5"/>
      <c r="QQR189" s="5"/>
      <c r="QQS189" s="5"/>
      <c r="QQT189" s="5"/>
      <c r="QQU189" s="5"/>
      <c r="QQV189" s="5"/>
      <c r="QQW189" s="5"/>
      <c r="QQX189" s="5"/>
      <c r="QQY189" s="5"/>
      <c r="QQZ189" s="5"/>
      <c r="QRA189" s="5"/>
      <c r="QRB189" s="5"/>
      <c r="QRC189" s="5"/>
      <c r="QRD189" s="5"/>
      <c r="QRE189" s="5"/>
      <c r="QRF189" s="5"/>
      <c r="QRG189" s="5"/>
      <c r="QRH189" s="5"/>
      <c r="QRI189" s="5"/>
      <c r="QRJ189" s="5"/>
      <c r="QRK189" s="5"/>
      <c r="QRL189" s="5"/>
      <c r="QRM189" s="5"/>
      <c r="QRN189" s="5"/>
      <c r="QRO189" s="5"/>
      <c r="QRP189" s="5"/>
      <c r="QRQ189" s="5"/>
      <c r="QRR189" s="5"/>
      <c r="QRS189" s="5"/>
      <c r="QRT189" s="5"/>
      <c r="QRU189" s="5"/>
      <c r="QRV189" s="5"/>
      <c r="QRW189" s="5"/>
      <c r="QRX189" s="5"/>
      <c r="QRY189" s="5"/>
      <c r="QRZ189" s="5"/>
      <c r="QSA189" s="5"/>
      <c r="QSB189" s="5"/>
      <c r="QSC189" s="5"/>
      <c r="QSD189" s="5"/>
      <c r="QSE189" s="5"/>
      <c r="QSF189" s="5"/>
      <c r="QSG189" s="5"/>
      <c r="QSH189" s="5"/>
      <c r="QSI189" s="5"/>
      <c r="QSJ189" s="5"/>
      <c r="QSK189" s="5"/>
      <c r="QSL189" s="5"/>
      <c r="QSM189" s="5"/>
      <c r="QSN189" s="5"/>
      <c r="QSO189" s="5"/>
      <c r="QSP189" s="5"/>
      <c r="QSQ189" s="5"/>
      <c r="QSR189" s="5"/>
      <c r="QSS189" s="5"/>
      <c r="QST189" s="5"/>
      <c r="QSU189" s="5"/>
      <c r="QSV189" s="5"/>
      <c r="QSW189" s="5"/>
      <c r="QSX189" s="5"/>
      <c r="QSY189" s="5"/>
      <c r="QSZ189" s="5"/>
      <c r="QTA189" s="5"/>
      <c r="QTB189" s="5"/>
      <c r="QTC189" s="5"/>
      <c r="QTD189" s="5"/>
      <c r="QTE189" s="5"/>
      <c r="QTF189" s="5"/>
      <c r="QTG189" s="5"/>
      <c r="QTH189" s="5"/>
      <c r="QTI189" s="5"/>
      <c r="QTJ189" s="5"/>
      <c r="QTK189" s="5"/>
      <c r="QTL189" s="5"/>
      <c r="QTM189" s="5"/>
      <c r="QTN189" s="5"/>
      <c r="QTO189" s="5"/>
      <c r="QTP189" s="5"/>
      <c r="QTQ189" s="5"/>
      <c r="QTR189" s="5"/>
      <c r="QTS189" s="5"/>
      <c r="QTT189" s="5"/>
      <c r="QTU189" s="5"/>
      <c r="QTV189" s="5"/>
      <c r="QTW189" s="5"/>
      <c r="QTX189" s="5"/>
      <c r="QTY189" s="5"/>
      <c r="QTZ189" s="5"/>
      <c r="QUA189" s="5"/>
      <c r="QUB189" s="5"/>
      <c r="QUC189" s="5"/>
      <c r="QUD189" s="5"/>
      <c r="QUE189" s="5"/>
      <c r="QUF189" s="5"/>
      <c r="QUG189" s="5"/>
      <c r="QUH189" s="5"/>
      <c r="QUI189" s="5"/>
      <c r="QUJ189" s="5"/>
      <c r="QUK189" s="5"/>
      <c r="QUL189" s="5"/>
      <c r="QUM189" s="5"/>
      <c r="QUN189" s="5"/>
      <c r="QUO189" s="5"/>
      <c r="QUP189" s="5"/>
      <c r="QUQ189" s="5"/>
      <c r="QUR189" s="5"/>
      <c r="QUS189" s="5"/>
      <c r="QUT189" s="5"/>
      <c r="QUU189" s="5"/>
      <c r="QUV189" s="5"/>
      <c r="QUW189" s="5"/>
      <c r="QUX189" s="5"/>
      <c r="QUY189" s="5"/>
      <c r="QUZ189" s="5"/>
      <c r="QVA189" s="5"/>
      <c r="QVB189" s="5"/>
      <c r="QVC189" s="5"/>
      <c r="QVD189" s="5"/>
      <c r="QVE189" s="5"/>
      <c r="QVF189" s="5"/>
      <c r="QVG189" s="5"/>
      <c r="QVH189" s="5"/>
      <c r="QVI189" s="5"/>
      <c r="QVJ189" s="5"/>
      <c r="QVK189" s="5"/>
      <c r="QVL189" s="5"/>
      <c r="QVM189" s="5"/>
      <c r="QVN189" s="5"/>
      <c r="QVO189" s="5"/>
      <c r="QVP189" s="5"/>
      <c r="QVQ189" s="5"/>
      <c r="QVR189" s="5"/>
      <c r="QVS189" s="5"/>
      <c r="QVT189" s="5"/>
      <c r="QVU189" s="5"/>
      <c r="QVV189" s="5"/>
      <c r="QVW189" s="5"/>
      <c r="QVX189" s="5"/>
      <c r="QVY189" s="5"/>
      <c r="QVZ189" s="5"/>
      <c r="QWA189" s="5"/>
      <c r="QWB189" s="5"/>
      <c r="QWC189" s="5"/>
      <c r="QWD189" s="5"/>
      <c r="QWE189" s="5"/>
      <c r="QWF189" s="5"/>
      <c r="QWG189" s="5"/>
      <c r="QWH189" s="5"/>
      <c r="QWI189" s="5"/>
      <c r="QWJ189" s="5"/>
      <c r="QWK189" s="5"/>
      <c r="QWL189" s="5"/>
      <c r="QWM189" s="5"/>
      <c r="QWN189" s="5"/>
      <c r="QWO189" s="5"/>
      <c r="QWP189" s="5"/>
      <c r="QWQ189" s="5"/>
      <c r="QWR189" s="5"/>
      <c r="QWS189" s="5"/>
      <c r="QWT189" s="5"/>
      <c r="QWU189" s="5"/>
      <c r="QWV189" s="5"/>
      <c r="QWW189" s="5"/>
      <c r="QWX189" s="5"/>
      <c r="QWY189" s="5"/>
      <c r="QWZ189" s="5"/>
      <c r="QXA189" s="5"/>
      <c r="QXB189" s="5"/>
      <c r="QXC189" s="5"/>
      <c r="QXD189" s="5"/>
      <c r="QXE189" s="5"/>
      <c r="QXF189" s="5"/>
      <c r="QXG189" s="5"/>
      <c r="QXH189" s="5"/>
      <c r="QXI189" s="5"/>
      <c r="QXJ189" s="5"/>
      <c r="QXK189" s="5"/>
      <c r="QXL189" s="5"/>
      <c r="QXM189" s="5"/>
      <c r="QXN189" s="5"/>
      <c r="QXO189" s="5"/>
      <c r="QXP189" s="5"/>
      <c r="QXQ189" s="5"/>
      <c r="QXR189" s="5"/>
      <c r="QXS189" s="5"/>
      <c r="QXT189" s="5"/>
      <c r="QXU189" s="5"/>
      <c r="QXV189" s="5"/>
      <c r="QXW189" s="5"/>
      <c r="QXX189" s="5"/>
      <c r="QXY189" s="5"/>
      <c r="QXZ189" s="5"/>
      <c r="QYA189" s="5"/>
      <c r="QYB189" s="5"/>
      <c r="QYC189" s="5"/>
      <c r="QYD189" s="5"/>
      <c r="QYE189" s="5"/>
      <c r="QYF189" s="5"/>
      <c r="QYG189" s="5"/>
      <c r="QYH189" s="5"/>
      <c r="QYI189" s="5"/>
      <c r="QYJ189" s="5"/>
      <c r="QYK189" s="5"/>
      <c r="QYL189" s="5"/>
      <c r="QYM189" s="5"/>
      <c r="QYN189" s="5"/>
      <c r="QYO189" s="5"/>
      <c r="QYP189" s="5"/>
      <c r="QYQ189" s="5"/>
      <c r="QYR189" s="5"/>
      <c r="QYS189" s="5"/>
      <c r="QYT189" s="5"/>
      <c r="QYU189" s="5"/>
      <c r="QYV189" s="5"/>
      <c r="QYW189" s="5"/>
      <c r="QYX189" s="5"/>
      <c r="QYY189" s="5"/>
      <c r="QYZ189" s="5"/>
      <c r="QZA189" s="5"/>
      <c r="QZB189" s="5"/>
      <c r="QZC189" s="5"/>
      <c r="QZD189" s="5"/>
      <c r="QZE189" s="5"/>
      <c r="QZF189" s="5"/>
      <c r="QZG189" s="5"/>
      <c r="QZH189" s="5"/>
      <c r="QZI189" s="5"/>
      <c r="QZJ189" s="5"/>
      <c r="QZK189" s="5"/>
      <c r="QZL189" s="5"/>
      <c r="QZM189" s="5"/>
      <c r="QZN189" s="5"/>
      <c r="QZO189" s="5"/>
      <c r="QZP189" s="5"/>
      <c r="QZQ189" s="5"/>
      <c r="QZR189" s="5"/>
      <c r="QZS189" s="5"/>
      <c r="QZT189" s="5"/>
      <c r="QZU189" s="5"/>
      <c r="QZV189" s="5"/>
      <c r="QZW189" s="5"/>
      <c r="QZX189" s="5"/>
      <c r="QZY189" s="5"/>
      <c r="QZZ189" s="5"/>
      <c r="RAA189" s="5"/>
      <c r="RAB189" s="5"/>
      <c r="RAC189" s="5"/>
      <c r="RAD189" s="5"/>
      <c r="RAE189" s="5"/>
      <c r="RAF189" s="5"/>
      <c r="RAG189" s="5"/>
      <c r="RAH189" s="5"/>
      <c r="RAI189" s="5"/>
      <c r="RAJ189" s="5"/>
      <c r="RAK189" s="5"/>
      <c r="RAL189" s="5"/>
      <c r="RAM189" s="5"/>
      <c r="RAN189" s="5"/>
      <c r="RAO189" s="5"/>
      <c r="RAP189" s="5"/>
      <c r="RAQ189" s="5"/>
      <c r="RAR189" s="5"/>
      <c r="RAS189" s="5"/>
      <c r="RAT189" s="5"/>
      <c r="RAU189" s="5"/>
      <c r="RAV189" s="5"/>
      <c r="RAW189" s="5"/>
      <c r="RAX189" s="5"/>
      <c r="RAY189" s="5"/>
      <c r="RAZ189" s="5"/>
      <c r="RBA189" s="5"/>
      <c r="RBB189" s="5"/>
      <c r="RBC189" s="5"/>
      <c r="RBD189" s="5"/>
      <c r="RBE189" s="5"/>
      <c r="RBF189" s="5"/>
      <c r="RBG189" s="5"/>
      <c r="RBH189" s="5"/>
      <c r="RBI189" s="5"/>
      <c r="RBJ189" s="5"/>
      <c r="RBK189" s="5"/>
      <c r="RBL189" s="5"/>
      <c r="RBM189" s="5"/>
      <c r="RBN189" s="5"/>
      <c r="RBO189" s="5"/>
      <c r="RBP189" s="5"/>
      <c r="RBQ189" s="5"/>
      <c r="RBR189" s="5"/>
      <c r="RBS189" s="5"/>
      <c r="RBT189" s="5"/>
      <c r="RBU189" s="5"/>
      <c r="RBV189" s="5"/>
      <c r="RBW189" s="5"/>
      <c r="RBX189" s="5"/>
      <c r="RBY189" s="5"/>
      <c r="RBZ189" s="5"/>
      <c r="RCA189" s="5"/>
      <c r="RCB189" s="5"/>
      <c r="RCC189" s="5"/>
      <c r="RCD189" s="5"/>
      <c r="RCE189" s="5"/>
      <c r="RCF189" s="5"/>
      <c r="RCG189" s="5"/>
      <c r="RCH189" s="5"/>
      <c r="RCI189" s="5"/>
      <c r="RCJ189" s="5"/>
      <c r="RCK189" s="5"/>
      <c r="RCL189" s="5"/>
      <c r="RCM189" s="5"/>
      <c r="RCN189" s="5"/>
      <c r="RCO189" s="5"/>
      <c r="RCP189" s="5"/>
      <c r="RCQ189" s="5"/>
      <c r="RCR189" s="5"/>
      <c r="RCS189" s="5"/>
      <c r="RCT189" s="5"/>
      <c r="RCU189" s="5"/>
      <c r="RCV189" s="5"/>
      <c r="RCW189" s="5"/>
      <c r="RCX189" s="5"/>
      <c r="RCY189" s="5"/>
      <c r="RCZ189" s="5"/>
      <c r="RDA189" s="5"/>
      <c r="RDB189" s="5"/>
      <c r="RDC189" s="5"/>
      <c r="RDD189" s="5"/>
      <c r="RDE189" s="5"/>
      <c r="RDF189" s="5"/>
      <c r="RDG189" s="5"/>
      <c r="RDH189" s="5"/>
      <c r="RDI189" s="5"/>
      <c r="RDJ189" s="5"/>
      <c r="RDK189" s="5"/>
      <c r="RDL189" s="5"/>
      <c r="RDM189" s="5"/>
      <c r="RDN189" s="5"/>
      <c r="RDO189" s="5"/>
      <c r="RDP189" s="5"/>
      <c r="RDQ189" s="5"/>
      <c r="RDR189" s="5"/>
      <c r="RDS189" s="5"/>
      <c r="RDT189" s="5"/>
      <c r="RDU189" s="5"/>
      <c r="RDV189" s="5"/>
      <c r="RDW189" s="5"/>
      <c r="RDX189" s="5"/>
      <c r="RDY189" s="5"/>
      <c r="RDZ189" s="5"/>
      <c r="REA189" s="5"/>
      <c r="REB189" s="5"/>
      <c r="REC189" s="5"/>
      <c r="RED189" s="5"/>
      <c r="REE189" s="5"/>
      <c r="REF189" s="5"/>
      <c r="REG189" s="5"/>
      <c r="REH189" s="5"/>
      <c r="REI189" s="5"/>
      <c r="REJ189" s="5"/>
      <c r="REK189" s="5"/>
      <c r="REL189" s="5"/>
      <c r="REM189" s="5"/>
      <c r="REN189" s="5"/>
      <c r="REO189" s="5"/>
      <c r="REP189" s="5"/>
      <c r="REQ189" s="5"/>
      <c r="RER189" s="5"/>
      <c r="RES189" s="5"/>
      <c r="RET189" s="5"/>
      <c r="REU189" s="5"/>
      <c r="REV189" s="5"/>
      <c r="REW189" s="5"/>
      <c r="REX189" s="5"/>
      <c r="REY189" s="5"/>
      <c r="REZ189" s="5"/>
      <c r="RFA189" s="5"/>
      <c r="RFB189" s="5"/>
      <c r="RFC189" s="5"/>
      <c r="RFD189" s="5"/>
      <c r="RFE189" s="5"/>
      <c r="RFF189" s="5"/>
      <c r="RFG189" s="5"/>
      <c r="RFH189" s="5"/>
      <c r="RFI189" s="5"/>
      <c r="RFJ189" s="5"/>
      <c r="RFK189" s="5"/>
      <c r="RFL189" s="5"/>
      <c r="RFM189" s="5"/>
      <c r="RFN189" s="5"/>
      <c r="RFO189" s="5"/>
      <c r="RFP189" s="5"/>
      <c r="RFQ189" s="5"/>
      <c r="RFR189" s="5"/>
      <c r="RFS189" s="5"/>
      <c r="RFT189" s="5"/>
      <c r="RFU189" s="5"/>
      <c r="RFV189" s="5"/>
      <c r="RFW189" s="5"/>
      <c r="RFX189" s="5"/>
      <c r="RFY189" s="5"/>
      <c r="RFZ189" s="5"/>
      <c r="RGA189" s="5"/>
      <c r="RGB189" s="5"/>
      <c r="RGC189" s="5"/>
      <c r="RGD189" s="5"/>
      <c r="RGE189" s="5"/>
      <c r="RGF189" s="5"/>
      <c r="RGG189" s="5"/>
      <c r="RGH189" s="5"/>
      <c r="RGI189" s="5"/>
      <c r="RGJ189" s="5"/>
      <c r="RGK189" s="5"/>
      <c r="RGL189" s="5"/>
      <c r="RGM189" s="5"/>
      <c r="RGN189" s="5"/>
      <c r="RGO189" s="5"/>
      <c r="RGP189" s="5"/>
      <c r="RGQ189" s="5"/>
      <c r="RGR189" s="5"/>
      <c r="RGS189" s="5"/>
      <c r="RGT189" s="5"/>
      <c r="RGU189" s="5"/>
      <c r="RGV189" s="5"/>
      <c r="RGW189" s="5"/>
      <c r="RGX189" s="5"/>
      <c r="RGY189" s="5"/>
      <c r="RGZ189" s="5"/>
      <c r="RHA189" s="5"/>
      <c r="RHB189" s="5"/>
      <c r="RHC189" s="5"/>
      <c r="RHD189" s="5"/>
      <c r="RHE189" s="5"/>
      <c r="RHF189" s="5"/>
      <c r="RHG189" s="5"/>
      <c r="RHH189" s="5"/>
      <c r="RHI189" s="5"/>
      <c r="RHJ189" s="5"/>
      <c r="RHK189" s="5"/>
      <c r="RHL189" s="5"/>
      <c r="RHM189" s="5"/>
      <c r="RHN189" s="5"/>
      <c r="RHO189" s="5"/>
      <c r="RHP189" s="5"/>
      <c r="RHQ189" s="5"/>
      <c r="RHR189" s="5"/>
      <c r="RHS189" s="5"/>
      <c r="RHT189" s="5"/>
      <c r="RHU189" s="5"/>
      <c r="RHV189" s="5"/>
      <c r="RHW189" s="5"/>
      <c r="RHX189" s="5"/>
      <c r="RHY189" s="5"/>
      <c r="RHZ189" s="5"/>
      <c r="RIA189" s="5"/>
      <c r="RIB189" s="5"/>
      <c r="RIC189" s="5"/>
      <c r="RID189" s="5"/>
      <c r="RIE189" s="5"/>
      <c r="RIF189" s="5"/>
      <c r="RIG189" s="5"/>
      <c r="RIH189" s="5"/>
      <c r="RII189" s="5"/>
      <c r="RIJ189" s="5"/>
      <c r="RIK189" s="5"/>
      <c r="RIL189" s="5"/>
      <c r="RIM189" s="5"/>
      <c r="RIN189" s="5"/>
      <c r="RIO189" s="5"/>
      <c r="RIP189" s="5"/>
      <c r="RIQ189" s="5"/>
      <c r="RIR189" s="5"/>
      <c r="RIS189" s="5"/>
      <c r="RIT189" s="5"/>
      <c r="RIU189" s="5"/>
      <c r="RIV189" s="5"/>
      <c r="RIW189" s="5"/>
      <c r="RIX189" s="5"/>
      <c r="RIY189" s="5"/>
      <c r="RIZ189" s="5"/>
      <c r="RJA189" s="5"/>
      <c r="RJB189" s="5"/>
      <c r="RJC189" s="5"/>
      <c r="RJD189" s="5"/>
      <c r="RJE189" s="5"/>
      <c r="RJF189" s="5"/>
      <c r="RJG189" s="5"/>
      <c r="RJH189" s="5"/>
      <c r="RJI189" s="5"/>
      <c r="RJJ189" s="5"/>
      <c r="RJK189" s="5"/>
      <c r="RJL189" s="5"/>
      <c r="RJM189" s="5"/>
      <c r="RJN189" s="5"/>
      <c r="RJO189" s="5"/>
      <c r="RJP189" s="5"/>
      <c r="RJQ189" s="5"/>
      <c r="RJR189" s="5"/>
      <c r="RJS189" s="5"/>
      <c r="RJT189" s="5"/>
      <c r="RJU189" s="5"/>
      <c r="RJV189" s="5"/>
      <c r="RJW189" s="5"/>
      <c r="RJX189" s="5"/>
      <c r="RJY189" s="5"/>
      <c r="RJZ189" s="5"/>
      <c r="RKA189" s="5"/>
      <c r="RKB189" s="5"/>
      <c r="RKC189" s="5"/>
      <c r="RKD189" s="5"/>
      <c r="RKE189" s="5"/>
      <c r="RKF189" s="5"/>
      <c r="RKG189" s="5"/>
      <c r="RKH189" s="5"/>
      <c r="RKI189" s="5"/>
      <c r="RKJ189" s="5"/>
      <c r="RKK189" s="5"/>
      <c r="RKL189" s="5"/>
      <c r="RKM189" s="5"/>
      <c r="RKN189" s="5"/>
      <c r="RKO189" s="5"/>
      <c r="RKP189" s="5"/>
      <c r="RKQ189" s="5"/>
      <c r="RKR189" s="5"/>
      <c r="RKS189" s="5"/>
      <c r="RKT189" s="5"/>
      <c r="RKU189" s="5"/>
      <c r="RKV189" s="5"/>
      <c r="RKW189" s="5"/>
      <c r="RKX189" s="5"/>
      <c r="RKY189" s="5"/>
      <c r="RKZ189" s="5"/>
      <c r="RLA189" s="5"/>
      <c r="RLB189" s="5"/>
      <c r="RLC189" s="5"/>
      <c r="RLD189" s="5"/>
      <c r="RLE189" s="5"/>
      <c r="RLF189" s="5"/>
      <c r="RLG189" s="5"/>
      <c r="RLH189" s="5"/>
      <c r="RLI189" s="5"/>
      <c r="RLJ189" s="5"/>
      <c r="RLK189" s="5"/>
      <c r="RLL189" s="5"/>
      <c r="RLM189" s="5"/>
      <c r="RLN189" s="5"/>
      <c r="RLO189" s="5"/>
      <c r="RLP189" s="5"/>
      <c r="RLQ189" s="5"/>
      <c r="RLR189" s="5"/>
      <c r="RLS189" s="5"/>
      <c r="RLT189" s="5"/>
      <c r="RLU189" s="5"/>
      <c r="RLV189" s="5"/>
      <c r="RLW189" s="5"/>
      <c r="RLX189" s="5"/>
      <c r="RLY189" s="5"/>
      <c r="RLZ189" s="5"/>
      <c r="RMA189" s="5"/>
      <c r="RMB189" s="5"/>
      <c r="RMC189" s="5"/>
      <c r="RMD189" s="5"/>
      <c r="RME189" s="5"/>
      <c r="RMF189" s="5"/>
      <c r="RMG189" s="5"/>
      <c r="RMH189" s="5"/>
      <c r="RMI189" s="5"/>
      <c r="RMJ189" s="5"/>
      <c r="RMK189" s="5"/>
      <c r="RML189" s="5"/>
      <c r="RMM189" s="5"/>
      <c r="RMN189" s="5"/>
      <c r="RMO189" s="5"/>
      <c r="RMP189" s="5"/>
      <c r="RMQ189" s="5"/>
      <c r="RMR189" s="5"/>
      <c r="RMS189" s="5"/>
      <c r="RMT189" s="5"/>
      <c r="RMU189" s="5"/>
      <c r="RMV189" s="5"/>
      <c r="RMW189" s="5"/>
      <c r="RMX189" s="5"/>
      <c r="RMY189" s="5"/>
      <c r="RMZ189" s="5"/>
      <c r="RNA189" s="5"/>
      <c r="RNB189" s="5"/>
      <c r="RNC189" s="5"/>
      <c r="RND189" s="5"/>
      <c r="RNE189" s="5"/>
      <c r="RNF189" s="5"/>
      <c r="RNG189" s="5"/>
      <c r="RNH189" s="5"/>
      <c r="RNI189" s="5"/>
      <c r="RNJ189" s="5"/>
      <c r="RNK189" s="5"/>
      <c r="RNL189" s="5"/>
      <c r="RNM189" s="5"/>
      <c r="RNN189" s="5"/>
      <c r="RNO189" s="5"/>
      <c r="RNP189" s="5"/>
      <c r="RNQ189" s="5"/>
      <c r="RNR189" s="5"/>
      <c r="RNS189" s="5"/>
      <c r="RNT189" s="5"/>
      <c r="RNU189" s="5"/>
      <c r="RNV189" s="5"/>
      <c r="RNW189" s="5"/>
      <c r="RNX189" s="5"/>
      <c r="RNY189" s="5"/>
      <c r="RNZ189" s="5"/>
      <c r="ROA189" s="5"/>
      <c r="ROB189" s="5"/>
      <c r="ROC189" s="5"/>
      <c r="ROD189" s="5"/>
      <c r="ROE189" s="5"/>
      <c r="ROF189" s="5"/>
      <c r="ROG189" s="5"/>
      <c r="ROH189" s="5"/>
      <c r="ROI189" s="5"/>
      <c r="ROJ189" s="5"/>
      <c r="ROK189" s="5"/>
      <c r="ROL189" s="5"/>
      <c r="ROM189" s="5"/>
      <c r="RON189" s="5"/>
      <c r="ROO189" s="5"/>
      <c r="ROP189" s="5"/>
      <c r="ROQ189" s="5"/>
      <c r="ROR189" s="5"/>
      <c r="ROS189" s="5"/>
      <c r="ROT189" s="5"/>
      <c r="ROU189" s="5"/>
      <c r="ROV189" s="5"/>
      <c r="ROW189" s="5"/>
      <c r="ROX189" s="5"/>
      <c r="ROY189" s="5"/>
      <c r="ROZ189" s="5"/>
      <c r="RPA189" s="5"/>
      <c r="RPB189" s="5"/>
      <c r="RPC189" s="5"/>
      <c r="RPD189" s="5"/>
      <c r="RPE189" s="5"/>
      <c r="RPF189" s="5"/>
      <c r="RPG189" s="5"/>
      <c r="RPH189" s="5"/>
      <c r="RPI189" s="5"/>
      <c r="RPJ189" s="5"/>
      <c r="RPK189" s="5"/>
      <c r="RPL189" s="5"/>
      <c r="RPM189" s="5"/>
      <c r="RPN189" s="5"/>
      <c r="RPO189" s="5"/>
      <c r="RPP189" s="5"/>
      <c r="RPQ189" s="5"/>
      <c r="RPR189" s="5"/>
      <c r="RPS189" s="5"/>
      <c r="RPT189" s="5"/>
      <c r="RPU189" s="5"/>
      <c r="RPV189" s="5"/>
      <c r="RPW189" s="5"/>
      <c r="RPX189" s="5"/>
      <c r="RPY189" s="5"/>
      <c r="RPZ189" s="5"/>
      <c r="RQA189" s="5"/>
      <c r="RQB189" s="5"/>
      <c r="RQC189" s="5"/>
      <c r="RQD189" s="5"/>
      <c r="RQE189" s="5"/>
      <c r="RQF189" s="5"/>
      <c r="RQG189" s="5"/>
      <c r="RQH189" s="5"/>
      <c r="RQI189" s="5"/>
      <c r="RQJ189" s="5"/>
      <c r="RQK189" s="5"/>
      <c r="RQL189" s="5"/>
      <c r="RQM189" s="5"/>
      <c r="RQN189" s="5"/>
      <c r="RQO189" s="5"/>
      <c r="RQP189" s="5"/>
      <c r="RQQ189" s="5"/>
      <c r="RQR189" s="5"/>
      <c r="RQS189" s="5"/>
      <c r="RQT189" s="5"/>
      <c r="RQU189" s="5"/>
      <c r="RQV189" s="5"/>
      <c r="RQW189" s="5"/>
      <c r="RQX189" s="5"/>
      <c r="RQY189" s="5"/>
      <c r="RQZ189" s="5"/>
      <c r="RRA189" s="5"/>
      <c r="RRB189" s="5"/>
      <c r="RRC189" s="5"/>
      <c r="RRD189" s="5"/>
      <c r="RRE189" s="5"/>
      <c r="RRF189" s="5"/>
      <c r="RRG189" s="5"/>
      <c r="RRH189" s="5"/>
      <c r="RRI189" s="5"/>
      <c r="RRJ189" s="5"/>
      <c r="RRK189" s="5"/>
      <c r="RRL189" s="5"/>
      <c r="RRM189" s="5"/>
      <c r="RRN189" s="5"/>
      <c r="RRO189" s="5"/>
      <c r="RRP189" s="5"/>
      <c r="RRQ189" s="5"/>
      <c r="RRR189" s="5"/>
      <c r="RRS189" s="5"/>
      <c r="RRT189" s="5"/>
      <c r="RRU189" s="5"/>
      <c r="RRV189" s="5"/>
      <c r="RRW189" s="5"/>
      <c r="RRX189" s="5"/>
      <c r="RRY189" s="5"/>
      <c r="RRZ189" s="5"/>
      <c r="RSA189" s="5"/>
      <c r="RSB189" s="5"/>
      <c r="RSC189" s="5"/>
      <c r="RSD189" s="5"/>
      <c r="RSE189" s="5"/>
      <c r="RSF189" s="5"/>
      <c r="RSG189" s="5"/>
      <c r="RSH189" s="5"/>
      <c r="RSI189" s="5"/>
      <c r="RSJ189" s="5"/>
      <c r="RSK189" s="5"/>
      <c r="RSL189" s="5"/>
      <c r="RSM189" s="5"/>
      <c r="RSN189" s="5"/>
      <c r="RSO189" s="5"/>
      <c r="RSP189" s="5"/>
      <c r="RSQ189" s="5"/>
      <c r="RSR189" s="5"/>
      <c r="RSS189" s="5"/>
      <c r="RST189" s="5"/>
      <c r="RSU189" s="5"/>
      <c r="RSV189" s="5"/>
      <c r="RSW189" s="5"/>
      <c r="RSX189" s="5"/>
      <c r="RSY189" s="5"/>
      <c r="RSZ189" s="5"/>
      <c r="RTA189" s="5"/>
      <c r="RTB189" s="5"/>
      <c r="RTC189" s="5"/>
      <c r="RTD189" s="5"/>
      <c r="RTE189" s="5"/>
      <c r="RTF189" s="5"/>
      <c r="RTG189" s="5"/>
      <c r="RTH189" s="5"/>
      <c r="RTI189" s="5"/>
      <c r="RTJ189" s="5"/>
      <c r="RTK189" s="5"/>
      <c r="RTL189" s="5"/>
      <c r="RTM189" s="5"/>
      <c r="RTN189" s="5"/>
      <c r="RTO189" s="5"/>
      <c r="RTP189" s="5"/>
      <c r="RTQ189" s="5"/>
      <c r="RTR189" s="5"/>
      <c r="RTS189" s="5"/>
      <c r="RTT189" s="5"/>
      <c r="RTU189" s="5"/>
      <c r="RTV189" s="5"/>
      <c r="RTW189" s="5"/>
      <c r="RTX189" s="5"/>
      <c r="RTY189" s="5"/>
      <c r="RTZ189" s="5"/>
      <c r="RUA189" s="5"/>
      <c r="RUB189" s="5"/>
      <c r="RUC189" s="5"/>
      <c r="RUD189" s="5"/>
      <c r="RUE189" s="5"/>
      <c r="RUF189" s="5"/>
      <c r="RUG189" s="5"/>
      <c r="RUH189" s="5"/>
      <c r="RUI189" s="5"/>
      <c r="RUJ189" s="5"/>
      <c r="RUK189" s="5"/>
      <c r="RUL189" s="5"/>
      <c r="RUM189" s="5"/>
      <c r="RUN189" s="5"/>
      <c r="RUO189" s="5"/>
      <c r="RUP189" s="5"/>
      <c r="RUQ189" s="5"/>
      <c r="RUR189" s="5"/>
      <c r="RUS189" s="5"/>
      <c r="RUT189" s="5"/>
      <c r="RUU189" s="5"/>
      <c r="RUV189" s="5"/>
      <c r="RUW189" s="5"/>
      <c r="RUX189" s="5"/>
      <c r="RUY189" s="5"/>
      <c r="RUZ189" s="5"/>
      <c r="RVA189" s="5"/>
      <c r="RVB189" s="5"/>
      <c r="RVC189" s="5"/>
      <c r="RVD189" s="5"/>
      <c r="RVE189" s="5"/>
      <c r="RVF189" s="5"/>
      <c r="RVG189" s="5"/>
      <c r="RVH189" s="5"/>
      <c r="RVI189" s="5"/>
      <c r="RVJ189" s="5"/>
      <c r="RVK189" s="5"/>
      <c r="RVL189" s="5"/>
      <c r="RVM189" s="5"/>
      <c r="RVN189" s="5"/>
      <c r="RVO189" s="5"/>
      <c r="RVP189" s="5"/>
      <c r="RVQ189" s="5"/>
      <c r="RVR189" s="5"/>
      <c r="RVS189" s="5"/>
      <c r="RVT189" s="5"/>
      <c r="RVU189" s="5"/>
      <c r="RVV189" s="5"/>
      <c r="RVW189" s="5"/>
      <c r="RVX189" s="5"/>
      <c r="RVY189" s="5"/>
      <c r="RVZ189" s="5"/>
      <c r="RWA189" s="5"/>
      <c r="RWB189" s="5"/>
      <c r="RWC189" s="5"/>
      <c r="RWD189" s="5"/>
      <c r="RWE189" s="5"/>
      <c r="RWF189" s="5"/>
      <c r="RWG189" s="5"/>
      <c r="RWH189" s="5"/>
      <c r="RWI189" s="5"/>
      <c r="RWJ189" s="5"/>
      <c r="RWK189" s="5"/>
      <c r="RWL189" s="5"/>
      <c r="RWM189" s="5"/>
      <c r="RWN189" s="5"/>
      <c r="RWO189" s="5"/>
      <c r="RWP189" s="5"/>
      <c r="RWQ189" s="5"/>
      <c r="RWR189" s="5"/>
      <c r="RWS189" s="5"/>
      <c r="RWT189" s="5"/>
      <c r="RWU189" s="5"/>
      <c r="RWV189" s="5"/>
      <c r="RWW189" s="5"/>
      <c r="RWX189" s="5"/>
      <c r="RWY189" s="5"/>
      <c r="RWZ189" s="5"/>
      <c r="RXA189" s="5"/>
      <c r="RXB189" s="5"/>
      <c r="RXC189" s="5"/>
      <c r="RXD189" s="5"/>
      <c r="RXE189" s="5"/>
      <c r="RXF189" s="5"/>
      <c r="RXG189" s="5"/>
      <c r="RXH189" s="5"/>
      <c r="RXI189" s="5"/>
      <c r="RXJ189" s="5"/>
      <c r="RXK189" s="5"/>
      <c r="RXL189" s="5"/>
      <c r="RXM189" s="5"/>
      <c r="RXN189" s="5"/>
      <c r="RXO189" s="5"/>
      <c r="RXP189" s="5"/>
      <c r="RXQ189" s="5"/>
      <c r="RXR189" s="5"/>
      <c r="RXS189" s="5"/>
      <c r="RXT189" s="5"/>
      <c r="RXU189" s="5"/>
      <c r="RXV189" s="5"/>
      <c r="RXW189" s="5"/>
      <c r="RXX189" s="5"/>
      <c r="RXY189" s="5"/>
      <c r="RXZ189" s="5"/>
      <c r="RYA189" s="5"/>
      <c r="RYB189" s="5"/>
      <c r="RYC189" s="5"/>
      <c r="RYD189" s="5"/>
      <c r="RYE189" s="5"/>
      <c r="RYF189" s="5"/>
      <c r="RYG189" s="5"/>
      <c r="RYH189" s="5"/>
      <c r="RYI189" s="5"/>
      <c r="RYJ189" s="5"/>
      <c r="RYK189" s="5"/>
      <c r="RYL189" s="5"/>
      <c r="RYM189" s="5"/>
      <c r="RYN189" s="5"/>
      <c r="RYO189" s="5"/>
      <c r="RYP189" s="5"/>
      <c r="RYQ189" s="5"/>
      <c r="RYR189" s="5"/>
      <c r="RYS189" s="5"/>
      <c r="RYT189" s="5"/>
      <c r="RYU189" s="5"/>
      <c r="RYV189" s="5"/>
      <c r="RYW189" s="5"/>
      <c r="RYX189" s="5"/>
      <c r="RYY189" s="5"/>
      <c r="RYZ189" s="5"/>
      <c r="RZA189" s="5"/>
      <c r="RZB189" s="5"/>
      <c r="RZC189" s="5"/>
      <c r="RZD189" s="5"/>
      <c r="RZE189" s="5"/>
      <c r="RZF189" s="5"/>
      <c r="RZG189" s="5"/>
      <c r="RZH189" s="5"/>
      <c r="RZI189" s="5"/>
      <c r="RZJ189" s="5"/>
      <c r="RZK189" s="5"/>
      <c r="RZL189" s="5"/>
      <c r="RZM189" s="5"/>
      <c r="RZN189" s="5"/>
      <c r="RZO189" s="5"/>
      <c r="RZP189" s="5"/>
      <c r="RZQ189" s="5"/>
      <c r="RZR189" s="5"/>
      <c r="RZS189" s="5"/>
      <c r="RZT189" s="5"/>
      <c r="RZU189" s="5"/>
      <c r="RZV189" s="5"/>
      <c r="RZW189" s="5"/>
      <c r="RZX189" s="5"/>
      <c r="RZY189" s="5"/>
      <c r="RZZ189" s="5"/>
      <c r="SAA189" s="5"/>
      <c r="SAB189" s="5"/>
      <c r="SAC189" s="5"/>
      <c r="SAD189" s="5"/>
      <c r="SAE189" s="5"/>
      <c r="SAF189" s="5"/>
      <c r="SAG189" s="5"/>
      <c r="SAH189" s="5"/>
      <c r="SAI189" s="5"/>
      <c r="SAJ189" s="5"/>
      <c r="SAK189" s="5"/>
      <c r="SAL189" s="5"/>
      <c r="SAM189" s="5"/>
      <c r="SAN189" s="5"/>
      <c r="SAO189" s="5"/>
      <c r="SAP189" s="5"/>
      <c r="SAQ189" s="5"/>
      <c r="SAR189" s="5"/>
      <c r="SAS189" s="5"/>
      <c r="SAT189" s="5"/>
      <c r="SAU189" s="5"/>
      <c r="SAV189" s="5"/>
      <c r="SAW189" s="5"/>
      <c r="SAX189" s="5"/>
      <c r="SAY189" s="5"/>
      <c r="SAZ189" s="5"/>
      <c r="SBA189" s="5"/>
      <c r="SBB189" s="5"/>
      <c r="SBC189" s="5"/>
      <c r="SBD189" s="5"/>
      <c r="SBE189" s="5"/>
      <c r="SBF189" s="5"/>
      <c r="SBG189" s="5"/>
      <c r="SBH189" s="5"/>
      <c r="SBI189" s="5"/>
      <c r="SBJ189" s="5"/>
      <c r="SBK189" s="5"/>
      <c r="SBL189" s="5"/>
      <c r="SBM189" s="5"/>
      <c r="SBN189" s="5"/>
      <c r="SBO189" s="5"/>
      <c r="SBP189" s="5"/>
      <c r="SBQ189" s="5"/>
      <c r="SBR189" s="5"/>
      <c r="SBS189" s="5"/>
      <c r="SBT189" s="5"/>
      <c r="SBU189" s="5"/>
      <c r="SBV189" s="5"/>
      <c r="SBW189" s="5"/>
      <c r="SBX189" s="5"/>
      <c r="SBY189" s="5"/>
      <c r="SBZ189" s="5"/>
      <c r="SCA189" s="5"/>
      <c r="SCB189" s="5"/>
      <c r="SCC189" s="5"/>
      <c r="SCD189" s="5"/>
      <c r="SCE189" s="5"/>
      <c r="SCF189" s="5"/>
      <c r="SCG189" s="5"/>
      <c r="SCH189" s="5"/>
      <c r="SCI189" s="5"/>
      <c r="SCJ189" s="5"/>
      <c r="SCK189" s="5"/>
      <c r="SCL189" s="5"/>
      <c r="SCM189" s="5"/>
      <c r="SCN189" s="5"/>
      <c r="SCO189" s="5"/>
      <c r="SCP189" s="5"/>
      <c r="SCQ189" s="5"/>
      <c r="SCR189" s="5"/>
      <c r="SCS189" s="5"/>
      <c r="SCT189" s="5"/>
      <c r="SCU189" s="5"/>
      <c r="SCV189" s="5"/>
      <c r="SCW189" s="5"/>
      <c r="SCX189" s="5"/>
      <c r="SCY189" s="5"/>
      <c r="SCZ189" s="5"/>
      <c r="SDA189" s="5"/>
      <c r="SDB189" s="5"/>
      <c r="SDC189" s="5"/>
      <c r="SDD189" s="5"/>
      <c r="SDE189" s="5"/>
      <c r="SDF189" s="5"/>
      <c r="SDG189" s="5"/>
      <c r="SDH189" s="5"/>
      <c r="SDI189" s="5"/>
      <c r="SDJ189" s="5"/>
      <c r="SDK189" s="5"/>
      <c r="SDL189" s="5"/>
      <c r="SDM189" s="5"/>
      <c r="SDN189" s="5"/>
      <c r="SDO189" s="5"/>
      <c r="SDP189" s="5"/>
      <c r="SDQ189" s="5"/>
      <c r="SDR189" s="5"/>
      <c r="SDS189" s="5"/>
      <c r="SDT189" s="5"/>
      <c r="SDU189" s="5"/>
      <c r="SDV189" s="5"/>
      <c r="SDW189" s="5"/>
      <c r="SDX189" s="5"/>
      <c r="SDY189" s="5"/>
      <c r="SDZ189" s="5"/>
      <c r="SEA189" s="5"/>
      <c r="SEB189" s="5"/>
      <c r="SEC189" s="5"/>
      <c r="SED189" s="5"/>
      <c r="SEE189" s="5"/>
      <c r="SEF189" s="5"/>
      <c r="SEG189" s="5"/>
      <c r="SEH189" s="5"/>
      <c r="SEI189" s="5"/>
      <c r="SEJ189" s="5"/>
      <c r="SEK189" s="5"/>
      <c r="SEL189" s="5"/>
      <c r="SEM189" s="5"/>
      <c r="SEN189" s="5"/>
      <c r="SEO189" s="5"/>
      <c r="SEP189" s="5"/>
      <c r="SEQ189" s="5"/>
      <c r="SER189" s="5"/>
      <c r="SES189" s="5"/>
      <c r="SET189" s="5"/>
      <c r="SEU189" s="5"/>
      <c r="SEV189" s="5"/>
      <c r="SEW189" s="5"/>
      <c r="SEX189" s="5"/>
      <c r="SEY189" s="5"/>
      <c r="SEZ189" s="5"/>
      <c r="SFA189" s="5"/>
      <c r="SFB189" s="5"/>
      <c r="SFC189" s="5"/>
      <c r="SFD189" s="5"/>
      <c r="SFE189" s="5"/>
      <c r="SFF189" s="5"/>
      <c r="SFG189" s="5"/>
      <c r="SFH189" s="5"/>
      <c r="SFI189" s="5"/>
      <c r="SFJ189" s="5"/>
      <c r="SFK189" s="5"/>
      <c r="SFL189" s="5"/>
      <c r="SFM189" s="5"/>
      <c r="SFN189" s="5"/>
      <c r="SFO189" s="5"/>
      <c r="SFP189" s="5"/>
      <c r="SFQ189" s="5"/>
      <c r="SFR189" s="5"/>
      <c r="SFS189" s="5"/>
      <c r="SFT189" s="5"/>
      <c r="SFU189" s="5"/>
      <c r="SFV189" s="5"/>
      <c r="SFW189" s="5"/>
      <c r="SFX189" s="5"/>
      <c r="SFY189" s="5"/>
      <c r="SFZ189" s="5"/>
      <c r="SGA189" s="5"/>
      <c r="SGB189" s="5"/>
      <c r="SGC189" s="5"/>
      <c r="SGD189" s="5"/>
      <c r="SGE189" s="5"/>
      <c r="SGF189" s="5"/>
      <c r="SGG189" s="5"/>
      <c r="SGH189" s="5"/>
      <c r="SGI189" s="5"/>
      <c r="SGJ189" s="5"/>
      <c r="SGK189" s="5"/>
      <c r="SGL189" s="5"/>
      <c r="SGM189" s="5"/>
      <c r="SGN189" s="5"/>
      <c r="SGO189" s="5"/>
      <c r="SGP189" s="5"/>
      <c r="SGQ189" s="5"/>
      <c r="SGR189" s="5"/>
      <c r="SGS189" s="5"/>
      <c r="SGT189" s="5"/>
      <c r="SGU189" s="5"/>
      <c r="SGV189" s="5"/>
      <c r="SGW189" s="5"/>
      <c r="SGX189" s="5"/>
      <c r="SGY189" s="5"/>
      <c r="SGZ189" s="5"/>
      <c r="SHA189" s="5"/>
      <c r="SHB189" s="5"/>
      <c r="SHC189" s="5"/>
      <c r="SHD189" s="5"/>
      <c r="SHE189" s="5"/>
      <c r="SHF189" s="5"/>
      <c r="SHG189" s="5"/>
      <c r="SHH189" s="5"/>
      <c r="SHI189" s="5"/>
      <c r="SHJ189" s="5"/>
      <c r="SHK189" s="5"/>
      <c r="SHL189" s="5"/>
      <c r="SHM189" s="5"/>
      <c r="SHN189" s="5"/>
      <c r="SHO189" s="5"/>
      <c r="SHP189" s="5"/>
      <c r="SHQ189" s="5"/>
      <c r="SHR189" s="5"/>
      <c r="SHS189" s="5"/>
      <c r="SHT189" s="5"/>
      <c r="SHU189" s="5"/>
      <c r="SHV189" s="5"/>
      <c r="SHW189" s="5"/>
      <c r="SHX189" s="5"/>
      <c r="SHY189" s="5"/>
      <c r="SHZ189" s="5"/>
      <c r="SIA189" s="5"/>
      <c r="SIB189" s="5"/>
      <c r="SIC189" s="5"/>
      <c r="SID189" s="5"/>
      <c r="SIE189" s="5"/>
      <c r="SIF189" s="5"/>
      <c r="SIG189" s="5"/>
      <c r="SIH189" s="5"/>
      <c r="SII189" s="5"/>
      <c r="SIJ189" s="5"/>
      <c r="SIK189" s="5"/>
      <c r="SIL189" s="5"/>
      <c r="SIM189" s="5"/>
      <c r="SIN189" s="5"/>
      <c r="SIO189" s="5"/>
      <c r="SIP189" s="5"/>
      <c r="SIQ189" s="5"/>
      <c r="SIR189" s="5"/>
      <c r="SIS189" s="5"/>
      <c r="SIT189" s="5"/>
      <c r="SIU189" s="5"/>
      <c r="SIV189" s="5"/>
      <c r="SIW189" s="5"/>
      <c r="SIX189" s="5"/>
      <c r="SIY189" s="5"/>
      <c r="SIZ189" s="5"/>
      <c r="SJA189" s="5"/>
      <c r="SJB189" s="5"/>
      <c r="SJC189" s="5"/>
      <c r="SJD189" s="5"/>
      <c r="SJE189" s="5"/>
      <c r="SJF189" s="5"/>
      <c r="SJG189" s="5"/>
      <c r="SJH189" s="5"/>
      <c r="SJI189" s="5"/>
      <c r="SJJ189" s="5"/>
      <c r="SJK189" s="5"/>
      <c r="SJL189" s="5"/>
      <c r="SJM189" s="5"/>
      <c r="SJN189" s="5"/>
      <c r="SJO189" s="5"/>
      <c r="SJP189" s="5"/>
      <c r="SJQ189" s="5"/>
      <c r="SJR189" s="5"/>
      <c r="SJS189" s="5"/>
      <c r="SJT189" s="5"/>
      <c r="SJU189" s="5"/>
      <c r="SJV189" s="5"/>
      <c r="SJW189" s="5"/>
      <c r="SJX189" s="5"/>
      <c r="SJY189" s="5"/>
      <c r="SJZ189" s="5"/>
      <c r="SKA189" s="5"/>
      <c r="SKB189" s="5"/>
      <c r="SKC189" s="5"/>
      <c r="SKD189" s="5"/>
      <c r="SKE189" s="5"/>
      <c r="SKF189" s="5"/>
      <c r="SKG189" s="5"/>
      <c r="SKH189" s="5"/>
      <c r="SKI189" s="5"/>
      <c r="SKJ189" s="5"/>
      <c r="SKK189" s="5"/>
      <c r="SKL189" s="5"/>
      <c r="SKM189" s="5"/>
      <c r="SKN189" s="5"/>
      <c r="SKO189" s="5"/>
      <c r="SKP189" s="5"/>
      <c r="SKQ189" s="5"/>
      <c r="SKR189" s="5"/>
      <c r="SKS189" s="5"/>
      <c r="SKT189" s="5"/>
      <c r="SKU189" s="5"/>
      <c r="SKV189" s="5"/>
      <c r="SKW189" s="5"/>
      <c r="SKX189" s="5"/>
      <c r="SKY189" s="5"/>
      <c r="SKZ189" s="5"/>
      <c r="SLA189" s="5"/>
      <c r="SLB189" s="5"/>
      <c r="SLC189" s="5"/>
      <c r="SLD189" s="5"/>
      <c r="SLE189" s="5"/>
      <c r="SLF189" s="5"/>
      <c r="SLG189" s="5"/>
      <c r="SLH189" s="5"/>
      <c r="SLI189" s="5"/>
      <c r="SLJ189" s="5"/>
      <c r="SLK189" s="5"/>
      <c r="SLL189" s="5"/>
      <c r="SLM189" s="5"/>
      <c r="SLN189" s="5"/>
      <c r="SLO189" s="5"/>
      <c r="SLP189" s="5"/>
      <c r="SLQ189" s="5"/>
      <c r="SLR189" s="5"/>
      <c r="SLS189" s="5"/>
      <c r="SLT189" s="5"/>
      <c r="SLU189" s="5"/>
      <c r="SLV189" s="5"/>
      <c r="SLW189" s="5"/>
      <c r="SLX189" s="5"/>
      <c r="SLY189" s="5"/>
      <c r="SLZ189" s="5"/>
      <c r="SMA189" s="5"/>
      <c r="SMB189" s="5"/>
      <c r="SMC189" s="5"/>
      <c r="SMD189" s="5"/>
      <c r="SME189" s="5"/>
      <c r="SMF189" s="5"/>
      <c r="SMG189" s="5"/>
      <c r="SMH189" s="5"/>
      <c r="SMI189" s="5"/>
      <c r="SMJ189" s="5"/>
      <c r="SMK189" s="5"/>
      <c r="SML189" s="5"/>
      <c r="SMM189" s="5"/>
      <c r="SMN189" s="5"/>
      <c r="SMO189" s="5"/>
      <c r="SMP189" s="5"/>
      <c r="SMQ189" s="5"/>
      <c r="SMR189" s="5"/>
      <c r="SMS189" s="5"/>
      <c r="SMT189" s="5"/>
      <c r="SMU189" s="5"/>
      <c r="SMV189" s="5"/>
      <c r="SMW189" s="5"/>
      <c r="SMX189" s="5"/>
      <c r="SMY189" s="5"/>
      <c r="SMZ189" s="5"/>
      <c r="SNA189" s="5"/>
      <c r="SNB189" s="5"/>
      <c r="SNC189" s="5"/>
      <c r="SND189" s="5"/>
      <c r="SNE189" s="5"/>
      <c r="SNF189" s="5"/>
      <c r="SNG189" s="5"/>
      <c r="SNH189" s="5"/>
      <c r="SNI189" s="5"/>
      <c r="SNJ189" s="5"/>
      <c r="SNK189" s="5"/>
      <c r="SNL189" s="5"/>
      <c r="SNM189" s="5"/>
      <c r="SNN189" s="5"/>
      <c r="SNO189" s="5"/>
      <c r="SNP189" s="5"/>
      <c r="SNQ189" s="5"/>
      <c r="SNR189" s="5"/>
      <c r="SNS189" s="5"/>
      <c r="SNT189" s="5"/>
      <c r="SNU189" s="5"/>
      <c r="SNV189" s="5"/>
      <c r="SNW189" s="5"/>
      <c r="SNX189" s="5"/>
      <c r="SNY189" s="5"/>
      <c r="SNZ189" s="5"/>
      <c r="SOA189" s="5"/>
      <c r="SOB189" s="5"/>
      <c r="SOC189" s="5"/>
      <c r="SOD189" s="5"/>
      <c r="SOE189" s="5"/>
      <c r="SOF189" s="5"/>
      <c r="SOG189" s="5"/>
      <c r="SOH189" s="5"/>
      <c r="SOI189" s="5"/>
      <c r="SOJ189" s="5"/>
      <c r="SOK189" s="5"/>
      <c r="SOL189" s="5"/>
      <c r="SOM189" s="5"/>
      <c r="SON189" s="5"/>
      <c r="SOO189" s="5"/>
      <c r="SOP189" s="5"/>
      <c r="SOQ189" s="5"/>
      <c r="SOR189" s="5"/>
      <c r="SOS189" s="5"/>
      <c r="SOT189" s="5"/>
      <c r="SOU189" s="5"/>
      <c r="SOV189" s="5"/>
      <c r="SOW189" s="5"/>
      <c r="SOX189" s="5"/>
      <c r="SOY189" s="5"/>
      <c r="SOZ189" s="5"/>
      <c r="SPA189" s="5"/>
      <c r="SPB189" s="5"/>
      <c r="SPC189" s="5"/>
      <c r="SPD189" s="5"/>
      <c r="SPE189" s="5"/>
      <c r="SPF189" s="5"/>
      <c r="SPG189" s="5"/>
      <c r="SPH189" s="5"/>
      <c r="SPI189" s="5"/>
      <c r="SPJ189" s="5"/>
      <c r="SPK189" s="5"/>
      <c r="SPL189" s="5"/>
      <c r="SPM189" s="5"/>
      <c r="SPN189" s="5"/>
      <c r="SPO189" s="5"/>
      <c r="SPP189" s="5"/>
      <c r="SPQ189" s="5"/>
      <c r="SPR189" s="5"/>
      <c r="SPS189" s="5"/>
      <c r="SPT189" s="5"/>
      <c r="SPU189" s="5"/>
      <c r="SPV189" s="5"/>
      <c r="SPW189" s="5"/>
      <c r="SPX189" s="5"/>
      <c r="SPY189" s="5"/>
      <c r="SPZ189" s="5"/>
      <c r="SQA189" s="5"/>
      <c r="SQB189" s="5"/>
      <c r="SQC189" s="5"/>
      <c r="SQD189" s="5"/>
      <c r="SQE189" s="5"/>
      <c r="SQF189" s="5"/>
      <c r="SQG189" s="5"/>
      <c r="SQH189" s="5"/>
      <c r="SQI189" s="5"/>
      <c r="SQJ189" s="5"/>
      <c r="SQK189" s="5"/>
      <c r="SQL189" s="5"/>
      <c r="SQM189" s="5"/>
      <c r="SQN189" s="5"/>
      <c r="SQO189" s="5"/>
      <c r="SQP189" s="5"/>
      <c r="SQQ189" s="5"/>
      <c r="SQR189" s="5"/>
      <c r="SQS189" s="5"/>
      <c r="SQT189" s="5"/>
      <c r="SQU189" s="5"/>
      <c r="SQV189" s="5"/>
      <c r="SQW189" s="5"/>
      <c r="SQX189" s="5"/>
      <c r="SQY189" s="5"/>
      <c r="SQZ189" s="5"/>
      <c r="SRA189" s="5"/>
      <c r="SRB189" s="5"/>
      <c r="SRC189" s="5"/>
      <c r="SRD189" s="5"/>
      <c r="SRE189" s="5"/>
      <c r="SRF189" s="5"/>
      <c r="SRG189" s="5"/>
      <c r="SRH189" s="5"/>
      <c r="SRI189" s="5"/>
      <c r="SRJ189" s="5"/>
      <c r="SRK189" s="5"/>
      <c r="SRL189" s="5"/>
      <c r="SRM189" s="5"/>
      <c r="SRN189" s="5"/>
      <c r="SRO189" s="5"/>
      <c r="SRP189" s="5"/>
      <c r="SRQ189" s="5"/>
      <c r="SRR189" s="5"/>
      <c r="SRS189" s="5"/>
      <c r="SRT189" s="5"/>
      <c r="SRU189" s="5"/>
      <c r="SRV189" s="5"/>
      <c r="SRW189" s="5"/>
      <c r="SRX189" s="5"/>
      <c r="SRY189" s="5"/>
      <c r="SRZ189" s="5"/>
      <c r="SSA189" s="5"/>
      <c r="SSB189" s="5"/>
      <c r="SSC189" s="5"/>
      <c r="SSD189" s="5"/>
      <c r="SSE189" s="5"/>
      <c r="SSF189" s="5"/>
      <c r="SSG189" s="5"/>
      <c r="SSH189" s="5"/>
      <c r="SSI189" s="5"/>
      <c r="SSJ189" s="5"/>
      <c r="SSK189" s="5"/>
      <c r="SSL189" s="5"/>
      <c r="SSM189" s="5"/>
      <c r="SSN189" s="5"/>
      <c r="SSO189" s="5"/>
      <c r="SSP189" s="5"/>
      <c r="SSQ189" s="5"/>
      <c r="SSR189" s="5"/>
      <c r="SSS189" s="5"/>
      <c r="SST189" s="5"/>
      <c r="SSU189" s="5"/>
      <c r="SSV189" s="5"/>
      <c r="SSW189" s="5"/>
      <c r="SSX189" s="5"/>
      <c r="SSY189" s="5"/>
      <c r="SSZ189" s="5"/>
      <c r="STA189" s="5"/>
      <c r="STB189" s="5"/>
      <c r="STC189" s="5"/>
      <c r="STD189" s="5"/>
      <c r="STE189" s="5"/>
      <c r="STF189" s="5"/>
      <c r="STG189" s="5"/>
      <c r="STH189" s="5"/>
      <c r="STI189" s="5"/>
      <c r="STJ189" s="5"/>
      <c r="STK189" s="5"/>
      <c r="STL189" s="5"/>
      <c r="STM189" s="5"/>
      <c r="STN189" s="5"/>
      <c r="STO189" s="5"/>
      <c r="STP189" s="5"/>
      <c r="STQ189" s="5"/>
      <c r="STR189" s="5"/>
      <c r="STS189" s="5"/>
      <c r="STT189" s="5"/>
      <c r="STU189" s="5"/>
      <c r="STV189" s="5"/>
      <c r="STW189" s="5"/>
      <c r="STX189" s="5"/>
      <c r="STY189" s="5"/>
      <c r="STZ189" s="5"/>
      <c r="SUA189" s="5"/>
      <c r="SUB189" s="5"/>
      <c r="SUC189" s="5"/>
      <c r="SUD189" s="5"/>
      <c r="SUE189" s="5"/>
      <c r="SUF189" s="5"/>
      <c r="SUG189" s="5"/>
      <c r="SUH189" s="5"/>
      <c r="SUI189" s="5"/>
      <c r="SUJ189" s="5"/>
      <c r="SUK189" s="5"/>
      <c r="SUL189" s="5"/>
      <c r="SUM189" s="5"/>
      <c r="SUN189" s="5"/>
      <c r="SUO189" s="5"/>
      <c r="SUP189" s="5"/>
      <c r="SUQ189" s="5"/>
      <c r="SUR189" s="5"/>
      <c r="SUS189" s="5"/>
      <c r="SUT189" s="5"/>
      <c r="SUU189" s="5"/>
      <c r="SUV189" s="5"/>
      <c r="SUW189" s="5"/>
      <c r="SUX189" s="5"/>
      <c r="SUY189" s="5"/>
      <c r="SUZ189" s="5"/>
      <c r="SVA189" s="5"/>
      <c r="SVB189" s="5"/>
      <c r="SVC189" s="5"/>
      <c r="SVD189" s="5"/>
      <c r="SVE189" s="5"/>
      <c r="SVF189" s="5"/>
      <c r="SVG189" s="5"/>
      <c r="SVH189" s="5"/>
      <c r="SVI189" s="5"/>
      <c r="SVJ189" s="5"/>
      <c r="SVK189" s="5"/>
      <c r="SVL189" s="5"/>
      <c r="SVM189" s="5"/>
      <c r="SVN189" s="5"/>
      <c r="SVO189" s="5"/>
      <c r="SVP189" s="5"/>
      <c r="SVQ189" s="5"/>
      <c r="SVR189" s="5"/>
      <c r="SVS189" s="5"/>
      <c r="SVT189" s="5"/>
      <c r="SVU189" s="5"/>
      <c r="SVV189" s="5"/>
      <c r="SVW189" s="5"/>
      <c r="SVX189" s="5"/>
      <c r="SVY189" s="5"/>
      <c r="SVZ189" s="5"/>
      <c r="SWA189" s="5"/>
      <c r="SWB189" s="5"/>
      <c r="SWC189" s="5"/>
      <c r="SWD189" s="5"/>
      <c r="SWE189" s="5"/>
      <c r="SWF189" s="5"/>
      <c r="SWG189" s="5"/>
      <c r="SWH189" s="5"/>
      <c r="SWI189" s="5"/>
      <c r="SWJ189" s="5"/>
      <c r="SWK189" s="5"/>
      <c r="SWL189" s="5"/>
      <c r="SWM189" s="5"/>
      <c r="SWN189" s="5"/>
      <c r="SWO189" s="5"/>
      <c r="SWP189" s="5"/>
      <c r="SWQ189" s="5"/>
      <c r="SWR189" s="5"/>
      <c r="SWS189" s="5"/>
      <c r="SWT189" s="5"/>
      <c r="SWU189" s="5"/>
      <c r="SWV189" s="5"/>
      <c r="SWW189" s="5"/>
      <c r="SWX189" s="5"/>
      <c r="SWY189" s="5"/>
      <c r="SWZ189" s="5"/>
      <c r="SXA189" s="5"/>
      <c r="SXB189" s="5"/>
      <c r="SXC189" s="5"/>
      <c r="SXD189" s="5"/>
      <c r="SXE189" s="5"/>
      <c r="SXF189" s="5"/>
      <c r="SXG189" s="5"/>
      <c r="SXH189" s="5"/>
      <c r="SXI189" s="5"/>
      <c r="SXJ189" s="5"/>
      <c r="SXK189" s="5"/>
      <c r="SXL189" s="5"/>
      <c r="SXM189" s="5"/>
      <c r="SXN189" s="5"/>
      <c r="SXO189" s="5"/>
      <c r="SXP189" s="5"/>
      <c r="SXQ189" s="5"/>
      <c r="SXR189" s="5"/>
      <c r="SXS189" s="5"/>
      <c r="SXT189" s="5"/>
      <c r="SXU189" s="5"/>
      <c r="SXV189" s="5"/>
      <c r="SXW189" s="5"/>
      <c r="SXX189" s="5"/>
      <c r="SXY189" s="5"/>
      <c r="SXZ189" s="5"/>
      <c r="SYA189" s="5"/>
      <c r="SYB189" s="5"/>
      <c r="SYC189" s="5"/>
      <c r="SYD189" s="5"/>
      <c r="SYE189" s="5"/>
      <c r="SYF189" s="5"/>
      <c r="SYG189" s="5"/>
      <c r="SYH189" s="5"/>
      <c r="SYI189" s="5"/>
      <c r="SYJ189" s="5"/>
      <c r="SYK189" s="5"/>
      <c r="SYL189" s="5"/>
      <c r="SYM189" s="5"/>
      <c r="SYN189" s="5"/>
      <c r="SYO189" s="5"/>
      <c r="SYP189" s="5"/>
      <c r="SYQ189" s="5"/>
      <c r="SYR189" s="5"/>
      <c r="SYS189" s="5"/>
      <c r="SYT189" s="5"/>
      <c r="SYU189" s="5"/>
      <c r="SYV189" s="5"/>
      <c r="SYW189" s="5"/>
      <c r="SYX189" s="5"/>
      <c r="SYY189" s="5"/>
      <c r="SYZ189" s="5"/>
      <c r="SZA189" s="5"/>
      <c r="SZB189" s="5"/>
      <c r="SZC189" s="5"/>
      <c r="SZD189" s="5"/>
      <c r="SZE189" s="5"/>
      <c r="SZF189" s="5"/>
      <c r="SZG189" s="5"/>
      <c r="SZH189" s="5"/>
      <c r="SZI189" s="5"/>
      <c r="SZJ189" s="5"/>
      <c r="SZK189" s="5"/>
      <c r="SZL189" s="5"/>
      <c r="SZM189" s="5"/>
      <c r="SZN189" s="5"/>
      <c r="SZO189" s="5"/>
      <c r="SZP189" s="5"/>
      <c r="SZQ189" s="5"/>
      <c r="SZR189" s="5"/>
      <c r="SZS189" s="5"/>
      <c r="SZT189" s="5"/>
      <c r="SZU189" s="5"/>
      <c r="SZV189" s="5"/>
      <c r="SZW189" s="5"/>
      <c r="SZX189" s="5"/>
      <c r="SZY189" s="5"/>
      <c r="SZZ189" s="5"/>
      <c r="TAA189" s="5"/>
      <c r="TAB189" s="5"/>
      <c r="TAC189" s="5"/>
      <c r="TAD189" s="5"/>
      <c r="TAE189" s="5"/>
      <c r="TAF189" s="5"/>
      <c r="TAG189" s="5"/>
      <c r="TAH189" s="5"/>
      <c r="TAI189" s="5"/>
      <c r="TAJ189" s="5"/>
      <c r="TAK189" s="5"/>
      <c r="TAL189" s="5"/>
      <c r="TAM189" s="5"/>
      <c r="TAN189" s="5"/>
      <c r="TAO189" s="5"/>
      <c r="TAP189" s="5"/>
      <c r="TAQ189" s="5"/>
      <c r="TAR189" s="5"/>
      <c r="TAS189" s="5"/>
      <c r="TAT189" s="5"/>
      <c r="TAU189" s="5"/>
      <c r="TAV189" s="5"/>
      <c r="TAW189" s="5"/>
      <c r="TAX189" s="5"/>
      <c r="TAY189" s="5"/>
      <c r="TAZ189" s="5"/>
      <c r="TBA189" s="5"/>
      <c r="TBB189" s="5"/>
      <c r="TBC189" s="5"/>
      <c r="TBD189" s="5"/>
      <c r="TBE189" s="5"/>
      <c r="TBF189" s="5"/>
      <c r="TBG189" s="5"/>
      <c r="TBH189" s="5"/>
      <c r="TBI189" s="5"/>
      <c r="TBJ189" s="5"/>
      <c r="TBK189" s="5"/>
      <c r="TBL189" s="5"/>
      <c r="TBM189" s="5"/>
      <c r="TBN189" s="5"/>
      <c r="TBO189" s="5"/>
      <c r="TBP189" s="5"/>
      <c r="TBQ189" s="5"/>
      <c r="TBR189" s="5"/>
      <c r="TBS189" s="5"/>
      <c r="TBT189" s="5"/>
      <c r="TBU189" s="5"/>
      <c r="TBV189" s="5"/>
      <c r="TBW189" s="5"/>
      <c r="TBX189" s="5"/>
      <c r="TBY189" s="5"/>
      <c r="TBZ189" s="5"/>
      <c r="TCA189" s="5"/>
      <c r="TCB189" s="5"/>
      <c r="TCC189" s="5"/>
      <c r="TCD189" s="5"/>
      <c r="TCE189" s="5"/>
      <c r="TCF189" s="5"/>
      <c r="TCG189" s="5"/>
      <c r="TCH189" s="5"/>
      <c r="TCI189" s="5"/>
      <c r="TCJ189" s="5"/>
      <c r="TCK189" s="5"/>
      <c r="TCL189" s="5"/>
      <c r="TCM189" s="5"/>
      <c r="TCN189" s="5"/>
      <c r="TCO189" s="5"/>
      <c r="TCP189" s="5"/>
      <c r="TCQ189" s="5"/>
      <c r="TCR189" s="5"/>
      <c r="TCS189" s="5"/>
      <c r="TCT189" s="5"/>
      <c r="TCU189" s="5"/>
      <c r="TCV189" s="5"/>
      <c r="TCW189" s="5"/>
      <c r="TCX189" s="5"/>
      <c r="TCY189" s="5"/>
      <c r="TCZ189" s="5"/>
      <c r="TDA189" s="5"/>
      <c r="TDB189" s="5"/>
      <c r="TDC189" s="5"/>
      <c r="TDD189" s="5"/>
      <c r="TDE189" s="5"/>
      <c r="TDF189" s="5"/>
      <c r="TDG189" s="5"/>
      <c r="TDH189" s="5"/>
      <c r="TDI189" s="5"/>
      <c r="TDJ189" s="5"/>
      <c r="TDK189" s="5"/>
      <c r="TDL189" s="5"/>
      <c r="TDM189" s="5"/>
      <c r="TDN189" s="5"/>
      <c r="TDO189" s="5"/>
      <c r="TDP189" s="5"/>
      <c r="TDQ189" s="5"/>
      <c r="TDR189" s="5"/>
      <c r="TDS189" s="5"/>
      <c r="TDT189" s="5"/>
      <c r="TDU189" s="5"/>
      <c r="TDV189" s="5"/>
      <c r="TDW189" s="5"/>
      <c r="TDX189" s="5"/>
      <c r="TDY189" s="5"/>
      <c r="TDZ189" s="5"/>
      <c r="TEA189" s="5"/>
      <c r="TEB189" s="5"/>
      <c r="TEC189" s="5"/>
      <c r="TED189" s="5"/>
      <c r="TEE189" s="5"/>
      <c r="TEF189" s="5"/>
      <c r="TEG189" s="5"/>
      <c r="TEH189" s="5"/>
      <c r="TEI189" s="5"/>
      <c r="TEJ189" s="5"/>
      <c r="TEK189" s="5"/>
      <c r="TEL189" s="5"/>
      <c r="TEM189" s="5"/>
      <c r="TEN189" s="5"/>
      <c r="TEO189" s="5"/>
      <c r="TEP189" s="5"/>
      <c r="TEQ189" s="5"/>
      <c r="TER189" s="5"/>
      <c r="TES189" s="5"/>
      <c r="TET189" s="5"/>
      <c r="TEU189" s="5"/>
      <c r="TEV189" s="5"/>
      <c r="TEW189" s="5"/>
      <c r="TEX189" s="5"/>
      <c r="TEY189" s="5"/>
      <c r="TEZ189" s="5"/>
      <c r="TFA189" s="5"/>
      <c r="TFB189" s="5"/>
      <c r="TFC189" s="5"/>
      <c r="TFD189" s="5"/>
      <c r="TFE189" s="5"/>
      <c r="TFF189" s="5"/>
      <c r="TFG189" s="5"/>
      <c r="TFH189" s="5"/>
      <c r="TFI189" s="5"/>
      <c r="TFJ189" s="5"/>
      <c r="TFK189" s="5"/>
      <c r="TFL189" s="5"/>
      <c r="TFM189" s="5"/>
      <c r="TFN189" s="5"/>
      <c r="TFO189" s="5"/>
      <c r="TFP189" s="5"/>
      <c r="TFQ189" s="5"/>
      <c r="TFR189" s="5"/>
      <c r="TFS189" s="5"/>
      <c r="TFT189" s="5"/>
      <c r="TFU189" s="5"/>
      <c r="TFV189" s="5"/>
      <c r="TFW189" s="5"/>
      <c r="TFX189" s="5"/>
      <c r="TFY189" s="5"/>
      <c r="TFZ189" s="5"/>
      <c r="TGA189" s="5"/>
      <c r="TGB189" s="5"/>
      <c r="TGC189" s="5"/>
      <c r="TGD189" s="5"/>
      <c r="TGE189" s="5"/>
      <c r="TGF189" s="5"/>
      <c r="TGG189" s="5"/>
      <c r="TGH189" s="5"/>
      <c r="TGI189" s="5"/>
      <c r="TGJ189" s="5"/>
      <c r="TGK189" s="5"/>
      <c r="TGL189" s="5"/>
      <c r="TGM189" s="5"/>
      <c r="TGN189" s="5"/>
      <c r="TGO189" s="5"/>
      <c r="TGP189" s="5"/>
      <c r="TGQ189" s="5"/>
      <c r="TGR189" s="5"/>
      <c r="TGS189" s="5"/>
      <c r="TGT189" s="5"/>
      <c r="TGU189" s="5"/>
      <c r="TGV189" s="5"/>
      <c r="TGW189" s="5"/>
      <c r="TGX189" s="5"/>
      <c r="TGY189" s="5"/>
      <c r="TGZ189" s="5"/>
      <c r="THA189" s="5"/>
      <c r="THB189" s="5"/>
      <c r="THC189" s="5"/>
      <c r="THD189" s="5"/>
      <c r="THE189" s="5"/>
      <c r="THF189" s="5"/>
      <c r="THG189" s="5"/>
      <c r="THH189" s="5"/>
      <c r="THI189" s="5"/>
      <c r="THJ189" s="5"/>
      <c r="THK189" s="5"/>
      <c r="THL189" s="5"/>
      <c r="THM189" s="5"/>
      <c r="THN189" s="5"/>
      <c r="THO189" s="5"/>
      <c r="THP189" s="5"/>
      <c r="THQ189" s="5"/>
      <c r="THR189" s="5"/>
      <c r="THS189" s="5"/>
      <c r="THT189" s="5"/>
      <c r="THU189" s="5"/>
      <c r="THV189" s="5"/>
      <c r="THW189" s="5"/>
      <c r="THX189" s="5"/>
      <c r="THY189" s="5"/>
      <c r="THZ189" s="5"/>
      <c r="TIA189" s="5"/>
      <c r="TIB189" s="5"/>
      <c r="TIC189" s="5"/>
      <c r="TID189" s="5"/>
      <c r="TIE189" s="5"/>
      <c r="TIF189" s="5"/>
      <c r="TIG189" s="5"/>
      <c r="TIH189" s="5"/>
      <c r="TII189" s="5"/>
      <c r="TIJ189" s="5"/>
      <c r="TIK189" s="5"/>
      <c r="TIL189" s="5"/>
      <c r="TIM189" s="5"/>
      <c r="TIN189" s="5"/>
      <c r="TIO189" s="5"/>
      <c r="TIP189" s="5"/>
      <c r="TIQ189" s="5"/>
      <c r="TIR189" s="5"/>
      <c r="TIS189" s="5"/>
      <c r="TIT189" s="5"/>
      <c r="TIU189" s="5"/>
      <c r="TIV189" s="5"/>
      <c r="TIW189" s="5"/>
      <c r="TIX189" s="5"/>
      <c r="TIY189" s="5"/>
      <c r="TIZ189" s="5"/>
      <c r="TJA189" s="5"/>
      <c r="TJB189" s="5"/>
      <c r="TJC189" s="5"/>
      <c r="TJD189" s="5"/>
      <c r="TJE189" s="5"/>
      <c r="TJF189" s="5"/>
      <c r="TJG189" s="5"/>
      <c r="TJH189" s="5"/>
      <c r="TJI189" s="5"/>
      <c r="TJJ189" s="5"/>
      <c r="TJK189" s="5"/>
      <c r="TJL189" s="5"/>
      <c r="TJM189" s="5"/>
      <c r="TJN189" s="5"/>
      <c r="TJO189" s="5"/>
      <c r="TJP189" s="5"/>
      <c r="TJQ189" s="5"/>
      <c r="TJR189" s="5"/>
      <c r="TJS189" s="5"/>
      <c r="TJT189" s="5"/>
      <c r="TJU189" s="5"/>
      <c r="TJV189" s="5"/>
      <c r="TJW189" s="5"/>
      <c r="TJX189" s="5"/>
      <c r="TJY189" s="5"/>
      <c r="TJZ189" s="5"/>
      <c r="TKA189" s="5"/>
      <c r="TKB189" s="5"/>
      <c r="TKC189" s="5"/>
      <c r="TKD189" s="5"/>
      <c r="TKE189" s="5"/>
      <c r="TKF189" s="5"/>
      <c r="TKG189" s="5"/>
      <c r="TKH189" s="5"/>
      <c r="TKI189" s="5"/>
      <c r="TKJ189" s="5"/>
      <c r="TKK189" s="5"/>
      <c r="TKL189" s="5"/>
      <c r="TKM189" s="5"/>
      <c r="TKN189" s="5"/>
      <c r="TKO189" s="5"/>
      <c r="TKP189" s="5"/>
      <c r="TKQ189" s="5"/>
      <c r="TKR189" s="5"/>
      <c r="TKS189" s="5"/>
      <c r="TKT189" s="5"/>
      <c r="TKU189" s="5"/>
      <c r="TKV189" s="5"/>
      <c r="TKW189" s="5"/>
      <c r="TKX189" s="5"/>
      <c r="TKY189" s="5"/>
      <c r="TKZ189" s="5"/>
      <c r="TLA189" s="5"/>
      <c r="TLB189" s="5"/>
      <c r="TLC189" s="5"/>
      <c r="TLD189" s="5"/>
      <c r="TLE189" s="5"/>
      <c r="TLF189" s="5"/>
      <c r="TLG189" s="5"/>
      <c r="TLH189" s="5"/>
      <c r="TLI189" s="5"/>
      <c r="TLJ189" s="5"/>
      <c r="TLK189" s="5"/>
      <c r="TLL189" s="5"/>
      <c r="TLM189" s="5"/>
      <c r="TLN189" s="5"/>
      <c r="TLO189" s="5"/>
      <c r="TLP189" s="5"/>
      <c r="TLQ189" s="5"/>
      <c r="TLR189" s="5"/>
      <c r="TLS189" s="5"/>
      <c r="TLT189" s="5"/>
      <c r="TLU189" s="5"/>
      <c r="TLV189" s="5"/>
      <c r="TLW189" s="5"/>
      <c r="TLX189" s="5"/>
      <c r="TLY189" s="5"/>
      <c r="TLZ189" s="5"/>
      <c r="TMA189" s="5"/>
      <c r="TMB189" s="5"/>
      <c r="TMC189" s="5"/>
      <c r="TMD189" s="5"/>
      <c r="TME189" s="5"/>
      <c r="TMF189" s="5"/>
      <c r="TMG189" s="5"/>
      <c r="TMH189" s="5"/>
      <c r="TMI189" s="5"/>
      <c r="TMJ189" s="5"/>
      <c r="TMK189" s="5"/>
      <c r="TML189" s="5"/>
      <c r="TMM189" s="5"/>
      <c r="TMN189" s="5"/>
      <c r="TMO189" s="5"/>
      <c r="TMP189" s="5"/>
      <c r="TMQ189" s="5"/>
      <c r="TMR189" s="5"/>
      <c r="TMS189" s="5"/>
      <c r="TMT189" s="5"/>
      <c r="TMU189" s="5"/>
      <c r="TMV189" s="5"/>
      <c r="TMW189" s="5"/>
      <c r="TMX189" s="5"/>
      <c r="TMY189" s="5"/>
      <c r="TMZ189" s="5"/>
      <c r="TNA189" s="5"/>
      <c r="TNB189" s="5"/>
      <c r="TNC189" s="5"/>
      <c r="TND189" s="5"/>
      <c r="TNE189" s="5"/>
      <c r="TNF189" s="5"/>
      <c r="TNG189" s="5"/>
      <c r="TNH189" s="5"/>
      <c r="TNI189" s="5"/>
      <c r="TNJ189" s="5"/>
      <c r="TNK189" s="5"/>
      <c r="TNL189" s="5"/>
      <c r="TNM189" s="5"/>
      <c r="TNN189" s="5"/>
      <c r="TNO189" s="5"/>
      <c r="TNP189" s="5"/>
      <c r="TNQ189" s="5"/>
      <c r="TNR189" s="5"/>
      <c r="TNS189" s="5"/>
      <c r="TNT189" s="5"/>
      <c r="TNU189" s="5"/>
      <c r="TNV189" s="5"/>
      <c r="TNW189" s="5"/>
      <c r="TNX189" s="5"/>
      <c r="TNY189" s="5"/>
      <c r="TNZ189" s="5"/>
      <c r="TOA189" s="5"/>
      <c r="TOB189" s="5"/>
      <c r="TOC189" s="5"/>
      <c r="TOD189" s="5"/>
      <c r="TOE189" s="5"/>
      <c r="TOF189" s="5"/>
      <c r="TOG189" s="5"/>
      <c r="TOH189" s="5"/>
      <c r="TOI189" s="5"/>
      <c r="TOJ189" s="5"/>
      <c r="TOK189" s="5"/>
      <c r="TOL189" s="5"/>
      <c r="TOM189" s="5"/>
      <c r="TON189" s="5"/>
      <c r="TOO189" s="5"/>
      <c r="TOP189" s="5"/>
      <c r="TOQ189" s="5"/>
      <c r="TOR189" s="5"/>
      <c r="TOS189" s="5"/>
      <c r="TOT189" s="5"/>
      <c r="TOU189" s="5"/>
      <c r="TOV189" s="5"/>
      <c r="TOW189" s="5"/>
      <c r="TOX189" s="5"/>
      <c r="TOY189" s="5"/>
      <c r="TOZ189" s="5"/>
      <c r="TPA189" s="5"/>
      <c r="TPB189" s="5"/>
      <c r="TPC189" s="5"/>
      <c r="TPD189" s="5"/>
      <c r="TPE189" s="5"/>
      <c r="TPF189" s="5"/>
      <c r="TPG189" s="5"/>
      <c r="TPH189" s="5"/>
      <c r="TPI189" s="5"/>
      <c r="TPJ189" s="5"/>
      <c r="TPK189" s="5"/>
      <c r="TPL189" s="5"/>
      <c r="TPM189" s="5"/>
      <c r="TPN189" s="5"/>
      <c r="TPO189" s="5"/>
      <c r="TPP189" s="5"/>
      <c r="TPQ189" s="5"/>
      <c r="TPR189" s="5"/>
      <c r="TPS189" s="5"/>
      <c r="TPT189" s="5"/>
      <c r="TPU189" s="5"/>
      <c r="TPV189" s="5"/>
      <c r="TPW189" s="5"/>
      <c r="TPX189" s="5"/>
      <c r="TPY189" s="5"/>
      <c r="TPZ189" s="5"/>
      <c r="TQA189" s="5"/>
      <c r="TQB189" s="5"/>
      <c r="TQC189" s="5"/>
      <c r="TQD189" s="5"/>
      <c r="TQE189" s="5"/>
      <c r="TQF189" s="5"/>
      <c r="TQG189" s="5"/>
      <c r="TQH189" s="5"/>
      <c r="TQI189" s="5"/>
      <c r="TQJ189" s="5"/>
      <c r="TQK189" s="5"/>
      <c r="TQL189" s="5"/>
      <c r="TQM189" s="5"/>
      <c r="TQN189" s="5"/>
      <c r="TQO189" s="5"/>
      <c r="TQP189" s="5"/>
      <c r="TQQ189" s="5"/>
      <c r="TQR189" s="5"/>
      <c r="TQS189" s="5"/>
      <c r="TQT189" s="5"/>
      <c r="TQU189" s="5"/>
      <c r="TQV189" s="5"/>
      <c r="TQW189" s="5"/>
      <c r="TQX189" s="5"/>
      <c r="TQY189" s="5"/>
      <c r="TQZ189" s="5"/>
      <c r="TRA189" s="5"/>
      <c r="TRB189" s="5"/>
      <c r="TRC189" s="5"/>
      <c r="TRD189" s="5"/>
      <c r="TRE189" s="5"/>
      <c r="TRF189" s="5"/>
      <c r="TRG189" s="5"/>
      <c r="TRH189" s="5"/>
      <c r="TRI189" s="5"/>
      <c r="TRJ189" s="5"/>
      <c r="TRK189" s="5"/>
      <c r="TRL189" s="5"/>
      <c r="TRM189" s="5"/>
      <c r="TRN189" s="5"/>
      <c r="TRO189" s="5"/>
      <c r="TRP189" s="5"/>
      <c r="TRQ189" s="5"/>
      <c r="TRR189" s="5"/>
      <c r="TRS189" s="5"/>
      <c r="TRT189" s="5"/>
      <c r="TRU189" s="5"/>
      <c r="TRV189" s="5"/>
      <c r="TRW189" s="5"/>
      <c r="TRX189" s="5"/>
      <c r="TRY189" s="5"/>
      <c r="TRZ189" s="5"/>
      <c r="TSA189" s="5"/>
      <c r="TSB189" s="5"/>
      <c r="TSC189" s="5"/>
      <c r="TSD189" s="5"/>
      <c r="TSE189" s="5"/>
      <c r="TSF189" s="5"/>
      <c r="TSG189" s="5"/>
      <c r="TSH189" s="5"/>
      <c r="TSI189" s="5"/>
      <c r="TSJ189" s="5"/>
      <c r="TSK189" s="5"/>
      <c r="TSL189" s="5"/>
      <c r="TSM189" s="5"/>
      <c r="TSN189" s="5"/>
      <c r="TSO189" s="5"/>
      <c r="TSP189" s="5"/>
      <c r="TSQ189" s="5"/>
      <c r="TSR189" s="5"/>
      <c r="TSS189" s="5"/>
      <c r="TST189" s="5"/>
      <c r="TSU189" s="5"/>
      <c r="TSV189" s="5"/>
      <c r="TSW189" s="5"/>
      <c r="TSX189" s="5"/>
      <c r="TSY189" s="5"/>
      <c r="TSZ189" s="5"/>
      <c r="TTA189" s="5"/>
      <c r="TTB189" s="5"/>
      <c r="TTC189" s="5"/>
      <c r="TTD189" s="5"/>
      <c r="TTE189" s="5"/>
      <c r="TTF189" s="5"/>
      <c r="TTG189" s="5"/>
      <c r="TTH189" s="5"/>
      <c r="TTI189" s="5"/>
      <c r="TTJ189" s="5"/>
      <c r="TTK189" s="5"/>
      <c r="TTL189" s="5"/>
      <c r="TTM189" s="5"/>
      <c r="TTN189" s="5"/>
      <c r="TTO189" s="5"/>
      <c r="TTP189" s="5"/>
      <c r="TTQ189" s="5"/>
      <c r="TTR189" s="5"/>
      <c r="TTS189" s="5"/>
      <c r="TTT189" s="5"/>
      <c r="TTU189" s="5"/>
      <c r="TTV189" s="5"/>
      <c r="TTW189" s="5"/>
      <c r="TTX189" s="5"/>
      <c r="TTY189" s="5"/>
      <c r="TTZ189" s="5"/>
      <c r="TUA189" s="5"/>
      <c r="TUB189" s="5"/>
      <c r="TUC189" s="5"/>
      <c r="TUD189" s="5"/>
      <c r="TUE189" s="5"/>
      <c r="TUF189" s="5"/>
      <c r="TUG189" s="5"/>
      <c r="TUH189" s="5"/>
      <c r="TUI189" s="5"/>
      <c r="TUJ189" s="5"/>
      <c r="TUK189" s="5"/>
      <c r="TUL189" s="5"/>
      <c r="TUM189" s="5"/>
      <c r="TUN189" s="5"/>
      <c r="TUO189" s="5"/>
      <c r="TUP189" s="5"/>
      <c r="TUQ189" s="5"/>
      <c r="TUR189" s="5"/>
      <c r="TUS189" s="5"/>
      <c r="TUT189" s="5"/>
      <c r="TUU189" s="5"/>
      <c r="TUV189" s="5"/>
      <c r="TUW189" s="5"/>
      <c r="TUX189" s="5"/>
      <c r="TUY189" s="5"/>
      <c r="TUZ189" s="5"/>
      <c r="TVA189" s="5"/>
      <c r="TVB189" s="5"/>
      <c r="TVC189" s="5"/>
      <c r="TVD189" s="5"/>
      <c r="TVE189" s="5"/>
      <c r="TVF189" s="5"/>
      <c r="TVG189" s="5"/>
      <c r="TVH189" s="5"/>
      <c r="TVI189" s="5"/>
      <c r="TVJ189" s="5"/>
      <c r="TVK189" s="5"/>
      <c r="TVL189" s="5"/>
      <c r="TVM189" s="5"/>
      <c r="TVN189" s="5"/>
      <c r="TVO189" s="5"/>
      <c r="TVP189" s="5"/>
      <c r="TVQ189" s="5"/>
      <c r="TVR189" s="5"/>
      <c r="TVS189" s="5"/>
      <c r="TVT189" s="5"/>
      <c r="TVU189" s="5"/>
      <c r="TVV189" s="5"/>
      <c r="TVW189" s="5"/>
      <c r="TVX189" s="5"/>
      <c r="TVY189" s="5"/>
      <c r="TVZ189" s="5"/>
      <c r="TWA189" s="5"/>
      <c r="TWB189" s="5"/>
      <c r="TWC189" s="5"/>
      <c r="TWD189" s="5"/>
      <c r="TWE189" s="5"/>
      <c r="TWF189" s="5"/>
      <c r="TWG189" s="5"/>
      <c r="TWH189" s="5"/>
      <c r="TWI189" s="5"/>
      <c r="TWJ189" s="5"/>
      <c r="TWK189" s="5"/>
      <c r="TWL189" s="5"/>
      <c r="TWM189" s="5"/>
      <c r="TWN189" s="5"/>
      <c r="TWO189" s="5"/>
      <c r="TWP189" s="5"/>
      <c r="TWQ189" s="5"/>
      <c r="TWR189" s="5"/>
      <c r="TWS189" s="5"/>
      <c r="TWT189" s="5"/>
      <c r="TWU189" s="5"/>
      <c r="TWV189" s="5"/>
      <c r="TWW189" s="5"/>
      <c r="TWX189" s="5"/>
      <c r="TWY189" s="5"/>
      <c r="TWZ189" s="5"/>
      <c r="TXA189" s="5"/>
      <c r="TXB189" s="5"/>
      <c r="TXC189" s="5"/>
      <c r="TXD189" s="5"/>
      <c r="TXE189" s="5"/>
      <c r="TXF189" s="5"/>
      <c r="TXG189" s="5"/>
      <c r="TXH189" s="5"/>
      <c r="TXI189" s="5"/>
      <c r="TXJ189" s="5"/>
      <c r="TXK189" s="5"/>
      <c r="TXL189" s="5"/>
      <c r="TXM189" s="5"/>
      <c r="TXN189" s="5"/>
      <c r="TXO189" s="5"/>
      <c r="TXP189" s="5"/>
      <c r="TXQ189" s="5"/>
      <c r="TXR189" s="5"/>
      <c r="TXS189" s="5"/>
      <c r="TXT189" s="5"/>
      <c r="TXU189" s="5"/>
      <c r="TXV189" s="5"/>
      <c r="TXW189" s="5"/>
      <c r="TXX189" s="5"/>
      <c r="TXY189" s="5"/>
      <c r="TXZ189" s="5"/>
      <c r="TYA189" s="5"/>
      <c r="TYB189" s="5"/>
      <c r="TYC189" s="5"/>
      <c r="TYD189" s="5"/>
      <c r="TYE189" s="5"/>
      <c r="TYF189" s="5"/>
      <c r="TYG189" s="5"/>
      <c r="TYH189" s="5"/>
      <c r="TYI189" s="5"/>
      <c r="TYJ189" s="5"/>
      <c r="TYK189" s="5"/>
      <c r="TYL189" s="5"/>
      <c r="TYM189" s="5"/>
      <c r="TYN189" s="5"/>
      <c r="TYO189" s="5"/>
      <c r="TYP189" s="5"/>
      <c r="TYQ189" s="5"/>
      <c r="TYR189" s="5"/>
      <c r="TYS189" s="5"/>
      <c r="TYT189" s="5"/>
      <c r="TYU189" s="5"/>
      <c r="TYV189" s="5"/>
      <c r="TYW189" s="5"/>
      <c r="TYX189" s="5"/>
      <c r="TYY189" s="5"/>
      <c r="TYZ189" s="5"/>
      <c r="TZA189" s="5"/>
      <c r="TZB189" s="5"/>
      <c r="TZC189" s="5"/>
      <c r="TZD189" s="5"/>
      <c r="TZE189" s="5"/>
      <c r="TZF189" s="5"/>
      <c r="TZG189" s="5"/>
      <c r="TZH189" s="5"/>
      <c r="TZI189" s="5"/>
      <c r="TZJ189" s="5"/>
      <c r="TZK189" s="5"/>
      <c r="TZL189" s="5"/>
      <c r="TZM189" s="5"/>
      <c r="TZN189" s="5"/>
      <c r="TZO189" s="5"/>
      <c r="TZP189" s="5"/>
      <c r="TZQ189" s="5"/>
      <c r="TZR189" s="5"/>
      <c r="TZS189" s="5"/>
      <c r="TZT189" s="5"/>
      <c r="TZU189" s="5"/>
      <c r="TZV189" s="5"/>
      <c r="TZW189" s="5"/>
      <c r="TZX189" s="5"/>
      <c r="TZY189" s="5"/>
      <c r="TZZ189" s="5"/>
      <c r="UAA189" s="5"/>
      <c r="UAB189" s="5"/>
      <c r="UAC189" s="5"/>
      <c r="UAD189" s="5"/>
      <c r="UAE189" s="5"/>
      <c r="UAF189" s="5"/>
      <c r="UAG189" s="5"/>
      <c r="UAH189" s="5"/>
      <c r="UAI189" s="5"/>
      <c r="UAJ189" s="5"/>
      <c r="UAK189" s="5"/>
      <c r="UAL189" s="5"/>
      <c r="UAM189" s="5"/>
      <c r="UAN189" s="5"/>
      <c r="UAO189" s="5"/>
      <c r="UAP189" s="5"/>
      <c r="UAQ189" s="5"/>
      <c r="UAR189" s="5"/>
      <c r="UAS189" s="5"/>
      <c r="UAT189" s="5"/>
      <c r="UAU189" s="5"/>
      <c r="UAV189" s="5"/>
      <c r="UAW189" s="5"/>
      <c r="UAX189" s="5"/>
      <c r="UAY189" s="5"/>
      <c r="UAZ189" s="5"/>
      <c r="UBA189" s="5"/>
      <c r="UBB189" s="5"/>
      <c r="UBC189" s="5"/>
      <c r="UBD189" s="5"/>
      <c r="UBE189" s="5"/>
      <c r="UBF189" s="5"/>
      <c r="UBG189" s="5"/>
      <c r="UBH189" s="5"/>
      <c r="UBI189" s="5"/>
      <c r="UBJ189" s="5"/>
      <c r="UBK189" s="5"/>
      <c r="UBL189" s="5"/>
      <c r="UBM189" s="5"/>
      <c r="UBN189" s="5"/>
      <c r="UBO189" s="5"/>
      <c r="UBP189" s="5"/>
      <c r="UBQ189" s="5"/>
      <c r="UBR189" s="5"/>
      <c r="UBS189" s="5"/>
      <c r="UBT189" s="5"/>
      <c r="UBU189" s="5"/>
      <c r="UBV189" s="5"/>
      <c r="UBW189" s="5"/>
      <c r="UBX189" s="5"/>
      <c r="UBY189" s="5"/>
      <c r="UBZ189" s="5"/>
      <c r="UCA189" s="5"/>
      <c r="UCB189" s="5"/>
      <c r="UCC189" s="5"/>
      <c r="UCD189" s="5"/>
      <c r="UCE189" s="5"/>
      <c r="UCF189" s="5"/>
      <c r="UCG189" s="5"/>
      <c r="UCH189" s="5"/>
      <c r="UCI189" s="5"/>
      <c r="UCJ189" s="5"/>
      <c r="UCK189" s="5"/>
      <c r="UCL189" s="5"/>
      <c r="UCM189" s="5"/>
      <c r="UCN189" s="5"/>
      <c r="UCO189" s="5"/>
      <c r="UCP189" s="5"/>
      <c r="UCQ189" s="5"/>
      <c r="UCR189" s="5"/>
      <c r="UCS189" s="5"/>
      <c r="UCT189" s="5"/>
      <c r="UCU189" s="5"/>
      <c r="UCV189" s="5"/>
      <c r="UCW189" s="5"/>
      <c r="UCX189" s="5"/>
      <c r="UCY189" s="5"/>
      <c r="UCZ189" s="5"/>
      <c r="UDA189" s="5"/>
      <c r="UDB189" s="5"/>
      <c r="UDC189" s="5"/>
      <c r="UDD189" s="5"/>
      <c r="UDE189" s="5"/>
      <c r="UDF189" s="5"/>
      <c r="UDG189" s="5"/>
      <c r="UDH189" s="5"/>
      <c r="UDI189" s="5"/>
      <c r="UDJ189" s="5"/>
      <c r="UDK189" s="5"/>
      <c r="UDL189" s="5"/>
      <c r="UDM189" s="5"/>
      <c r="UDN189" s="5"/>
      <c r="UDO189" s="5"/>
      <c r="UDP189" s="5"/>
      <c r="UDQ189" s="5"/>
      <c r="UDR189" s="5"/>
      <c r="UDS189" s="5"/>
      <c r="UDT189" s="5"/>
      <c r="UDU189" s="5"/>
      <c r="UDV189" s="5"/>
      <c r="UDW189" s="5"/>
      <c r="UDX189" s="5"/>
      <c r="UDY189" s="5"/>
      <c r="UDZ189" s="5"/>
      <c r="UEA189" s="5"/>
      <c r="UEB189" s="5"/>
      <c r="UEC189" s="5"/>
      <c r="UED189" s="5"/>
      <c r="UEE189" s="5"/>
      <c r="UEF189" s="5"/>
      <c r="UEG189" s="5"/>
      <c r="UEH189" s="5"/>
      <c r="UEI189" s="5"/>
      <c r="UEJ189" s="5"/>
      <c r="UEK189" s="5"/>
      <c r="UEL189" s="5"/>
      <c r="UEM189" s="5"/>
      <c r="UEN189" s="5"/>
      <c r="UEO189" s="5"/>
      <c r="UEP189" s="5"/>
      <c r="UEQ189" s="5"/>
      <c r="UER189" s="5"/>
      <c r="UES189" s="5"/>
      <c r="UET189" s="5"/>
      <c r="UEU189" s="5"/>
      <c r="UEV189" s="5"/>
      <c r="UEW189" s="5"/>
      <c r="UEX189" s="5"/>
      <c r="UEY189" s="5"/>
      <c r="UEZ189" s="5"/>
      <c r="UFA189" s="5"/>
      <c r="UFB189" s="5"/>
      <c r="UFC189" s="5"/>
      <c r="UFD189" s="5"/>
      <c r="UFE189" s="5"/>
      <c r="UFF189" s="5"/>
      <c r="UFG189" s="5"/>
      <c r="UFH189" s="5"/>
      <c r="UFI189" s="5"/>
      <c r="UFJ189" s="5"/>
      <c r="UFK189" s="5"/>
      <c r="UFL189" s="5"/>
      <c r="UFM189" s="5"/>
      <c r="UFN189" s="5"/>
      <c r="UFO189" s="5"/>
      <c r="UFP189" s="5"/>
      <c r="UFQ189" s="5"/>
      <c r="UFR189" s="5"/>
      <c r="UFS189" s="5"/>
      <c r="UFT189" s="5"/>
      <c r="UFU189" s="5"/>
      <c r="UFV189" s="5"/>
      <c r="UFW189" s="5"/>
      <c r="UFX189" s="5"/>
      <c r="UFY189" s="5"/>
      <c r="UFZ189" s="5"/>
      <c r="UGA189" s="5"/>
      <c r="UGB189" s="5"/>
      <c r="UGC189" s="5"/>
      <c r="UGD189" s="5"/>
      <c r="UGE189" s="5"/>
      <c r="UGF189" s="5"/>
      <c r="UGG189" s="5"/>
      <c r="UGH189" s="5"/>
      <c r="UGI189" s="5"/>
      <c r="UGJ189" s="5"/>
      <c r="UGK189" s="5"/>
      <c r="UGL189" s="5"/>
      <c r="UGM189" s="5"/>
      <c r="UGN189" s="5"/>
      <c r="UGO189" s="5"/>
      <c r="UGP189" s="5"/>
      <c r="UGQ189" s="5"/>
      <c r="UGR189" s="5"/>
      <c r="UGS189" s="5"/>
      <c r="UGT189" s="5"/>
      <c r="UGU189" s="5"/>
      <c r="UGV189" s="5"/>
      <c r="UGW189" s="5"/>
      <c r="UGX189" s="5"/>
      <c r="UGY189" s="5"/>
      <c r="UGZ189" s="5"/>
      <c r="UHA189" s="5"/>
      <c r="UHB189" s="5"/>
      <c r="UHC189" s="5"/>
      <c r="UHD189" s="5"/>
      <c r="UHE189" s="5"/>
      <c r="UHF189" s="5"/>
      <c r="UHG189" s="5"/>
      <c r="UHH189" s="5"/>
      <c r="UHI189" s="5"/>
      <c r="UHJ189" s="5"/>
      <c r="UHK189" s="5"/>
      <c r="UHL189" s="5"/>
      <c r="UHM189" s="5"/>
      <c r="UHN189" s="5"/>
      <c r="UHO189" s="5"/>
      <c r="UHP189" s="5"/>
      <c r="UHQ189" s="5"/>
      <c r="UHR189" s="5"/>
      <c r="UHS189" s="5"/>
      <c r="UHT189" s="5"/>
      <c r="UHU189" s="5"/>
      <c r="UHV189" s="5"/>
      <c r="UHW189" s="5"/>
      <c r="UHX189" s="5"/>
      <c r="UHY189" s="5"/>
      <c r="UHZ189" s="5"/>
      <c r="UIA189" s="5"/>
      <c r="UIB189" s="5"/>
      <c r="UIC189" s="5"/>
      <c r="UID189" s="5"/>
      <c r="UIE189" s="5"/>
      <c r="UIF189" s="5"/>
      <c r="UIG189" s="5"/>
      <c r="UIH189" s="5"/>
      <c r="UII189" s="5"/>
      <c r="UIJ189" s="5"/>
      <c r="UIK189" s="5"/>
      <c r="UIL189" s="5"/>
      <c r="UIM189" s="5"/>
      <c r="UIN189" s="5"/>
      <c r="UIO189" s="5"/>
      <c r="UIP189" s="5"/>
      <c r="UIQ189" s="5"/>
      <c r="UIR189" s="5"/>
      <c r="UIS189" s="5"/>
      <c r="UIT189" s="5"/>
      <c r="UIU189" s="5"/>
      <c r="UIV189" s="5"/>
      <c r="UIW189" s="5"/>
      <c r="UIX189" s="5"/>
      <c r="UIY189" s="5"/>
      <c r="UIZ189" s="5"/>
      <c r="UJA189" s="5"/>
      <c r="UJB189" s="5"/>
      <c r="UJC189" s="5"/>
      <c r="UJD189" s="5"/>
      <c r="UJE189" s="5"/>
      <c r="UJF189" s="5"/>
      <c r="UJG189" s="5"/>
      <c r="UJH189" s="5"/>
      <c r="UJI189" s="5"/>
      <c r="UJJ189" s="5"/>
      <c r="UJK189" s="5"/>
      <c r="UJL189" s="5"/>
      <c r="UJM189" s="5"/>
      <c r="UJN189" s="5"/>
      <c r="UJO189" s="5"/>
      <c r="UJP189" s="5"/>
      <c r="UJQ189" s="5"/>
      <c r="UJR189" s="5"/>
      <c r="UJS189" s="5"/>
      <c r="UJT189" s="5"/>
      <c r="UJU189" s="5"/>
      <c r="UJV189" s="5"/>
      <c r="UJW189" s="5"/>
      <c r="UJX189" s="5"/>
      <c r="UJY189" s="5"/>
      <c r="UJZ189" s="5"/>
      <c r="UKA189" s="5"/>
      <c r="UKB189" s="5"/>
      <c r="UKC189" s="5"/>
      <c r="UKD189" s="5"/>
      <c r="UKE189" s="5"/>
      <c r="UKF189" s="5"/>
      <c r="UKG189" s="5"/>
      <c r="UKH189" s="5"/>
      <c r="UKI189" s="5"/>
      <c r="UKJ189" s="5"/>
      <c r="UKK189" s="5"/>
      <c r="UKL189" s="5"/>
      <c r="UKM189" s="5"/>
      <c r="UKN189" s="5"/>
      <c r="UKO189" s="5"/>
      <c r="UKP189" s="5"/>
      <c r="UKQ189" s="5"/>
      <c r="UKR189" s="5"/>
      <c r="UKS189" s="5"/>
      <c r="UKT189" s="5"/>
      <c r="UKU189" s="5"/>
      <c r="UKV189" s="5"/>
      <c r="UKW189" s="5"/>
      <c r="UKX189" s="5"/>
      <c r="UKY189" s="5"/>
      <c r="UKZ189" s="5"/>
      <c r="ULA189" s="5"/>
      <c r="ULB189" s="5"/>
      <c r="ULC189" s="5"/>
      <c r="ULD189" s="5"/>
      <c r="ULE189" s="5"/>
      <c r="ULF189" s="5"/>
      <c r="ULG189" s="5"/>
      <c r="ULH189" s="5"/>
      <c r="ULI189" s="5"/>
      <c r="ULJ189" s="5"/>
      <c r="ULK189" s="5"/>
      <c r="ULL189" s="5"/>
      <c r="ULM189" s="5"/>
      <c r="ULN189" s="5"/>
      <c r="ULO189" s="5"/>
      <c r="ULP189" s="5"/>
      <c r="ULQ189" s="5"/>
      <c r="ULR189" s="5"/>
      <c r="ULS189" s="5"/>
      <c r="ULT189" s="5"/>
      <c r="ULU189" s="5"/>
      <c r="ULV189" s="5"/>
      <c r="ULW189" s="5"/>
      <c r="ULX189" s="5"/>
      <c r="ULY189" s="5"/>
      <c r="ULZ189" s="5"/>
      <c r="UMA189" s="5"/>
      <c r="UMB189" s="5"/>
      <c r="UMC189" s="5"/>
      <c r="UMD189" s="5"/>
      <c r="UME189" s="5"/>
      <c r="UMF189" s="5"/>
      <c r="UMG189" s="5"/>
      <c r="UMH189" s="5"/>
      <c r="UMI189" s="5"/>
      <c r="UMJ189" s="5"/>
      <c r="UMK189" s="5"/>
      <c r="UML189" s="5"/>
      <c r="UMM189" s="5"/>
      <c r="UMN189" s="5"/>
      <c r="UMO189" s="5"/>
      <c r="UMP189" s="5"/>
      <c r="UMQ189" s="5"/>
      <c r="UMR189" s="5"/>
      <c r="UMS189" s="5"/>
      <c r="UMT189" s="5"/>
      <c r="UMU189" s="5"/>
      <c r="UMV189" s="5"/>
      <c r="UMW189" s="5"/>
      <c r="UMX189" s="5"/>
      <c r="UMY189" s="5"/>
      <c r="UMZ189" s="5"/>
      <c r="UNA189" s="5"/>
      <c r="UNB189" s="5"/>
      <c r="UNC189" s="5"/>
      <c r="UND189" s="5"/>
      <c r="UNE189" s="5"/>
      <c r="UNF189" s="5"/>
      <c r="UNG189" s="5"/>
      <c r="UNH189" s="5"/>
      <c r="UNI189" s="5"/>
      <c r="UNJ189" s="5"/>
      <c r="UNK189" s="5"/>
      <c r="UNL189" s="5"/>
      <c r="UNM189" s="5"/>
      <c r="UNN189" s="5"/>
      <c r="UNO189" s="5"/>
      <c r="UNP189" s="5"/>
      <c r="UNQ189" s="5"/>
      <c r="UNR189" s="5"/>
      <c r="UNS189" s="5"/>
      <c r="UNT189" s="5"/>
      <c r="UNU189" s="5"/>
      <c r="UNV189" s="5"/>
      <c r="UNW189" s="5"/>
      <c r="UNX189" s="5"/>
      <c r="UNY189" s="5"/>
      <c r="UNZ189" s="5"/>
      <c r="UOA189" s="5"/>
      <c r="UOB189" s="5"/>
      <c r="UOC189" s="5"/>
      <c r="UOD189" s="5"/>
      <c r="UOE189" s="5"/>
      <c r="UOF189" s="5"/>
      <c r="UOG189" s="5"/>
      <c r="UOH189" s="5"/>
      <c r="UOI189" s="5"/>
      <c r="UOJ189" s="5"/>
      <c r="UOK189" s="5"/>
      <c r="UOL189" s="5"/>
      <c r="UOM189" s="5"/>
      <c r="UON189" s="5"/>
      <c r="UOO189" s="5"/>
      <c r="UOP189" s="5"/>
      <c r="UOQ189" s="5"/>
      <c r="UOR189" s="5"/>
      <c r="UOS189" s="5"/>
      <c r="UOT189" s="5"/>
      <c r="UOU189" s="5"/>
      <c r="UOV189" s="5"/>
      <c r="UOW189" s="5"/>
      <c r="UOX189" s="5"/>
      <c r="UOY189" s="5"/>
      <c r="UOZ189" s="5"/>
      <c r="UPA189" s="5"/>
      <c r="UPB189" s="5"/>
      <c r="UPC189" s="5"/>
      <c r="UPD189" s="5"/>
      <c r="UPE189" s="5"/>
      <c r="UPF189" s="5"/>
      <c r="UPG189" s="5"/>
      <c r="UPH189" s="5"/>
      <c r="UPI189" s="5"/>
      <c r="UPJ189" s="5"/>
      <c r="UPK189" s="5"/>
      <c r="UPL189" s="5"/>
      <c r="UPM189" s="5"/>
      <c r="UPN189" s="5"/>
      <c r="UPO189" s="5"/>
      <c r="UPP189" s="5"/>
      <c r="UPQ189" s="5"/>
      <c r="UPR189" s="5"/>
      <c r="UPS189" s="5"/>
      <c r="UPT189" s="5"/>
      <c r="UPU189" s="5"/>
      <c r="UPV189" s="5"/>
      <c r="UPW189" s="5"/>
      <c r="UPX189" s="5"/>
      <c r="UPY189" s="5"/>
      <c r="UPZ189" s="5"/>
      <c r="UQA189" s="5"/>
      <c r="UQB189" s="5"/>
      <c r="UQC189" s="5"/>
      <c r="UQD189" s="5"/>
      <c r="UQE189" s="5"/>
      <c r="UQF189" s="5"/>
      <c r="UQG189" s="5"/>
      <c r="UQH189" s="5"/>
      <c r="UQI189" s="5"/>
      <c r="UQJ189" s="5"/>
      <c r="UQK189" s="5"/>
      <c r="UQL189" s="5"/>
      <c r="UQM189" s="5"/>
      <c r="UQN189" s="5"/>
      <c r="UQO189" s="5"/>
      <c r="UQP189" s="5"/>
      <c r="UQQ189" s="5"/>
      <c r="UQR189" s="5"/>
      <c r="UQS189" s="5"/>
      <c r="UQT189" s="5"/>
      <c r="UQU189" s="5"/>
      <c r="UQV189" s="5"/>
      <c r="UQW189" s="5"/>
      <c r="UQX189" s="5"/>
      <c r="UQY189" s="5"/>
      <c r="UQZ189" s="5"/>
      <c r="URA189" s="5"/>
      <c r="URB189" s="5"/>
      <c r="URC189" s="5"/>
      <c r="URD189" s="5"/>
      <c r="URE189" s="5"/>
      <c r="URF189" s="5"/>
      <c r="URG189" s="5"/>
      <c r="URH189" s="5"/>
      <c r="URI189" s="5"/>
      <c r="URJ189" s="5"/>
      <c r="URK189" s="5"/>
      <c r="URL189" s="5"/>
      <c r="URM189" s="5"/>
      <c r="URN189" s="5"/>
      <c r="URO189" s="5"/>
      <c r="URP189" s="5"/>
      <c r="URQ189" s="5"/>
      <c r="URR189" s="5"/>
      <c r="URS189" s="5"/>
      <c r="URT189" s="5"/>
      <c r="URU189" s="5"/>
      <c r="URV189" s="5"/>
      <c r="URW189" s="5"/>
      <c r="URX189" s="5"/>
      <c r="URY189" s="5"/>
      <c r="URZ189" s="5"/>
      <c r="USA189" s="5"/>
      <c r="USB189" s="5"/>
      <c r="USC189" s="5"/>
      <c r="USD189" s="5"/>
      <c r="USE189" s="5"/>
      <c r="USF189" s="5"/>
      <c r="USG189" s="5"/>
      <c r="USH189" s="5"/>
      <c r="USI189" s="5"/>
      <c r="USJ189" s="5"/>
      <c r="USK189" s="5"/>
      <c r="USL189" s="5"/>
      <c r="USM189" s="5"/>
      <c r="USN189" s="5"/>
      <c r="USO189" s="5"/>
      <c r="USP189" s="5"/>
      <c r="USQ189" s="5"/>
      <c r="USR189" s="5"/>
      <c r="USS189" s="5"/>
      <c r="UST189" s="5"/>
      <c r="USU189" s="5"/>
      <c r="USV189" s="5"/>
      <c r="USW189" s="5"/>
      <c r="USX189" s="5"/>
      <c r="USY189" s="5"/>
      <c r="USZ189" s="5"/>
      <c r="UTA189" s="5"/>
      <c r="UTB189" s="5"/>
      <c r="UTC189" s="5"/>
      <c r="UTD189" s="5"/>
      <c r="UTE189" s="5"/>
      <c r="UTF189" s="5"/>
      <c r="UTG189" s="5"/>
      <c r="UTH189" s="5"/>
      <c r="UTI189" s="5"/>
      <c r="UTJ189" s="5"/>
      <c r="UTK189" s="5"/>
      <c r="UTL189" s="5"/>
      <c r="UTM189" s="5"/>
      <c r="UTN189" s="5"/>
      <c r="UTO189" s="5"/>
      <c r="UTP189" s="5"/>
      <c r="UTQ189" s="5"/>
      <c r="UTR189" s="5"/>
      <c r="UTS189" s="5"/>
      <c r="UTT189" s="5"/>
      <c r="UTU189" s="5"/>
      <c r="UTV189" s="5"/>
      <c r="UTW189" s="5"/>
      <c r="UTX189" s="5"/>
      <c r="UTY189" s="5"/>
      <c r="UTZ189" s="5"/>
      <c r="UUA189" s="5"/>
      <c r="UUB189" s="5"/>
      <c r="UUC189" s="5"/>
      <c r="UUD189" s="5"/>
      <c r="UUE189" s="5"/>
      <c r="UUF189" s="5"/>
      <c r="UUG189" s="5"/>
      <c r="UUH189" s="5"/>
      <c r="UUI189" s="5"/>
      <c r="UUJ189" s="5"/>
      <c r="UUK189" s="5"/>
      <c r="UUL189" s="5"/>
      <c r="UUM189" s="5"/>
      <c r="UUN189" s="5"/>
      <c r="UUO189" s="5"/>
      <c r="UUP189" s="5"/>
      <c r="UUQ189" s="5"/>
      <c r="UUR189" s="5"/>
      <c r="UUS189" s="5"/>
      <c r="UUT189" s="5"/>
      <c r="UUU189" s="5"/>
      <c r="UUV189" s="5"/>
      <c r="UUW189" s="5"/>
      <c r="UUX189" s="5"/>
      <c r="UUY189" s="5"/>
      <c r="UUZ189" s="5"/>
      <c r="UVA189" s="5"/>
      <c r="UVB189" s="5"/>
      <c r="UVC189" s="5"/>
      <c r="UVD189" s="5"/>
      <c r="UVE189" s="5"/>
      <c r="UVF189" s="5"/>
      <c r="UVG189" s="5"/>
      <c r="UVH189" s="5"/>
      <c r="UVI189" s="5"/>
      <c r="UVJ189" s="5"/>
      <c r="UVK189" s="5"/>
      <c r="UVL189" s="5"/>
      <c r="UVM189" s="5"/>
      <c r="UVN189" s="5"/>
      <c r="UVO189" s="5"/>
      <c r="UVP189" s="5"/>
      <c r="UVQ189" s="5"/>
      <c r="UVR189" s="5"/>
      <c r="UVS189" s="5"/>
      <c r="UVT189" s="5"/>
      <c r="UVU189" s="5"/>
      <c r="UVV189" s="5"/>
      <c r="UVW189" s="5"/>
      <c r="UVX189" s="5"/>
      <c r="UVY189" s="5"/>
      <c r="UVZ189" s="5"/>
      <c r="UWA189" s="5"/>
      <c r="UWB189" s="5"/>
      <c r="UWC189" s="5"/>
      <c r="UWD189" s="5"/>
      <c r="UWE189" s="5"/>
      <c r="UWF189" s="5"/>
      <c r="UWG189" s="5"/>
      <c r="UWH189" s="5"/>
      <c r="UWI189" s="5"/>
      <c r="UWJ189" s="5"/>
      <c r="UWK189" s="5"/>
      <c r="UWL189" s="5"/>
      <c r="UWM189" s="5"/>
      <c r="UWN189" s="5"/>
      <c r="UWO189" s="5"/>
      <c r="UWP189" s="5"/>
      <c r="UWQ189" s="5"/>
      <c r="UWR189" s="5"/>
      <c r="UWS189" s="5"/>
      <c r="UWT189" s="5"/>
      <c r="UWU189" s="5"/>
      <c r="UWV189" s="5"/>
      <c r="UWW189" s="5"/>
      <c r="UWX189" s="5"/>
      <c r="UWY189" s="5"/>
      <c r="UWZ189" s="5"/>
      <c r="UXA189" s="5"/>
      <c r="UXB189" s="5"/>
      <c r="UXC189" s="5"/>
      <c r="UXD189" s="5"/>
      <c r="UXE189" s="5"/>
      <c r="UXF189" s="5"/>
      <c r="UXG189" s="5"/>
      <c r="UXH189" s="5"/>
      <c r="UXI189" s="5"/>
      <c r="UXJ189" s="5"/>
      <c r="UXK189" s="5"/>
      <c r="UXL189" s="5"/>
      <c r="UXM189" s="5"/>
      <c r="UXN189" s="5"/>
      <c r="UXO189" s="5"/>
      <c r="UXP189" s="5"/>
      <c r="UXQ189" s="5"/>
      <c r="UXR189" s="5"/>
      <c r="UXS189" s="5"/>
      <c r="UXT189" s="5"/>
      <c r="UXU189" s="5"/>
      <c r="UXV189" s="5"/>
      <c r="UXW189" s="5"/>
      <c r="UXX189" s="5"/>
      <c r="UXY189" s="5"/>
      <c r="UXZ189" s="5"/>
      <c r="UYA189" s="5"/>
      <c r="UYB189" s="5"/>
      <c r="UYC189" s="5"/>
      <c r="UYD189" s="5"/>
      <c r="UYE189" s="5"/>
      <c r="UYF189" s="5"/>
      <c r="UYG189" s="5"/>
      <c r="UYH189" s="5"/>
      <c r="UYI189" s="5"/>
      <c r="UYJ189" s="5"/>
      <c r="UYK189" s="5"/>
      <c r="UYL189" s="5"/>
      <c r="UYM189" s="5"/>
      <c r="UYN189" s="5"/>
      <c r="UYO189" s="5"/>
      <c r="UYP189" s="5"/>
      <c r="UYQ189" s="5"/>
      <c r="UYR189" s="5"/>
      <c r="UYS189" s="5"/>
      <c r="UYT189" s="5"/>
      <c r="UYU189" s="5"/>
      <c r="UYV189" s="5"/>
      <c r="UYW189" s="5"/>
      <c r="UYX189" s="5"/>
      <c r="UYY189" s="5"/>
      <c r="UYZ189" s="5"/>
      <c r="UZA189" s="5"/>
      <c r="UZB189" s="5"/>
      <c r="UZC189" s="5"/>
      <c r="UZD189" s="5"/>
      <c r="UZE189" s="5"/>
      <c r="UZF189" s="5"/>
      <c r="UZG189" s="5"/>
      <c r="UZH189" s="5"/>
      <c r="UZI189" s="5"/>
      <c r="UZJ189" s="5"/>
      <c r="UZK189" s="5"/>
      <c r="UZL189" s="5"/>
      <c r="UZM189" s="5"/>
      <c r="UZN189" s="5"/>
      <c r="UZO189" s="5"/>
      <c r="UZP189" s="5"/>
      <c r="UZQ189" s="5"/>
      <c r="UZR189" s="5"/>
      <c r="UZS189" s="5"/>
      <c r="UZT189" s="5"/>
      <c r="UZU189" s="5"/>
      <c r="UZV189" s="5"/>
      <c r="UZW189" s="5"/>
      <c r="UZX189" s="5"/>
      <c r="UZY189" s="5"/>
      <c r="UZZ189" s="5"/>
      <c r="VAA189" s="5"/>
      <c r="VAB189" s="5"/>
      <c r="VAC189" s="5"/>
      <c r="VAD189" s="5"/>
      <c r="VAE189" s="5"/>
      <c r="VAF189" s="5"/>
      <c r="VAG189" s="5"/>
      <c r="VAH189" s="5"/>
      <c r="VAI189" s="5"/>
      <c r="VAJ189" s="5"/>
      <c r="VAK189" s="5"/>
      <c r="VAL189" s="5"/>
      <c r="VAM189" s="5"/>
      <c r="VAN189" s="5"/>
      <c r="VAO189" s="5"/>
      <c r="VAP189" s="5"/>
      <c r="VAQ189" s="5"/>
      <c r="VAR189" s="5"/>
      <c r="VAS189" s="5"/>
      <c r="VAT189" s="5"/>
      <c r="VAU189" s="5"/>
      <c r="VAV189" s="5"/>
      <c r="VAW189" s="5"/>
      <c r="VAX189" s="5"/>
      <c r="VAY189" s="5"/>
      <c r="VAZ189" s="5"/>
      <c r="VBA189" s="5"/>
      <c r="VBB189" s="5"/>
      <c r="VBC189" s="5"/>
      <c r="VBD189" s="5"/>
      <c r="VBE189" s="5"/>
      <c r="VBF189" s="5"/>
      <c r="VBG189" s="5"/>
      <c r="VBH189" s="5"/>
      <c r="VBI189" s="5"/>
      <c r="VBJ189" s="5"/>
      <c r="VBK189" s="5"/>
      <c r="VBL189" s="5"/>
      <c r="VBM189" s="5"/>
      <c r="VBN189" s="5"/>
      <c r="VBO189" s="5"/>
      <c r="VBP189" s="5"/>
      <c r="VBQ189" s="5"/>
      <c r="VBR189" s="5"/>
      <c r="VBS189" s="5"/>
      <c r="VBT189" s="5"/>
      <c r="VBU189" s="5"/>
      <c r="VBV189" s="5"/>
      <c r="VBW189" s="5"/>
      <c r="VBX189" s="5"/>
      <c r="VBY189" s="5"/>
      <c r="VBZ189" s="5"/>
      <c r="VCA189" s="5"/>
      <c r="VCB189" s="5"/>
      <c r="VCC189" s="5"/>
      <c r="VCD189" s="5"/>
      <c r="VCE189" s="5"/>
      <c r="VCF189" s="5"/>
      <c r="VCG189" s="5"/>
      <c r="VCH189" s="5"/>
      <c r="VCI189" s="5"/>
      <c r="VCJ189" s="5"/>
      <c r="VCK189" s="5"/>
      <c r="VCL189" s="5"/>
      <c r="VCM189" s="5"/>
      <c r="VCN189" s="5"/>
      <c r="VCO189" s="5"/>
      <c r="VCP189" s="5"/>
      <c r="VCQ189" s="5"/>
      <c r="VCR189" s="5"/>
      <c r="VCS189" s="5"/>
      <c r="VCT189" s="5"/>
      <c r="VCU189" s="5"/>
      <c r="VCV189" s="5"/>
      <c r="VCW189" s="5"/>
      <c r="VCX189" s="5"/>
      <c r="VCY189" s="5"/>
      <c r="VCZ189" s="5"/>
      <c r="VDA189" s="5"/>
      <c r="VDB189" s="5"/>
      <c r="VDC189" s="5"/>
      <c r="VDD189" s="5"/>
      <c r="VDE189" s="5"/>
      <c r="VDF189" s="5"/>
      <c r="VDG189" s="5"/>
      <c r="VDH189" s="5"/>
      <c r="VDI189" s="5"/>
      <c r="VDJ189" s="5"/>
      <c r="VDK189" s="5"/>
      <c r="VDL189" s="5"/>
      <c r="VDM189" s="5"/>
      <c r="VDN189" s="5"/>
      <c r="VDO189" s="5"/>
      <c r="VDP189" s="5"/>
      <c r="VDQ189" s="5"/>
      <c r="VDR189" s="5"/>
      <c r="VDS189" s="5"/>
      <c r="VDT189" s="5"/>
      <c r="VDU189" s="5"/>
      <c r="VDV189" s="5"/>
      <c r="VDW189" s="5"/>
      <c r="VDX189" s="5"/>
      <c r="VDY189" s="5"/>
      <c r="VDZ189" s="5"/>
      <c r="VEA189" s="5"/>
      <c r="VEB189" s="5"/>
      <c r="VEC189" s="5"/>
      <c r="VED189" s="5"/>
      <c r="VEE189" s="5"/>
      <c r="VEF189" s="5"/>
      <c r="VEG189" s="5"/>
      <c r="VEH189" s="5"/>
      <c r="VEI189" s="5"/>
      <c r="VEJ189" s="5"/>
      <c r="VEK189" s="5"/>
      <c r="VEL189" s="5"/>
      <c r="VEM189" s="5"/>
      <c r="VEN189" s="5"/>
      <c r="VEO189" s="5"/>
      <c r="VEP189" s="5"/>
      <c r="VEQ189" s="5"/>
      <c r="VER189" s="5"/>
      <c r="VES189" s="5"/>
      <c r="VET189" s="5"/>
      <c r="VEU189" s="5"/>
      <c r="VEV189" s="5"/>
      <c r="VEW189" s="5"/>
      <c r="VEX189" s="5"/>
      <c r="VEY189" s="5"/>
      <c r="VEZ189" s="5"/>
      <c r="VFA189" s="5"/>
      <c r="VFB189" s="5"/>
      <c r="VFC189" s="5"/>
      <c r="VFD189" s="5"/>
      <c r="VFE189" s="5"/>
      <c r="VFF189" s="5"/>
      <c r="VFG189" s="5"/>
      <c r="VFH189" s="5"/>
      <c r="VFI189" s="5"/>
      <c r="VFJ189" s="5"/>
      <c r="VFK189" s="5"/>
      <c r="VFL189" s="5"/>
      <c r="VFM189" s="5"/>
      <c r="VFN189" s="5"/>
      <c r="VFO189" s="5"/>
      <c r="VFP189" s="5"/>
      <c r="VFQ189" s="5"/>
      <c r="VFR189" s="5"/>
      <c r="VFS189" s="5"/>
      <c r="VFT189" s="5"/>
      <c r="VFU189" s="5"/>
      <c r="VFV189" s="5"/>
      <c r="VFW189" s="5"/>
      <c r="VFX189" s="5"/>
      <c r="VFY189" s="5"/>
      <c r="VFZ189" s="5"/>
      <c r="VGA189" s="5"/>
      <c r="VGB189" s="5"/>
      <c r="VGC189" s="5"/>
      <c r="VGD189" s="5"/>
      <c r="VGE189" s="5"/>
      <c r="VGF189" s="5"/>
      <c r="VGG189" s="5"/>
      <c r="VGH189" s="5"/>
      <c r="VGI189" s="5"/>
      <c r="VGJ189" s="5"/>
      <c r="VGK189" s="5"/>
      <c r="VGL189" s="5"/>
      <c r="VGM189" s="5"/>
      <c r="VGN189" s="5"/>
      <c r="VGO189" s="5"/>
      <c r="VGP189" s="5"/>
      <c r="VGQ189" s="5"/>
      <c r="VGR189" s="5"/>
      <c r="VGS189" s="5"/>
      <c r="VGT189" s="5"/>
      <c r="VGU189" s="5"/>
      <c r="VGV189" s="5"/>
      <c r="VGW189" s="5"/>
      <c r="VGX189" s="5"/>
      <c r="VGY189" s="5"/>
      <c r="VGZ189" s="5"/>
      <c r="VHA189" s="5"/>
      <c r="VHB189" s="5"/>
      <c r="VHC189" s="5"/>
      <c r="VHD189" s="5"/>
      <c r="VHE189" s="5"/>
      <c r="VHF189" s="5"/>
      <c r="VHG189" s="5"/>
      <c r="VHH189" s="5"/>
      <c r="VHI189" s="5"/>
      <c r="VHJ189" s="5"/>
      <c r="VHK189" s="5"/>
      <c r="VHL189" s="5"/>
      <c r="VHM189" s="5"/>
      <c r="VHN189" s="5"/>
      <c r="VHO189" s="5"/>
      <c r="VHP189" s="5"/>
      <c r="VHQ189" s="5"/>
      <c r="VHR189" s="5"/>
      <c r="VHS189" s="5"/>
      <c r="VHT189" s="5"/>
      <c r="VHU189" s="5"/>
      <c r="VHV189" s="5"/>
      <c r="VHW189" s="5"/>
      <c r="VHX189" s="5"/>
      <c r="VHY189" s="5"/>
      <c r="VHZ189" s="5"/>
      <c r="VIA189" s="5"/>
      <c r="VIB189" s="5"/>
      <c r="VIC189" s="5"/>
      <c r="VID189" s="5"/>
      <c r="VIE189" s="5"/>
      <c r="VIF189" s="5"/>
      <c r="VIG189" s="5"/>
      <c r="VIH189" s="5"/>
      <c r="VII189" s="5"/>
      <c r="VIJ189" s="5"/>
      <c r="VIK189" s="5"/>
      <c r="VIL189" s="5"/>
      <c r="VIM189" s="5"/>
      <c r="VIN189" s="5"/>
      <c r="VIO189" s="5"/>
      <c r="VIP189" s="5"/>
      <c r="VIQ189" s="5"/>
      <c r="VIR189" s="5"/>
      <c r="VIS189" s="5"/>
      <c r="VIT189" s="5"/>
      <c r="VIU189" s="5"/>
      <c r="VIV189" s="5"/>
      <c r="VIW189" s="5"/>
      <c r="VIX189" s="5"/>
      <c r="VIY189" s="5"/>
      <c r="VIZ189" s="5"/>
      <c r="VJA189" s="5"/>
      <c r="VJB189" s="5"/>
      <c r="VJC189" s="5"/>
      <c r="VJD189" s="5"/>
      <c r="VJE189" s="5"/>
      <c r="VJF189" s="5"/>
      <c r="VJG189" s="5"/>
      <c r="VJH189" s="5"/>
      <c r="VJI189" s="5"/>
      <c r="VJJ189" s="5"/>
      <c r="VJK189" s="5"/>
      <c r="VJL189" s="5"/>
      <c r="VJM189" s="5"/>
      <c r="VJN189" s="5"/>
      <c r="VJO189" s="5"/>
      <c r="VJP189" s="5"/>
      <c r="VJQ189" s="5"/>
      <c r="VJR189" s="5"/>
      <c r="VJS189" s="5"/>
      <c r="VJT189" s="5"/>
      <c r="VJU189" s="5"/>
      <c r="VJV189" s="5"/>
      <c r="VJW189" s="5"/>
      <c r="VJX189" s="5"/>
      <c r="VJY189" s="5"/>
      <c r="VJZ189" s="5"/>
      <c r="VKA189" s="5"/>
      <c r="VKB189" s="5"/>
      <c r="VKC189" s="5"/>
      <c r="VKD189" s="5"/>
      <c r="VKE189" s="5"/>
      <c r="VKF189" s="5"/>
      <c r="VKG189" s="5"/>
      <c r="VKH189" s="5"/>
      <c r="VKI189" s="5"/>
      <c r="VKJ189" s="5"/>
      <c r="VKK189" s="5"/>
      <c r="VKL189" s="5"/>
      <c r="VKM189" s="5"/>
      <c r="VKN189" s="5"/>
      <c r="VKO189" s="5"/>
      <c r="VKP189" s="5"/>
      <c r="VKQ189" s="5"/>
      <c r="VKR189" s="5"/>
      <c r="VKS189" s="5"/>
      <c r="VKT189" s="5"/>
      <c r="VKU189" s="5"/>
      <c r="VKV189" s="5"/>
      <c r="VKW189" s="5"/>
      <c r="VKX189" s="5"/>
      <c r="VKY189" s="5"/>
      <c r="VKZ189" s="5"/>
      <c r="VLA189" s="5"/>
      <c r="VLB189" s="5"/>
      <c r="VLC189" s="5"/>
      <c r="VLD189" s="5"/>
      <c r="VLE189" s="5"/>
      <c r="VLF189" s="5"/>
      <c r="VLG189" s="5"/>
      <c r="VLH189" s="5"/>
      <c r="VLI189" s="5"/>
      <c r="VLJ189" s="5"/>
      <c r="VLK189" s="5"/>
      <c r="VLL189" s="5"/>
      <c r="VLM189" s="5"/>
      <c r="VLN189" s="5"/>
      <c r="VLO189" s="5"/>
      <c r="VLP189" s="5"/>
      <c r="VLQ189" s="5"/>
      <c r="VLR189" s="5"/>
      <c r="VLS189" s="5"/>
      <c r="VLT189" s="5"/>
      <c r="VLU189" s="5"/>
      <c r="VLV189" s="5"/>
      <c r="VLW189" s="5"/>
      <c r="VLX189" s="5"/>
      <c r="VLY189" s="5"/>
      <c r="VLZ189" s="5"/>
      <c r="VMA189" s="5"/>
      <c r="VMB189" s="5"/>
      <c r="VMC189" s="5"/>
      <c r="VMD189" s="5"/>
      <c r="VME189" s="5"/>
      <c r="VMF189" s="5"/>
      <c r="VMG189" s="5"/>
      <c r="VMH189" s="5"/>
      <c r="VMI189" s="5"/>
      <c r="VMJ189" s="5"/>
      <c r="VMK189" s="5"/>
      <c r="VML189" s="5"/>
      <c r="VMM189" s="5"/>
      <c r="VMN189" s="5"/>
      <c r="VMO189" s="5"/>
      <c r="VMP189" s="5"/>
      <c r="VMQ189" s="5"/>
      <c r="VMR189" s="5"/>
      <c r="VMS189" s="5"/>
      <c r="VMT189" s="5"/>
      <c r="VMU189" s="5"/>
      <c r="VMV189" s="5"/>
      <c r="VMW189" s="5"/>
      <c r="VMX189" s="5"/>
      <c r="VMY189" s="5"/>
      <c r="VMZ189" s="5"/>
      <c r="VNA189" s="5"/>
      <c r="VNB189" s="5"/>
      <c r="VNC189" s="5"/>
      <c r="VND189" s="5"/>
      <c r="VNE189" s="5"/>
      <c r="VNF189" s="5"/>
      <c r="VNG189" s="5"/>
      <c r="VNH189" s="5"/>
      <c r="VNI189" s="5"/>
      <c r="VNJ189" s="5"/>
      <c r="VNK189" s="5"/>
      <c r="VNL189" s="5"/>
      <c r="VNM189" s="5"/>
      <c r="VNN189" s="5"/>
      <c r="VNO189" s="5"/>
      <c r="VNP189" s="5"/>
      <c r="VNQ189" s="5"/>
      <c r="VNR189" s="5"/>
      <c r="VNS189" s="5"/>
      <c r="VNT189" s="5"/>
      <c r="VNU189" s="5"/>
      <c r="VNV189" s="5"/>
      <c r="VNW189" s="5"/>
      <c r="VNX189" s="5"/>
      <c r="VNY189" s="5"/>
      <c r="VNZ189" s="5"/>
      <c r="VOA189" s="5"/>
      <c r="VOB189" s="5"/>
      <c r="VOC189" s="5"/>
      <c r="VOD189" s="5"/>
      <c r="VOE189" s="5"/>
      <c r="VOF189" s="5"/>
      <c r="VOG189" s="5"/>
      <c r="VOH189" s="5"/>
      <c r="VOI189" s="5"/>
      <c r="VOJ189" s="5"/>
      <c r="VOK189" s="5"/>
      <c r="VOL189" s="5"/>
      <c r="VOM189" s="5"/>
      <c r="VON189" s="5"/>
      <c r="VOO189" s="5"/>
      <c r="VOP189" s="5"/>
      <c r="VOQ189" s="5"/>
      <c r="VOR189" s="5"/>
      <c r="VOS189" s="5"/>
      <c r="VOT189" s="5"/>
      <c r="VOU189" s="5"/>
      <c r="VOV189" s="5"/>
      <c r="VOW189" s="5"/>
      <c r="VOX189" s="5"/>
      <c r="VOY189" s="5"/>
      <c r="VOZ189" s="5"/>
      <c r="VPA189" s="5"/>
      <c r="VPB189" s="5"/>
      <c r="VPC189" s="5"/>
      <c r="VPD189" s="5"/>
      <c r="VPE189" s="5"/>
      <c r="VPF189" s="5"/>
      <c r="VPG189" s="5"/>
      <c r="VPH189" s="5"/>
      <c r="VPI189" s="5"/>
      <c r="VPJ189" s="5"/>
      <c r="VPK189" s="5"/>
      <c r="VPL189" s="5"/>
      <c r="VPM189" s="5"/>
      <c r="VPN189" s="5"/>
      <c r="VPO189" s="5"/>
      <c r="VPP189" s="5"/>
      <c r="VPQ189" s="5"/>
      <c r="VPR189" s="5"/>
      <c r="VPS189" s="5"/>
      <c r="VPT189" s="5"/>
      <c r="VPU189" s="5"/>
      <c r="VPV189" s="5"/>
      <c r="VPW189" s="5"/>
      <c r="VPX189" s="5"/>
      <c r="VPY189" s="5"/>
      <c r="VPZ189" s="5"/>
      <c r="VQA189" s="5"/>
      <c r="VQB189" s="5"/>
      <c r="VQC189" s="5"/>
      <c r="VQD189" s="5"/>
      <c r="VQE189" s="5"/>
      <c r="VQF189" s="5"/>
      <c r="VQG189" s="5"/>
      <c r="VQH189" s="5"/>
      <c r="VQI189" s="5"/>
      <c r="VQJ189" s="5"/>
      <c r="VQK189" s="5"/>
      <c r="VQL189" s="5"/>
      <c r="VQM189" s="5"/>
      <c r="VQN189" s="5"/>
      <c r="VQO189" s="5"/>
      <c r="VQP189" s="5"/>
      <c r="VQQ189" s="5"/>
      <c r="VQR189" s="5"/>
      <c r="VQS189" s="5"/>
      <c r="VQT189" s="5"/>
      <c r="VQU189" s="5"/>
      <c r="VQV189" s="5"/>
      <c r="VQW189" s="5"/>
      <c r="VQX189" s="5"/>
      <c r="VQY189" s="5"/>
      <c r="VQZ189" s="5"/>
      <c r="VRA189" s="5"/>
      <c r="VRB189" s="5"/>
      <c r="VRC189" s="5"/>
      <c r="VRD189" s="5"/>
      <c r="VRE189" s="5"/>
      <c r="VRF189" s="5"/>
      <c r="VRG189" s="5"/>
      <c r="VRH189" s="5"/>
      <c r="VRI189" s="5"/>
      <c r="VRJ189" s="5"/>
      <c r="VRK189" s="5"/>
      <c r="VRL189" s="5"/>
      <c r="VRM189" s="5"/>
      <c r="VRN189" s="5"/>
      <c r="VRO189" s="5"/>
      <c r="VRP189" s="5"/>
      <c r="VRQ189" s="5"/>
      <c r="VRR189" s="5"/>
      <c r="VRS189" s="5"/>
      <c r="VRT189" s="5"/>
      <c r="VRU189" s="5"/>
      <c r="VRV189" s="5"/>
      <c r="VRW189" s="5"/>
      <c r="VRX189" s="5"/>
      <c r="VRY189" s="5"/>
      <c r="VRZ189" s="5"/>
      <c r="VSA189" s="5"/>
      <c r="VSB189" s="5"/>
      <c r="VSC189" s="5"/>
      <c r="VSD189" s="5"/>
      <c r="VSE189" s="5"/>
      <c r="VSF189" s="5"/>
      <c r="VSG189" s="5"/>
      <c r="VSH189" s="5"/>
      <c r="VSI189" s="5"/>
      <c r="VSJ189" s="5"/>
      <c r="VSK189" s="5"/>
      <c r="VSL189" s="5"/>
      <c r="VSM189" s="5"/>
      <c r="VSN189" s="5"/>
      <c r="VSO189" s="5"/>
      <c r="VSP189" s="5"/>
      <c r="VSQ189" s="5"/>
      <c r="VSR189" s="5"/>
      <c r="VSS189" s="5"/>
      <c r="VST189" s="5"/>
      <c r="VSU189" s="5"/>
      <c r="VSV189" s="5"/>
      <c r="VSW189" s="5"/>
      <c r="VSX189" s="5"/>
      <c r="VSY189" s="5"/>
      <c r="VSZ189" s="5"/>
      <c r="VTA189" s="5"/>
      <c r="VTB189" s="5"/>
      <c r="VTC189" s="5"/>
      <c r="VTD189" s="5"/>
      <c r="VTE189" s="5"/>
      <c r="VTF189" s="5"/>
      <c r="VTG189" s="5"/>
      <c r="VTH189" s="5"/>
      <c r="VTI189" s="5"/>
      <c r="VTJ189" s="5"/>
      <c r="VTK189" s="5"/>
      <c r="VTL189" s="5"/>
      <c r="VTM189" s="5"/>
      <c r="VTN189" s="5"/>
      <c r="VTO189" s="5"/>
      <c r="VTP189" s="5"/>
      <c r="VTQ189" s="5"/>
      <c r="VTR189" s="5"/>
      <c r="VTS189" s="5"/>
      <c r="VTT189" s="5"/>
      <c r="VTU189" s="5"/>
      <c r="VTV189" s="5"/>
      <c r="VTW189" s="5"/>
      <c r="VTX189" s="5"/>
      <c r="VTY189" s="5"/>
      <c r="VTZ189" s="5"/>
      <c r="VUA189" s="5"/>
      <c r="VUB189" s="5"/>
      <c r="VUC189" s="5"/>
      <c r="VUD189" s="5"/>
      <c r="VUE189" s="5"/>
      <c r="VUF189" s="5"/>
      <c r="VUG189" s="5"/>
      <c r="VUH189" s="5"/>
      <c r="VUI189" s="5"/>
      <c r="VUJ189" s="5"/>
      <c r="VUK189" s="5"/>
      <c r="VUL189" s="5"/>
      <c r="VUM189" s="5"/>
      <c r="VUN189" s="5"/>
      <c r="VUO189" s="5"/>
      <c r="VUP189" s="5"/>
      <c r="VUQ189" s="5"/>
      <c r="VUR189" s="5"/>
      <c r="VUS189" s="5"/>
      <c r="VUT189" s="5"/>
      <c r="VUU189" s="5"/>
      <c r="VUV189" s="5"/>
      <c r="VUW189" s="5"/>
      <c r="VUX189" s="5"/>
      <c r="VUY189" s="5"/>
      <c r="VUZ189" s="5"/>
      <c r="VVA189" s="5"/>
      <c r="VVB189" s="5"/>
      <c r="VVC189" s="5"/>
      <c r="VVD189" s="5"/>
      <c r="VVE189" s="5"/>
      <c r="VVF189" s="5"/>
      <c r="VVG189" s="5"/>
      <c r="VVH189" s="5"/>
      <c r="VVI189" s="5"/>
      <c r="VVJ189" s="5"/>
      <c r="VVK189" s="5"/>
      <c r="VVL189" s="5"/>
      <c r="VVM189" s="5"/>
      <c r="VVN189" s="5"/>
      <c r="VVO189" s="5"/>
      <c r="VVP189" s="5"/>
      <c r="VVQ189" s="5"/>
      <c r="VVR189" s="5"/>
      <c r="VVS189" s="5"/>
      <c r="VVT189" s="5"/>
      <c r="VVU189" s="5"/>
      <c r="VVV189" s="5"/>
      <c r="VVW189" s="5"/>
      <c r="VVX189" s="5"/>
      <c r="VVY189" s="5"/>
      <c r="VVZ189" s="5"/>
      <c r="VWA189" s="5"/>
      <c r="VWB189" s="5"/>
      <c r="VWC189" s="5"/>
      <c r="VWD189" s="5"/>
      <c r="VWE189" s="5"/>
      <c r="VWF189" s="5"/>
      <c r="VWG189" s="5"/>
      <c r="VWH189" s="5"/>
      <c r="VWI189" s="5"/>
      <c r="VWJ189" s="5"/>
      <c r="VWK189" s="5"/>
      <c r="VWL189" s="5"/>
      <c r="VWM189" s="5"/>
      <c r="VWN189" s="5"/>
      <c r="VWO189" s="5"/>
      <c r="VWP189" s="5"/>
      <c r="VWQ189" s="5"/>
      <c r="VWR189" s="5"/>
      <c r="VWS189" s="5"/>
      <c r="VWT189" s="5"/>
      <c r="VWU189" s="5"/>
      <c r="VWV189" s="5"/>
      <c r="VWW189" s="5"/>
      <c r="VWX189" s="5"/>
      <c r="VWY189" s="5"/>
      <c r="VWZ189" s="5"/>
      <c r="VXA189" s="5"/>
      <c r="VXB189" s="5"/>
      <c r="VXC189" s="5"/>
      <c r="VXD189" s="5"/>
      <c r="VXE189" s="5"/>
      <c r="VXF189" s="5"/>
      <c r="VXG189" s="5"/>
      <c r="VXH189" s="5"/>
      <c r="VXI189" s="5"/>
      <c r="VXJ189" s="5"/>
      <c r="VXK189" s="5"/>
      <c r="VXL189" s="5"/>
      <c r="VXM189" s="5"/>
      <c r="VXN189" s="5"/>
      <c r="VXO189" s="5"/>
      <c r="VXP189" s="5"/>
      <c r="VXQ189" s="5"/>
      <c r="VXR189" s="5"/>
      <c r="VXS189" s="5"/>
      <c r="VXT189" s="5"/>
      <c r="VXU189" s="5"/>
      <c r="VXV189" s="5"/>
      <c r="VXW189" s="5"/>
      <c r="VXX189" s="5"/>
      <c r="VXY189" s="5"/>
      <c r="VXZ189" s="5"/>
      <c r="VYA189" s="5"/>
      <c r="VYB189" s="5"/>
      <c r="VYC189" s="5"/>
      <c r="VYD189" s="5"/>
      <c r="VYE189" s="5"/>
      <c r="VYF189" s="5"/>
      <c r="VYG189" s="5"/>
      <c r="VYH189" s="5"/>
      <c r="VYI189" s="5"/>
      <c r="VYJ189" s="5"/>
      <c r="VYK189" s="5"/>
      <c r="VYL189" s="5"/>
      <c r="VYM189" s="5"/>
      <c r="VYN189" s="5"/>
      <c r="VYO189" s="5"/>
      <c r="VYP189" s="5"/>
      <c r="VYQ189" s="5"/>
      <c r="VYR189" s="5"/>
      <c r="VYS189" s="5"/>
      <c r="VYT189" s="5"/>
      <c r="VYU189" s="5"/>
      <c r="VYV189" s="5"/>
      <c r="VYW189" s="5"/>
      <c r="VYX189" s="5"/>
      <c r="VYY189" s="5"/>
      <c r="VYZ189" s="5"/>
      <c r="VZA189" s="5"/>
      <c r="VZB189" s="5"/>
      <c r="VZC189" s="5"/>
      <c r="VZD189" s="5"/>
      <c r="VZE189" s="5"/>
      <c r="VZF189" s="5"/>
      <c r="VZG189" s="5"/>
      <c r="VZH189" s="5"/>
      <c r="VZI189" s="5"/>
      <c r="VZJ189" s="5"/>
      <c r="VZK189" s="5"/>
      <c r="VZL189" s="5"/>
      <c r="VZM189" s="5"/>
      <c r="VZN189" s="5"/>
      <c r="VZO189" s="5"/>
      <c r="VZP189" s="5"/>
      <c r="VZQ189" s="5"/>
      <c r="VZR189" s="5"/>
      <c r="VZS189" s="5"/>
      <c r="VZT189" s="5"/>
      <c r="VZU189" s="5"/>
      <c r="VZV189" s="5"/>
      <c r="VZW189" s="5"/>
      <c r="VZX189" s="5"/>
      <c r="VZY189" s="5"/>
      <c r="VZZ189" s="5"/>
      <c r="WAA189" s="5"/>
      <c r="WAB189" s="5"/>
      <c r="WAC189" s="5"/>
      <c r="WAD189" s="5"/>
      <c r="WAE189" s="5"/>
      <c r="WAF189" s="5"/>
      <c r="WAG189" s="5"/>
      <c r="WAH189" s="5"/>
      <c r="WAI189" s="5"/>
      <c r="WAJ189" s="5"/>
      <c r="WAK189" s="5"/>
      <c r="WAL189" s="5"/>
      <c r="WAM189" s="5"/>
      <c r="WAN189" s="5"/>
      <c r="WAO189" s="5"/>
      <c r="WAP189" s="5"/>
      <c r="WAQ189" s="5"/>
      <c r="WAR189" s="5"/>
      <c r="WAS189" s="5"/>
      <c r="WAT189" s="5"/>
      <c r="WAU189" s="5"/>
      <c r="WAV189" s="5"/>
      <c r="WAW189" s="5"/>
      <c r="WAX189" s="5"/>
      <c r="WAY189" s="5"/>
      <c r="WAZ189" s="5"/>
      <c r="WBA189" s="5"/>
      <c r="WBB189" s="5"/>
      <c r="WBC189" s="5"/>
      <c r="WBD189" s="5"/>
      <c r="WBE189" s="5"/>
      <c r="WBF189" s="5"/>
      <c r="WBG189" s="5"/>
      <c r="WBH189" s="5"/>
      <c r="WBI189" s="5"/>
      <c r="WBJ189" s="5"/>
      <c r="WBK189" s="5"/>
      <c r="WBL189" s="5"/>
      <c r="WBM189" s="5"/>
      <c r="WBN189" s="5"/>
      <c r="WBO189" s="5"/>
      <c r="WBP189" s="5"/>
      <c r="WBQ189" s="5"/>
      <c r="WBR189" s="5"/>
      <c r="WBS189" s="5"/>
      <c r="WBT189" s="5"/>
      <c r="WBU189" s="5"/>
      <c r="WBV189" s="5"/>
      <c r="WBW189" s="5"/>
      <c r="WBX189" s="5"/>
      <c r="WBY189" s="5"/>
      <c r="WBZ189" s="5"/>
      <c r="WCA189" s="5"/>
      <c r="WCB189" s="5"/>
      <c r="WCC189" s="5"/>
      <c r="WCD189" s="5"/>
      <c r="WCE189" s="5"/>
      <c r="WCF189" s="5"/>
      <c r="WCG189" s="5"/>
      <c r="WCH189" s="5"/>
      <c r="WCI189" s="5"/>
      <c r="WCJ189" s="5"/>
      <c r="WCK189" s="5"/>
      <c r="WCL189" s="5"/>
      <c r="WCM189" s="5"/>
      <c r="WCN189" s="5"/>
      <c r="WCO189" s="5"/>
      <c r="WCP189" s="5"/>
      <c r="WCQ189" s="5"/>
      <c r="WCR189" s="5"/>
      <c r="WCS189" s="5"/>
      <c r="WCT189" s="5"/>
      <c r="WCU189" s="5"/>
      <c r="WCV189" s="5"/>
      <c r="WCW189" s="5"/>
      <c r="WCX189" s="5"/>
      <c r="WCY189" s="5"/>
      <c r="WCZ189" s="5"/>
      <c r="WDA189" s="5"/>
      <c r="WDB189" s="5"/>
      <c r="WDC189" s="5"/>
      <c r="WDD189" s="5"/>
      <c r="WDE189" s="5"/>
      <c r="WDF189" s="5"/>
      <c r="WDG189" s="5"/>
      <c r="WDH189" s="5"/>
      <c r="WDI189" s="5"/>
      <c r="WDJ189" s="5"/>
      <c r="WDK189" s="5"/>
      <c r="WDL189" s="5"/>
      <c r="WDM189" s="5"/>
      <c r="WDN189" s="5"/>
      <c r="WDO189" s="5"/>
      <c r="WDP189" s="5"/>
      <c r="WDQ189" s="5"/>
      <c r="WDR189" s="5"/>
      <c r="WDS189" s="5"/>
      <c r="WDT189" s="5"/>
      <c r="WDU189" s="5"/>
      <c r="WDV189" s="5"/>
      <c r="WDW189" s="5"/>
      <c r="WDX189" s="5"/>
      <c r="WDY189" s="5"/>
      <c r="WDZ189" s="5"/>
      <c r="WEA189" s="5"/>
      <c r="WEB189" s="5"/>
      <c r="WEC189" s="5"/>
      <c r="WED189" s="5"/>
      <c r="WEE189" s="5"/>
      <c r="WEF189" s="5"/>
      <c r="WEG189" s="5"/>
      <c r="WEH189" s="5"/>
      <c r="WEI189" s="5"/>
      <c r="WEJ189" s="5"/>
      <c r="WEK189" s="5"/>
      <c r="WEL189" s="5"/>
      <c r="WEM189" s="5"/>
      <c r="WEN189" s="5"/>
      <c r="WEO189" s="5"/>
      <c r="WEP189" s="5"/>
      <c r="WEQ189" s="5"/>
      <c r="WER189" s="5"/>
      <c r="WES189" s="5"/>
      <c r="WET189" s="5"/>
      <c r="WEU189" s="5"/>
      <c r="WEV189" s="5"/>
      <c r="WEW189" s="5"/>
      <c r="WEX189" s="5"/>
      <c r="WEY189" s="5"/>
      <c r="WEZ189" s="5"/>
      <c r="WFA189" s="5"/>
      <c r="WFB189" s="5"/>
      <c r="WFC189" s="5"/>
      <c r="WFD189" s="5"/>
      <c r="WFE189" s="5"/>
      <c r="WFF189" s="5"/>
      <c r="WFG189" s="5"/>
      <c r="WFH189" s="5"/>
      <c r="WFI189" s="5"/>
      <c r="WFJ189" s="5"/>
      <c r="WFK189" s="5"/>
      <c r="WFL189" s="5"/>
      <c r="WFM189" s="5"/>
      <c r="WFN189" s="5"/>
      <c r="WFO189" s="5"/>
      <c r="WFP189" s="5"/>
      <c r="WFQ189" s="5"/>
      <c r="WFR189" s="5"/>
      <c r="WFS189" s="5"/>
      <c r="WFT189" s="5"/>
      <c r="WFU189" s="5"/>
      <c r="WFV189" s="5"/>
      <c r="WFW189" s="5"/>
      <c r="WFX189" s="5"/>
      <c r="WFY189" s="5"/>
      <c r="WFZ189" s="5"/>
      <c r="WGA189" s="5"/>
      <c r="WGB189" s="5"/>
      <c r="WGC189" s="5"/>
      <c r="WGD189" s="5"/>
      <c r="WGE189" s="5"/>
      <c r="WGF189" s="5"/>
      <c r="WGG189" s="5"/>
      <c r="WGH189" s="5"/>
      <c r="WGI189" s="5"/>
      <c r="WGJ189" s="5"/>
      <c r="WGK189" s="5"/>
      <c r="WGL189" s="5"/>
      <c r="WGM189" s="5"/>
      <c r="WGN189" s="5"/>
      <c r="WGO189" s="5"/>
      <c r="WGP189" s="5"/>
      <c r="WGQ189" s="5"/>
      <c r="WGR189" s="5"/>
      <c r="WGS189" s="5"/>
      <c r="WGT189" s="5"/>
      <c r="WGU189" s="5"/>
      <c r="WGV189" s="5"/>
      <c r="WGW189" s="5"/>
      <c r="WGX189" s="5"/>
      <c r="WGY189" s="5"/>
      <c r="WGZ189" s="5"/>
      <c r="WHA189" s="5"/>
      <c r="WHB189" s="5"/>
      <c r="WHC189" s="5"/>
      <c r="WHD189" s="5"/>
      <c r="WHE189" s="5"/>
      <c r="WHF189" s="5"/>
      <c r="WHG189" s="5"/>
      <c r="WHH189" s="5"/>
      <c r="WHI189" s="5"/>
      <c r="WHJ189" s="5"/>
      <c r="WHK189" s="5"/>
      <c r="WHL189" s="5"/>
      <c r="WHM189" s="5"/>
      <c r="WHN189" s="5"/>
      <c r="WHO189" s="5"/>
      <c r="WHP189" s="5"/>
      <c r="WHQ189" s="5"/>
      <c r="WHR189" s="5"/>
      <c r="WHS189" s="5"/>
      <c r="WHT189" s="5"/>
      <c r="WHU189" s="5"/>
      <c r="WHV189" s="5"/>
      <c r="WHW189" s="5"/>
      <c r="WHX189" s="5"/>
      <c r="WHY189" s="5"/>
      <c r="WHZ189" s="5"/>
      <c r="WIA189" s="5"/>
      <c r="WIB189" s="5"/>
      <c r="WIC189" s="5"/>
      <c r="WID189" s="5"/>
      <c r="WIE189" s="5"/>
      <c r="WIF189" s="5"/>
      <c r="WIG189" s="5"/>
      <c r="WIH189" s="5"/>
      <c r="WII189" s="5"/>
      <c r="WIJ189" s="5"/>
      <c r="WIK189" s="5"/>
      <c r="WIL189" s="5"/>
      <c r="WIM189" s="5"/>
      <c r="WIN189" s="5"/>
      <c r="WIO189" s="5"/>
      <c r="WIP189" s="5"/>
      <c r="WIQ189" s="5"/>
      <c r="WIR189" s="5"/>
      <c r="WIS189" s="5"/>
      <c r="WIT189" s="5"/>
      <c r="WIU189" s="5"/>
      <c r="WIV189" s="5"/>
      <c r="WIW189" s="5"/>
      <c r="WIX189" s="5"/>
      <c r="WIY189" s="5"/>
      <c r="WIZ189" s="5"/>
      <c r="WJA189" s="5"/>
      <c r="WJB189" s="5"/>
      <c r="WJC189" s="5"/>
      <c r="WJD189" s="5"/>
      <c r="WJE189" s="5"/>
      <c r="WJF189" s="5"/>
      <c r="WJG189" s="5"/>
      <c r="WJH189" s="5"/>
      <c r="WJI189" s="5"/>
      <c r="WJJ189" s="5"/>
      <c r="WJK189" s="5"/>
      <c r="WJL189" s="5"/>
      <c r="WJM189" s="5"/>
      <c r="WJN189" s="5"/>
      <c r="WJO189" s="5"/>
      <c r="WJP189" s="5"/>
      <c r="WJQ189" s="5"/>
      <c r="WJR189" s="5"/>
      <c r="WJS189" s="5"/>
      <c r="WJT189" s="5"/>
      <c r="WJU189" s="5"/>
      <c r="WJV189" s="5"/>
      <c r="WJW189" s="5"/>
      <c r="WJX189" s="5"/>
      <c r="WJY189" s="5"/>
      <c r="WJZ189" s="5"/>
      <c r="WKA189" s="5"/>
      <c r="WKB189" s="5"/>
      <c r="WKC189" s="5"/>
      <c r="WKD189" s="5"/>
      <c r="WKE189" s="5"/>
      <c r="WKF189" s="5"/>
      <c r="WKG189" s="5"/>
      <c r="WKH189" s="5"/>
      <c r="WKI189" s="5"/>
      <c r="WKJ189" s="5"/>
      <c r="WKK189" s="5"/>
      <c r="WKL189" s="5"/>
      <c r="WKM189" s="5"/>
      <c r="WKN189" s="5"/>
      <c r="WKO189" s="5"/>
      <c r="WKP189" s="5"/>
      <c r="WKQ189" s="5"/>
      <c r="WKR189" s="5"/>
      <c r="WKS189" s="5"/>
      <c r="WKT189" s="5"/>
      <c r="WKU189" s="5"/>
      <c r="WKV189" s="5"/>
      <c r="WKW189" s="5"/>
      <c r="WKX189" s="5"/>
      <c r="WKY189" s="5"/>
      <c r="WKZ189" s="5"/>
      <c r="WLA189" s="5"/>
      <c r="WLB189" s="5"/>
      <c r="WLC189" s="5"/>
      <c r="WLD189" s="5"/>
      <c r="WLE189" s="5"/>
      <c r="WLF189" s="5"/>
      <c r="WLG189" s="5"/>
      <c r="WLH189" s="5"/>
      <c r="WLI189" s="5"/>
      <c r="WLJ189" s="5"/>
      <c r="WLK189" s="5"/>
      <c r="WLL189" s="5"/>
      <c r="WLM189" s="5"/>
      <c r="WLN189" s="5"/>
      <c r="WLO189" s="5"/>
      <c r="WLP189" s="5"/>
      <c r="WLQ189" s="5"/>
      <c r="WLR189" s="5"/>
      <c r="WLS189" s="5"/>
      <c r="WLT189" s="5"/>
      <c r="WLU189" s="5"/>
      <c r="WLV189" s="5"/>
      <c r="WLW189" s="5"/>
      <c r="WLX189" s="5"/>
      <c r="WLY189" s="5"/>
      <c r="WLZ189" s="5"/>
      <c r="WMA189" s="5"/>
      <c r="WMB189" s="5"/>
      <c r="WMC189" s="5"/>
      <c r="WMD189" s="5"/>
      <c r="WME189" s="5"/>
      <c r="WMF189" s="5"/>
      <c r="WMG189" s="5"/>
      <c r="WMH189" s="5"/>
      <c r="WMI189" s="5"/>
      <c r="WMJ189" s="5"/>
      <c r="WMK189" s="5"/>
      <c r="WML189" s="5"/>
      <c r="WMM189" s="5"/>
      <c r="WMN189" s="5"/>
      <c r="WMO189" s="5"/>
      <c r="WMP189" s="5"/>
      <c r="WMQ189" s="5"/>
      <c r="WMR189" s="5"/>
      <c r="WMS189" s="5"/>
      <c r="WMT189" s="5"/>
      <c r="WMU189" s="5"/>
      <c r="WMV189" s="5"/>
      <c r="WMW189" s="5"/>
      <c r="WMX189" s="5"/>
      <c r="WMY189" s="5"/>
      <c r="WMZ189" s="5"/>
      <c r="WNA189" s="5"/>
      <c r="WNB189" s="5"/>
      <c r="WNC189" s="5"/>
      <c r="WND189" s="5"/>
      <c r="WNE189" s="5"/>
      <c r="WNF189" s="5"/>
      <c r="WNG189" s="5"/>
      <c r="WNH189" s="5"/>
      <c r="WNI189" s="5"/>
      <c r="WNJ189" s="5"/>
      <c r="WNK189" s="5"/>
      <c r="WNL189" s="5"/>
      <c r="WNM189" s="5"/>
      <c r="WNN189" s="5"/>
      <c r="WNO189" s="5"/>
      <c r="WNP189" s="5"/>
      <c r="WNQ189" s="5"/>
      <c r="WNR189" s="5"/>
      <c r="WNS189" s="5"/>
      <c r="WNT189" s="5"/>
      <c r="WNU189" s="5"/>
      <c r="WNV189" s="5"/>
      <c r="WNW189" s="5"/>
      <c r="WNX189" s="5"/>
      <c r="WNY189" s="5"/>
      <c r="WNZ189" s="5"/>
      <c r="WOA189" s="5"/>
      <c r="WOB189" s="5"/>
      <c r="WOC189" s="5"/>
      <c r="WOD189" s="5"/>
      <c r="WOE189" s="5"/>
      <c r="WOF189" s="5"/>
      <c r="WOG189" s="5"/>
      <c r="WOH189" s="5"/>
      <c r="WOI189" s="5"/>
      <c r="WOJ189" s="5"/>
      <c r="WOK189" s="5"/>
      <c r="WOL189" s="5"/>
      <c r="WOM189" s="5"/>
      <c r="WON189" s="5"/>
      <c r="WOO189" s="5"/>
      <c r="WOP189" s="5"/>
      <c r="WOQ189" s="5"/>
      <c r="WOR189" s="5"/>
      <c r="WOS189" s="5"/>
      <c r="WOT189" s="5"/>
      <c r="WOU189" s="5"/>
      <c r="WOV189" s="5"/>
      <c r="WOW189" s="5"/>
      <c r="WOX189" s="5"/>
      <c r="WOY189" s="5"/>
      <c r="WOZ189" s="5"/>
      <c r="WPA189" s="5"/>
      <c r="WPB189" s="5"/>
      <c r="WPC189" s="5"/>
      <c r="WPD189" s="5"/>
      <c r="WPE189" s="5"/>
      <c r="WPF189" s="5"/>
      <c r="WPG189" s="5"/>
      <c r="WPH189" s="5"/>
      <c r="WPI189" s="5"/>
      <c r="WPJ189" s="5"/>
      <c r="WPK189" s="5"/>
      <c r="WPL189" s="5"/>
      <c r="WPM189" s="5"/>
      <c r="WPN189" s="5"/>
      <c r="WPO189" s="5"/>
      <c r="WPP189" s="5"/>
      <c r="WPQ189" s="5"/>
      <c r="WPR189" s="5"/>
      <c r="WPS189" s="5"/>
      <c r="WPT189" s="5"/>
      <c r="WPU189" s="5"/>
      <c r="WPV189" s="5"/>
      <c r="WPW189" s="5"/>
      <c r="WPX189" s="5"/>
      <c r="WPY189" s="5"/>
      <c r="WPZ189" s="5"/>
      <c r="WQA189" s="5"/>
      <c r="WQB189" s="5"/>
      <c r="WQC189" s="5"/>
      <c r="WQD189" s="5"/>
      <c r="WQE189" s="5"/>
      <c r="WQF189" s="5"/>
      <c r="WQG189" s="5"/>
      <c r="WQH189" s="5"/>
      <c r="WQI189" s="5"/>
      <c r="WQJ189" s="5"/>
      <c r="WQK189" s="5"/>
      <c r="WQL189" s="5"/>
      <c r="WQM189" s="5"/>
      <c r="WQN189" s="5"/>
      <c r="WQO189" s="5"/>
      <c r="WQP189" s="5"/>
      <c r="WQQ189" s="5"/>
      <c r="WQR189" s="5"/>
      <c r="WQS189" s="5"/>
      <c r="WQT189" s="5"/>
      <c r="WQU189" s="5"/>
      <c r="WQV189" s="5"/>
      <c r="WQW189" s="5"/>
      <c r="WQX189" s="5"/>
      <c r="WQY189" s="5"/>
      <c r="WQZ189" s="5"/>
      <c r="WRA189" s="5"/>
      <c r="WRB189" s="5"/>
      <c r="WRC189" s="5"/>
      <c r="WRD189" s="5"/>
      <c r="WRE189" s="5"/>
      <c r="WRF189" s="5"/>
      <c r="WRG189" s="5"/>
      <c r="WRH189" s="5"/>
      <c r="WRI189" s="5"/>
      <c r="WRJ189" s="5"/>
      <c r="WRK189" s="5"/>
      <c r="WRL189" s="5"/>
      <c r="WRM189" s="5"/>
      <c r="WRN189" s="5"/>
      <c r="WRO189" s="5"/>
      <c r="WRP189" s="5"/>
      <c r="WRQ189" s="5"/>
      <c r="WRR189" s="5"/>
      <c r="WRS189" s="5"/>
      <c r="WRT189" s="5"/>
      <c r="WRU189" s="5"/>
      <c r="WRV189" s="5"/>
      <c r="WRW189" s="5"/>
      <c r="WRX189" s="5"/>
      <c r="WRY189" s="5"/>
      <c r="WRZ189" s="5"/>
      <c r="WSA189" s="5"/>
      <c r="WSB189" s="5"/>
      <c r="WSC189" s="5"/>
      <c r="WSD189" s="5"/>
      <c r="WSE189" s="5"/>
      <c r="WSF189" s="5"/>
      <c r="WSG189" s="5"/>
      <c r="WSH189" s="5"/>
      <c r="WSI189" s="5"/>
      <c r="WSJ189" s="5"/>
      <c r="WSK189" s="5"/>
      <c r="WSL189" s="5"/>
      <c r="WSM189" s="5"/>
      <c r="WSN189" s="5"/>
      <c r="WSO189" s="5"/>
      <c r="WSP189" s="5"/>
      <c r="WSQ189" s="5"/>
      <c r="WSR189" s="5"/>
      <c r="WSS189" s="5"/>
      <c r="WST189" s="5"/>
      <c r="WSU189" s="5"/>
      <c r="WSV189" s="5"/>
      <c r="WSW189" s="5"/>
      <c r="WSX189" s="5"/>
      <c r="WSY189" s="5"/>
      <c r="WSZ189" s="5"/>
      <c r="WTA189" s="5"/>
      <c r="WTB189" s="5"/>
      <c r="WTC189" s="5"/>
      <c r="WTD189" s="5"/>
      <c r="WTE189" s="5"/>
      <c r="WTF189" s="5"/>
      <c r="WTG189" s="5"/>
      <c r="WTH189" s="5"/>
      <c r="WTI189" s="5"/>
      <c r="WTJ189" s="5"/>
      <c r="WTK189" s="5"/>
      <c r="WTL189" s="5"/>
      <c r="WTM189" s="5"/>
      <c r="WTN189" s="5"/>
      <c r="WTO189" s="5"/>
      <c r="WTP189" s="5"/>
      <c r="WTQ189" s="5"/>
      <c r="WTR189" s="5"/>
      <c r="WTS189" s="5"/>
      <c r="WTT189" s="5"/>
      <c r="WTU189" s="5"/>
      <c r="WTV189" s="5"/>
      <c r="WTW189" s="5"/>
      <c r="WTX189" s="5"/>
      <c r="WTY189" s="5"/>
      <c r="WTZ189" s="5"/>
      <c r="WUA189" s="5"/>
      <c r="WUB189" s="5"/>
      <c r="WUC189" s="5"/>
      <c r="WUD189" s="5"/>
      <c r="WUE189" s="5"/>
      <c r="WUF189" s="5"/>
      <c r="WUG189" s="5"/>
      <c r="WUH189" s="5"/>
      <c r="WUI189" s="5"/>
      <c r="WUJ189" s="5"/>
      <c r="WUK189" s="5"/>
      <c r="WUL189" s="5"/>
      <c r="WUM189" s="5"/>
      <c r="WUN189" s="5"/>
      <c r="WUO189" s="5"/>
      <c r="WUP189" s="5"/>
      <c r="WUQ189" s="5"/>
      <c r="WUR189" s="5"/>
      <c r="WUS189" s="5"/>
      <c r="WUT189" s="5"/>
      <c r="WUU189" s="5"/>
      <c r="WUV189" s="5"/>
      <c r="WUW189" s="5"/>
      <c r="WUX189" s="5"/>
      <c r="WUY189" s="5"/>
      <c r="WUZ189" s="5"/>
      <c r="WVA189" s="5"/>
      <c r="WVB189" s="5"/>
      <c r="WVC189" s="5"/>
      <c r="WVD189" s="5"/>
      <c r="WVE189" s="5"/>
      <c r="WVF189" s="5"/>
      <c r="WVG189" s="5"/>
      <c r="WVH189" s="5"/>
      <c r="WVI189" s="5"/>
      <c r="WVJ189" s="5"/>
      <c r="WVK189" s="5"/>
      <c r="WVL189" s="5"/>
      <c r="WVM189" s="5"/>
      <c r="WVN189" s="5"/>
      <c r="WVO189" s="5"/>
      <c r="WVP189" s="5"/>
      <c r="WVQ189" s="5"/>
      <c r="WVR189" s="5"/>
      <c r="WVS189" s="5"/>
      <c r="WVT189" s="5"/>
      <c r="WVU189" s="5"/>
      <c r="WVV189" s="5"/>
      <c r="WVW189" s="5"/>
      <c r="WVX189" s="5"/>
      <c r="WVY189" s="5"/>
      <c r="WVZ189" s="5"/>
      <c r="WWA189" s="5"/>
      <c r="WWB189" s="5"/>
      <c r="WWC189" s="5"/>
      <c r="WWD189" s="5"/>
      <c r="WWE189" s="5"/>
      <c r="WWF189" s="5"/>
      <c r="WWG189" s="5"/>
      <c r="WWH189" s="5"/>
      <c r="WWI189" s="5"/>
      <c r="WWJ189" s="5"/>
      <c r="WWK189" s="5"/>
      <c r="WWL189" s="5"/>
      <c r="WWM189" s="5"/>
      <c r="WWN189" s="5"/>
      <c r="WWO189" s="5"/>
      <c r="WWP189" s="5"/>
      <c r="WWQ189" s="5"/>
      <c r="WWR189" s="5"/>
      <c r="WWS189" s="5"/>
      <c r="WWT189" s="5"/>
      <c r="WWU189" s="5"/>
      <c r="WWV189" s="5"/>
      <c r="WWW189" s="5"/>
      <c r="WWX189" s="5"/>
      <c r="WWY189" s="5"/>
      <c r="WWZ189" s="5"/>
      <c r="WXA189" s="5"/>
      <c r="WXB189" s="5"/>
      <c r="WXC189" s="5"/>
      <c r="WXD189" s="5"/>
      <c r="WXE189" s="5"/>
      <c r="WXF189" s="5"/>
      <c r="WXG189" s="5"/>
      <c r="WXH189" s="5"/>
      <c r="WXI189" s="5"/>
      <c r="WXJ189" s="5"/>
      <c r="WXK189" s="5"/>
      <c r="WXL189" s="5"/>
      <c r="WXM189" s="5"/>
      <c r="WXN189" s="5"/>
      <c r="WXO189" s="5"/>
      <c r="WXP189" s="5"/>
      <c r="WXQ189" s="5"/>
      <c r="WXR189" s="5"/>
      <c r="WXS189" s="5"/>
      <c r="WXT189" s="5"/>
      <c r="WXU189" s="5"/>
      <c r="WXV189" s="5"/>
      <c r="WXW189" s="5"/>
      <c r="WXX189" s="5"/>
      <c r="WXY189" s="5"/>
      <c r="WXZ189" s="5"/>
      <c r="WYA189" s="5"/>
      <c r="WYB189" s="5"/>
      <c r="WYC189" s="5"/>
      <c r="WYD189" s="5"/>
      <c r="WYE189" s="5"/>
      <c r="WYF189" s="5"/>
      <c r="WYG189" s="5"/>
      <c r="WYH189" s="5"/>
      <c r="WYI189" s="5"/>
      <c r="WYJ189" s="5"/>
      <c r="WYK189" s="5"/>
      <c r="WYL189" s="5"/>
      <c r="WYM189" s="5"/>
      <c r="WYN189" s="5"/>
      <c r="WYO189" s="5"/>
      <c r="WYP189" s="5"/>
      <c r="WYQ189" s="5"/>
      <c r="WYR189" s="5"/>
      <c r="WYS189" s="5"/>
      <c r="WYT189" s="5"/>
      <c r="WYU189" s="5"/>
      <c r="WYV189" s="5"/>
      <c r="WYW189" s="5"/>
      <c r="WYX189" s="5"/>
      <c r="WYY189" s="5"/>
      <c r="WYZ189" s="5"/>
      <c r="WZA189" s="5"/>
      <c r="WZB189" s="5"/>
      <c r="WZC189" s="5"/>
      <c r="WZD189" s="5"/>
      <c r="WZE189" s="5"/>
      <c r="WZF189" s="5"/>
      <c r="WZG189" s="5"/>
      <c r="WZH189" s="5"/>
      <c r="WZI189" s="5"/>
      <c r="WZJ189" s="5"/>
      <c r="WZK189" s="5"/>
      <c r="WZL189" s="5"/>
      <c r="WZM189" s="5"/>
      <c r="WZN189" s="5"/>
      <c r="WZO189" s="5"/>
      <c r="WZP189" s="5"/>
      <c r="WZQ189" s="5"/>
      <c r="WZR189" s="5"/>
      <c r="WZS189" s="5"/>
      <c r="WZT189" s="5"/>
      <c r="WZU189" s="5"/>
      <c r="WZV189" s="5"/>
      <c r="WZW189" s="5"/>
      <c r="WZX189" s="5"/>
      <c r="WZY189" s="5"/>
      <c r="WZZ189" s="5"/>
      <c r="XAA189" s="5"/>
      <c r="XAB189" s="5"/>
      <c r="XAC189" s="5"/>
      <c r="XAD189" s="5"/>
      <c r="XAE189" s="5"/>
      <c r="XAF189" s="5"/>
      <c r="XAG189" s="5"/>
      <c r="XAH189" s="5"/>
      <c r="XAI189" s="5"/>
      <c r="XAJ189" s="5"/>
      <c r="XAK189" s="5"/>
      <c r="XAL189" s="5"/>
      <c r="XAM189" s="5"/>
      <c r="XAN189" s="5"/>
      <c r="XAO189" s="5"/>
      <c r="XAP189" s="5"/>
      <c r="XAQ189" s="5"/>
      <c r="XAR189" s="5"/>
      <c r="XAS189" s="5"/>
      <c r="XAT189" s="5"/>
      <c r="XAU189" s="5"/>
      <c r="XAV189" s="5"/>
      <c r="XAW189" s="5"/>
      <c r="XAX189" s="5"/>
      <c r="XAY189" s="5"/>
      <c r="XAZ189" s="5"/>
      <c r="XBA189" s="5"/>
      <c r="XBB189" s="5"/>
      <c r="XBC189" s="5"/>
      <c r="XBD189" s="5"/>
      <c r="XBE189" s="5"/>
      <c r="XBF189" s="5"/>
      <c r="XBG189" s="5"/>
      <c r="XBH189" s="5"/>
      <c r="XBI189" s="5"/>
      <c r="XBJ189" s="5"/>
      <c r="XBK189" s="5"/>
      <c r="XBL189" s="5"/>
      <c r="XBM189" s="5"/>
      <c r="XBN189" s="5"/>
      <c r="XBO189" s="5"/>
      <c r="XBP189" s="5"/>
      <c r="XBQ189" s="5"/>
      <c r="XBR189" s="5"/>
      <c r="XBS189" s="5"/>
      <c r="XBT189" s="5"/>
      <c r="XBU189" s="5"/>
      <c r="XBV189" s="5"/>
      <c r="XBW189" s="5"/>
      <c r="XBX189" s="5"/>
      <c r="XBY189" s="5"/>
      <c r="XBZ189" s="5"/>
      <c r="XCA189" s="5"/>
      <c r="XCB189" s="5"/>
      <c r="XCC189" s="5"/>
      <c r="XCD189" s="5"/>
      <c r="XCE189" s="5"/>
      <c r="XCF189" s="5"/>
      <c r="XCG189" s="5"/>
      <c r="XCH189" s="5"/>
      <c r="XCI189" s="5"/>
      <c r="XCJ189" s="5"/>
      <c r="XCK189" s="5"/>
      <c r="XCL189" s="5"/>
      <c r="XCM189" s="5"/>
      <c r="XCN189" s="5"/>
      <c r="XCO189" s="5"/>
      <c r="XCP189" s="5"/>
      <c r="XCQ189" s="5"/>
      <c r="XCR189" s="5"/>
      <c r="XCS189" s="5"/>
      <c r="XCT189" s="5"/>
      <c r="XCU189" s="5"/>
      <c r="XCV189" s="5"/>
      <c r="XCW189" s="5"/>
      <c r="XCX189" s="5"/>
      <c r="XCY189" s="5"/>
      <c r="XCZ189" s="5"/>
      <c r="XDA189" s="5"/>
      <c r="XDB189" s="5"/>
      <c r="XDC189" s="5"/>
      <c r="XDD189" s="5"/>
      <c r="XDE189" s="5"/>
      <c r="XDF189" s="5"/>
      <c r="XDG189" s="5"/>
      <c r="XDH189" s="5"/>
      <c r="XDI189" s="5"/>
      <c r="XDJ189" s="5"/>
      <c r="XDK189" s="5"/>
      <c r="XDL189" s="5"/>
      <c r="XDM189" s="5"/>
      <c r="XDN189" s="5"/>
      <c r="XDO189" s="5"/>
      <c r="XDP189" s="5"/>
      <c r="XDQ189" s="5"/>
      <c r="XDR189" s="5"/>
      <c r="XDS189" s="5"/>
      <c r="XDT189" s="5"/>
      <c r="XDU189" s="5"/>
      <c r="XDV189" s="5"/>
      <c r="XDW189" s="5"/>
      <c r="XDX189" s="5"/>
      <c r="XDY189" s="5"/>
      <c r="XDZ189" s="5"/>
      <c r="XEA189" s="5"/>
      <c r="XEB189" s="5"/>
      <c r="XEC189" s="5"/>
      <c r="XED189" s="5"/>
      <c r="XEE189" s="5"/>
      <c r="XEF189" s="5"/>
      <c r="XEG189" s="5"/>
      <c r="XEH189" s="5"/>
      <c r="XEI189" s="5"/>
      <c r="XEJ189" s="5"/>
      <c r="XEK189" s="5"/>
      <c r="XEL189" s="5"/>
      <c r="XEM189" s="5"/>
      <c r="XEN189" s="5"/>
      <c r="XEO189" s="5"/>
      <c r="XEP189" s="5"/>
    </row>
    <row r="190" spans="2:16370" ht="15.75" hidden="1" x14ac:dyDescent="0.25">
      <c r="B190" s="381"/>
      <c r="C190" s="381"/>
      <c r="D190" s="1685"/>
      <c r="E190" s="1685"/>
      <c r="F190" s="1685"/>
      <c r="G190" s="1685"/>
      <c r="H190" s="1685"/>
      <c r="I190" s="381"/>
      <c r="J190" s="381"/>
      <c r="K190" s="386"/>
      <c r="L190" s="382"/>
      <c r="M190" s="5"/>
      <c r="N190" s="5"/>
      <c r="O190" s="5"/>
      <c r="P190" s="5"/>
      <c r="Q190" s="5"/>
      <c r="R190" s="5"/>
      <c r="S190" s="5"/>
      <c r="T190" s="5"/>
      <c r="U190" s="5"/>
      <c r="V190" s="5"/>
      <c r="W190" s="5"/>
      <c r="X190" s="5"/>
      <c r="Y190" s="5"/>
      <c r="Z190" s="5"/>
      <c r="AA190" s="5"/>
      <c r="AB190" s="5"/>
      <c r="AC190" s="5"/>
      <c r="AD190" s="5"/>
      <c r="AE190" s="551">
        <v>5</v>
      </c>
      <c r="AF190" s="552" t="s">
        <v>1016</v>
      </c>
      <c r="AG190" s="360">
        <v>80.67</v>
      </c>
      <c r="AH190" s="360">
        <v>10.81</v>
      </c>
      <c r="AI190" s="360">
        <v>3.52</v>
      </c>
      <c r="AJ190" s="360">
        <v>0.66</v>
      </c>
      <c r="AK190" s="360"/>
      <c r="AL190" s="360">
        <v>4.34</v>
      </c>
      <c r="AM190" s="360"/>
      <c r="AN190" s="1960">
        <v>9.0227000000000004</v>
      </c>
      <c r="AO190" s="1857"/>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c r="BOW190" s="5"/>
      <c r="BOX190" s="5"/>
      <c r="BOY190" s="5"/>
      <c r="BOZ190" s="5"/>
      <c r="BPA190" s="5"/>
      <c r="BPB190" s="5"/>
      <c r="BPC190" s="5"/>
      <c r="BPD190" s="5"/>
      <c r="BPE190" s="5"/>
      <c r="BPF190" s="5"/>
      <c r="BPG190" s="5"/>
      <c r="BPH190" s="5"/>
      <c r="BPI190" s="5"/>
      <c r="BPJ190" s="5"/>
      <c r="BPK190" s="5"/>
      <c r="BPL190" s="5"/>
      <c r="BPM190" s="5"/>
      <c r="BPN190" s="5"/>
      <c r="BPO190" s="5"/>
      <c r="BPP190" s="5"/>
      <c r="BPQ190" s="5"/>
      <c r="BPR190" s="5"/>
      <c r="BPS190" s="5"/>
      <c r="BPT190" s="5"/>
      <c r="BPU190" s="5"/>
      <c r="BPV190" s="5"/>
      <c r="BPW190" s="5"/>
      <c r="BPX190" s="5"/>
      <c r="BPY190" s="5"/>
      <c r="BPZ190" s="5"/>
      <c r="BQA190" s="5"/>
      <c r="BQB190" s="5"/>
      <c r="BQC190" s="5"/>
      <c r="BQD190" s="5"/>
      <c r="BQE190" s="5"/>
      <c r="BQF190" s="5"/>
      <c r="BQG190" s="5"/>
      <c r="BQH190" s="5"/>
      <c r="BQI190" s="5"/>
      <c r="BQJ190" s="5"/>
      <c r="BQK190" s="5"/>
      <c r="BQL190" s="5"/>
      <c r="BQM190" s="5"/>
      <c r="BQN190" s="5"/>
      <c r="BQO190" s="5"/>
      <c r="BQP190" s="5"/>
      <c r="BQQ190" s="5"/>
      <c r="BQR190" s="5"/>
      <c r="BQS190" s="5"/>
      <c r="BQT190" s="5"/>
      <c r="BQU190" s="5"/>
      <c r="BQV190" s="5"/>
      <c r="BQW190" s="5"/>
      <c r="BQX190" s="5"/>
      <c r="BQY190" s="5"/>
      <c r="BQZ190" s="5"/>
      <c r="BRA190" s="5"/>
      <c r="BRB190" s="5"/>
      <c r="BRC190" s="5"/>
      <c r="BRD190" s="5"/>
      <c r="BRE190" s="5"/>
      <c r="BRF190" s="5"/>
      <c r="BRG190" s="5"/>
      <c r="BRH190" s="5"/>
      <c r="BRI190" s="5"/>
      <c r="BRJ190" s="5"/>
      <c r="BRK190" s="5"/>
      <c r="BRL190" s="5"/>
      <c r="BRM190" s="5"/>
      <c r="BRN190" s="5"/>
      <c r="BRO190" s="5"/>
      <c r="BRP190" s="5"/>
      <c r="BRQ190" s="5"/>
      <c r="BRR190" s="5"/>
      <c r="BRS190" s="5"/>
      <c r="BRT190" s="5"/>
      <c r="BRU190" s="5"/>
      <c r="BRV190" s="5"/>
      <c r="BRW190" s="5"/>
      <c r="BRX190" s="5"/>
      <c r="BRY190" s="5"/>
      <c r="BRZ190" s="5"/>
      <c r="BSA190" s="5"/>
      <c r="BSB190" s="5"/>
      <c r="BSC190" s="5"/>
      <c r="BSD190" s="5"/>
      <c r="BSE190" s="5"/>
      <c r="BSF190" s="5"/>
      <c r="BSG190" s="5"/>
      <c r="BSH190" s="5"/>
      <c r="BSI190" s="5"/>
      <c r="BSJ190" s="5"/>
      <c r="BSK190" s="5"/>
      <c r="BSL190" s="5"/>
      <c r="BSM190" s="5"/>
      <c r="BSN190" s="5"/>
      <c r="BSO190" s="5"/>
      <c r="BSP190" s="5"/>
      <c r="BSQ190" s="5"/>
      <c r="BSR190" s="5"/>
      <c r="BSS190" s="5"/>
      <c r="BST190" s="5"/>
      <c r="BSU190" s="5"/>
      <c r="BSV190" s="5"/>
      <c r="BSW190" s="5"/>
      <c r="BSX190" s="5"/>
      <c r="BSY190" s="5"/>
      <c r="BSZ190" s="5"/>
      <c r="BTA190" s="5"/>
      <c r="BTB190" s="5"/>
      <c r="BTC190" s="5"/>
      <c r="BTD190" s="5"/>
      <c r="BTE190" s="5"/>
      <c r="BTF190" s="5"/>
      <c r="BTG190" s="5"/>
      <c r="BTH190" s="5"/>
      <c r="BTI190" s="5"/>
      <c r="BTJ190" s="5"/>
      <c r="BTK190" s="5"/>
      <c r="BTL190" s="5"/>
      <c r="BTM190" s="5"/>
      <c r="BTN190" s="5"/>
      <c r="BTO190" s="5"/>
      <c r="BTP190" s="5"/>
      <c r="BTQ190" s="5"/>
      <c r="BTR190" s="5"/>
      <c r="BTS190" s="5"/>
      <c r="BTT190" s="5"/>
      <c r="BTU190" s="5"/>
      <c r="BTV190" s="5"/>
      <c r="BTW190" s="5"/>
      <c r="BTX190" s="5"/>
      <c r="BTY190" s="5"/>
      <c r="BTZ190" s="5"/>
      <c r="BUA190" s="5"/>
      <c r="BUB190" s="5"/>
      <c r="BUC190" s="5"/>
      <c r="BUD190" s="5"/>
      <c r="BUE190" s="5"/>
      <c r="BUF190" s="5"/>
      <c r="BUG190" s="5"/>
      <c r="BUH190" s="5"/>
      <c r="BUI190" s="5"/>
      <c r="BUJ190" s="5"/>
      <c r="BUK190" s="5"/>
      <c r="BUL190" s="5"/>
      <c r="BUM190" s="5"/>
      <c r="BUN190" s="5"/>
      <c r="BUO190" s="5"/>
      <c r="BUP190" s="5"/>
      <c r="BUQ190" s="5"/>
      <c r="BUR190" s="5"/>
      <c r="BUS190" s="5"/>
      <c r="BUT190" s="5"/>
      <c r="BUU190" s="5"/>
      <c r="BUV190" s="5"/>
      <c r="BUW190" s="5"/>
      <c r="BUX190" s="5"/>
      <c r="BUY190" s="5"/>
      <c r="BUZ190" s="5"/>
      <c r="BVA190" s="5"/>
      <c r="BVB190" s="5"/>
      <c r="BVC190" s="5"/>
      <c r="BVD190" s="5"/>
      <c r="BVE190" s="5"/>
      <c r="BVF190" s="5"/>
      <c r="BVG190" s="5"/>
      <c r="BVH190" s="5"/>
      <c r="BVI190" s="5"/>
      <c r="BVJ190" s="5"/>
      <c r="BVK190" s="5"/>
      <c r="BVL190" s="5"/>
      <c r="BVM190" s="5"/>
      <c r="BVN190" s="5"/>
      <c r="BVO190" s="5"/>
      <c r="BVP190" s="5"/>
      <c r="BVQ190" s="5"/>
      <c r="BVR190" s="5"/>
      <c r="BVS190" s="5"/>
      <c r="BVT190" s="5"/>
      <c r="BVU190" s="5"/>
      <c r="BVV190" s="5"/>
      <c r="BVW190" s="5"/>
      <c r="BVX190" s="5"/>
      <c r="BVY190" s="5"/>
      <c r="BVZ190" s="5"/>
      <c r="BWA190" s="5"/>
      <c r="BWB190" s="5"/>
      <c r="BWC190" s="5"/>
      <c r="BWD190" s="5"/>
      <c r="BWE190" s="5"/>
      <c r="BWF190" s="5"/>
      <c r="BWG190" s="5"/>
      <c r="BWH190" s="5"/>
      <c r="BWI190" s="5"/>
      <c r="BWJ190" s="5"/>
      <c r="BWK190" s="5"/>
      <c r="BWL190" s="5"/>
      <c r="BWM190" s="5"/>
      <c r="BWN190" s="5"/>
      <c r="BWO190" s="5"/>
      <c r="BWP190" s="5"/>
      <c r="BWQ190" s="5"/>
      <c r="BWR190" s="5"/>
      <c r="BWS190" s="5"/>
      <c r="BWT190" s="5"/>
      <c r="BWU190" s="5"/>
      <c r="BWV190" s="5"/>
      <c r="BWW190" s="5"/>
      <c r="BWX190" s="5"/>
      <c r="BWY190" s="5"/>
      <c r="BWZ190" s="5"/>
      <c r="BXA190" s="5"/>
      <c r="BXB190" s="5"/>
      <c r="BXC190" s="5"/>
      <c r="BXD190" s="5"/>
      <c r="BXE190" s="5"/>
      <c r="BXF190" s="5"/>
      <c r="BXG190" s="5"/>
      <c r="BXH190" s="5"/>
      <c r="BXI190" s="5"/>
      <c r="BXJ190" s="5"/>
      <c r="BXK190" s="5"/>
      <c r="BXL190" s="5"/>
      <c r="BXM190" s="5"/>
      <c r="BXN190" s="5"/>
      <c r="BXO190" s="5"/>
      <c r="BXP190" s="5"/>
      <c r="BXQ190" s="5"/>
      <c r="BXR190" s="5"/>
      <c r="BXS190" s="5"/>
      <c r="BXT190" s="5"/>
      <c r="BXU190" s="5"/>
      <c r="BXV190" s="5"/>
      <c r="BXW190" s="5"/>
      <c r="BXX190" s="5"/>
      <c r="BXY190" s="5"/>
      <c r="BXZ190" s="5"/>
      <c r="BYA190" s="5"/>
      <c r="BYB190" s="5"/>
      <c r="BYC190" s="5"/>
      <c r="BYD190" s="5"/>
      <c r="BYE190" s="5"/>
      <c r="BYF190" s="5"/>
      <c r="BYG190" s="5"/>
      <c r="BYH190" s="5"/>
      <c r="BYI190" s="5"/>
      <c r="BYJ190" s="5"/>
      <c r="BYK190" s="5"/>
      <c r="BYL190" s="5"/>
      <c r="BYM190" s="5"/>
      <c r="BYN190" s="5"/>
      <c r="BYO190" s="5"/>
      <c r="BYP190" s="5"/>
      <c r="BYQ190" s="5"/>
      <c r="BYR190" s="5"/>
      <c r="BYS190" s="5"/>
      <c r="BYT190" s="5"/>
      <c r="BYU190" s="5"/>
      <c r="BYV190" s="5"/>
      <c r="BYW190" s="5"/>
      <c r="BYX190" s="5"/>
      <c r="BYY190" s="5"/>
      <c r="BYZ190" s="5"/>
      <c r="BZA190" s="5"/>
      <c r="BZB190" s="5"/>
      <c r="BZC190" s="5"/>
      <c r="BZD190" s="5"/>
      <c r="BZE190" s="5"/>
      <c r="BZF190" s="5"/>
      <c r="BZG190" s="5"/>
      <c r="BZH190" s="5"/>
      <c r="BZI190" s="5"/>
      <c r="BZJ190" s="5"/>
      <c r="BZK190" s="5"/>
      <c r="BZL190" s="5"/>
      <c r="BZM190" s="5"/>
      <c r="BZN190" s="5"/>
      <c r="BZO190" s="5"/>
      <c r="BZP190" s="5"/>
      <c r="BZQ190" s="5"/>
      <c r="BZR190" s="5"/>
      <c r="BZS190" s="5"/>
      <c r="BZT190" s="5"/>
      <c r="BZU190" s="5"/>
      <c r="BZV190" s="5"/>
      <c r="BZW190" s="5"/>
      <c r="BZX190" s="5"/>
      <c r="BZY190" s="5"/>
      <c r="BZZ190" s="5"/>
      <c r="CAA190" s="5"/>
      <c r="CAB190" s="5"/>
      <c r="CAC190" s="5"/>
      <c r="CAD190" s="5"/>
      <c r="CAE190" s="5"/>
      <c r="CAF190" s="5"/>
      <c r="CAG190" s="5"/>
      <c r="CAH190" s="5"/>
      <c r="CAI190" s="5"/>
      <c r="CAJ190" s="5"/>
      <c r="CAK190" s="5"/>
      <c r="CAL190" s="5"/>
      <c r="CAM190" s="5"/>
      <c r="CAN190" s="5"/>
      <c r="CAO190" s="5"/>
      <c r="CAP190" s="5"/>
      <c r="CAQ190" s="5"/>
      <c r="CAR190" s="5"/>
      <c r="CAS190" s="5"/>
      <c r="CAT190" s="5"/>
      <c r="CAU190" s="5"/>
      <c r="CAV190" s="5"/>
      <c r="CAW190" s="5"/>
      <c r="CAX190" s="5"/>
      <c r="CAY190" s="5"/>
      <c r="CAZ190" s="5"/>
      <c r="CBA190" s="5"/>
      <c r="CBB190" s="5"/>
      <c r="CBC190" s="5"/>
      <c r="CBD190" s="5"/>
      <c r="CBE190" s="5"/>
      <c r="CBF190" s="5"/>
      <c r="CBG190" s="5"/>
      <c r="CBH190" s="5"/>
      <c r="CBI190" s="5"/>
      <c r="CBJ190" s="5"/>
      <c r="CBK190" s="5"/>
      <c r="CBL190" s="5"/>
      <c r="CBM190" s="5"/>
      <c r="CBN190" s="5"/>
      <c r="CBO190" s="5"/>
      <c r="CBP190" s="5"/>
      <c r="CBQ190" s="5"/>
      <c r="CBR190" s="5"/>
      <c r="CBS190" s="5"/>
      <c r="CBT190" s="5"/>
      <c r="CBU190" s="5"/>
      <c r="CBV190" s="5"/>
      <c r="CBW190" s="5"/>
      <c r="CBX190" s="5"/>
      <c r="CBY190" s="5"/>
      <c r="CBZ190" s="5"/>
      <c r="CCA190" s="5"/>
      <c r="CCB190" s="5"/>
      <c r="CCC190" s="5"/>
      <c r="CCD190" s="5"/>
      <c r="CCE190" s="5"/>
      <c r="CCF190" s="5"/>
      <c r="CCG190" s="5"/>
      <c r="CCH190" s="5"/>
      <c r="CCI190" s="5"/>
      <c r="CCJ190" s="5"/>
      <c r="CCK190" s="5"/>
      <c r="CCL190" s="5"/>
      <c r="CCM190" s="5"/>
      <c r="CCN190" s="5"/>
      <c r="CCO190" s="5"/>
      <c r="CCP190" s="5"/>
      <c r="CCQ190" s="5"/>
      <c r="CCR190" s="5"/>
      <c r="CCS190" s="5"/>
      <c r="CCT190" s="5"/>
      <c r="CCU190" s="5"/>
      <c r="CCV190" s="5"/>
      <c r="CCW190" s="5"/>
      <c r="CCX190" s="5"/>
      <c r="CCY190" s="5"/>
      <c r="CCZ190" s="5"/>
      <c r="CDA190" s="5"/>
      <c r="CDB190" s="5"/>
      <c r="CDC190" s="5"/>
      <c r="CDD190" s="5"/>
      <c r="CDE190" s="5"/>
      <c r="CDF190" s="5"/>
      <c r="CDG190" s="5"/>
      <c r="CDH190" s="5"/>
      <c r="CDI190" s="5"/>
      <c r="CDJ190" s="5"/>
      <c r="CDK190" s="5"/>
      <c r="CDL190" s="5"/>
      <c r="CDM190" s="5"/>
      <c r="CDN190" s="5"/>
      <c r="CDO190" s="5"/>
      <c r="CDP190" s="5"/>
      <c r="CDQ190" s="5"/>
      <c r="CDR190" s="5"/>
      <c r="CDS190" s="5"/>
      <c r="CDT190" s="5"/>
      <c r="CDU190" s="5"/>
      <c r="CDV190" s="5"/>
      <c r="CDW190" s="5"/>
      <c r="CDX190" s="5"/>
      <c r="CDY190" s="5"/>
      <c r="CDZ190" s="5"/>
      <c r="CEA190" s="5"/>
      <c r="CEB190" s="5"/>
      <c r="CEC190" s="5"/>
      <c r="CED190" s="5"/>
      <c r="CEE190" s="5"/>
      <c r="CEF190" s="5"/>
      <c r="CEG190" s="5"/>
      <c r="CEH190" s="5"/>
      <c r="CEI190" s="5"/>
      <c r="CEJ190" s="5"/>
      <c r="CEK190" s="5"/>
      <c r="CEL190" s="5"/>
      <c r="CEM190" s="5"/>
      <c r="CEN190" s="5"/>
      <c r="CEO190" s="5"/>
      <c r="CEP190" s="5"/>
      <c r="CEQ190" s="5"/>
      <c r="CER190" s="5"/>
      <c r="CES190" s="5"/>
      <c r="CET190" s="5"/>
      <c r="CEU190" s="5"/>
      <c r="CEV190" s="5"/>
      <c r="CEW190" s="5"/>
      <c r="CEX190" s="5"/>
      <c r="CEY190" s="5"/>
      <c r="CEZ190" s="5"/>
      <c r="CFA190" s="5"/>
      <c r="CFB190" s="5"/>
      <c r="CFC190" s="5"/>
      <c r="CFD190" s="5"/>
      <c r="CFE190" s="5"/>
      <c r="CFF190" s="5"/>
      <c r="CFG190" s="5"/>
      <c r="CFH190" s="5"/>
      <c r="CFI190" s="5"/>
      <c r="CFJ190" s="5"/>
      <c r="CFK190" s="5"/>
      <c r="CFL190" s="5"/>
      <c r="CFM190" s="5"/>
      <c r="CFN190" s="5"/>
      <c r="CFO190" s="5"/>
      <c r="CFP190" s="5"/>
      <c r="CFQ190" s="5"/>
      <c r="CFR190" s="5"/>
      <c r="CFS190" s="5"/>
      <c r="CFT190" s="5"/>
      <c r="CFU190" s="5"/>
      <c r="CFV190" s="5"/>
      <c r="CFW190" s="5"/>
      <c r="CFX190" s="5"/>
      <c r="CFY190" s="5"/>
      <c r="CFZ190" s="5"/>
      <c r="CGA190" s="5"/>
      <c r="CGB190" s="5"/>
      <c r="CGC190" s="5"/>
      <c r="CGD190" s="5"/>
      <c r="CGE190" s="5"/>
      <c r="CGF190" s="5"/>
      <c r="CGG190" s="5"/>
      <c r="CGH190" s="5"/>
      <c r="CGI190" s="5"/>
      <c r="CGJ190" s="5"/>
      <c r="CGK190" s="5"/>
      <c r="CGL190" s="5"/>
      <c r="CGM190" s="5"/>
      <c r="CGN190" s="5"/>
      <c r="CGO190" s="5"/>
      <c r="CGP190" s="5"/>
      <c r="CGQ190" s="5"/>
      <c r="CGR190" s="5"/>
      <c r="CGS190" s="5"/>
      <c r="CGT190" s="5"/>
      <c r="CGU190" s="5"/>
      <c r="CGV190" s="5"/>
      <c r="CGW190" s="5"/>
      <c r="CGX190" s="5"/>
      <c r="CGY190" s="5"/>
      <c r="CGZ190" s="5"/>
      <c r="CHA190" s="5"/>
      <c r="CHB190" s="5"/>
      <c r="CHC190" s="5"/>
      <c r="CHD190" s="5"/>
      <c r="CHE190" s="5"/>
      <c r="CHF190" s="5"/>
      <c r="CHG190" s="5"/>
      <c r="CHH190" s="5"/>
      <c r="CHI190" s="5"/>
      <c r="CHJ190" s="5"/>
      <c r="CHK190" s="5"/>
      <c r="CHL190" s="5"/>
      <c r="CHM190" s="5"/>
      <c r="CHN190" s="5"/>
      <c r="CHO190" s="5"/>
      <c r="CHP190" s="5"/>
      <c r="CHQ190" s="5"/>
      <c r="CHR190" s="5"/>
      <c r="CHS190" s="5"/>
      <c r="CHT190" s="5"/>
      <c r="CHU190" s="5"/>
      <c r="CHV190" s="5"/>
      <c r="CHW190" s="5"/>
      <c r="CHX190" s="5"/>
      <c r="CHY190" s="5"/>
      <c r="CHZ190" s="5"/>
      <c r="CIA190" s="5"/>
      <c r="CIB190" s="5"/>
      <c r="CIC190" s="5"/>
      <c r="CID190" s="5"/>
      <c r="CIE190" s="5"/>
      <c r="CIF190" s="5"/>
      <c r="CIG190" s="5"/>
      <c r="CIH190" s="5"/>
      <c r="CII190" s="5"/>
      <c r="CIJ190" s="5"/>
      <c r="CIK190" s="5"/>
      <c r="CIL190" s="5"/>
      <c r="CIM190" s="5"/>
      <c r="CIN190" s="5"/>
      <c r="CIO190" s="5"/>
      <c r="CIP190" s="5"/>
      <c r="CIQ190" s="5"/>
      <c r="CIR190" s="5"/>
      <c r="CIS190" s="5"/>
      <c r="CIT190" s="5"/>
      <c r="CIU190" s="5"/>
      <c r="CIV190" s="5"/>
      <c r="CIW190" s="5"/>
      <c r="CIX190" s="5"/>
      <c r="CIY190" s="5"/>
      <c r="CIZ190" s="5"/>
      <c r="CJA190" s="5"/>
      <c r="CJB190" s="5"/>
      <c r="CJC190" s="5"/>
      <c r="CJD190" s="5"/>
      <c r="CJE190" s="5"/>
      <c r="CJF190" s="5"/>
      <c r="CJG190" s="5"/>
      <c r="CJH190" s="5"/>
      <c r="CJI190" s="5"/>
      <c r="CJJ190" s="5"/>
      <c r="CJK190" s="5"/>
      <c r="CJL190" s="5"/>
      <c r="CJM190" s="5"/>
      <c r="CJN190" s="5"/>
      <c r="CJO190" s="5"/>
      <c r="CJP190" s="5"/>
      <c r="CJQ190" s="5"/>
      <c r="CJR190" s="5"/>
      <c r="CJS190" s="5"/>
      <c r="CJT190" s="5"/>
      <c r="CJU190" s="5"/>
      <c r="CJV190" s="5"/>
      <c r="CJW190" s="5"/>
      <c r="CJX190" s="5"/>
      <c r="CJY190" s="5"/>
      <c r="CJZ190" s="5"/>
      <c r="CKA190" s="5"/>
      <c r="CKB190" s="5"/>
      <c r="CKC190" s="5"/>
      <c r="CKD190" s="5"/>
      <c r="CKE190" s="5"/>
      <c r="CKF190" s="5"/>
      <c r="CKG190" s="5"/>
      <c r="CKH190" s="5"/>
      <c r="CKI190" s="5"/>
      <c r="CKJ190" s="5"/>
      <c r="CKK190" s="5"/>
      <c r="CKL190" s="5"/>
      <c r="CKM190" s="5"/>
      <c r="CKN190" s="5"/>
      <c r="CKO190" s="5"/>
      <c r="CKP190" s="5"/>
      <c r="CKQ190" s="5"/>
      <c r="CKR190" s="5"/>
      <c r="CKS190" s="5"/>
      <c r="CKT190" s="5"/>
      <c r="CKU190" s="5"/>
      <c r="CKV190" s="5"/>
      <c r="CKW190" s="5"/>
      <c r="CKX190" s="5"/>
      <c r="CKY190" s="5"/>
      <c r="CKZ190" s="5"/>
      <c r="CLA190" s="5"/>
      <c r="CLB190" s="5"/>
      <c r="CLC190" s="5"/>
      <c r="CLD190" s="5"/>
      <c r="CLE190" s="5"/>
      <c r="CLF190" s="5"/>
      <c r="CLG190" s="5"/>
      <c r="CLH190" s="5"/>
      <c r="CLI190" s="5"/>
      <c r="CLJ190" s="5"/>
      <c r="CLK190" s="5"/>
      <c r="CLL190" s="5"/>
      <c r="CLM190" s="5"/>
      <c r="CLN190" s="5"/>
      <c r="CLO190" s="5"/>
      <c r="CLP190" s="5"/>
      <c r="CLQ190" s="5"/>
      <c r="CLR190" s="5"/>
      <c r="CLS190" s="5"/>
      <c r="CLT190" s="5"/>
      <c r="CLU190" s="5"/>
      <c r="CLV190" s="5"/>
      <c r="CLW190" s="5"/>
      <c r="CLX190" s="5"/>
      <c r="CLY190" s="5"/>
      <c r="CLZ190" s="5"/>
      <c r="CMA190" s="5"/>
      <c r="CMB190" s="5"/>
      <c r="CMC190" s="5"/>
      <c r="CMD190" s="5"/>
      <c r="CME190" s="5"/>
      <c r="CMF190" s="5"/>
      <c r="CMG190" s="5"/>
      <c r="CMH190" s="5"/>
      <c r="CMI190" s="5"/>
      <c r="CMJ190" s="5"/>
      <c r="CMK190" s="5"/>
      <c r="CML190" s="5"/>
      <c r="CMM190" s="5"/>
      <c r="CMN190" s="5"/>
      <c r="CMO190" s="5"/>
      <c r="CMP190" s="5"/>
      <c r="CMQ190" s="5"/>
      <c r="CMR190" s="5"/>
      <c r="CMS190" s="5"/>
      <c r="CMT190" s="5"/>
      <c r="CMU190" s="5"/>
      <c r="CMV190" s="5"/>
      <c r="CMW190" s="5"/>
      <c r="CMX190" s="5"/>
      <c r="CMY190" s="5"/>
      <c r="CMZ190" s="5"/>
      <c r="CNA190" s="5"/>
      <c r="CNB190" s="5"/>
      <c r="CNC190" s="5"/>
      <c r="CND190" s="5"/>
      <c r="CNE190" s="5"/>
      <c r="CNF190" s="5"/>
      <c r="CNG190" s="5"/>
      <c r="CNH190" s="5"/>
      <c r="CNI190" s="5"/>
      <c r="CNJ190" s="5"/>
      <c r="CNK190" s="5"/>
      <c r="CNL190" s="5"/>
      <c r="CNM190" s="5"/>
      <c r="CNN190" s="5"/>
      <c r="CNO190" s="5"/>
      <c r="CNP190" s="5"/>
      <c r="CNQ190" s="5"/>
      <c r="CNR190" s="5"/>
      <c r="CNS190" s="5"/>
      <c r="CNT190" s="5"/>
      <c r="CNU190" s="5"/>
      <c r="CNV190" s="5"/>
      <c r="CNW190" s="5"/>
      <c r="CNX190" s="5"/>
      <c r="CNY190" s="5"/>
      <c r="CNZ190" s="5"/>
      <c r="COA190" s="5"/>
      <c r="COB190" s="5"/>
      <c r="COC190" s="5"/>
      <c r="COD190" s="5"/>
      <c r="COE190" s="5"/>
      <c r="COF190" s="5"/>
      <c r="COG190" s="5"/>
      <c r="COH190" s="5"/>
      <c r="COI190" s="5"/>
      <c r="COJ190" s="5"/>
      <c r="COK190" s="5"/>
      <c r="COL190" s="5"/>
      <c r="COM190" s="5"/>
      <c r="CON190" s="5"/>
      <c r="COO190" s="5"/>
      <c r="COP190" s="5"/>
      <c r="COQ190" s="5"/>
      <c r="COR190" s="5"/>
      <c r="COS190" s="5"/>
      <c r="COT190" s="5"/>
      <c r="COU190" s="5"/>
      <c r="COV190" s="5"/>
      <c r="COW190" s="5"/>
      <c r="COX190" s="5"/>
      <c r="COY190" s="5"/>
      <c r="COZ190" s="5"/>
      <c r="CPA190" s="5"/>
      <c r="CPB190" s="5"/>
      <c r="CPC190" s="5"/>
      <c r="CPD190" s="5"/>
      <c r="CPE190" s="5"/>
      <c r="CPF190" s="5"/>
      <c r="CPG190" s="5"/>
      <c r="CPH190" s="5"/>
      <c r="CPI190" s="5"/>
      <c r="CPJ190" s="5"/>
      <c r="CPK190" s="5"/>
      <c r="CPL190" s="5"/>
      <c r="CPM190" s="5"/>
      <c r="CPN190" s="5"/>
      <c r="CPO190" s="5"/>
      <c r="CPP190" s="5"/>
      <c r="CPQ190" s="5"/>
      <c r="CPR190" s="5"/>
      <c r="CPS190" s="5"/>
      <c r="CPT190" s="5"/>
      <c r="CPU190" s="5"/>
      <c r="CPV190" s="5"/>
      <c r="CPW190" s="5"/>
      <c r="CPX190" s="5"/>
      <c r="CPY190" s="5"/>
      <c r="CPZ190" s="5"/>
      <c r="CQA190" s="5"/>
      <c r="CQB190" s="5"/>
      <c r="CQC190" s="5"/>
      <c r="CQD190" s="5"/>
      <c r="CQE190" s="5"/>
      <c r="CQF190" s="5"/>
      <c r="CQG190" s="5"/>
      <c r="CQH190" s="5"/>
      <c r="CQI190" s="5"/>
      <c r="CQJ190" s="5"/>
      <c r="CQK190" s="5"/>
      <c r="CQL190" s="5"/>
      <c r="CQM190" s="5"/>
      <c r="CQN190" s="5"/>
      <c r="CQO190" s="5"/>
      <c r="CQP190" s="5"/>
      <c r="CQQ190" s="5"/>
      <c r="CQR190" s="5"/>
      <c r="CQS190" s="5"/>
      <c r="CQT190" s="5"/>
      <c r="CQU190" s="5"/>
      <c r="CQV190" s="5"/>
      <c r="CQW190" s="5"/>
      <c r="CQX190" s="5"/>
      <c r="CQY190" s="5"/>
      <c r="CQZ190" s="5"/>
      <c r="CRA190" s="5"/>
      <c r="CRB190" s="5"/>
      <c r="CRC190" s="5"/>
      <c r="CRD190" s="5"/>
      <c r="CRE190" s="5"/>
      <c r="CRF190" s="5"/>
      <c r="CRG190" s="5"/>
      <c r="CRH190" s="5"/>
      <c r="CRI190" s="5"/>
      <c r="CRJ190" s="5"/>
      <c r="CRK190" s="5"/>
      <c r="CRL190" s="5"/>
      <c r="CRM190" s="5"/>
      <c r="CRN190" s="5"/>
      <c r="CRO190" s="5"/>
      <c r="CRP190" s="5"/>
      <c r="CRQ190" s="5"/>
      <c r="CRR190" s="5"/>
      <c r="CRS190" s="5"/>
      <c r="CRT190" s="5"/>
      <c r="CRU190" s="5"/>
      <c r="CRV190" s="5"/>
      <c r="CRW190" s="5"/>
      <c r="CRX190" s="5"/>
      <c r="CRY190" s="5"/>
      <c r="CRZ190" s="5"/>
      <c r="CSA190" s="5"/>
      <c r="CSB190" s="5"/>
      <c r="CSC190" s="5"/>
      <c r="CSD190" s="5"/>
      <c r="CSE190" s="5"/>
      <c r="CSF190" s="5"/>
      <c r="CSG190" s="5"/>
      <c r="CSH190" s="5"/>
      <c r="CSI190" s="5"/>
      <c r="CSJ190" s="5"/>
      <c r="CSK190" s="5"/>
      <c r="CSL190" s="5"/>
      <c r="CSM190" s="5"/>
      <c r="CSN190" s="5"/>
      <c r="CSO190" s="5"/>
      <c r="CSP190" s="5"/>
      <c r="CSQ190" s="5"/>
      <c r="CSR190" s="5"/>
      <c r="CSS190" s="5"/>
      <c r="CST190" s="5"/>
      <c r="CSU190" s="5"/>
      <c r="CSV190" s="5"/>
      <c r="CSW190" s="5"/>
      <c r="CSX190" s="5"/>
      <c r="CSY190" s="5"/>
      <c r="CSZ190" s="5"/>
      <c r="CTA190" s="5"/>
      <c r="CTB190" s="5"/>
      <c r="CTC190" s="5"/>
      <c r="CTD190" s="5"/>
      <c r="CTE190" s="5"/>
      <c r="CTF190" s="5"/>
      <c r="CTG190" s="5"/>
      <c r="CTH190" s="5"/>
      <c r="CTI190" s="5"/>
      <c r="CTJ190" s="5"/>
      <c r="CTK190" s="5"/>
      <c r="CTL190" s="5"/>
      <c r="CTM190" s="5"/>
      <c r="CTN190" s="5"/>
      <c r="CTO190" s="5"/>
      <c r="CTP190" s="5"/>
      <c r="CTQ190" s="5"/>
      <c r="CTR190" s="5"/>
      <c r="CTS190" s="5"/>
      <c r="CTT190" s="5"/>
      <c r="CTU190" s="5"/>
      <c r="CTV190" s="5"/>
      <c r="CTW190" s="5"/>
      <c r="CTX190" s="5"/>
      <c r="CTY190" s="5"/>
      <c r="CTZ190" s="5"/>
      <c r="CUA190" s="5"/>
      <c r="CUB190" s="5"/>
      <c r="CUC190" s="5"/>
      <c r="CUD190" s="5"/>
      <c r="CUE190" s="5"/>
      <c r="CUF190" s="5"/>
      <c r="CUG190" s="5"/>
      <c r="CUH190" s="5"/>
      <c r="CUI190" s="5"/>
      <c r="CUJ190" s="5"/>
      <c r="CUK190" s="5"/>
      <c r="CUL190" s="5"/>
      <c r="CUM190" s="5"/>
      <c r="CUN190" s="5"/>
      <c r="CUO190" s="5"/>
      <c r="CUP190" s="5"/>
      <c r="CUQ190" s="5"/>
      <c r="CUR190" s="5"/>
      <c r="CUS190" s="5"/>
      <c r="CUT190" s="5"/>
      <c r="CUU190" s="5"/>
      <c r="CUV190" s="5"/>
      <c r="CUW190" s="5"/>
      <c r="CUX190" s="5"/>
      <c r="CUY190" s="5"/>
      <c r="CUZ190" s="5"/>
      <c r="CVA190" s="5"/>
      <c r="CVB190" s="5"/>
      <c r="CVC190" s="5"/>
      <c r="CVD190" s="5"/>
      <c r="CVE190" s="5"/>
      <c r="CVF190" s="5"/>
      <c r="CVG190" s="5"/>
      <c r="CVH190" s="5"/>
      <c r="CVI190" s="5"/>
      <c r="CVJ190" s="5"/>
      <c r="CVK190" s="5"/>
      <c r="CVL190" s="5"/>
      <c r="CVM190" s="5"/>
      <c r="CVN190" s="5"/>
      <c r="CVO190" s="5"/>
      <c r="CVP190" s="5"/>
      <c r="CVQ190" s="5"/>
      <c r="CVR190" s="5"/>
      <c r="CVS190" s="5"/>
      <c r="CVT190" s="5"/>
      <c r="CVU190" s="5"/>
      <c r="CVV190" s="5"/>
      <c r="CVW190" s="5"/>
      <c r="CVX190" s="5"/>
      <c r="CVY190" s="5"/>
      <c r="CVZ190" s="5"/>
      <c r="CWA190" s="5"/>
      <c r="CWB190" s="5"/>
      <c r="CWC190" s="5"/>
      <c r="CWD190" s="5"/>
      <c r="CWE190" s="5"/>
      <c r="CWF190" s="5"/>
      <c r="CWG190" s="5"/>
      <c r="CWH190" s="5"/>
      <c r="CWI190" s="5"/>
      <c r="CWJ190" s="5"/>
      <c r="CWK190" s="5"/>
      <c r="CWL190" s="5"/>
      <c r="CWM190" s="5"/>
      <c r="CWN190" s="5"/>
      <c r="CWO190" s="5"/>
      <c r="CWP190" s="5"/>
      <c r="CWQ190" s="5"/>
      <c r="CWR190" s="5"/>
      <c r="CWS190" s="5"/>
      <c r="CWT190" s="5"/>
      <c r="CWU190" s="5"/>
      <c r="CWV190" s="5"/>
      <c r="CWW190" s="5"/>
      <c r="CWX190" s="5"/>
      <c r="CWY190" s="5"/>
      <c r="CWZ190" s="5"/>
      <c r="CXA190" s="5"/>
      <c r="CXB190" s="5"/>
      <c r="CXC190" s="5"/>
      <c r="CXD190" s="5"/>
      <c r="CXE190" s="5"/>
      <c r="CXF190" s="5"/>
      <c r="CXG190" s="5"/>
      <c r="CXH190" s="5"/>
      <c r="CXI190" s="5"/>
      <c r="CXJ190" s="5"/>
      <c r="CXK190" s="5"/>
      <c r="CXL190" s="5"/>
      <c r="CXM190" s="5"/>
      <c r="CXN190" s="5"/>
      <c r="CXO190" s="5"/>
      <c r="CXP190" s="5"/>
      <c r="CXQ190" s="5"/>
      <c r="CXR190" s="5"/>
      <c r="CXS190" s="5"/>
      <c r="CXT190" s="5"/>
      <c r="CXU190" s="5"/>
      <c r="CXV190" s="5"/>
      <c r="CXW190" s="5"/>
      <c r="CXX190" s="5"/>
      <c r="CXY190" s="5"/>
      <c r="CXZ190" s="5"/>
      <c r="CYA190" s="5"/>
      <c r="CYB190" s="5"/>
      <c r="CYC190" s="5"/>
      <c r="CYD190" s="5"/>
      <c r="CYE190" s="5"/>
      <c r="CYF190" s="5"/>
      <c r="CYG190" s="5"/>
      <c r="CYH190" s="5"/>
      <c r="CYI190" s="5"/>
      <c r="CYJ190" s="5"/>
      <c r="CYK190" s="5"/>
      <c r="CYL190" s="5"/>
      <c r="CYM190" s="5"/>
      <c r="CYN190" s="5"/>
      <c r="CYO190" s="5"/>
      <c r="CYP190" s="5"/>
      <c r="CYQ190" s="5"/>
      <c r="CYR190" s="5"/>
      <c r="CYS190" s="5"/>
      <c r="CYT190" s="5"/>
      <c r="CYU190" s="5"/>
      <c r="CYV190" s="5"/>
      <c r="CYW190" s="5"/>
      <c r="CYX190" s="5"/>
      <c r="CYY190" s="5"/>
      <c r="CYZ190" s="5"/>
      <c r="CZA190" s="5"/>
      <c r="CZB190" s="5"/>
      <c r="CZC190" s="5"/>
      <c r="CZD190" s="5"/>
      <c r="CZE190" s="5"/>
      <c r="CZF190" s="5"/>
      <c r="CZG190" s="5"/>
      <c r="CZH190" s="5"/>
      <c r="CZI190" s="5"/>
      <c r="CZJ190" s="5"/>
      <c r="CZK190" s="5"/>
      <c r="CZL190" s="5"/>
      <c r="CZM190" s="5"/>
      <c r="CZN190" s="5"/>
      <c r="CZO190" s="5"/>
      <c r="CZP190" s="5"/>
      <c r="CZQ190" s="5"/>
      <c r="CZR190" s="5"/>
      <c r="CZS190" s="5"/>
      <c r="CZT190" s="5"/>
      <c r="CZU190" s="5"/>
      <c r="CZV190" s="5"/>
      <c r="CZW190" s="5"/>
      <c r="CZX190" s="5"/>
      <c r="CZY190" s="5"/>
      <c r="CZZ190" s="5"/>
      <c r="DAA190" s="5"/>
      <c r="DAB190" s="5"/>
      <c r="DAC190" s="5"/>
      <c r="DAD190" s="5"/>
      <c r="DAE190" s="5"/>
      <c r="DAF190" s="5"/>
      <c r="DAG190" s="5"/>
      <c r="DAH190" s="5"/>
      <c r="DAI190" s="5"/>
      <c r="DAJ190" s="5"/>
      <c r="DAK190" s="5"/>
      <c r="DAL190" s="5"/>
      <c r="DAM190" s="5"/>
      <c r="DAN190" s="5"/>
      <c r="DAO190" s="5"/>
      <c r="DAP190" s="5"/>
      <c r="DAQ190" s="5"/>
      <c r="DAR190" s="5"/>
      <c r="DAS190" s="5"/>
      <c r="DAT190" s="5"/>
      <c r="DAU190" s="5"/>
      <c r="DAV190" s="5"/>
      <c r="DAW190" s="5"/>
      <c r="DAX190" s="5"/>
      <c r="DAY190" s="5"/>
      <c r="DAZ190" s="5"/>
      <c r="DBA190" s="5"/>
      <c r="DBB190" s="5"/>
      <c r="DBC190" s="5"/>
      <c r="DBD190" s="5"/>
      <c r="DBE190" s="5"/>
      <c r="DBF190" s="5"/>
      <c r="DBG190" s="5"/>
      <c r="DBH190" s="5"/>
      <c r="DBI190" s="5"/>
      <c r="DBJ190" s="5"/>
      <c r="DBK190" s="5"/>
      <c r="DBL190" s="5"/>
      <c r="DBM190" s="5"/>
      <c r="DBN190" s="5"/>
      <c r="DBO190" s="5"/>
      <c r="DBP190" s="5"/>
      <c r="DBQ190" s="5"/>
      <c r="DBR190" s="5"/>
      <c r="DBS190" s="5"/>
      <c r="DBT190" s="5"/>
      <c r="DBU190" s="5"/>
      <c r="DBV190" s="5"/>
      <c r="DBW190" s="5"/>
      <c r="DBX190" s="5"/>
      <c r="DBY190" s="5"/>
      <c r="DBZ190" s="5"/>
      <c r="DCA190" s="5"/>
      <c r="DCB190" s="5"/>
      <c r="DCC190" s="5"/>
      <c r="DCD190" s="5"/>
      <c r="DCE190" s="5"/>
      <c r="DCF190" s="5"/>
      <c r="DCG190" s="5"/>
      <c r="DCH190" s="5"/>
      <c r="DCI190" s="5"/>
      <c r="DCJ190" s="5"/>
      <c r="DCK190" s="5"/>
      <c r="DCL190" s="5"/>
      <c r="DCM190" s="5"/>
      <c r="DCN190" s="5"/>
      <c r="DCO190" s="5"/>
      <c r="DCP190" s="5"/>
      <c r="DCQ190" s="5"/>
      <c r="DCR190" s="5"/>
      <c r="DCS190" s="5"/>
      <c r="DCT190" s="5"/>
      <c r="DCU190" s="5"/>
      <c r="DCV190" s="5"/>
      <c r="DCW190" s="5"/>
      <c r="DCX190" s="5"/>
      <c r="DCY190" s="5"/>
      <c r="DCZ190" s="5"/>
      <c r="DDA190" s="5"/>
      <c r="DDB190" s="5"/>
      <c r="DDC190" s="5"/>
      <c r="DDD190" s="5"/>
      <c r="DDE190" s="5"/>
      <c r="DDF190" s="5"/>
      <c r="DDG190" s="5"/>
      <c r="DDH190" s="5"/>
      <c r="DDI190" s="5"/>
      <c r="DDJ190" s="5"/>
      <c r="DDK190" s="5"/>
      <c r="DDL190" s="5"/>
      <c r="DDM190" s="5"/>
      <c r="DDN190" s="5"/>
      <c r="DDO190" s="5"/>
      <c r="DDP190" s="5"/>
      <c r="DDQ190" s="5"/>
      <c r="DDR190" s="5"/>
      <c r="DDS190" s="5"/>
      <c r="DDT190" s="5"/>
      <c r="DDU190" s="5"/>
      <c r="DDV190" s="5"/>
      <c r="DDW190" s="5"/>
      <c r="DDX190" s="5"/>
      <c r="DDY190" s="5"/>
      <c r="DDZ190" s="5"/>
      <c r="DEA190" s="5"/>
      <c r="DEB190" s="5"/>
      <c r="DEC190" s="5"/>
      <c r="DED190" s="5"/>
      <c r="DEE190" s="5"/>
      <c r="DEF190" s="5"/>
      <c r="DEG190" s="5"/>
      <c r="DEH190" s="5"/>
      <c r="DEI190" s="5"/>
      <c r="DEJ190" s="5"/>
      <c r="DEK190" s="5"/>
      <c r="DEL190" s="5"/>
      <c r="DEM190" s="5"/>
      <c r="DEN190" s="5"/>
      <c r="DEO190" s="5"/>
      <c r="DEP190" s="5"/>
      <c r="DEQ190" s="5"/>
      <c r="DER190" s="5"/>
      <c r="DES190" s="5"/>
      <c r="DET190" s="5"/>
      <c r="DEU190" s="5"/>
      <c r="DEV190" s="5"/>
      <c r="DEW190" s="5"/>
      <c r="DEX190" s="5"/>
      <c r="DEY190" s="5"/>
      <c r="DEZ190" s="5"/>
      <c r="DFA190" s="5"/>
      <c r="DFB190" s="5"/>
      <c r="DFC190" s="5"/>
      <c r="DFD190" s="5"/>
      <c r="DFE190" s="5"/>
      <c r="DFF190" s="5"/>
      <c r="DFG190" s="5"/>
      <c r="DFH190" s="5"/>
      <c r="DFI190" s="5"/>
      <c r="DFJ190" s="5"/>
      <c r="DFK190" s="5"/>
      <c r="DFL190" s="5"/>
      <c r="DFM190" s="5"/>
      <c r="DFN190" s="5"/>
      <c r="DFO190" s="5"/>
      <c r="DFP190" s="5"/>
      <c r="DFQ190" s="5"/>
      <c r="DFR190" s="5"/>
      <c r="DFS190" s="5"/>
      <c r="DFT190" s="5"/>
      <c r="DFU190" s="5"/>
      <c r="DFV190" s="5"/>
      <c r="DFW190" s="5"/>
      <c r="DFX190" s="5"/>
      <c r="DFY190" s="5"/>
      <c r="DFZ190" s="5"/>
      <c r="DGA190" s="5"/>
      <c r="DGB190" s="5"/>
      <c r="DGC190" s="5"/>
      <c r="DGD190" s="5"/>
      <c r="DGE190" s="5"/>
      <c r="DGF190" s="5"/>
      <c r="DGG190" s="5"/>
      <c r="DGH190" s="5"/>
      <c r="DGI190" s="5"/>
      <c r="DGJ190" s="5"/>
      <c r="DGK190" s="5"/>
      <c r="DGL190" s="5"/>
      <c r="DGM190" s="5"/>
      <c r="DGN190" s="5"/>
      <c r="DGO190" s="5"/>
      <c r="DGP190" s="5"/>
      <c r="DGQ190" s="5"/>
      <c r="DGR190" s="5"/>
      <c r="DGS190" s="5"/>
      <c r="DGT190" s="5"/>
      <c r="DGU190" s="5"/>
      <c r="DGV190" s="5"/>
      <c r="DGW190" s="5"/>
      <c r="DGX190" s="5"/>
      <c r="DGY190" s="5"/>
      <c r="DGZ190" s="5"/>
      <c r="DHA190" s="5"/>
      <c r="DHB190" s="5"/>
      <c r="DHC190" s="5"/>
      <c r="DHD190" s="5"/>
      <c r="DHE190" s="5"/>
      <c r="DHF190" s="5"/>
      <c r="DHG190" s="5"/>
      <c r="DHH190" s="5"/>
      <c r="DHI190" s="5"/>
      <c r="DHJ190" s="5"/>
      <c r="DHK190" s="5"/>
      <c r="DHL190" s="5"/>
      <c r="DHM190" s="5"/>
      <c r="DHN190" s="5"/>
      <c r="DHO190" s="5"/>
      <c r="DHP190" s="5"/>
      <c r="DHQ190" s="5"/>
      <c r="DHR190" s="5"/>
      <c r="DHS190" s="5"/>
      <c r="DHT190" s="5"/>
      <c r="DHU190" s="5"/>
      <c r="DHV190" s="5"/>
      <c r="DHW190" s="5"/>
      <c r="DHX190" s="5"/>
      <c r="DHY190" s="5"/>
      <c r="DHZ190" s="5"/>
      <c r="DIA190" s="5"/>
      <c r="DIB190" s="5"/>
      <c r="DIC190" s="5"/>
      <c r="DID190" s="5"/>
      <c r="DIE190" s="5"/>
      <c r="DIF190" s="5"/>
      <c r="DIG190" s="5"/>
      <c r="DIH190" s="5"/>
      <c r="DII190" s="5"/>
      <c r="DIJ190" s="5"/>
      <c r="DIK190" s="5"/>
      <c r="DIL190" s="5"/>
      <c r="DIM190" s="5"/>
      <c r="DIN190" s="5"/>
      <c r="DIO190" s="5"/>
      <c r="DIP190" s="5"/>
      <c r="DIQ190" s="5"/>
      <c r="DIR190" s="5"/>
      <c r="DIS190" s="5"/>
      <c r="DIT190" s="5"/>
      <c r="DIU190" s="5"/>
      <c r="DIV190" s="5"/>
      <c r="DIW190" s="5"/>
      <c r="DIX190" s="5"/>
      <c r="DIY190" s="5"/>
      <c r="DIZ190" s="5"/>
      <c r="DJA190" s="5"/>
      <c r="DJB190" s="5"/>
      <c r="DJC190" s="5"/>
      <c r="DJD190" s="5"/>
      <c r="DJE190" s="5"/>
      <c r="DJF190" s="5"/>
      <c r="DJG190" s="5"/>
      <c r="DJH190" s="5"/>
      <c r="DJI190" s="5"/>
      <c r="DJJ190" s="5"/>
      <c r="DJK190" s="5"/>
      <c r="DJL190" s="5"/>
      <c r="DJM190" s="5"/>
      <c r="DJN190" s="5"/>
      <c r="DJO190" s="5"/>
      <c r="DJP190" s="5"/>
      <c r="DJQ190" s="5"/>
      <c r="DJR190" s="5"/>
      <c r="DJS190" s="5"/>
      <c r="DJT190" s="5"/>
      <c r="DJU190" s="5"/>
      <c r="DJV190" s="5"/>
      <c r="DJW190" s="5"/>
      <c r="DJX190" s="5"/>
      <c r="DJY190" s="5"/>
      <c r="DJZ190" s="5"/>
      <c r="DKA190" s="5"/>
      <c r="DKB190" s="5"/>
      <c r="DKC190" s="5"/>
      <c r="DKD190" s="5"/>
      <c r="DKE190" s="5"/>
      <c r="DKF190" s="5"/>
      <c r="DKG190" s="5"/>
      <c r="DKH190" s="5"/>
      <c r="DKI190" s="5"/>
      <c r="DKJ190" s="5"/>
      <c r="DKK190" s="5"/>
      <c r="DKL190" s="5"/>
      <c r="DKM190" s="5"/>
      <c r="DKN190" s="5"/>
      <c r="DKO190" s="5"/>
      <c r="DKP190" s="5"/>
      <c r="DKQ190" s="5"/>
      <c r="DKR190" s="5"/>
      <c r="DKS190" s="5"/>
      <c r="DKT190" s="5"/>
      <c r="DKU190" s="5"/>
      <c r="DKV190" s="5"/>
      <c r="DKW190" s="5"/>
      <c r="DKX190" s="5"/>
      <c r="DKY190" s="5"/>
      <c r="DKZ190" s="5"/>
      <c r="DLA190" s="5"/>
      <c r="DLB190" s="5"/>
      <c r="DLC190" s="5"/>
      <c r="DLD190" s="5"/>
      <c r="DLE190" s="5"/>
      <c r="DLF190" s="5"/>
      <c r="DLG190" s="5"/>
      <c r="DLH190" s="5"/>
      <c r="DLI190" s="5"/>
      <c r="DLJ190" s="5"/>
      <c r="DLK190" s="5"/>
      <c r="DLL190" s="5"/>
      <c r="DLM190" s="5"/>
      <c r="DLN190" s="5"/>
      <c r="DLO190" s="5"/>
      <c r="DLP190" s="5"/>
      <c r="DLQ190" s="5"/>
      <c r="DLR190" s="5"/>
      <c r="DLS190" s="5"/>
      <c r="DLT190" s="5"/>
      <c r="DLU190" s="5"/>
      <c r="DLV190" s="5"/>
      <c r="DLW190" s="5"/>
      <c r="DLX190" s="5"/>
      <c r="DLY190" s="5"/>
      <c r="DLZ190" s="5"/>
      <c r="DMA190" s="5"/>
      <c r="DMB190" s="5"/>
      <c r="DMC190" s="5"/>
      <c r="DMD190" s="5"/>
      <c r="DME190" s="5"/>
      <c r="DMF190" s="5"/>
      <c r="DMG190" s="5"/>
      <c r="DMH190" s="5"/>
      <c r="DMI190" s="5"/>
      <c r="DMJ190" s="5"/>
      <c r="DMK190" s="5"/>
      <c r="DML190" s="5"/>
      <c r="DMM190" s="5"/>
      <c r="DMN190" s="5"/>
      <c r="DMO190" s="5"/>
      <c r="DMP190" s="5"/>
      <c r="DMQ190" s="5"/>
      <c r="DMR190" s="5"/>
      <c r="DMS190" s="5"/>
      <c r="DMT190" s="5"/>
      <c r="DMU190" s="5"/>
      <c r="DMV190" s="5"/>
      <c r="DMW190" s="5"/>
      <c r="DMX190" s="5"/>
      <c r="DMY190" s="5"/>
      <c r="DMZ190" s="5"/>
      <c r="DNA190" s="5"/>
      <c r="DNB190" s="5"/>
      <c r="DNC190" s="5"/>
      <c r="DND190" s="5"/>
      <c r="DNE190" s="5"/>
      <c r="DNF190" s="5"/>
      <c r="DNG190" s="5"/>
      <c r="DNH190" s="5"/>
      <c r="DNI190" s="5"/>
      <c r="DNJ190" s="5"/>
      <c r="DNK190" s="5"/>
      <c r="DNL190" s="5"/>
      <c r="DNM190" s="5"/>
      <c r="DNN190" s="5"/>
      <c r="DNO190" s="5"/>
      <c r="DNP190" s="5"/>
      <c r="DNQ190" s="5"/>
      <c r="DNR190" s="5"/>
      <c r="DNS190" s="5"/>
      <c r="DNT190" s="5"/>
      <c r="DNU190" s="5"/>
      <c r="DNV190" s="5"/>
      <c r="DNW190" s="5"/>
      <c r="DNX190" s="5"/>
      <c r="DNY190" s="5"/>
      <c r="DNZ190" s="5"/>
      <c r="DOA190" s="5"/>
      <c r="DOB190" s="5"/>
      <c r="DOC190" s="5"/>
      <c r="DOD190" s="5"/>
      <c r="DOE190" s="5"/>
      <c r="DOF190" s="5"/>
      <c r="DOG190" s="5"/>
      <c r="DOH190" s="5"/>
      <c r="DOI190" s="5"/>
      <c r="DOJ190" s="5"/>
      <c r="DOK190" s="5"/>
      <c r="DOL190" s="5"/>
      <c r="DOM190" s="5"/>
      <c r="DON190" s="5"/>
      <c r="DOO190" s="5"/>
      <c r="DOP190" s="5"/>
      <c r="DOQ190" s="5"/>
      <c r="DOR190" s="5"/>
      <c r="DOS190" s="5"/>
      <c r="DOT190" s="5"/>
      <c r="DOU190" s="5"/>
      <c r="DOV190" s="5"/>
      <c r="DOW190" s="5"/>
      <c r="DOX190" s="5"/>
      <c r="DOY190" s="5"/>
      <c r="DOZ190" s="5"/>
      <c r="DPA190" s="5"/>
      <c r="DPB190" s="5"/>
      <c r="DPC190" s="5"/>
      <c r="DPD190" s="5"/>
      <c r="DPE190" s="5"/>
      <c r="DPF190" s="5"/>
      <c r="DPG190" s="5"/>
      <c r="DPH190" s="5"/>
      <c r="DPI190" s="5"/>
      <c r="DPJ190" s="5"/>
      <c r="DPK190" s="5"/>
      <c r="DPL190" s="5"/>
      <c r="DPM190" s="5"/>
      <c r="DPN190" s="5"/>
      <c r="DPO190" s="5"/>
      <c r="DPP190" s="5"/>
      <c r="DPQ190" s="5"/>
      <c r="DPR190" s="5"/>
      <c r="DPS190" s="5"/>
      <c r="DPT190" s="5"/>
      <c r="DPU190" s="5"/>
      <c r="DPV190" s="5"/>
      <c r="DPW190" s="5"/>
      <c r="DPX190" s="5"/>
      <c r="DPY190" s="5"/>
      <c r="DPZ190" s="5"/>
      <c r="DQA190" s="5"/>
      <c r="DQB190" s="5"/>
      <c r="DQC190" s="5"/>
      <c r="DQD190" s="5"/>
      <c r="DQE190" s="5"/>
      <c r="DQF190" s="5"/>
      <c r="DQG190" s="5"/>
      <c r="DQH190" s="5"/>
      <c r="DQI190" s="5"/>
      <c r="DQJ190" s="5"/>
      <c r="DQK190" s="5"/>
      <c r="DQL190" s="5"/>
      <c r="DQM190" s="5"/>
      <c r="DQN190" s="5"/>
      <c r="DQO190" s="5"/>
      <c r="DQP190" s="5"/>
      <c r="DQQ190" s="5"/>
      <c r="DQR190" s="5"/>
      <c r="DQS190" s="5"/>
      <c r="DQT190" s="5"/>
      <c r="DQU190" s="5"/>
      <c r="DQV190" s="5"/>
      <c r="DQW190" s="5"/>
      <c r="DQX190" s="5"/>
      <c r="DQY190" s="5"/>
      <c r="DQZ190" s="5"/>
      <c r="DRA190" s="5"/>
      <c r="DRB190" s="5"/>
      <c r="DRC190" s="5"/>
      <c r="DRD190" s="5"/>
      <c r="DRE190" s="5"/>
      <c r="DRF190" s="5"/>
      <c r="DRG190" s="5"/>
      <c r="DRH190" s="5"/>
      <c r="DRI190" s="5"/>
      <c r="DRJ190" s="5"/>
      <c r="DRK190" s="5"/>
      <c r="DRL190" s="5"/>
      <c r="DRM190" s="5"/>
      <c r="DRN190" s="5"/>
      <c r="DRO190" s="5"/>
      <c r="DRP190" s="5"/>
      <c r="DRQ190" s="5"/>
      <c r="DRR190" s="5"/>
      <c r="DRS190" s="5"/>
      <c r="DRT190" s="5"/>
      <c r="DRU190" s="5"/>
      <c r="DRV190" s="5"/>
      <c r="DRW190" s="5"/>
      <c r="DRX190" s="5"/>
      <c r="DRY190" s="5"/>
      <c r="DRZ190" s="5"/>
      <c r="DSA190" s="5"/>
      <c r="DSB190" s="5"/>
      <c r="DSC190" s="5"/>
      <c r="DSD190" s="5"/>
      <c r="DSE190" s="5"/>
      <c r="DSF190" s="5"/>
      <c r="DSG190" s="5"/>
      <c r="DSH190" s="5"/>
      <c r="DSI190" s="5"/>
      <c r="DSJ190" s="5"/>
      <c r="DSK190" s="5"/>
      <c r="DSL190" s="5"/>
      <c r="DSM190" s="5"/>
      <c r="DSN190" s="5"/>
      <c r="DSO190" s="5"/>
      <c r="DSP190" s="5"/>
      <c r="DSQ190" s="5"/>
      <c r="DSR190" s="5"/>
      <c r="DSS190" s="5"/>
      <c r="DST190" s="5"/>
      <c r="DSU190" s="5"/>
      <c r="DSV190" s="5"/>
      <c r="DSW190" s="5"/>
      <c r="DSX190" s="5"/>
      <c r="DSY190" s="5"/>
      <c r="DSZ190" s="5"/>
      <c r="DTA190" s="5"/>
      <c r="DTB190" s="5"/>
      <c r="DTC190" s="5"/>
      <c r="DTD190" s="5"/>
      <c r="DTE190" s="5"/>
      <c r="DTF190" s="5"/>
      <c r="DTG190" s="5"/>
      <c r="DTH190" s="5"/>
      <c r="DTI190" s="5"/>
      <c r="DTJ190" s="5"/>
      <c r="DTK190" s="5"/>
      <c r="DTL190" s="5"/>
      <c r="DTM190" s="5"/>
      <c r="DTN190" s="5"/>
      <c r="DTO190" s="5"/>
      <c r="DTP190" s="5"/>
      <c r="DTQ190" s="5"/>
      <c r="DTR190" s="5"/>
      <c r="DTS190" s="5"/>
      <c r="DTT190" s="5"/>
      <c r="DTU190" s="5"/>
      <c r="DTV190" s="5"/>
      <c r="DTW190" s="5"/>
      <c r="DTX190" s="5"/>
      <c r="DTY190" s="5"/>
      <c r="DTZ190" s="5"/>
      <c r="DUA190" s="5"/>
      <c r="DUB190" s="5"/>
      <c r="DUC190" s="5"/>
      <c r="DUD190" s="5"/>
      <c r="DUE190" s="5"/>
      <c r="DUF190" s="5"/>
      <c r="DUG190" s="5"/>
      <c r="DUH190" s="5"/>
      <c r="DUI190" s="5"/>
      <c r="DUJ190" s="5"/>
      <c r="DUK190" s="5"/>
      <c r="DUL190" s="5"/>
      <c r="DUM190" s="5"/>
      <c r="DUN190" s="5"/>
      <c r="DUO190" s="5"/>
      <c r="DUP190" s="5"/>
      <c r="DUQ190" s="5"/>
      <c r="DUR190" s="5"/>
      <c r="DUS190" s="5"/>
      <c r="DUT190" s="5"/>
      <c r="DUU190" s="5"/>
      <c r="DUV190" s="5"/>
      <c r="DUW190" s="5"/>
      <c r="DUX190" s="5"/>
      <c r="DUY190" s="5"/>
      <c r="DUZ190" s="5"/>
      <c r="DVA190" s="5"/>
      <c r="DVB190" s="5"/>
      <c r="DVC190" s="5"/>
      <c r="DVD190" s="5"/>
      <c r="DVE190" s="5"/>
      <c r="DVF190" s="5"/>
      <c r="DVG190" s="5"/>
      <c r="DVH190" s="5"/>
      <c r="DVI190" s="5"/>
      <c r="DVJ190" s="5"/>
      <c r="DVK190" s="5"/>
      <c r="DVL190" s="5"/>
      <c r="DVM190" s="5"/>
      <c r="DVN190" s="5"/>
      <c r="DVO190" s="5"/>
      <c r="DVP190" s="5"/>
      <c r="DVQ190" s="5"/>
      <c r="DVR190" s="5"/>
      <c r="DVS190" s="5"/>
      <c r="DVT190" s="5"/>
      <c r="DVU190" s="5"/>
      <c r="DVV190" s="5"/>
      <c r="DVW190" s="5"/>
      <c r="DVX190" s="5"/>
      <c r="DVY190" s="5"/>
      <c r="DVZ190" s="5"/>
      <c r="DWA190" s="5"/>
      <c r="DWB190" s="5"/>
      <c r="DWC190" s="5"/>
      <c r="DWD190" s="5"/>
      <c r="DWE190" s="5"/>
      <c r="DWF190" s="5"/>
      <c r="DWG190" s="5"/>
      <c r="DWH190" s="5"/>
      <c r="DWI190" s="5"/>
      <c r="DWJ190" s="5"/>
      <c r="DWK190" s="5"/>
      <c r="DWL190" s="5"/>
      <c r="DWM190" s="5"/>
      <c r="DWN190" s="5"/>
      <c r="DWO190" s="5"/>
      <c r="DWP190" s="5"/>
      <c r="DWQ190" s="5"/>
      <c r="DWR190" s="5"/>
      <c r="DWS190" s="5"/>
      <c r="DWT190" s="5"/>
      <c r="DWU190" s="5"/>
      <c r="DWV190" s="5"/>
      <c r="DWW190" s="5"/>
      <c r="DWX190" s="5"/>
      <c r="DWY190" s="5"/>
      <c r="DWZ190" s="5"/>
      <c r="DXA190" s="5"/>
      <c r="DXB190" s="5"/>
      <c r="DXC190" s="5"/>
      <c r="DXD190" s="5"/>
      <c r="DXE190" s="5"/>
      <c r="DXF190" s="5"/>
      <c r="DXG190" s="5"/>
      <c r="DXH190" s="5"/>
      <c r="DXI190" s="5"/>
      <c r="DXJ190" s="5"/>
      <c r="DXK190" s="5"/>
      <c r="DXL190" s="5"/>
      <c r="DXM190" s="5"/>
      <c r="DXN190" s="5"/>
      <c r="DXO190" s="5"/>
      <c r="DXP190" s="5"/>
      <c r="DXQ190" s="5"/>
      <c r="DXR190" s="5"/>
      <c r="DXS190" s="5"/>
      <c r="DXT190" s="5"/>
      <c r="DXU190" s="5"/>
      <c r="DXV190" s="5"/>
      <c r="DXW190" s="5"/>
      <c r="DXX190" s="5"/>
      <c r="DXY190" s="5"/>
      <c r="DXZ190" s="5"/>
      <c r="DYA190" s="5"/>
      <c r="DYB190" s="5"/>
      <c r="DYC190" s="5"/>
      <c r="DYD190" s="5"/>
      <c r="DYE190" s="5"/>
      <c r="DYF190" s="5"/>
      <c r="DYG190" s="5"/>
      <c r="DYH190" s="5"/>
      <c r="DYI190" s="5"/>
      <c r="DYJ190" s="5"/>
      <c r="DYK190" s="5"/>
      <c r="DYL190" s="5"/>
      <c r="DYM190" s="5"/>
      <c r="DYN190" s="5"/>
      <c r="DYO190" s="5"/>
      <c r="DYP190" s="5"/>
      <c r="DYQ190" s="5"/>
      <c r="DYR190" s="5"/>
      <c r="DYS190" s="5"/>
      <c r="DYT190" s="5"/>
      <c r="DYU190" s="5"/>
      <c r="DYV190" s="5"/>
      <c r="DYW190" s="5"/>
      <c r="DYX190" s="5"/>
      <c r="DYY190" s="5"/>
      <c r="DYZ190" s="5"/>
      <c r="DZA190" s="5"/>
      <c r="DZB190" s="5"/>
      <c r="DZC190" s="5"/>
      <c r="DZD190" s="5"/>
      <c r="DZE190" s="5"/>
      <c r="DZF190" s="5"/>
      <c r="DZG190" s="5"/>
      <c r="DZH190" s="5"/>
      <c r="DZI190" s="5"/>
      <c r="DZJ190" s="5"/>
      <c r="DZK190" s="5"/>
      <c r="DZL190" s="5"/>
      <c r="DZM190" s="5"/>
      <c r="DZN190" s="5"/>
      <c r="DZO190" s="5"/>
      <c r="DZP190" s="5"/>
      <c r="DZQ190" s="5"/>
      <c r="DZR190" s="5"/>
      <c r="DZS190" s="5"/>
      <c r="DZT190" s="5"/>
      <c r="DZU190" s="5"/>
      <c r="DZV190" s="5"/>
      <c r="DZW190" s="5"/>
      <c r="DZX190" s="5"/>
      <c r="DZY190" s="5"/>
      <c r="DZZ190" s="5"/>
      <c r="EAA190" s="5"/>
      <c r="EAB190" s="5"/>
      <c r="EAC190" s="5"/>
      <c r="EAD190" s="5"/>
      <c r="EAE190" s="5"/>
      <c r="EAF190" s="5"/>
      <c r="EAG190" s="5"/>
      <c r="EAH190" s="5"/>
      <c r="EAI190" s="5"/>
      <c r="EAJ190" s="5"/>
      <c r="EAK190" s="5"/>
      <c r="EAL190" s="5"/>
      <c r="EAM190" s="5"/>
      <c r="EAN190" s="5"/>
      <c r="EAO190" s="5"/>
      <c r="EAP190" s="5"/>
      <c r="EAQ190" s="5"/>
      <c r="EAR190" s="5"/>
      <c r="EAS190" s="5"/>
      <c r="EAT190" s="5"/>
      <c r="EAU190" s="5"/>
      <c r="EAV190" s="5"/>
      <c r="EAW190" s="5"/>
      <c r="EAX190" s="5"/>
      <c r="EAY190" s="5"/>
      <c r="EAZ190" s="5"/>
      <c r="EBA190" s="5"/>
      <c r="EBB190" s="5"/>
      <c r="EBC190" s="5"/>
      <c r="EBD190" s="5"/>
      <c r="EBE190" s="5"/>
      <c r="EBF190" s="5"/>
      <c r="EBG190" s="5"/>
      <c r="EBH190" s="5"/>
      <c r="EBI190" s="5"/>
      <c r="EBJ190" s="5"/>
      <c r="EBK190" s="5"/>
      <c r="EBL190" s="5"/>
      <c r="EBM190" s="5"/>
      <c r="EBN190" s="5"/>
      <c r="EBO190" s="5"/>
      <c r="EBP190" s="5"/>
      <c r="EBQ190" s="5"/>
      <c r="EBR190" s="5"/>
      <c r="EBS190" s="5"/>
      <c r="EBT190" s="5"/>
      <c r="EBU190" s="5"/>
      <c r="EBV190" s="5"/>
      <c r="EBW190" s="5"/>
      <c r="EBX190" s="5"/>
      <c r="EBY190" s="5"/>
      <c r="EBZ190" s="5"/>
      <c r="ECA190" s="5"/>
      <c r="ECB190" s="5"/>
      <c r="ECC190" s="5"/>
      <c r="ECD190" s="5"/>
      <c r="ECE190" s="5"/>
      <c r="ECF190" s="5"/>
      <c r="ECG190" s="5"/>
      <c r="ECH190" s="5"/>
      <c r="ECI190" s="5"/>
      <c r="ECJ190" s="5"/>
      <c r="ECK190" s="5"/>
      <c r="ECL190" s="5"/>
      <c r="ECM190" s="5"/>
      <c r="ECN190" s="5"/>
      <c r="ECO190" s="5"/>
      <c r="ECP190" s="5"/>
      <c r="ECQ190" s="5"/>
      <c r="ECR190" s="5"/>
      <c r="ECS190" s="5"/>
      <c r="ECT190" s="5"/>
      <c r="ECU190" s="5"/>
      <c r="ECV190" s="5"/>
      <c r="ECW190" s="5"/>
      <c r="ECX190" s="5"/>
      <c r="ECY190" s="5"/>
      <c r="ECZ190" s="5"/>
      <c r="EDA190" s="5"/>
      <c r="EDB190" s="5"/>
      <c r="EDC190" s="5"/>
      <c r="EDD190" s="5"/>
      <c r="EDE190" s="5"/>
      <c r="EDF190" s="5"/>
      <c r="EDG190" s="5"/>
      <c r="EDH190" s="5"/>
      <c r="EDI190" s="5"/>
      <c r="EDJ190" s="5"/>
      <c r="EDK190" s="5"/>
      <c r="EDL190" s="5"/>
      <c r="EDM190" s="5"/>
      <c r="EDN190" s="5"/>
      <c r="EDO190" s="5"/>
      <c r="EDP190" s="5"/>
      <c r="EDQ190" s="5"/>
      <c r="EDR190" s="5"/>
      <c r="EDS190" s="5"/>
      <c r="EDT190" s="5"/>
      <c r="EDU190" s="5"/>
      <c r="EDV190" s="5"/>
      <c r="EDW190" s="5"/>
      <c r="EDX190" s="5"/>
      <c r="EDY190" s="5"/>
      <c r="EDZ190" s="5"/>
      <c r="EEA190" s="5"/>
      <c r="EEB190" s="5"/>
      <c r="EEC190" s="5"/>
      <c r="EED190" s="5"/>
      <c r="EEE190" s="5"/>
      <c r="EEF190" s="5"/>
      <c r="EEG190" s="5"/>
      <c r="EEH190" s="5"/>
      <c r="EEI190" s="5"/>
      <c r="EEJ190" s="5"/>
      <c r="EEK190" s="5"/>
      <c r="EEL190" s="5"/>
      <c r="EEM190" s="5"/>
      <c r="EEN190" s="5"/>
      <c r="EEO190" s="5"/>
      <c r="EEP190" s="5"/>
      <c r="EEQ190" s="5"/>
      <c r="EER190" s="5"/>
      <c r="EES190" s="5"/>
      <c r="EET190" s="5"/>
      <c r="EEU190" s="5"/>
      <c r="EEV190" s="5"/>
      <c r="EEW190" s="5"/>
      <c r="EEX190" s="5"/>
      <c r="EEY190" s="5"/>
      <c r="EEZ190" s="5"/>
      <c r="EFA190" s="5"/>
      <c r="EFB190" s="5"/>
      <c r="EFC190" s="5"/>
      <c r="EFD190" s="5"/>
      <c r="EFE190" s="5"/>
      <c r="EFF190" s="5"/>
      <c r="EFG190" s="5"/>
      <c r="EFH190" s="5"/>
      <c r="EFI190" s="5"/>
      <c r="EFJ190" s="5"/>
      <c r="EFK190" s="5"/>
      <c r="EFL190" s="5"/>
      <c r="EFM190" s="5"/>
      <c r="EFN190" s="5"/>
      <c r="EFO190" s="5"/>
      <c r="EFP190" s="5"/>
      <c r="EFQ190" s="5"/>
      <c r="EFR190" s="5"/>
      <c r="EFS190" s="5"/>
      <c r="EFT190" s="5"/>
      <c r="EFU190" s="5"/>
      <c r="EFV190" s="5"/>
      <c r="EFW190" s="5"/>
      <c r="EFX190" s="5"/>
      <c r="EFY190" s="5"/>
      <c r="EFZ190" s="5"/>
      <c r="EGA190" s="5"/>
      <c r="EGB190" s="5"/>
      <c r="EGC190" s="5"/>
      <c r="EGD190" s="5"/>
      <c r="EGE190" s="5"/>
      <c r="EGF190" s="5"/>
      <c r="EGG190" s="5"/>
      <c r="EGH190" s="5"/>
      <c r="EGI190" s="5"/>
      <c r="EGJ190" s="5"/>
      <c r="EGK190" s="5"/>
      <c r="EGL190" s="5"/>
      <c r="EGM190" s="5"/>
      <c r="EGN190" s="5"/>
      <c r="EGO190" s="5"/>
      <c r="EGP190" s="5"/>
      <c r="EGQ190" s="5"/>
      <c r="EGR190" s="5"/>
      <c r="EGS190" s="5"/>
      <c r="EGT190" s="5"/>
      <c r="EGU190" s="5"/>
      <c r="EGV190" s="5"/>
      <c r="EGW190" s="5"/>
      <c r="EGX190" s="5"/>
      <c r="EGY190" s="5"/>
      <c r="EGZ190" s="5"/>
      <c r="EHA190" s="5"/>
      <c r="EHB190" s="5"/>
      <c r="EHC190" s="5"/>
      <c r="EHD190" s="5"/>
      <c r="EHE190" s="5"/>
      <c r="EHF190" s="5"/>
      <c r="EHG190" s="5"/>
      <c r="EHH190" s="5"/>
      <c r="EHI190" s="5"/>
      <c r="EHJ190" s="5"/>
      <c r="EHK190" s="5"/>
      <c r="EHL190" s="5"/>
      <c r="EHM190" s="5"/>
      <c r="EHN190" s="5"/>
      <c r="EHO190" s="5"/>
      <c r="EHP190" s="5"/>
      <c r="EHQ190" s="5"/>
      <c r="EHR190" s="5"/>
      <c r="EHS190" s="5"/>
      <c r="EHT190" s="5"/>
      <c r="EHU190" s="5"/>
      <c r="EHV190" s="5"/>
      <c r="EHW190" s="5"/>
      <c r="EHX190" s="5"/>
      <c r="EHY190" s="5"/>
      <c r="EHZ190" s="5"/>
      <c r="EIA190" s="5"/>
      <c r="EIB190" s="5"/>
      <c r="EIC190" s="5"/>
      <c r="EID190" s="5"/>
      <c r="EIE190" s="5"/>
      <c r="EIF190" s="5"/>
      <c r="EIG190" s="5"/>
      <c r="EIH190" s="5"/>
      <c r="EII190" s="5"/>
      <c r="EIJ190" s="5"/>
      <c r="EIK190" s="5"/>
      <c r="EIL190" s="5"/>
      <c r="EIM190" s="5"/>
      <c r="EIN190" s="5"/>
      <c r="EIO190" s="5"/>
      <c r="EIP190" s="5"/>
      <c r="EIQ190" s="5"/>
      <c r="EIR190" s="5"/>
      <c r="EIS190" s="5"/>
      <c r="EIT190" s="5"/>
      <c r="EIU190" s="5"/>
      <c r="EIV190" s="5"/>
      <c r="EIW190" s="5"/>
      <c r="EIX190" s="5"/>
      <c r="EIY190" s="5"/>
      <c r="EIZ190" s="5"/>
      <c r="EJA190" s="5"/>
      <c r="EJB190" s="5"/>
      <c r="EJC190" s="5"/>
      <c r="EJD190" s="5"/>
      <c r="EJE190" s="5"/>
      <c r="EJF190" s="5"/>
      <c r="EJG190" s="5"/>
      <c r="EJH190" s="5"/>
      <c r="EJI190" s="5"/>
      <c r="EJJ190" s="5"/>
      <c r="EJK190" s="5"/>
      <c r="EJL190" s="5"/>
      <c r="EJM190" s="5"/>
      <c r="EJN190" s="5"/>
      <c r="EJO190" s="5"/>
      <c r="EJP190" s="5"/>
      <c r="EJQ190" s="5"/>
      <c r="EJR190" s="5"/>
      <c r="EJS190" s="5"/>
      <c r="EJT190" s="5"/>
      <c r="EJU190" s="5"/>
      <c r="EJV190" s="5"/>
      <c r="EJW190" s="5"/>
      <c r="EJX190" s="5"/>
      <c r="EJY190" s="5"/>
      <c r="EJZ190" s="5"/>
      <c r="EKA190" s="5"/>
      <c r="EKB190" s="5"/>
      <c r="EKC190" s="5"/>
      <c r="EKD190" s="5"/>
      <c r="EKE190" s="5"/>
      <c r="EKF190" s="5"/>
      <c r="EKG190" s="5"/>
      <c r="EKH190" s="5"/>
      <c r="EKI190" s="5"/>
      <c r="EKJ190" s="5"/>
      <c r="EKK190" s="5"/>
      <c r="EKL190" s="5"/>
      <c r="EKM190" s="5"/>
      <c r="EKN190" s="5"/>
      <c r="EKO190" s="5"/>
      <c r="EKP190" s="5"/>
      <c r="EKQ190" s="5"/>
      <c r="EKR190" s="5"/>
      <c r="EKS190" s="5"/>
      <c r="EKT190" s="5"/>
      <c r="EKU190" s="5"/>
      <c r="EKV190" s="5"/>
      <c r="EKW190" s="5"/>
      <c r="EKX190" s="5"/>
      <c r="EKY190" s="5"/>
      <c r="EKZ190" s="5"/>
      <c r="ELA190" s="5"/>
      <c r="ELB190" s="5"/>
      <c r="ELC190" s="5"/>
      <c r="ELD190" s="5"/>
      <c r="ELE190" s="5"/>
      <c r="ELF190" s="5"/>
      <c r="ELG190" s="5"/>
      <c r="ELH190" s="5"/>
      <c r="ELI190" s="5"/>
      <c r="ELJ190" s="5"/>
      <c r="ELK190" s="5"/>
      <c r="ELL190" s="5"/>
      <c r="ELM190" s="5"/>
      <c r="ELN190" s="5"/>
      <c r="ELO190" s="5"/>
      <c r="ELP190" s="5"/>
      <c r="ELQ190" s="5"/>
      <c r="ELR190" s="5"/>
      <c r="ELS190" s="5"/>
      <c r="ELT190" s="5"/>
      <c r="ELU190" s="5"/>
      <c r="ELV190" s="5"/>
      <c r="ELW190" s="5"/>
      <c r="ELX190" s="5"/>
      <c r="ELY190" s="5"/>
      <c r="ELZ190" s="5"/>
      <c r="EMA190" s="5"/>
      <c r="EMB190" s="5"/>
      <c r="EMC190" s="5"/>
      <c r="EMD190" s="5"/>
      <c r="EME190" s="5"/>
      <c r="EMF190" s="5"/>
      <c r="EMG190" s="5"/>
      <c r="EMH190" s="5"/>
      <c r="EMI190" s="5"/>
      <c r="EMJ190" s="5"/>
      <c r="EMK190" s="5"/>
      <c r="EML190" s="5"/>
      <c r="EMM190" s="5"/>
      <c r="EMN190" s="5"/>
      <c r="EMO190" s="5"/>
      <c r="EMP190" s="5"/>
      <c r="EMQ190" s="5"/>
      <c r="EMR190" s="5"/>
      <c r="EMS190" s="5"/>
      <c r="EMT190" s="5"/>
      <c r="EMU190" s="5"/>
      <c r="EMV190" s="5"/>
      <c r="EMW190" s="5"/>
      <c r="EMX190" s="5"/>
      <c r="EMY190" s="5"/>
      <c r="EMZ190" s="5"/>
      <c r="ENA190" s="5"/>
      <c r="ENB190" s="5"/>
      <c r="ENC190" s="5"/>
      <c r="END190" s="5"/>
      <c r="ENE190" s="5"/>
      <c r="ENF190" s="5"/>
      <c r="ENG190" s="5"/>
      <c r="ENH190" s="5"/>
      <c r="ENI190" s="5"/>
      <c r="ENJ190" s="5"/>
      <c r="ENK190" s="5"/>
      <c r="ENL190" s="5"/>
      <c r="ENM190" s="5"/>
      <c r="ENN190" s="5"/>
      <c r="ENO190" s="5"/>
      <c r="ENP190" s="5"/>
      <c r="ENQ190" s="5"/>
      <c r="ENR190" s="5"/>
      <c r="ENS190" s="5"/>
      <c r="ENT190" s="5"/>
      <c r="ENU190" s="5"/>
      <c r="ENV190" s="5"/>
      <c r="ENW190" s="5"/>
      <c r="ENX190" s="5"/>
      <c r="ENY190" s="5"/>
      <c r="ENZ190" s="5"/>
      <c r="EOA190" s="5"/>
      <c r="EOB190" s="5"/>
      <c r="EOC190" s="5"/>
      <c r="EOD190" s="5"/>
      <c r="EOE190" s="5"/>
      <c r="EOF190" s="5"/>
      <c r="EOG190" s="5"/>
      <c r="EOH190" s="5"/>
      <c r="EOI190" s="5"/>
      <c r="EOJ190" s="5"/>
      <c r="EOK190" s="5"/>
      <c r="EOL190" s="5"/>
      <c r="EOM190" s="5"/>
      <c r="EON190" s="5"/>
      <c r="EOO190" s="5"/>
      <c r="EOP190" s="5"/>
      <c r="EOQ190" s="5"/>
      <c r="EOR190" s="5"/>
      <c r="EOS190" s="5"/>
      <c r="EOT190" s="5"/>
      <c r="EOU190" s="5"/>
      <c r="EOV190" s="5"/>
      <c r="EOW190" s="5"/>
      <c r="EOX190" s="5"/>
      <c r="EOY190" s="5"/>
      <c r="EOZ190" s="5"/>
      <c r="EPA190" s="5"/>
      <c r="EPB190" s="5"/>
      <c r="EPC190" s="5"/>
      <c r="EPD190" s="5"/>
      <c r="EPE190" s="5"/>
      <c r="EPF190" s="5"/>
      <c r="EPG190" s="5"/>
      <c r="EPH190" s="5"/>
      <c r="EPI190" s="5"/>
      <c r="EPJ190" s="5"/>
      <c r="EPK190" s="5"/>
      <c r="EPL190" s="5"/>
      <c r="EPM190" s="5"/>
      <c r="EPN190" s="5"/>
      <c r="EPO190" s="5"/>
      <c r="EPP190" s="5"/>
      <c r="EPQ190" s="5"/>
      <c r="EPR190" s="5"/>
      <c r="EPS190" s="5"/>
      <c r="EPT190" s="5"/>
      <c r="EPU190" s="5"/>
      <c r="EPV190" s="5"/>
      <c r="EPW190" s="5"/>
      <c r="EPX190" s="5"/>
      <c r="EPY190" s="5"/>
      <c r="EPZ190" s="5"/>
      <c r="EQA190" s="5"/>
      <c r="EQB190" s="5"/>
      <c r="EQC190" s="5"/>
      <c r="EQD190" s="5"/>
      <c r="EQE190" s="5"/>
      <c r="EQF190" s="5"/>
      <c r="EQG190" s="5"/>
      <c r="EQH190" s="5"/>
      <c r="EQI190" s="5"/>
      <c r="EQJ190" s="5"/>
      <c r="EQK190" s="5"/>
      <c r="EQL190" s="5"/>
      <c r="EQM190" s="5"/>
      <c r="EQN190" s="5"/>
      <c r="EQO190" s="5"/>
      <c r="EQP190" s="5"/>
      <c r="EQQ190" s="5"/>
      <c r="EQR190" s="5"/>
      <c r="EQS190" s="5"/>
      <c r="EQT190" s="5"/>
      <c r="EQU190" s="5"/>
      <c r="EQV190" s="5"/>
      <c r="EQW190" s="5"/>
      <c r="EQX190" s="5"/>
      <c r="EQY190" s="5"/>
      <c r="EQZ190" s="5"/>
      <c r="ERA190" s="5"/>
      <c r="ERB190" s="5"/>
      <c r="ERC190" s="5"/>
      <c r="ERD190" s="5"/>
      <c r="ERE190" s="5"/>
      <c r="ERF190" s="5"/>
      <c r="ERG190" s="5"/>
      <c r="ERH190" s="5"/>
      <c r="ERI190" s="5"/>
      <c r="ERJ190" s="5"/>
      <c r="ERK190" s="5"/>
      <c r="ERL190" s="5"/>
      <c r="ERM190" s="5"/>
      <c r="ERN190" s="5"/>
      <c r="ERO190" s="5"/>
      <c r="ERP190" s="5"/>
      <c r="ERQ190" s="5"/>
      <c r="ERR190" s="5"/>
      <c r="ERS190" s="5"/>
      <c r="ERT190" s="5"/>
      <c r="ERU190" s="5"/>
      <c r="ERV190" s="5"/>
      <c r="ERW190" s="5"/>
      <c r="ERX190" s="5"/>
      <c r="ERY190" s="5"/>
      <c r="ERZ190" s="5"/>
      <c r="ESA190" s="5"/>
      <c r="ESB190" s="5"/>
      <c r="ESC190" s="5"/>
      <c r="ESD190" s="5"/>
      <c r="ESE190" s="5"/>
      <c r="ESF190" s="5"/>
      <c r="ESG190" s="5"/>
      <c r="ESH190" s="5"/>
      <c r="ESI190" s="5"/>
      <c r="ESJ190" s="5"/>
      <c r="ESK190" s="5"/>
      <c r="ESL190" s="5"/>
      <c r="ESM190" s="5"/>
      <c r="ESN190" s="5"/>
      <c r="ESO190" s="5"/>
      <c r="ESP190" s="5"/>
      <c r="ESQ190" s="5"/>
      <c r="ESR190" s="5"/>
      <c r="ESS190" s="5"/>
      <c r="EST190" s="5"/>
      <c r="ESU190" s="5"/>
      <c r="ESV190" s="5"/>
      <c r="ESW190" s="5"/>
      <c r="ESX190" s="5"/>
      <c r="ESY190" s="5"/>
      <c r="ESZ190" s="5"/>
      <c r="ETA190" s="5"/>
      <c r="ETB190" s="5"/>
      <c r="ETC190" s="5"/>
      <c r="ETD190" s="5"/>
      <c r="ETE190" s="5"/>
      <c r="ETF190" s="5"/>
      <c r="ETG190" s="5"/>
      <c r="ETH190" s="5"/>
      <c r="ETI190" s="5"/>
      <c r="ETJ190" s="5"/>
      <c r="ETK190" s="5"/>
      <c r="ETL190" s="5"/>
      <c r="ETM190" s="5"/>
      <c r="ETN190" s="5"/>
      <c r="ETO190" s="5"/>
      <c r="ETP190" s="5"/>
      <c r="ETQ190" s="5"/>
      <c r="ETR190" s="5"/>
      <c r="ETS190" s="5"/>
      <c r="ETT190" s="5"/>
      <c r="ETU190" s="5"/>
      <c r="ETV190" s="5"/>
      <c r="ETW190" s="5"/>
      <c r="ETX190" s="5"/>
      <c r="ETY190" s="5"/>
      <c r="ETZ190" s="5"/>
      <c r="EUA190" s="5"/>
      <c r="EUB190" s="5"/>
      <c r="EUC190" s="5"/>
      <c r="EUD190" s="5"/>
      <c r="EUE190" s="5"/>
      <c r="EUF190" s="5"/>
      <c r="EUG190" s="5"/>
      <c r="EUH190" s="5"/>
      <c r="EUI190" s="5"/>
      <c r="EUJ190" s="5"/>
      <c r="EUK190" s="5"/>
      <c r="EUL190" s="5"/>
      <c r="EUM190" s="5"/>
      <c r="EUN190" s="5"/>
      <c r="EUO190" s="5"/>
      <c r="EUP190" s="5"/>
      <c r="EUQ190" s="5"/>
      <c r="EUR190" s="5"/>
      <c r="EUS190" s="5"/>
      <c r="EUT190" s="5"/>
      <c r="EUU190" s="5"/>
      <c r="EUV190" s="5"/>
      <c r="EUW190" s="5"/>
      <c r="EUX190" s="5"/>
      <c r="EUY190" s="5"/>
      <c r="EUZ190" s="5"/>
      <c r="EVA190" s="5"/>
      <c r="EVB190" s="5"/>
      <c r="EVC190" s="5"/>
      <c r="EVD190" s="5"/>
      <c r="EVE190" s="5"/>
      <c r="EVF190" s="5"/>
      <c r="EVG190" s="5"/>
      <c r="EVH190" s="5"/>
      <c r="EVI190" s="5"/>
      <c r="EVJ190" s="5"/>
      <c r="EVK190" s="5"/>
      <c r="EVL190" s="5"/>
      <c r="EVM190" s="5"/>
      <c r="EVN190" s="5"/>
      <c r="EVO190" s="5"/>
      <c r="EVP190" s="5"/>
      <c r="EVQ190" s="5"/>
      <c r="EVR190" s="5"/>
      <c r="EVS190" s="5"/>
      <c r="EVT190" s="5"/>
      <c r="EVU190" s="5"/>
      <c r="EVV190" s="5"/>
      <c r="EVW190" s="5"/>
      <c r="EVX190" s="5"/>
      <c r="EVY190" s="5"/>
      <c r="EVZ190" s="5"/>
      <c r="EWA190" s="5"/>
      <c r="EWB190" s="5"/>
      <c r="EWC190" s="5"/>
      <c r="EWD190" s="5"/>
      <c r="EWE190" s="5"/>
      <c r="EWF190" s="5"/>
      <c r="EWG190" s="5"/>
      <c r="EWH190" s="5"/>
      <c r="EWI190" s="5"/>
      <c r="EWJ190" s="5"/>
      <c r="EWK190" s="5"/>
      <c r="EWL190" s="5"/>
      <c r="EWM190" s="5"/>
      <c r="EWN190" s="5"/>
      <c r="EWO190" s="5"/>
      <c r="EWP190" s="5"/>
      <c r="EWQ190" s="5"/>
      <c r="EWR190" s="5"/>
      <c r="EWS190" s="5"/>
      <c r="EWT190" s="5"/>
      <c r="EWU190" s="5"/>
      <c r="EWV190" s="5"/>
      <c r="EWW190" s="5"/>
      <c r="EWX190" s="5"/>
      <c r="EWY190" s="5"/>
      <c r="EWZ190" s="5"/>
      <c r="EXA190" s="5"/>
      <c r="EXB190" s="5"/>
      <c r="EXC190" s="5"/>
      <c r="EXD190" s="5"/>
      <c r="EXE190" s="5"/>
      <c r="EXF190" s="5"/>
      <c r="EXG190" s="5"/>
      <c r="EXH190" s="5"/>
      <c r="EXI190" s="5"/>
      <c r="EXJ190" s="5"/>
      <c r="EXK190" s="5"/>
      <c r="EXL190" s="5"/>
      <c r="EXM190" s="5"/>
      <c r="EXN190" s="5"/>
      <c r="EXO190" s="5"/>
      <c r="EXP190" s="5"/>
      <c r="EXQ190" s="5"/>
      <c r="EXR190" s="5"/>
      <c r="EXS190" s="5"/>
      <c r="EXT190" s="5"/>
      <c r="EXU190" s="5"/>
      <c r="EXV190" s="5"/>
      <c r="EXW190" s="5"/>
      <c r="EXX190" s="5"/>
      <c r="EXY190" s="5"/>
      <c r="EXZ190" s="5"/>
      <c r="EYA190" s="5"/>
      <c r="EYB190" s="5"/>
      <c r="EYC190" s="5"/>
      <c r="EYD190" s="5"/>
      <c r="EYE190" s="5"/>
      <c r="EYF190" s="5"/>
      <c r="EYG190" s="5"/>
      <c r="EYH190" s="5"/>
      <c r="EYI190" s="5"/>
      <c r="EYJ190" s="5"/>
      <c r="EYK190" s="5"/>
      <c r="EYL190" s="5"/>
      <c r="EYM190" s="5"/>
      <c r="EYN190" s="5"/>
      <c r="EYO190" s="5"/>
      <c r="EYP190" s="5"/>
      <c r="EYQ190" s="5"/>
      <c r="EYR190" s="5"/>
      <c r="EYS190" s="5"/>
      <c r="EYT190" s="5"/>
      <c r="EYU190" s="5"/>
      <c r="EYV190" s="5"/>
      <c r="EYW190" s="5"/>
      <c r="EYX190" s="5"/>
      <c r="EYY190" s="5"/>
      <c r="EYZ190" s="5"/>
      <c r="EZA190" s="5"/>
      <c r="EZB190" s="5"/>
      <c r="EZC190" s="5"/>
      <c r="EZD190" s="5"/>
      <c r="EZE190" s="5"/>
      <c r="EZF190" s="5"/>
      <c r="EZG190" s="5"/>
      <c r="EZH190" s="5"/>
      <c r="EZI190" s="5"/>
      <c r="EZJ190" s="5"/>
      <c r="EZK190" s="5"/>
      <c r="EZL190" s="5"/>
      <c r="EZM190" s="5"/>
      <c r="EZN190" s="5"/>
      <c r="EZO190" s="5"/>
      <c r="EZP190" s="5"/>
      <c r="EZQ190" s="5"/>
      <c r="EZR190" s="5"/>
      <c r="EZS190" s="5"/>
      <c r="EZT190" s="5"/>
      <c r="EZU190" s="5"/>
      <c r="EZV190" s="5"/>
      <c r="EZW190" s="5"/>
      <c r="EZX190" s="5"/>
      <c r="EZY190" s="5"/>
      <c r="EZZ190" s="5"/>
      <c r="FAA190" s="5"/>
      <c r="FAB190" s="5"/>
      <c r="FAC190" s="5"/>
      <c r="FAD190" s="5"/>
      <c r="FAE190" s="5"/>
      <c r="FAF190" s="5"/>
      <c r="FAG190" s="5"/>
      <c r="FAH190" s="5"/>
      <c r="FAI190" s="5"/>
      <c r="FAJ190" s="5"/>
      <c r="FAK190" s="5"/>
      <c r="FAL190" s="5"/>
      <c r="FAM190" s="5"/>
      <c r="FAN190" s="5"/>
      <c r="FAO190" s="5"/>
      <c r="FAP190" s="5"/>
      <c r="FAQ190" s="5"/>
      <c r="FAR190" s="5"/>
      <c r="FAS190" s="5"/>
      <c r="FAT190" s="5"/>
      <c r="FAU190" s="5"/>
      <c r="FAV190" s="5"/>
      <c r="FAW190" s="5"/>
      <c r="FAX190" s="5"/>
      <c r="FAY190" s="5"/>
      <c r="FAZ190" s="5"/>
      <c r="FBA190" s="5"/>
      <c r="FBB190" s="5"/>
      <c r="FBC190" s="5"/>
      <c r="FBD190" s="5"/>
      <c r="FBE190" s="5"/>
      <c r="FBF190" s="5"/>
      <c r="FBG190" s="5"/>
      <c r="FBH190" s="5"/>
      <c r="FBI190" s="5"/>
      <c r="FBJ190" s="5"/>
      <c r="FBK190" s="5"/>
      <c r="FBL190" s="5"/>
      <c r="FBM190" s="5"/>
      <c r="FBN190" s="5"/>
      <c r="FBO190" s="5"/>
      <c r="FBP190" s="5"/>
      <c r="FBQ190" s="5"/>
      <c r="FBR190" s="5"/>
      <c r="FBS190" s="5"/>
      <c r="FBT190" s="5"/>
      <c r="FBU190" s="5"/>
      <c r="FBV190" s="5"/>
      <c r="FBW190" s="5"/>
      <c r="FBX190" s="5"/>
      <c r="FBY190" s="5"/>
      <c r="FBZ190" s="5"/>
      <c r="FCA190" s="5"/>
      <c r="FCB190" s="5"/>
      <c r="FCC190" s="5"/>
      <c r="FCD190" s="5"/>
      <c r="FCE190" s="5"/>
      <c r="FCF190" s="5"/>
      <c r="FCG190" s="5"/>
      <c r="FCH190" s="5"/>
      <c r="FCI190" s="5"/>
      <c r="FCJ190" s="5"/>
      <c r="FCK190" s="5"/>
      <c r="FCL190" s="5"/>
      <c r="FCM190" s="5"/>
      <c r="FCN190" s="5"/>
      <c r="FCO190" s="5"/>
      <c r="FCP190" s="5"/>
      <c r="FCQ190" s="5"/>
      <c r="FCR190" s="5"/>
      <c r="FCS190" s="5"/>
      <c r="FCT190" s="5"/>
      <c r="FCU190" s="5"/>
      <c r="FCV190" s="5"/>
      <c r="FCW190" s="5"/>
      <c r="FCX190" s="5"/>
      <c r="FCY190" s="5"/>
      <c r="FCZ190" s="5"/>
      <c r="FDA190" s="5"/>
      <c r="FDB190" s="5"/>
      <c r="FDC190" s="5"/>
      <c r="FDD190" s="5"/>
      <c r="FDE190" s="5"/>
      <c r="FDF190" s="5"/>
      <c r="FDG190" s="5"/>
      <c r="FDH190" s="5"/>
      <c r="FDI190" s="5"/>
      <c r="FDJ190" s="5"/>
      <c r="FDK190" s="5"/>
      <c r="FDL190" s="5"/>
      <c r="FDM190" s="5"/>
      <c r="FDN190" s="5"/>
      <c r="FDO190" s="5"/>
      <c r="FDP190" s="5"/>
      <c r="FDQ190" s="5"/>
      <c r="FDR190" s="5"/>
      <c r="FDS190" s="5"/>
      <c r="FDT190" s="5"/>
      <c r="FDU190" s="5"/>
      <c r="FDV190" s="5"/>
      <c r="FDW190" s="5"/>
      <c r="FDX190" s="5"/>
      <c r="FDY190" s="5"/>
      <c r="FDZ190" s="5"/>
      <c r="FEA190" s="5"/>
      <c r="FEB190" s="5"/>
      <c r="FEC190" s="5"/>
      <c r="FED190" s="5"/>
      <c r="FEE190" s="5"/>
      <c r="FEF190" s="5"/>
      <c r="FEG190" s="5"/>
      <c r="FEH190" s="5"/>
      <c r="FEI190" s="5"/>
      <c r="FEJ190" s="5"/>
      <c r="FEK190" s="5"/>
      <c r="FEL190" s="5"/>
      <c r="FEM190" s="5"/>
      <c r="FEN190" s="5"/>
      <c r="FEO190" s="5"/>
      <c r="FEP190" s="5"/>
      <c r="FEQ190" s="5"/>
      <c r="FER190" s="5"/>
      <c r="FES190" s="5"/>
      <c r="FET190" s="5"/>
      <c r="FEU190" s="5"/>
      <c r="FEV190" s="5"/>
      <c r="FEW190" s="5"/>
      <c r="FEX190" s="5"/>
      <c r="FEY190" s="5"/>
      <c r="FEZ190" s="5"/>
      <c r="FFA190" s="5"/>
      <c r="FFB190" s="5"/>
      <c r="FFC190" s="5"/>
      <c r="FFD190" s="5"/>
      <c r="FFE190" s="5"/>
      <c r="FFF190" s="5"/>
      <c r="FFG190" s="5"/>
      <c r="FFH190" s="5"/>
      <c r="FFI190" s="5"/>
      <c r="FFJ190" s="5"/>
      <c r="FFK190" s="5"/>
      <c r="FFL190" s="5"/>
      <c r="FFM190" s="5"/>
      <c r="FFN190" s="5"/>
      <c r="FFO190" s="5"/>
      <c r="FFP190" s="5"/>
      <c r="FFQ190" s="5"/>
      <c r="FFR190" s="5"/>
      <c r="FFS190" s="5"/>
      <c r="FFT190" s="5"/>
      <c r="FFU190" s="5"/>
      <c r="FFV190" s="5"/>
      <c r="FFW190" s="5"/>
      <c r="FFX190" s="5"/>
      <c r="FFY190" s="5"/>
      <c r="FFZ190" s="5"/>
      <c r="FGA190" s="5"/>
      <c r="FGB190" s="5"/>
      <c r="FGC190" s="5"/>
      <c r="FGD190" s="5"/>
      <c r="FGE190" s="5"/>
      <c r="FGF190" s="5"/>
      <c r="FGG190" s="5"/>
      <c r="FGH190" s="5"/>
      <c r="FGI190" s="5"/>
      <c r="FGJ190" s="5"/>
      <c r="FGK190" s="5"/>
      <c r="FGL190" s="5"/>
      <c r="FGM190" s="5"/>
      <c r="FGN190" s="5"/>
      <c r="FGO190" s="5"/>
      <c r="FGP190" s="5"/>
      <c r="FGQ190" s="5"/>
      <c r="FGR190" s="5"/>
      <c r="FGS190" s="5"/>
      <c r="FGT190" s="5"/>
      <c r="FGU190" s="5"/>
      <c r="FGV190" s="5"/>
      <c r="FGW190" s="5"/>
      <c r="FGX190" s="5"/>
      <c r="FGY190" s="5"/>
      <c r="FGZ190" s="5"/>
      <c r="FHA190" s="5"/>
      <c r="FHB190" s="5"/>
      <c r="FHC190" s="5"/>
      <c r="FHD190" s="5"/>
      <c r="FHE190" s="5"/>
      <c r="FHF190" s="5"/>
      <c r="FHG190" s="5"/>
      <c r="FHH190" s="5"/>
      <c r="FHI190" s="5"/>
      <c r="FHJ190" s="5"/>
      <c r="FHK190" s="5"/>
      <c r="FHL190" s="5"/>
      <c r="FHM190" s="5"/>
      <c r="FHN190" s="5"/>
      <c r="FHO190" s="5"/>
      <c r="FHP190" s="5"/>
      <c r="FHQ190" s="5"/>
      <c r="FHR190" s="5"/>
      <c r="FHS190" s="5"/>
      <c r="FHT190" s="5"/>
      <c r="FHU190" s="5"/>
      <c r="FHV190" s="5"/>
      <c r="FHW190" s="5"/>
      <c r="FHX190" s="5"/>
      <c r="FHY190" s="5"/>
      <c r="FHZ190" s="5"/>
      <c r="FIA190" s="5"/>
      <c r="FIB190" s="5"/>
      <c r="FIC190" s="5"/>
      <c r="FID190" s="5"/>
      <c r="FIE190" s="5"/>
      <c r="FIF190" s="5"/>
      <c r="FIG190" s="5"/>
      <c r="FIH190" s="5"/>
      <c r="FII190" s="5"/>
      <c r="FIJ190" s="5"/>
      <c r="FIK190" s="5"/>
      <c r="FIL190" s="5"/>
      <c r="FIM190" s="5"/>
      <c r="FIN190" s="5"/>
      <c r="FIO190" s="5"/>
      <c r="FIP190" s="5"/>
      <c r="FIQ190" s="5"/>
      <c r="FIR190" s="5"/>
      <c r="FIS190" s="5"/>
      <c r="FIT190" s="5"/>
      <c r="FIU190" s="5"/>
      <c r="FIV190" s="5"/>
      <c r="FIW190" s="5"/>
      <c r="FIX190" s="5"/>
      <c r="FIY190" s="5"/>
      <c r="FIZ190" s="5"/>
      <c r="FJA190" s="5"/>
      <c r="FJB190" s="5"/>
      <c r="FJC190" s="5"/>
      <c r="FJD190" s="5"/>
      <c r="FJE190" s="5"/>
      <c r="FJF190" s="5"/>
      <c r="FJG190" s="5"/>
      <c r="FJH190" s="5"/>
      <c r="FJI190" s="5"/>
      <c r="FJJ190" s="5"/>
      <c r="FJK190" s="5"/>
      <c r="FJL190" s="5"/>
      <c r="FJM190" s="5"/>
      <c r="FJN190" s="5"/>
      <c r="FJO190" s="5"/>
      <c r="FJP190" s="5"/>
      <c r="FJQ190" s="5"/>
      <c r="FJR190" s="5"/>
      <c r="FJS190" s="5"/>
      <c r="FJT190" s="5"/>
      <c r="FJU190" s="5"/>
      <c r="FJV190" s="5"/>
      <c r="FJW190" s="5"/>
      <c r="FJX190" s="5"/>
      <c r="FJY190" s="5"/>
      <c r="FJZ190" s="5"/>
      <c r="FKA190" s="5"/>
      <c r="FKB190" s="5"/>
      <c r="FKC190" s="5"/>
      <c r="FKD190" s="5"/>
      <c r="FKE190" s="5"/>
      <c r="FKF190" s="5"/>
      <c r="FKG190" s="5"/>
      <c r="FKH190" s="5"/>
      <c r="FKI190" s="5"/>
      <c r="FKJ190" s="5"/>
      <c r="FKK190" s="5"/>
      <c r="FKL190" s="5"/>
      <c r="FKM190" s="5"/>
      <c r="FKN190" s="5"/>
      <c r="FKO190" s="5"/>
      <c r="FKP190" s="5"/>
      <c r="FKQ190" s="5"/>
      <c r="FKR190" s="5"/>
      <c r="FKS190" s="5"/>
      <c r="FKT190" s="5"/>
      <c r="FKU190" s="5"/>
      <c r="FKV190" s="5"/>
      <c r="FKW190" s="5"/>
      <c r="FKX190" s="5"/>
      <c r="FKY190" s="5"/>
      <c r="FKZ190" s="5"/>
      <c r="FLA190" s="5"/>
      <c r="FLB190" s="5"/>
      <c r="FLC190" s="5"/>
      <c r="FLD190" s="5"/>
      <c r="FLE190" s="5"/>
      <c r="FLF190" s="5"/>
      <c r="FLG190" s="5"/>
      <c r="FLH190" s="5"/>
      <c r="FLI190" s="5"/>
      <c r="FLJ190" s="5"/>
      <c r="FLK190" s="5"/>
      <c r="FLL190" s="5"/>
      <c r="FLM190" s="5"/>
      <c r="FLN190" s="5"/>
      <c r="FLO190" s="5"/>
      <c r="FLP190" s="5"/>
      <c r="FLQ190" s="5"/>
      <c r="FLR190" s="5"/>
      <c r="FLS190" s="5"/>
      <c r="FLT190" s="5"/>
      <c r="FLU190" s="5"/>
      <c r="FLV190" s="5"/>
      <c r="FLW190" s="5"/>
      <c r="FLX190" s="5"/>
      <c r="FLY190" s="5"/>
      <c r="FLZ190" s="5"/>
      <c r="FMA190" s="5"/>
      <c r="FMB190" s="5"/>
      <c r="FMC190" s="5"/>
      <c r="FMD190" s="5"/>
      <c r="FME190" s="5"/>
      <c r="FMF190" s="5"/>
      <c r="FMG190" s="5"/>
      <c r="FMH190" s="5"/>
      <c r="FMI190" s="5"/>
      <c r="FMJ190" s="5"/>
      <c r="FMK190" s="5"/>
      <c r="FML190" s="5"/>
      <c r="FMM190" s="5"/>
      <c r="FMN190" s="5"/>
      <c r="FMO190" s="5"/>
      <c r="FMP190" s="5"/>
      <c r="FMQ190" s="5"/>
      <c r="FMR190" s="5"/>
      <c r="FMS190" s="5"/>
      <c r="FMT190" s="5"/>
      <c r="FMU190" s="5"/>
      <c r="FMV190" s="5"/>
      <c r="FMW190" s="5"/>
      <c r="FMX190" s="5"/>
      <c r="FMY190" s="5"/>
      <c r="FMZ190" s="5"/>
      <c r="FNA190" s="5"/>
      <c r="FNB190" s="5"/>
      <c r="FNC190" s="5"/>
      <c r="FND190" s="5"/>
      <c r="FNE190" s="5"/>
      <c r="FNF190" s="5"/>
      <c r="FNG190" s="5"/>
      <c r="FNH190" s="5"/>
      <c r="FNI190" s="5"/>
      <c r="FNJ190" s="5"/>
      <c r="FNK190" s="5"/>
      <c r="FNL190" s="5"/>
      <c r="FNM190" s="5"/>
      <c r="FNN190" s="5"/>
      <c r="FNO190" s="5"/>
      <c r="FNP190" s="5"/>
      <c r="FNQ190" s="5"/>
      <c r="FNR190" s="5"/>
      <c r="FNS190" s="5"/>
      <c r="FNT190" s="5"/>
      <c r="FNU190" s="5"/>
      <c r="FNV190" s="5"/>
      <c r="FNW190" s="5"/>
      <c r="FNX190" s="5"/>
      <c r="FNY190" s="5"/>
      <c r="FNZ190" s="5"/>
      <c r="FOA190" s="5"/>
      <c r="FOB190" s="5"/>
      <c r="FOC190" s="5"/>
      <c r="FOD190" s="5"/>
      <c r="FOE190" s="5"/>
      <c r="FOF190" s="5"/>
      <c r="FOG190" s="5"/>
      <c r="FOH190" s="5"/>
      <c r="FOI190" s="5"/>
      <c r="FOJ190" s="5"/>
      <c r="FOK190" s="5"/>
      <c r="FOL190" s="5"/>
      <c r="FOM190" s="5"/>
      <c r="FON190" s="5"/>
      <c r="FOO190" s="5"/>
      <c r="FOP190" s="5"/>
      <c r="FOQ190" s="5"/>
      <c r="FOR190" s="5"/>
      <c r="FOS190" s="5"/>
      <c r="FOT190" s="5"/>
      <c r="FOU190" s="5"/>
      <c r="FOV190" s="5"/>
      <c r="FOW190" s="5"/>
      <c r="FOX190" s="5"/>
      <c r="FOY190" s="5"/>
      <c r="FOZ190" s="5"/>
      <c r="FPA190" s="5"/>
      <c r="FPB190" s="5"/>
      <c r="FPC190" s="5"/>
      <c r="FPD190" s="5"/>
      <c r="FPE190" s="5"/>
      <c r="FPF190" s="5"/>
      <c r="FPG190" s="5"/>
      <c r="FPH190" s="5"/>
      <c r="FPI190" s="5"/>
      <c r="FPJ190" s="5"/>
      <c r="FPK190" s="5"/>
      <c r="FPL190" s="5"/>
      <c r="FPM190" s="5"/>
      <c r="FPN190" s="5"/>
      <c r="FPO190" s="5"/>
      <c r="FPP190" s="5"/>
      <c r="FPQ190" s="5"/>
      <c r="FPR190" s="5"/>
      <c r="FPS190" s="5"/>
      <c r="FPT190" s="5"/>
      <c r="FPU190" s="5"/>
      <c r="FPV190" s="5"/>
      <c r="FPW190" s="5"/>
      <c r="FPX190" s="5"/>
      <c r="FPY190" s="5"/>
      <c r="FPZ190" s="5"/>
      <c r="FQA190" s="5"/>
      <c r="FQB190" s="5"/>
      <c r="FQC190" s="5"/>
      <c r="FQD190" s="5"/>
      <c r="FQE190" s="5"/>
      <c r="FQF190" s="5"/>
      <c r="FQG190" s="5"/>
      <c r="FQH190" s="5"/>
      <c r="FQI190" s="5"/>
      <c r="FQJ190" s="5"/>
      <c r="FQK190" s="5"/>
      <c r="FQL190" s="5"/>
      <c r="FQM190" s="5"/>
      <c r="FQN190" s="5"/>
      <c r="FQO190" s="5"/>
      <c r="FQP190" s="5"/>
      <c r="FQQ190" s="5"/>
      <c r="FQR190" s="5"/>
      <c r="FQS190" s="5"/>
      <c r="FQT190" s="5"/>
      <c r="FQU190" s="5"/>
      <c r="FQV190" s="5"/>
      <c r="FQW190" s="5"/>
      <c r="FQX190" s="5"/>
      <c r="FQY190" s="5"/>
      <c r="FQZ190" s="5"/>
      <c r="FRA190" s="5"/>
      <c r="FRB190" s="5"/>
      <c r="FRC190" s="5"/>
      <c r="FRD190" s="5"/>
      <c r="FRE190" s="5"/>
      <c r="FRF190" s="5"/>
      <c r="FRG190" s="5"/>
      <c r="FRH190" s="5"/>
      <c r="FRI190" s="5"/>
      <c r="FRJ190" s="5"/>
      <c r="FRK190" s="5"/>
      <c r="FRL190" s="5"/>
      <c r="FRM190" s="5"/>
      <c r="FRN190" s="5"/>
      <c r="FRO190" s="5"/>
      <c r="FRP190" s="5"/>
      <c r="FRQ190" s="5"/>
      <c r="FRR190" s="5"/>
      <c r="FRS190" s="5"/>
      <c r="FRT190" s="5"/>
      <c r="FRU190" s="5"/>
      <c r="FRV190" s="5"/>
      <c r="FRW190" s="5"/>
      <c r="FRX190" s="5"/>
      <c r="FRY190" s="5"/>
      <c r="FRZ190" s="5"/>
      <c r="FSA190" s="5"/>
      <c r="FSB190" s="5"/>
      <c r="FSC190" s="5"/>
      <c r="FSD190" s="5"/>
      <c r="FSE190" s="5"/>
      <c r="FSF190" s="5"/>
      <c r="FSG190" s="5"/>
      <c r="FSH190" s="5"/>
      <c r="FSI190" s="5"/>
      <c r="FSJ190" s="5"/>
      <c r="FSK190" s="5"/>
      <c r="FSL190" s="5"/>
      <c r="FSM190" s="5"/>
      <c r="FSN190" s="5"/>
      <c r="FSO190" s="5"/>
      <c r="FSP190" s="5"/>
      <c r="FSQ190" s="5"/>
      <c r="FSR190" s="5"/>
      <c r="FSS190" s="5"/>
      <c r="FST190" s="5"/>
      <c r="FSU190" s="5"/>
      <c r="FSV190" s="5"/>
      <c r="FSW190" s="5"/>
      <c r="FSX190" s="5"/>
      <c r="FSY190" s="5"/>
      <c r="FSZ190" s="5"/>
      <c r="FTA190" s="5"/>
      <c r="FTB190" s="5"/>
      <c r="FTC190" s="5"/>
      <c r="FTD190" s="5"/>
      <c r="FTE190" s="5"/>
      <c r="FTF190" s="5"/>
      <c r="FTG190" s="5"/>
      <c r="FTH190" s="5"/>
      <c r="FTI190" s="5"/>
      <c r="FTJ190" s="5"/>
      <c r="FTK190" s="5"/>
      <c r="FTL190" s="5"/>
      <c r="FTM190" s="5"/>
      <c r="FTN190" s="5"/>
      <c r="FTO190" s="5"/>
      <c r="FTP190" s="5"/>
      <c r="FTQ190" s="5"/>
      <c r="FTR190" s="5"/>
      <c r="FTS190" s="5"/>
      <c r="FTT190" s="5"/>
      <c r="FTU190" s="5"/>
      <c r="FTV190" s="5"/>
      <c r="FTW190" s="5"/>
      <c r="FTX190" s="5"/>
      <c r="FTY190" s="5"/>
      <c r="FTZ190" s="5"/>
      <c r="FUA190" s="5"/>
      <c r="FUB190" s="5"/>
      <c r="FUC190" s="5"/>
      <c r="FUD190" s="5"/>
      <c r="FUE190" s="5"/>
      <c r="FUF190" s="5"/>
      <c r="FUG190" s="5"/>
      <c r="FUH190" s="5"/>
      <c r="FUI190" s="5"/>
      <c r="FUJ190" s="5"/>
      <c r="FUK190" s="5"/>
      <c r="FUL190" s="5"/>
      <c r="FUM190" s="5"/>
      <c r="FUN190" s="5"/>
      <c r="FUO190" s="5"/>
      <c r="FUP190" s="5"/>
      <c r="FUQ190" s="5"/>
      <c r="FUR190" s="5"/>
      <c r="FUS190" s="5"/>
      <c r="FUT190" s="5"/>
      <c r="FUU190" s="5"/>
      <c r="FUV190" s="5"/>
      <c r="FUW190" s="5"/>
      <c r="FUX190" s="5"/>
      <c r="FUY190" s="5"/>
      <c r="FUZ190" s="5"/>
      <c r="FVA190" s="5"/>
      <c r="FVB190" s="5"/>
      <c r="FVC190" s="5"/>
      <c r="FVD190" s="5"/>
      <c r="FVE190" s="5"/>
      <c r="FVF190" s="5"/>
      <c r="FVG190" s="5"/>
      <c r="FVH190" s="5"/>
      <c r="FVI190" s="5"/>
      <c r="FVJ190" s="5"/>
      <c r="FVK190" s="5"/>
      <c r="FVL190" s="5"/>
      <c r="FVM190" s="5"/>
      <c r="FVN190" s="5"/>
      <c r="FVO190" s="5"/>
      <c r="FVP190" s="5"/>
      <c r="FVQ190" s="5"/>
      <c r="FVR190" s="5"/>
      <c r="FVS190" s="5"/>
      <c r="FVT190" s="5"/>
      <c r="FVU190" s="5"/>
      <c r="FVV190" s="5"/>
      <c r="FVW190" s="5"/>
      <c r="FVX190" s="5"/>
      <c r="FVY190" s="5"/>
      <c r="FVZ190" s="5"/>
      <c r="FWA190" s="5"/>
      <c r="FWB190" s="5"/>
      <c r="FWC190" s="5"/>
      <c r="FWD190" s="5"/>
      <c r="FWE190" s="5"/>
      <c r="FWF190" s="5"/>
      <c r="FWG190" s="5"/>
      <c r="FWH190" s="5"/>
      <c r="FWI190" s="5"/>
      <c r="FWJ190" s="5"/>
      <c r="FWK190" s="5"/>
      <c r="FWL190" s="5"/>
      <c r="FWM190" s="5"/>
      <c r="FWN190" s="5"/>
      <c r="FWO190" s="5"/>
      <c r="FWP190" s="5"/>
      <c r="FWQ190" s="5"/>
      <c r="FWR190" s="5"/>
      <c r="FWS190" s="5"/>
      <c r="FWT190" s="5"/>
      <c r="FWU190" s="5"/>
      <c r="FWV190" s="5"/>
      <c r="FWW190" s="5"/>
      <c r="FWX190" s="5"/>
      <c r="FWY190" s="5"/>
      <c r="FWZ190" s="5"/>
      <c r="FXA190" s="5"/>
      <c r="FXB190" s="5"/>
      <c r="FXC190" s="5"/>
      <c r="FXD190" s="5"/>
      <c r="FXE190" s="5"/>
      <c r="FXF190" s="5"/>
      <c r="FXG190" s="5"/>
      <c r="FXH190" s="5"/>
      <c r="FXI190" s="5"/>
      <c r="FXJ190" s="5"/>
      <c r="FXK190" s="5"/>
      <c r="FXL190" s="5"/>
      <c r="FXM190" s="5"/>
      <c r="FXN190" s="5"/>
      <c r="FXO190" s="5"/>
      <c r="FXP190" s="5"/>
      <c r="FXQ190" s="5"/>
      <c r="FXR190" s="5"/>
      <c r="FXS190" s="5"/>
      <c r="FXT190" s="5"/>
      <c r="FXU190" s="5"/>
      <c r="FXV190" s="5"/>
      <c r="FXW190" s="5"/>
      <c r="FXX190" s="5"/>
      <c r="FXY190" s="5"/>
      <c r="FXZ190" s="5"/>
      <c r="FYA190" s="5"/>
      <c r="FYB190" s="5"/>
      <c r="FYC190" s="5"/>
      <c r="FYD190" s="5"/>
      <c r="FYE190" s="5"/>
      <c r="FYF190" s="5"/>
      <c r="FYG190" s="5"/>
      <c r="FYH190" s="5"/>
      <c r="FYI190" s="5"/>
      <c r="FYJ190" s="5"/>
      <c r="FYK190" s="5"/>
      <c r="FYL190" s="5"/>
      <c r="FYM190" s="5"/>
      <c r="FYN190" s="5"/>
      <c r="FYO190" s="5"/>
      <c r="FYP190" s="5"/>
      <c r="FYQ190" s="5"/>
      <c r="FYR190" s="5"/>
      <c r="FYS190" s="5"/>
      <c r="FYT190" s="5"/>
      <c r="FYU190" s="5"/>
      <c r="FYV190" s="5"/>
      <c r="FYW190" s="5"/>
      <c r="FYX190" s="5"/>
      <c r="FYY190" s="5"/>
      <c r="FYZ190" s="5"/>
      <c r="FZA190" s="5"/>
      <c r="FZB190" s="5"/>
      <c r="FZC190" s="5"/>
      <c r="FZD190" s="5"/>
      <c r="FZE190" s="5"/>
      <c r="FZF190" s="5"/>
      <c r="FZG190" s="5"/>
      <c r="FZH190" s="5"/>
      <c r="FZI190" s="5"/>
      <c r="FZJ190" s="5"/>
      <c r="FZK190" s="5"/>
      <c r="FZL190" s="5"/>
      <c r="FZM190" s="5"/>
      <c r="FZN190" s="5"/>
      <c r="FZO190" s="5"/>
      <c r="FZP190" s="5"/>
      <c r="FZQ190" s="5"/>
      <c r="FZR190" s="5"/>
      <c r="FZS190" s="5"/>
      <c r="FZT190" s="5"/>
      <c r="FZU190" s="5"/>
      <c r="FZV190" s="5"/>
      <c r="FZW190" s="5"/>
      <c r="FZX190" s="5"/>
      <c r="FZY190" s="5"/>
      <c r="FZZ190" s="5"/>
      <c r="GAA190" s="5"/>
      <c r="GAB190" s="5"/>
      <c r="GAC190" s="5"/>
      <c r="GAD190" s="5"/>
      <c r="GAE190" s="5"/>
      <c r="GAF190" s="5"/>
      <c r="GAG190" s="5"/>
      <c r="GAH190" s="5"/>
      <c r="GAI190" s="5"/>
      <c r="GAJ190" s="5"/>
      <c r="GAK190" s="5"/>
      <c r="GAL190" s="5"/>
      <c r="GAM190" s="5"/>
      <c r="GAN190" s="5"/>
      <c r="GAO190" s="5"/>
      <c r="GAP190" s="5"/>
      <c r="GAQ190" s="5"/>
      <c r="GAR190" s="5"/>
      <c r="GAS190" s="5"/>
      <c r="GAT190" s="5"/>
      <c r="GAU190" s="5"/>
      <c r="GAV190" s="5"/>
      <c r="GAW190" s="5"/>
      <c r="GAX190" s="5"/>
      <c r="GAY190" s="5"/>
      <c r="GAZ190" s="5"/>
      <c r="GBA190" s="5"/>
      <c r="GBB190" s="5"/>
      <c r="GBC190" s="5"/>
      <c r="GBD190" s="5"/>
      <c r="GBE190" s="5"/>
      <c r="GBF190" s="5"/>
      <c r="GBG190" s="5"/>
      <c r="GBH190" s="5"/>
      <c r="GBI190" s="5"/>
      <c r="GBJ190" s="5"/>
      <c r="GBK190" s="5"/>
      <c r="GBL190" s="5"/>
      <c r="GBM190" s="5"/>
      <c r="GBN190" s="5"/>
      <c r="GBO190" s="5"/>
      <c r="GBP190" s="5"/>
      <c r="GBQ190" s="5"/>
      <c r="GBR190" s="5"/>
      <c r="GBS190" s="5"/>
      <c r="GBT190" s="5"/>
      <c r="GBU190" s="5"/>
      <c r="GBV190" s="5"/>
      <c r="GBW190" s="5"/>
      <c r="GBX190" s="5"/>
      <c r="GBY190" s="5"/>
      <c r="GBZ190" s="5"/>
      <c r="GCA190" s="5"/>
      <c r="GCB190" s="5"/>
      <c r="GCC190" s="5"/>
      <c r="GCD190" s="5"/>
      <c r="GCE190" s="5"/>
      <c r="GCF190" s="5"/>
      <c r="GCG190" s="5"/>
      <c r="GCH190" s="5"/>
      <c r="GCI190" s="5"/>
      <c r="GCJ190" s="5"/>
      <c r="GCK190" s="5"/>
      <c r="GCL190" s="5"/>
      <c r="GCM190" s="5"/>
      <c r="GCN190" s="5"/>
      <c r="GCO190" s="5"/>
      <c r="GCP190" s="5"/>
      <c r="GCQ190" s="5"/>
      <c r="GCR190" s="5"/>
      <c r="GCS190" s="5"/>
      <c r="GCT190" s="5"/>
      <c r="GCU190" s="5"/>
      <c r="GCV190" s="5"/>
      <c r="GCW190" s="5"/>
      <c r="GCX190" s="5"/>
      <c r="GCY190" s="5"/>
      <c r="GCZ190" s="5"/>
      <c r="GDA190" s="5"/>
      <c r="GDB190" s="5"/>
      <c r="GDC190" s="5"/>
      <c r="GDD190" s="5"/>
      <c r="GDE190" s="5"/>
      <c r="GDF190" s="5"/>
      <c r="GDG190" s="5"/>
      <c r="GDH190" s="5"/>
      <c r="GDI190" s="5"/>
      <c r="GDJ190" s="5"/>
      <c r="GDK190" s="5"/>
      <c r="GDL190" s="5"/>
      <c r="GDM190" s="5"/>
      <c r="GDN190" s="5"/>
      <c r="GDO190" s="5"/>
      <c r="GDP190" s="5"/>
      <c r="GDQ190" s="5"/>
      <c r="GDR190" s="5"/>
      <c r="GDS190" s="5"/>
      <c r="GDT190" s="5"/>
      <c r="GDU190" s="5"/>
      <c r="GDV190" s="5"/>
      <c r="GDW190" s="5"/>
      <c r="GDX190" s="5"/>
      <c r="GDY190" s="5"/>
      <c r="GDZ190" s="5"/>
      <c r="GEA190" s="5"/>
      <c r="GEB190" s="5"/>
      <c r="GEC190" s="5"/>
      <c r="GED190" s="5"/>
      <c r="GEE190" s="5"/>
      <c r="GEF190" s="5"/>
      <c r="GEG190" s="5"/>
      <c r="GEH190" s="5"/>
      <c r="GEI190" s="5"/>
      <c r="GEJ190" s="5"/>
      <c r="GEK190" s="5"/>
      <c r="GEL190" s="5"/>
      <c r="GEM190" s="5"/>
      <c r="GEN190" s="5"/>
      <c r="GEO190" s="5"/>
      <c r="GEP190" s="5"/>
      <c r="GEQ190" s="5"/>
      <c r="GER190" s="5"/>
      <c r="GES190" s="5"/>
      <c r="GET190" s="5"/>
      <c r="GEU190" s="5"/>
      <c r="GEV190" s="5"/>
      <c r="GEW190" s="5"/>
      <c r="GEX190" s="5"/>
      <c r="GEY190" s="5"/>
      <c r="GEZ190" s="5"/>
      <c r="GFA190" s="5"/>
      <c r="GFB190" s="5"/>
      <c r="GFC190" s="5"/>
      <c r="GFD190" s="5"/>
      <c r="GFE190" s="5"/>
      <c r="GFF190" s="5"/>
      <c r="GFG190" s="5"/>
      <c r="GFH190" s="5"/>
      <c r="GFI190" s="5"/>
      <c r="GFJ190" s="5"/>
      <c r="GFK190" s="5"/>
      <c r="GFL190" s="5"/>
      <c r="GFM190" s="5"/>
      <c r="GFN190" s="5"/>
      <c r="GFO190" s="5"/>
      <c r="GFP190" s="5"/>
      <c r="GFQ190" s="5"/>
      <c r="GFR190" s="5"/>
      <c r="GFS190" s="5"/>
      <c r="GFT190" s="5"/>
      <c r="GFU190" s="5"/>
      <c r="GFV190" s="5"/>
      <c r="GFW190" s="5"/>
      <c r="GFX190" s="5"/>
      <c r="GFY190" s="5"/>
      <c r="GFZ190" s="5"/>
      <c r="GGA190" s="5"/>
      <c r="GGB190" s="5"/>
      <c r="GGC190" s="5"/>
      <c r="GGD190" s="5"/>
      <c r="GGE190" s="5"/>
      <c r="GGF190" s="5"/>
      <c r="GGG190" s="5"/>
      <c r="GGH190" s="5"/>
      <c r="GGI190" s="5"/>
      <c r="GGJ190" s="5"/>
      <c r="GGK190" s="5"/>
      <c r="GGL190" s="5"/>
      <c r="GGM190" s="5"/>
      <c r="GGN190" s="5"/>
      <c r="GGO190" s="5"/>
      <c r="GGP190" s="5"/>
      <c r="GGQ190" s="5"/>
      <c r="GGR190" s="5"/>
      <c r="GGS190" s="5"/>
      <c r="GGT190" s="5"/>
      <c r="GGU190" s="5"/>
      <c r="GGV190" s="5"/>
      <c r="GGW190" s="5"/>
      <c r="GGX190" s="5"/>
      <c r="GGY190" s="5"/>
      <c r="GGZ190" s="5"/>
      <c r="GHA190" s="5"/>
      <c r="GHB190" s="5"/>
      <c r="GHC190" s="5"/>
      <c r="GHD190" s="5"/>
      <c r="GHE190" s="5"/>
      <c r="GHF190" s="5"/>
      <c r="GHG190" s="5"/>
      <c r="GHH190" s="5"/>
      <c r="GHI190" s="5"/>
      <c r="GHJ190" s="5"/>
      <c r="GHK190" s="5"/>
      <c r="GHL190" s="5"/>
      <c r="GHM190" s="5"/>
      <c r="GHN190" s="5"/>
      <c r="GHO190" s="5"/>
      <c r="GHP190" s="5"/>
      <c r="GHQ190" s="5"/>
      <c r="GHR190" s="5"/>
      <c r="GHS190" s="5"/>
      <c r="GHT190" s="5"/>
      <c r="GHU190" s="5"/>
      <c r="GHV190" s="5"/>
      <c r="GHW190" s="5"/>
      <c r="GHX190" s="5"/>
      <c r="GHY190" s="5"/>
      <c r="GHZ190" s="5"/>
      <c r="GIA190" s="5"/>
      <c r="GIB190" s="5"/>
      <c r="GIC190" s="5"/>
      <c r="GID190" s="5"/>
      <c r="GIE190" s="5"/>
      <c r="GIF190" s="5"/>
      <c r="GIG190" s="5"/>
      <c r="GIH190" s="5"/>
      <c r="GII190" s="5"/>
      <c r="GIJ190" s="5"/>
      <c r="GIK190" s="5"/>
      <c r="GIL190" s="5"/>
      <c r="GIM190" s="5"/>
      <c r="GIN190" s="5"/>
      <c r="GIO190" s="5"/>
      <c r="GIP190" s="5"/>
      <c r="GIQ190" s="5"/>
      <c r="GIR190" s="5"/>
      <c r="GIS190" s="5"/>
      <c r="GIT190" s="5"/>
      <c r="GIU190" s="5"/>
      <c r="GIV190" s="5"/>
      <c r="GIW190" s="5"/>
      <c r="GIX190" s="5"/>
      <c r="GIY190" s="5"/>
      <c r="GIZ190" s="5"/>
      <c r="GJA190" s="5"/>
      <c r="GJB190" s="5"/>
      <c r="GJC190" s="5"/>
      <c r="GJD190" s="5"/>
      <c r="GJE190" s="5"/>
      <c r="GJF190" s="5"/>
      <c r="GJG190" s="5"/>
      <c r="GJH190" s="5"/>
      <c r="GJI190" s="5"/>
      <c r="GJJ190" s="5"/>
      <c r="GJK190" s="5"/>
      <c r="GJL190" s="5"/>
      <c r="GJM190" s="5"/>
      <c r="GJN190" s="5"/>
      <c r="GJO190" s="5"/>
      <c r="GJP190" s="5"/>
      <c r="GJQ190" s="5"/>
      <c r="GJR190" s="5"/>
      <c r="GJS190" s="5"/>
      <c r="GJT190" s="5"/>
      <c r="GJU190" s="5"/>
      <c r="GJV190" s="5"/>
      <c r="GJW190" s="5"/>
      <c r="GJX190" s="5"/>
      <c r="GJY190" s="5"/>
      <c r="GJZ190" s="5"/>
      <c r="GKA190" s="5"/>
      <c r="GKB190" s="5"/>
      <c r="GKC190" s="5"/>
      <c r="GKD190" s="5"/>
      <c r="GKE190" s="5"/>
      <c r="GKF190" s="5"/>
      <c r="GKG190" s="5"/>
      <c r="GKH190" s="5"/>
      <c r="GKI190" s="5"/>
      <c r="GKJ190" s="5"/>
      <c r="GKK190" s="5"/>
      <c r="GKL190" s="5"/>
      <c r="GKM190" s="5"/>
      <c r="GKN190" s="5"/>
      <c r="GKO190" s="5"/>
      <c r="GKP190" s="5"/>
      <c r="GKQ190" s="5"/>
      <c r="GKR190" s="5"/>
      <c r="GKS190" s="5"/>
      <c r="GKT190" s="5"/>
      <c r="GKU190" s="5"/>
      <c r="GKV190" s="5"/>
      <c r="GKW190" s="5"/>
      <c r="GKX190" s="5"/>
      <c r="GKY190" s="5"/>
      <c r="GKZ190" s="5"/>
      <c r="GLA190" s="5"/>
      <c r="GLB190" s="5"/>
      <c r="GLC190" s="5"/>
      <c r="GLD190" s="5"/>
      <c r="GLE190" s="5"/>
      <c r="GLF190" s="5"/>
      <c r="GLG190" s="5"/>
      <c r="GLH190" s="5"/>
      <c r="GLI190" s="5"/>
      <c r="GLJ190" s="5"/>
      <c r="GLK190" s="5"/>
      <c r="GLL190" s="5"/>
      <c r="GLM190" s="5"/>
      <c r="GLN190" s="5"/>
      <c r="GLO190" s="5"/>
      <c r="GLP190" s="5"/>
      <c r="GLQ190" s="5"/>
      <c r="GLR190" s="5"/>
      <c r="GLS190" s="5"/>
      <c r="GLT190" s="5"/>
      <c r="GLU190" s="5"/>
      <c r="GLV190" s="5"/>
      <c r="GLW190" s="5"/>
      <c r="GLX190" s="5"/>
      <c r="GLY190" s="5"/>
      <c r="GLZ190" s="5"/>
      <c r="GMA190" s="5"/>
      <c r="GMB190" s="5"/>
      <c r="GMC190" s="5"/>
      <c r="GMD190" s="5"/>
      <c r="GME190" s="5"/>
      <c r="GMF190" s="5"/>
      <c r="GMG190" s="5"/>
      <c r="GMH190" s="5"/>
      <c r="GMI190" s="5"/>
      <c r="GMJ190" s="5"/>
      <c r="GMK190" s="5"/>
      <c r="GML190" s="5"/>
      <c r="GMM190" s="5"/>
      <c r="GMN190" s="5"/>
      <c r="GMO190" s="5"/>
      <c r="GMP190" s="5"/>
      <c r="GMQ190" s="5"/>
      <c r="GMR190" s="5"/>
      <c r="GMS190" s="5"/>
      <c r="GMT190" s="5"/>
      <c r="GMU190" s="5"/>
      <c r="GMV190" s="5"/>
      <c r="GMW190" s="5"/>
      <c r="GMX190" s="5"/>
      <c r="GMY190" s="5"/>
      <c r="GMZ190" s="5"/>
      <c r="GNA190" s="5"/>
      <c r="GNB190" s="5"/>
      <c r="GNC190" s="5"/>
      <c r="GND190" s="5"/>
      <c r="GNE190" s="5"/>
      <c r="GNF190" s="5"/>
      <c r="GNG190" s="5"/>
      <c r="GNH190" s="5"/>
      <c r="GNI190" s="5"/>
      <c r="GNJ190" s="5"/>
      <c r="GNK190" s="5"/>
      <c r="GNL190" s="5"/>
      <c r="GNM190" s="5"/>
      <c r="GNN190" s="5"/>
      <c r="GNO190" s="5"/>
      <c r="GNP190" s="5"/>
      <c r="GNQ190" s="5"/>
      <c r="GNR190" s="5"/>
      <c r="GNS190" s="5"/>
      <c r="GNT190" s="5"/>
      <c r="GNU190" s="5"/>
      <c r="GNV190" s="5"/>
      <c r="GNW190" s="5"/>
      <c r="GNX190" s="5"/>
      <c r="GNY190" s="5"/>
      <c r="GNZ190" s="5"/>
      <c r="GOA190" s="5"/>
      <c r="GOB190" s="5"/>
      <c r="GOC190" s="5"/>
      <c r="GOD190" s="5"/>
      <c r="GOE190" s="5"/>
      <c r="GOF190" s="5"/>
      <c r="GOG190" s="5"/>
      <c r="GOH190" s="5"/>
      <c r="GOI190" s="5"/>
      <c r="GOJ190" s="5"/>
      <c r="GOK190" s="5"/>
      <c r="GOL190" s="5"/>
      <c r="GOM190" s="5"/>
      <c r="GON190" s="5"/>
      <c r="GOO190" s="5"/>
      <c r="GOP190" s="5"/>
      <c r="GOQ190" s="5"/>
      <c r="GOR190" s="5"/>
      <c r="GOS190" s="5"/>
      <c r="GOT190" s="5"/>
      <c r="GOU190" s="5"/>
      <c r="GOV190" s="5"/>
      <c r="GOW190" s="5"/>
      <c r="GOX190" s="5"/>
      <c r="GOY190" s="5"/>
      <c r="GOZ190" s="5"/>
      <c r="GPA190" s="5"/>
      <c r="GPB190" s="5"/>
      <c r="GPC190" s="5"/>
      <c r="GPD190" s="5"/>
      <c r="GPE190" s="5"/>
      <c r="GPF190" s="5"/>
      <c r="GPG190" s="5"/>
      <c r="GPH190" s="5"/>
      <c r="GPI190" s="5"/>
      <c r="GPJ190" s="5"/>
      <c r="GPK190" s="5"/>
      <c r="GPL190" s="5"/>
      <c r="GPM190" s="5"/>
      <c r="GPN190" s="5"/>
      <c r="GPO190" s="5"/>
      <c r="GPP190" s="5"/>
      <c r="GPQ190" s="5"/>
      <c r="GPR190" s="5"/>
      <c r="GPS190" s="5"/>
      <c r="GPT190" s="5"/>
      <c r="GPU190" s="5"/>
      <c r="GPV190" s="5"/>
      <c r="GPW190" s="5"/>
      <c r="GPX190" s="5"/>
      <c r="GPY190" s="5"/>
      <c r="GPZ190" s="5"/>
      <c r="GQA190" s="5"/>
      <c r="GQB190" s="5"/>
      <c r="GQC190" s="5"/>
      <c r="GQD190" s="5"/>
      <c r="GQE190" s="5"/>
      <c r="GQF190" s="5"/>
      <c r="GQG190" s="5"/>
      <c r="GQH190" s="5"/>
      <c r="GQI190" s="5"/>
      <c r="GQJ190" s="5"/>
      <c r="GQK190" s="5"/>
      <c r="GQL190" s="5"/>
      <c r="GQM190" s="5"/>
      <c r="GQN190" s="5"/>
      <c r="GQO190" s="5"/>
      <c r="GQP190" s="5"/>
      <c r="GQQ190" s="5"/>
      <c r="GQR190" s="5"/>
      <c r="GQS190" s="5"/>
      <c r="GQT190" s="5"/>
      <c r="GQU190" s="5"/>
      <c r="GQV190" s="5"/>
      <c r="GQW190" s="5"/>
      <c r="GQX190" s="5"/>
      <c r="GQY190" s="5"/>
      <c r="GQZ190" s="5"/>
      <c r="GRA190" s="5"/>
      <c r="GRB190" s="5"/>
      <c r="GRC190" s="5"/>
      <c r="GRD190" s="5"/>
      <c r="GRE190" s="5"/>
      <c r="GRF190" s="5"/>
      <c r="GRG190" s="5"/>
      <c r="GRH190" s="5"/>
      <c r="GRI190" s="5"/>
      <c r="GRJ190" s="5"/>
      <c r="GRK190" s="5"/>
      <c r="GRL190" s="5"/>
      <c r="GRM190" s="5"/>
      <c r="GRN190" s="5"/>
      <c r="GRO190" s="5"/>
      <c r="GRP190" s="5"/>
      <c r="GRQ190" s="5"/>
      <c r="GRR190" s="5"/>
      <c r="GRS190" s="5"/>
      <c r="GRT190" s="5"/>
      <c r="GRU190" s="5"/>
      <c r="GRV190" s="5"/>
      <c r="GRW190" s="5"/>
      <c r="GRX190" s="5"/>
      <c r="GRY190" s="5"/>
      <c r="GRZ190" s="5"/>
      <c r="GSA190" s="5"/>
      <c r="GSB190" s="5"/>
      <c r="GSC190" s="5"/>
      <c r="GSD190" s="5"/>
      <c r="GSE190" s="5"/>
      <c r="GSF190" s="5"/>
      <c r="GSG190" s="5"/>
      <c r="GSH190" s="5"/>
      <c r="GSI190" s="5"/>
      <c r="GSJ190" s="5"/>
      <c r="GSK190" s="5"/>
      <c r="GSL190" s="5"/>
      <c r="GSM190" s="5"/>
      <c r="GSN190" s="5"/>
      <c r="GSO190" s="5"/>
      <c r="GSP190" s="5"/>
      <c r="GSQ190" s="5"/>
      <c r="GSR190" s="5"/>
      <c r="GSS190" s="5"/>
      <c r="GST190" s="5"/>
      <c r="GSU190" s="5"/>
      <c r="GSV190" s="5"/>
      <c r="GSW190" s="5"/>
      <c r="GSX190" s="5"/>
      <c r="GSY190" s="5"/>
      <c r="GSZ190" s="5"/>
      <c r="GTA190" s="5"/>
      <c r="GTB190" s="5"/>
      <c r="GTC190" s="5"/>
      <c r="GTD190" s="5"/>
      <c r="GTE190" s="5"/>
      <c r="GTF190" s="5"/>
      <c r="GTG190" s="5"/>
      <c r="GTH190" s="5"/>
      <c r="GTI190" s="5"/>
      <c r="GTJ190" s="5"/>
      <c r="GTK190" s="5"/>
      <c r="GTL190" s="5"/>
      <c r="GTM190" s="5"/>
      <c r="GTN190" s="5"/>
      <c r="GTO190" s="5"/>
      <c r="GTP190" s="5"/>
      <c r="GTQ190" s="5"/>
      <c r="GTR190" s="5"/>
      <c r="GTS190" s="5"/>
      <c r="GTT190" s="5"/>
      <c r="GTU190" s="5"/>
      <c r="GTV190" s="5"/>
      <c r="GTW190" s="5"/>
      <c r="GTX190" s="5"/>
      <c r="GTY190" s="5"/>
      <c r="GTZ190" s="5"/>
      <c r="GUA190" s="5"/>
      <c r="GUB190" s="5"/>
      <c r="GUC190" s="5"/>
      <c r="GUD190" s="5"/>
      <c r="GUE190" s="5"/>
      <c r="GUF190" s="5"/>
      <c r="GUG190" s="5"/>
      <c r="GUH190" s="5"/>
      <c r="GUI190" s="5"/>
      <c r="GUJ190" s="5"/>
      <c r="GUK190" s="5"/>
      <c r="GUL190" s="5"/>
      <c r="GUM190" s="5"/>
      <c r="GUN190" s="5"/>
      <c r="GUO190" s="5"/>
      <c r="GUP190" s="5"/>
      <c r="GUQ190" s="5"/>
      <c r="GUR190" s="5"/>
      <c r="GUS190" s="5"/>
      <c r="GUT190" s="5"/>
      <c r="GUU190" s="5"/>
      <c r="GUV190" s="5"/>
      <c r="GUW190" s="5"/>
      <c r="GUX190" s="5"/>
      <c r="GUY190" s="5"/>
      <c r="GUZ190" s="5"/>
      <c r="GVA190" s="5"/>
      <c r="GVB190" s="5"/>
      <c r="GVC190" s="5"/>
      <c r="GVD190" s="5"/>
      <c r="GVE190" s="5"/>
      <c r="GVF190" s="5"/>
      <c r="GVG190" s="5"/>
      <c r="GVH190" s="5"/>
      <c r="GVI190" s="5"/>
      <c r="GVJ190" s="5"/>
      <c r="GVK190" s="5"/>
      <c r="GVL190" s="5"/>
      <c r="GVM190" s="5"/>
      <c r="GVN190" s="5"/>
      <c r="GVO190" s="5"/>
      <c r="GVP190" s="5"/>
      <c r="GVQ190" s="5"/>
      <c r="GVR190" s="5"/>
      <c r="GVS190" s="5"/>
      <c r="GVT190" s="5"/>
      <c r="GVU190" s="5"/>
      <c r="GVV190" s="5"/>
      <c r="GVW190" s="5"/>
      <c r="GVX190" s="5"/>
      <c r="GVY190" s="5"/>
      <c r="GVZ190" s="5"/>
      <c r="GWA190" s="5"/>
      <c r="GWB190" s="5"/>
      <c r="GWC190" s="5"/>
      <c r="GWD190" s="5"/>
      <c r="GWE190" s="5"/>
      <c r="GWF190" s="5"/>
      <c r="GWG190" s="5"/>
      <c r="GWH190" s="5"/>
      <c r="GWI190" s="5"/>
      <c r="GWJ190" s="5"/>
      <c r="GWK190" s="5"/>
      <c r="GWL190" s="5"/>
      <c r="GWM190" s="5"/>
      <c r="GWN190" s="5"/>
      <c r="GWO190" s="5"/>
      <c r="GWP190" s="5"/>
      <c r="GWQ190" s="5"/>
      <c r="GWR190" s="5"/>
      <c r="GWS190" s="5"/>
      <c r="GWT190" s="5"/>
      <c r="GWU190" s="5"/>
      <c r="GWV190" s="5"/>
      <c r="GWW190" s="5"/>
      <c r="GWX190" s="5"/>
      <c r="GWY190" s="5"/>
      <c r="GWZ190" s="5"/>
      <c r="GXA190" s="5"/>
      <c r="GXB190" s="5"/>
      <c r="GXC190" s="5"/>
      <c r="GXD190" s="5"/>
      <c r="GXE190" s="5"/>
      <c r="GXF190" s="5"/>
      <c r="GXG190" s="5"/>
      <c r="GXH190" s="5"/>
      <c r="GXI190" s="5"/>
      <c r="GXJ190" s="5"/>
      <c r="GXK190" s="5"/>
      <c r="GXL190" s="5"/>
      <c r="GXM190" s="5"/>
      <c r="GXN190" s="5"/>
      <c r="GXO190" s="5"/>
      <c r="GXP190" s="5"/>
      <c r="GXQ190" s="5"/>
      <c r="GXR190" s="5"/>
      <c r="GXS190" s="5"/>
      <c r="GXT190" s="5"/>
      <c r="GXU190" s="5"/>
      <c r="GXV190" s="5"/>
      <c r="GXW190" s="5"/>
      <c r="GXX190" s="5"/>
      <c r="GXY190" s="5"/>
      <c r="GXZ190" s="5"/>
      <c r="GYA190" s="5"/>
      <c r="GYB190" s="5"/>
      <c r="GYC190" s="5"/>
      <c r="GYD190" s="5"/>
      <c r="GYE190" s="5"/>
      <c r="GYF190" s="5"/>
      <c r="GYG190" s="5"/>
      <c r="GYH190" s="5"/>
      <c r="GYI190" s="5"/>
      <c r="GYJ190" s="5"/>
      <c r="GYK190" s="5"/>
      <c r="GYL190" s="5"/>
      <c r="GYM190" s="5"/>
      <c r="GYN190" s="5"/>
      <c r="GYO190" s="5"/>
      <c r="GYP190" s="5"/>
      <c r="GYQ190" s="5"/>
      <c r="GYR190" s="5"/>
      <c r="GYS190" s="5"/>
      <c r="GYT190" s="5"/>
      <c r="GYU190" s="5"/>
      <c r="GYV190" s="5"/>
      <c r="GYW190" s="5"/>
      <c r="GYX190" s="5"/>
      <c r="GYY190" s="5"/>
      <c r="GYZ190" s="5"/>
      <c r="GZA190" s="5"/>
      <c r="GZB190" s="5"/>
      <c r="GZC190" s="5"/>
      <c r="GZD190" s="5"/>
      <c r="GZE190" s="5"/>
      <c r="GZF190" s="5"/>
      <c r="GZG190" s="5"/>
      <c r="GZH190" s="5"/>
      <c r="GZI190" s="5"/>
      <c r="GZJ190" s="5"/>
      <c r="GZK190" s="5"/>
      <c r="GZL190" s="5"/>
      <c r="GZM190" s="5"/>
      <c r="GZN190" s="5"/>
      <c r="GZO190" s="5"/>
      <c r="GZP190" s="5"/>
      <c r="GZQ190" s="5"/>
      <c r="GZR190" s="5"/>
      <c r="GZS190" s="5"/>
      <c r="GZT190" s="5"/>
      <c r="GZU190" s="5"/>
      <c r="GZV190" s="5"/>
      <c r="GZW190" s="5"/>
      <c r="GZX190" s="5"/>
      <c r="GZY190" s="5"/>
      <c r="GZZ190" s="5"/>
      <c r="HAA190" s="5"/>
      <c r="HAB190" s="5"/>
      <c r="HAC190" s="5"/>
      <c r="HAD190" s="5"/>
      <c r="HAE190" s="5"/>
      <c r="HAF190" s="5"/>
      <c r="HAG190" s="5"/>
      <c r="HAH190" s="5"/>
      <c r="HAI190" s="5"/>
      <c r="HAJ190" s="5"/>
      <c r="HAK190" s="5"/>
      <c r="HAL190" s="5"/>
      <c r="HAM190" s="5"/>
      <c r="HAN190" s="5"/>
      <c r="HAO190" s="5"/>
      <c r="HAP190" s="5"/>
      <c r="HAQ190" s="5"/>
      <c r="HAR190" s="5"/>
      <c r="HAS190" s="5"/>
      <c r="HAT190" s="5"/>
      <c r="HAU190" s="5"/>
      <c r="HAV190" s="5"/>
      <c r="HAW190" s="5"/>
      <c r="HAX190" s="5"/>
      <c r="HAY190" s="5"/>
      <c r="HAZ190" s="5"/>
      <c r="HBA190" s="5"/>
      <c r="HBB190" s="5"/>
      <c r="HBC190" s="5"/>
      <c r="HBD190" s="5"/>
      <c r="HBE190" s="5"/>
      <c r="HBF190" s="5"/>
      <c r="HBG190" s="5"/>
      <c r="HBH190" s="5"/>
      <c r="HBI190" s="5"/>
      <c r="HBJ190" s="5"/>
      <c r="HBK190" s="5"/>
      <c r="HBL190" s="5"/>
      <c r="HBM190" s="5"/>
      <c r="HBN190" s="5"/>
      <c r="HBO190" s="5"/>
      <c r="HBP190" s="5"/>
      <c r="HBQ190" s="5"/>
      <c r="HBR190" s="5"/>
      <c r="HBS190" s="5"/>
      <c r="HBT190" s="5"/>
      <c r="HBU190" s="5"/>
      <c r="HBV190" s="5"/>
      <c r="HBW190" s="5"/>
      <c r="HBX190" s="5"/>
      <c r="HBY190" s="5"/>
      <c r="HBZ190" s="5"/>
      <c r="HCA190" s="5"/>
      <c r="HCB190" s="5"/>
      <c r="HCC190" s="5"/>
      <c r="HCD190" s="5"/>
      <c r="HCE190" s="5"/>
      <c r="HCF190" s="5"/>
      <c r="HCG190" s="5"/>
      <c r="HCH190" s="5"/>
      <c r="HCI190" s="5"/>
      <c r="HCJ190" s="5"/>
      <c r="HCK190" s="5"/>
      <c r="HCL190" s="5"/>
      <c r="HCM190" s="5"/>
      <c r="HCN190" s="5"/>
      <c r="HCO190" s="5"/>
      <c r="HCP190" s="5"/>
      <c r="HCQ190" s="5"/>
      <c r="HCR190" s="5"/>
      <c r="HCS190" s="5"/>
      <c r="HCT190" s="5"/>
      <c r="HCU190" s="5"/>
      <c r="HCV190" s="5"/>
      <c r="HCW190" s="5"/>
      <c r="HCX190" s="5"/>
      <c r="HCY190" s="5"/>
      <c r="HCZ190" s="5"/>
      <c r="HDA190" s="5"/>
      <c r="HDB190" s="5"/>
      <c r="HDC190" s="5"/>
      <c r="HDD190" s="5"/>
      <c r="HDE190" s="5"/>
      <c r="HDF190" s="5"/>
      <c r="HDG190" s="5"/>
      <c r="HDH190" s="5"/>
      <c r="HDI190" s="5"/>
      <c r="HDJ190" s="5"/>
      <c r="HDK190" s="5"/>
      <c r="HDL190" s="5"/>
      <c r="HDM190" s="5"/>
      <c r="HDN190" s="5"/>
      <c r="HDO190" s="5"/>
      <c r="HDP190" s="5"/>
      <c r="HDQ190" s="5"/>
      <c r="HDR190" s="5"/>
      <c r="HDS190" s="5"/>
      <c r="HDT190" s="5"/>
      <c r="HDU190" s="5"/>
      <c r="HDV190" s="5"/>
      <c r="HDW190" s="5"/>
      <c r="HDX190" s="5"/>
      <c r="HDY190" s="5"/>
      <c r="HDZ190" s="5"/>
      <c r="HEA190" s="5"/>
      <c r="HEB190" s="5"/>
      <c r="HEC190" s="5"/>
      <c r="HED190" s="5"/>
      <c r="HEE190" s="5"/>
      <c r="HEF190" s="5"/>
      <c r="HEG190" s="5"/>
      <c r="HEH190" s="5"/>
      <c r="HEI190" s="5"/>
      <c r="HEJ190" s="5"/>
      <c r="HEK190" s="5"/>
      <c r="HEL190" s="5"/>
      <c r="HEM190" s="5"/>
      <c r="HEN190" s="5"/>
      <c r="HEO190" s="5"/>
      <c r="HEP190" s="5"/>
      <c r="HEQ190" s="5"/>
      <c r="HER190" s="5"/>
      <c r="HES190" s="5"/>
      <c r="HET190" s="5"/>
      <c r="HEU190" s="5"/>
      <c r="HEV190" s="5"/>
      <c r="HEW190" s="5"/>
      <c r="HEX190" s="5"/>
      <c r="HEY190" s="5"/>
      <c r="HEZ190" s="5"/>
      <c r="HFA190" s="5"/>
      <c r="HFB190" s="5"/>
      <c r="HFC190" s="5"/>
      <c r="HFD190" s="5"/>
      <c r="HFE190" s="5"/>
      <c r="HFF190" s="5"/>
      <c r="HFG190" s="5"/>
      <c r="HFH190" s="5"/>
      <c r="HFI190" s="5"/>
      <c r="HFJ190" s="5"/>
      <c r="HFK190" s="5"/>
      <c r="HFL190" s="5"/>
      <c r="HFM190" s="5"/>
      <c r="HFN190" s="5"/>
      <c r="HFO190" s="5"/>
      <c r="HFP190" s="5"/>
      <c r="HFQ190" s="5"/>
      <c r="HFR190" s="5"/>
      <c r="HFS190" s="5"/>
      <c r="HFT190" s="5"/>
      <c r="HFU190" s="5"/>
      <c r="HFV190" s="5"/>
      <c r="HFW190" s="5"/>
      <c r="HFX190" s="5"/>
      <c r="HFY190" s="5"/>
      <c r="HFZ190" s="5"/>
      <c r="HGA190" s="5"/>
      <c r="HGB190" s="5"/>
      <c r="HGC190" s="5"/>
      <c r="HGD190" s="5"/>
      <c r="HGE190" s="5"/>
      <c r="HGF190" s="5"/>
      <c r="HGG190" s="5"/>
      <c r="HGH190" s="5"/>
      <c r="HGI190" s="5"/>
      <c r="HGJ190" s="5"/>
      <c r="HGK190" s="5"/>
      <c r="HGL190" s="5"/>
      <c r="HGM190" s="5"/>
      <c r="HGN190" s="5"/>
      <c r="HGO190" s="5"/>
      <c r="HGP190" s="5"/>
      <c r="HGQ190" s="5"/>
      <c r="HGR190" s="5"/>
      <c r="HGS190" s="5"/>
      <c r="HGT190" s="5"/>
      <c r="HGU190" s="5"/>
      <c r="HGV190" s="5"/>
      <c r="HGW190" s="5"/>
      <c r="HGX190" s="5"/>
      <c r="HGY190" s="5"/>
      <c r="HGZ190" s="5"/>
      <c r="HHA190" s="5"/>
      <c r="HHB190" s="5"/>
      <c r="HHC190" s="5"/>
      <c r="HHD190" s="5"/>
      <c r="HHE190" s="5"/>
      <c r="HHF190" s="5"/>
      <c r="HHG190" s="5"/>
      <c r="HHH190" s="5"/>
      <c r="HHI190" s="5"/>
      <c r="HHJ190" s="5"/>
      <c r="HHK190" s="5"/>
      <c r="HHL190" s="5"/>
      <c r="HHM190" s="5"/>
      <c r="HHN190" s="5"/>
      <c r="HHO190" s="5"/>
      <c r="HHP190" s="5"/>
      <c r="HHQ190" s="5"/>
      <c r="HHR190" s="5"/>
      <c r="HHS190" s="5"/>
      <c r="HHT190" s="5"/>
      <c r="HHU190" s="5"/>
      <c r="HHV190" s="5"/>
      <c r="HHW190" s="5"/>
      <c r="HHX190" s="5"/>
      <c r="HHY190" s="5"/>
      <c r="HHZ190" s="5"/>
      <c r="HIA190" s="5"/>
      <c r="HIB190" s="5"/>
      <c r="HIC190" s="5"/>
      <c r="HID190" s="5"/>
      <c r="HIE190" s="5"/>
      <c r="HIF190" s="5"/>
      <c r="HIG190" s="5"/>
      <c r="HIH190" s="5"/>
      <c r="HII190" s="5"/>
      <c r="HIJ190" s="5"/>
      <c r="HIK190" s="5"/>
      <c r="HIL190" s="5"/>
      <c r="HIM190" s="5"/>
      <c r="HIN190" s="5"/>
      <c r="HIO190" s="5"/>
      <c r="HIP190" s="5"/>
      <c r="HIQ190" s="5"/>
      <c r="HIR190" s="5"/>
      <c r="HIS190" s="5"/>
      <c r="HIT190" s="5"/>
      <c r="HIU190" s="5"/>
      <c r="HIV190" s="5"/>
      <c r="HIW190" s="5"/>
      <c r="HIX190" s="5"/>
      <c r="HIY190" s="5"/>
      <c r="HIZ190" s="5"/>
      <c r="HJA190" s="5"/>
      <c r="HJB190" s="5"/>
      <c r="HJC190" s="5"/>
      <c r="HJD190" s="5"/>
      <c r="HJE190" s="5"/>
      <c r="HJF190" s="5"/>
      <c r="HJG190" s="5"/>
      <c r="HJH190" s="5"/>
      <c r="HJI190" s="5"/>
      <c r="HJJ190" s="5"/>
      <c r="HJK190" s="5"/>
      <c r="HJL190" s="5"/>
      <c r="HJM190" s="5"/>
      <c r="HJN190" s="5"/>
      <c r="HJO190" s="5"/>
      <c r="HJP190" s="5"/>
      <c r="HJQ190" s="5"/>
      <c r="HJR190" s="5"/>
      <c r="HJS190" s="5"/>
      <c r="HJT190" s="5"/>
      <c r="HJU190" s="5"/>
      <c r="HJV190" s="5"/>
      <c r="HJW190" s="5"/>
      <c r="HJX190" s="5"/>
      <c r="HJY190" s="5"/>
      <c r="HJZ190" s="5"/>
      <c r="HKA190" s="5"/>
      <c r="HKB190" s="5"/>
      <c r="HKC190" s="5"/>
      <c r="HKD190" s="5"/>
      <c r="HKE190" s="5"/>
      <c r="HKF190" s="5"/>
      <c r="HKG190" s="5"/>
      <c r="HKH190" s="5"/>
      <c r="HKI190" s="5"/>
      <c r="HKJ190" s="5"/>
      <c r="HKK190" s="5"/>
      <c r="HKL190" s="5"/>
      <c r="HKM190" s="5"/>
      <c r="HKN190" s="5"/>
      <c r="HKO190" s="5"/>
      <c r="HKP190" s="5"/>
      <c r="HKQ190" s="5"/>
      <c r="HKR190" s="5"/>
      <c r="HKS190" s="5"/>
      <c r="HKT190" s="5"/>
      <c r="HKU190" s="5"/>
      <c r="HKV190" s="5"/>
      <c r="HKW190" s="5"/>
      <c r="HKX190" s="5"/>
      <c r="HKY190" s="5"/>
      <c r="HKZ190" s="5"/>
      <c r="HLA190" s="5"/>
      <c r="HLB190" s="5"/>
      <c r="HLC190" s="5"/>
      <c r="HLD190" s="5"/>
      <c r="HLE190" s="5"/>
      <c r="HLF190" s="5"/>
      <c r="HLG190" s="5"/>
      <c r="HLH190" s="5"/>
      <c r="HLI190" s="5"/>
      <c r="HLJ190" s="5"/>
      <c r="HLK190" s="5"/>
      <c r="HLL190" s="5"/>
      <c r="HLM190" s="5"/>
      <c r="HLN190" s="5"/>
      <c r="HLO190" s="5"/>
      <c r="HLP190" s="5"/>
      <c r="HLQ190" s="5"/>
      <c r="HLR190" s="5"/>
      <c r="HLS190" s="5"/>
      <c r="HLT190" s="5"/>
      <c r="HLU190" s="5"/>
      <c r="HLV190" s="5"/>
      <c r="HLW190" s="5"/>
      <c r="HLX190" s="5"/>
      <c r="HLY190" s="5"/>
      <c r="HLZ190" s="5"/>
      <c r="HMA190" s="5"/>
      <c r="HMB190" s="5"/>
      <c r="HMC190" s="5"/>
      <c r="HMD190" s="5"/>
      <c r="HME190" s="5"/>
      <c r="HMF190" s="5"/>
      <c r="HMG190" s="5"/>
      <c r="HMH190" s="5"/>
      <c r="HMI190" s="5"/>
      <c r="HMJ190" s="5"/>
      <c r="HMK190" s="5"/>
      <c r="HML190" s="5"/>
      <c r="HMM190" s="5"/>
      <c r="HMN190" s="5"/>
      <c r="HMO190" s="5"/>
      <c r="HMP190" s="5"/>
      <c r="HMQ190" s="5"/>
      <c r="HMR190" s="5"/>
      <c r="HMS190" s="5"/>
      <c r="HMT190" s="5"/>
      <c r="HMU190" s="5"/>
      <c r="HMV190" s="5"/>
      <c r="HMW190" s="5"/>
      <c r="HMX190" s="5"/>
      <c r="HMY190" s="5"/>
      <c r="HMZ190" s="5"/>
      <c r="HNA190" s="5"/>
      <c r="HNB190" s="5"/>
      <c r="HNC190" s="5"/>
      <c r="HND190" s="5"/>
      <c r="HNE190" s="5"/>
      <c r="HNF190" s="5"/>
      <c r="HNG190" s="5"/>
      <c r="HNH190" s="5"/>
      <c r="HNI190" s="5"/>
      <c r="HNJ190" s="5"/>
      <c r="HNK190" s="5"/>
      <c r="HNL190" s="5"/>
      <c r="HNM190" s="5"/>
      <c r="HNN190" s="5"/>
      <c r="HNO190" s="5"/>
      <c r="HNP190" s="5"/>
      <c r="HNQ190" s="5"/>
      <c r="HNR190" s="5"/>
      <c r="HNS190" s="5"/>
      <c r="HNT190" s="5"/>
      <c r="HNU190" s="5"/>
      <c r="HNV190" s="5"/>
      <c r="HNW190" s="5"/>
      <c r="HNX190" s="5"/>
      <c r="HNY190" s="5"/>
      <c r="HNZ190" s="5"/>
      <c r="HOA190" s="5"/>
      <c r="HOB190" s="5"/>
      <c r="HOC190" s="5"/>
      <c r="HOD190" s="5"/>
      <c r="HOE190" s="5"/>
      <c r="HOF190" s="5"/>
      <c r="HOG190" s="5"/>
      <c r="HOH190" s="5"/>
      <c r="HOI190" s="5"/>
      <c r="HOJ190" s="5"/>
      <c r="HOK190" s="5"/>
      <c r="HOL190" s="5"/>
      <c r="HOM190" s="5"/>
      <c r="HON190" s="5"/>
      <c r="HOO190" s="5"/>
      <c r="HOP190" s="5"/>
      <c r="HOQ190" s="5"/>
      <c r="HOR190" s="5"/>
      <c r="HOS190" s="5"/>
      <c r="HOT190" s="5"/>
      <c r="HOU190" s="5"/>
      <c r="HOV190" s="5"/>
      <c r="HOW190" s="5"/>
      <c r="HOX190" s="5"/>
      <c r="HOY190" s="5"/>
      <c r="HOZ190" s="5"/>
      <c r="HPA190" s="5"/>
      <c r="HPB190" s="5"/>
      <c r="HPC190" s="5"/>
      <c r="HPD190" s="5"/>
      <c r="HPE190" s="5"/>
      <c r="HPF190" s="5"/>
      <c r="HPG190" s="5"/>
      <c r="HPH190" s="5"/>
      <c r="HPI190" s="5"/>
      <c r="HPJ190" s="5"/>
      <c r="HPK190" s="5"/>
      <c r="HPL190" s="5"/>
      <c r="HPM190" s="5"/>
      <c r="HPN190" s="5"/>
      <c r="HPO190" s="5"/>
      <c r="HPP190" s="5"/>
      <c r="HPQ190" s="5"/>
      <c r="HPR190" s="5"/>
      <c r="HPS190" s="5"/>
      <c r="HPT190" s="5"/>
      <c r="HPU190" s="5"/>
      <c r="HPV190" s="5"/>
      <c r="HPW190" s="5"/>
      <c r="HPX190" s="5"/>
      <c r="HPY190" s="5"/>
      <c r="HPZ190" s="5"/>
      <c r="HQA190" s="5"/>
      <c r="HQB190" s="5"/>
      <c r="HQC190" s="5"/>
      <c r="HQD190" s="5"/>
      <c r="HQE190" s="5"/>
      <c r="HQF190" s="5"/>
      <c r="HQG190" s="5"/>
      <c r="HQH190" s="5"/>
      <c r="HQI190" s="5"/>
      <c r="HQJ190" s="5"/>
      <c r="HQK190" s="5"/>
      <c r="HQL190" s="5"/>
      <c r="HQM190" s="5"/>
      <c r="HQN190" s="5"/>
      <c r="HQO190" s="5"/>
      <c r="HQP190" s="5"/>
      <c r="HQQ190" s="5"/>
      <c r="HQR190" s="5"/>
      <c r="HQS190" s="5"/>
      <c r="HQT190" s="5"/>
      <c r="HQU190" s="5"/>
      <c r="HQV190" s="5"/>
      <c r="HQW190" s="5"/>
      <c r="HQX190" s="5"/>
      <c r="HQY190" s="5"/>
      <c r="HQZ190" s="5"/>
      <c r="HRA190" s="5"/>
      <c r="HRB190" s="5"/>
      <c r="HRC190" s="5"/>
      <c r="HRD190" s="5"/>
      <c r="HRE190" s="5"/>
      <c r="HRF190" s="5"/>
      <c r="HRG190" s="5"/>
      <c r="HRH190" s="5"/>
      <c r="HRI190" s="5"/>
      <c r="HRJ190" s="5"/>
      <c r="HRK190" s="5"/>
      <c r="HRL190" s="5"/>
      <c r="HRM190" s="5"/>
      <c r="HRN190" s="5"/>
      <c r="HRO190" s="5"/>
      <c r="HRP190" s="5"/>
      <c r="HRQ190" s="5"/>
      <c r="HRR190" s="5"/>
      <c r="HRS190" s="5"/>
      <c r="HRT190" s="5"/>
      <c r="HRU190" s="5"/>
      <c r="HRV190" s="5"/>
      <c r="HRW190" s="5"/>
      <c r="HRX190" s="5"/>
      <c r="HRY190" s="5"/>
      <c r="HRZ190" s="5"/>
      <c r="HSA190" s="5"/>
      <c r="HSB190" s="5"/>
      <c r="HSC190" s="5"/>
      <c r="HSD190" s="5"/>
      <c r="HSE190" s="5"/>
      <c r="HSF190" s="5"/>
      <c r="HSG190" s="5"/>
      <c r="HSH190" s="5"/>
      <c r="HSI190" s="5"/>
      <c r="HSJ190" s="5"/>
      <c r="HSK190" s="5"/>
      <c r="HSL190" s="5"/>
      <c r="HSM190" s="5"/>
      <c r="HSN190" s="5"/>
      <c r="HSO190" s="5"/>
      <c r="HSP190" s="5"/>
      <c r="HSQ190" s="5"/>
      <c r="HSR190" s="5"/>
      <c r="HSS190" s="5"/>
      <c r="HST190" s="5"/>
      <c r="HSU190" s="5"/>
      <c r="HSV190" s="5"/>
      <c r="HSW190" s="5"/>
      <c r="HSX190" s="5"/>
      <c r="HSY190" s="5"/>
      <c r="HSZ190" s="5"/>
      <c r="HTA190" s="5"/>
      <c r="HTB190" s="5"/>
      <c r="HTC190" s="5"/>
      <c r="HTD190" s="5"/>
      <c r="HTE190" s="5"/>
      <c r="HTF190" s="5"/>
      <c r="HTG190" s="5"/>
      <c r="HTH190" s="5"/>
      <c r="HTI190" s="5"/>
      <c r="HTJ190" s="5"/>
      <c r="HTK190" s="5"/>
      <c r="HTL190" s="5"/>
      <c r="HTM190" s="5"/>
      <c r="HTN190" s="5"/>
      <c r="HTO190" s="5"/>
      <c r="HTP190" s="5"/>
      <c r="HTQ190" s="5"/>
      <c r="HTR190" s="5"/>
      <c r="HTS190" s="5"/>
      <c r="HTT190" s="5"/>
      <c r="HTU190" s="5"/>
      <c r="HTV190" s="5"/>
      <c r="HTW190" s="5"/>
      <c r="HTX190" s="5"/>
      <c r="HTY190" s="5"/>
      <c r="HTZ190" s="5"/>
      <c r="HUA190" s="5"/>
      <c r="HUB190" s="5"/>
      <c r="HUC190" s="5"/>
      <c r="HUD190" s="5"/>
      <c r="HUE190" s="5"/>
      <c r="HUF190" s="5"/>
      <c r="HUG190" s="5"/>
      <c r="HUH190" s="5"/>
      <c r="HUI190" s="5"/>
      <c r="HUJ190" s="5"/>
      <c r="HUK190" s="5"/>
      <c r="HUL190" s="5"/>
      <c r="HUM190" s="5"/>
      <c r="HUN190" s="5"/>
      <c r="HUO190" s="5"/>
      <c r="HUP190" s="5"/>
      <c r="HUQ190" s="5"/>
      <c r="HUR190" s="5"/>
      <c r="HUS190" s="5"/>
      <c r="HUT190" s="5"/>
      <c r="HUU190" s="5"/>
      <c r="HUV190" s="5"/>
      <c r="HUW190" s="5"/>
      <c r="HUX190" s="5"/>
      <c r="HUY190" s="5"/>
      <c r="HUZ190" s="5"/>
      <c r="HVA190" s="5"/>
      <c r="HVB190" s="5"/>
      <c r="HVC190" s="5"/>
      <c r="HVD190" s="5"/>
      <c r="HVE190" s="5"/>
      <c r="HVF190" s="5"/>
      <c r="HVG190" s="5"/>
      <c r="HVH190" s="5"/>
      <c r="HVI190" s="5"/>
      <c r="HVJ190" s="5"/>
      <c r="HVK190" s="5"/>
      <c r="HVL190" s="5"/>
      <c r="HVM190" s="5"/>
      <c r="HVN190" s="5"/>
      <c r="HVO190" s="5"/>
      <c r="HVP190" s="5"/>
      <c r="HVQ190" s="5"/>
      <c r="HVR190" s="5"/>
      <c r="HVS190" s="5"/>
      <c r="HVT190" s="5"/>
      <c r="HVU190" s="5"/>
      <c r="HVV190" s="5"/>
      <c r="HVW190" s="5"/>
      <c r="HVX190" s="5"/>
      <c r="HVY190" s="5"/>
      <c r="HVZ190" s="5"/>
      <c r="HWA190" s="5"/>
      <c r="HWB190" s="5"/>
      <c r="HWC190" s="5"/>
      <c r="HWD190" s="5"/>
      <c r="HWE190" s="5"/>
      <c r="HWF190" s="5"/>
      <c r="HWG190" s="5"/>
      <c r="HWH190" s="5"/>
      <c r="HWI190" s="5"/>
      <c r="HWJ190" s="5"/>
      <c r="HWK190" s="5"/>
      <c r="HWL190" s="5"/>
      <c r="HWM190" s="5"/>
      <c r="HWN190" s="5"/>
      <c r="HWO190" s="5"/>
      <c r="HWP190" s="5"/>
      <c r="HWQ190" s="5"/>
      <c r="HWR190" s="5"/>
      <c r="HWS190" s="5"/>
      <c r="HWT190" s="5"/>
      <c r="HWU190" s="5"/>
      <c r="HWV190" s="5"/>
      <c r="HWW190" s="5"/>
      <c r="HWX190" s="5"/>
      <c r="HWY190" s="5"/>
      <c r="HWZ190" s="5"/>
      <c r="HXA190" s="5"/>
      <c r="HXB190" s="5"/>
      <c r="HXC190" s="5"/>
      <c r="HXD190" s="5"/>
      <c r="HXE190" s="5"/>
      <c r="HXF190" s="5"/>
      <c r="HXG190" s="5"/>
      <c r="HXH190" s="5"/>
      <c r="HXI190" s="5"/>
      <c r="HXJ190" s="5"/>
      <c r="HXK190" s="5"/>
      <c r="HXL190" s="5"/>
      <c r="HXM190" s="5"/>
      <c r="HXN190" s="5"/>
      <c r="HXO190" s="5"/>
      <c r="HXP190" s="5"/>
      <c r="HXQ190" s="5"/>
      <c r="HXR190" s="5"/>
      <c r="HXS190" s="5"/>
      <c r="HXT190" s="5"/>
      <c r="HXU190" s="5"/>
      <c r="HXV190" s="5"/>
      <c r="HXW190" s="5"/>
      <c r="HXX190" s="5"/>
      <c r="HXY190" s="5"/>
      <c r="HXZ190" s="5"/>
      <c r="HYA190" s="5"/>
      <c r="HYB190" s="5"/>
      <c r="HYC190" s="5"/>
      <c r="HYD190" s="5"/>
      <c r="HYE190" s="5"/>
      <c r="HYF190" s="5"/>
      <c r="HYG190" s="5"/>
      <c r="HYH190" s="5"/>
      <c r="HYI190" s="5"/>
      <c r="HYJ190" s="5"/>
      <c r="HYK190" s="5"/>
      <c r="HYL190" s="5"/>
      <c r="HYM190" s="5"/>
      <c r="HYN190" s="5"/>
      <c r="HYO190" s="5"/>
      <c r="HYP190" s="5"/>
      <c r="HYQ190" s="5"/>
      <c r="HYR190" s="5"/>
      <c r="HYS190" s="5"/>
      <c r="HYT190" s="5"/>
      <c r="HYU190" s="5"/>
      <c r="HYV190" s="5"/>
      <c r="HYW190" s="5"/>
      <c r="HYX190" s="5"/>
      <c r="HYY190" s="5"/>
      <c r="HYZ190" s="5"/>
      <c r="HZA190" s="5"/>
      <c r="HZB190" s="5"/>
      <c r="HZC190" s="5"/>
      <c r="HZD190" s="5"/>
      <c r="HZE190" s="5"/>
      <c r="HZF190" s="5"/>
      <c r="HZG190" s="5"/>
      <c r="HZH190" s="5"/>
      <c r="HZI190" s="5"/>
      <c r="HZJ190" s="5"/>
      <c r="HZK190" s="5"/>
      <c r="HZL190" s="5"/>
      <c r="HZM190" s="5"/>
      <c r="HZN190" s="5"/>
      <c r="HZO190" s="5"/>
      <c r="HZP190" s="5"/>
      <c r="HZQ190" s="5"/>
      <c r="HZR190" s="5"/>
      <c r="HZS190" s="5"/>
      <c r="HZT190" s="5"/>
      <c r="HZU190" s="5"/>
      <c r="HZV190" s="5"/>
      <c r="HZW190" s="5"/>
      <c r="HZX190" s="5"/>
      <c r="HZY190" s="5"/>
      <c r="HZZ190" s="5"/>
      <c r="IAA190" s="5"/>
      <c r="IAB190" s="5"/>
      <c r="IAC190" s="5"/>
      <c r="IAD190" s="5"/>
      <c r="IAE190" s="5"/>
      <c r="IAF190" s="5"/>
      <c r="IAG190" s="5"/>
      <c r="IAH190" s="5"/>
      <c r="IAI190" s="5"/>
      <c r="IAJ190" s="5"/>
      <c r="IAK190" s="5"/>
      <c r="IAL190" s="5"/>
      <c r="IAM190" s="5"/>
      <c r="IAN190" s="5"/>
      <c r="IAO190" s="5"/>
      <c r="IAP190" s="5"/>
      <c r="IAQ190" s="5"/>
      <c r="IAR190" s="5"/>
      <c r="IAS190" s="5"/>
      <c r="IAT190" s="5"/>
      <c r="IAU190" s="5"/>
      <c r="IAV190" s="5"/>
      <c r="IAW190" s="5"/>
      <c r="IAX190" s="5"/>
      <c r="IAY190" s="5"/>
      <c r="IAZ190" s="5"/>
      <c r="IBA190" s="5"/>
      <c r="IBB190" s="5"/>
      <c r="IBC190" s="5"/>
      <c r="IBD190" s="5"/>
      <c r="IBE190" s="5"/>
      <c r="IBF190" s="5"/>
      <c r="IBG190" s="5"/>
      <c r="IBH190" s="5"/>
      <c r="IBI190" s="5"/>
      <c r="IBJ190" s="5"/>
      <c r="IBK190" s="5"/>
      <c r="IBL190" s="5"/>
      <c r="IBM190" s="5"/>
      <c r="IBN190" s="5"/>
      <c r="IBO190" s="5"/>
      <c r="IBP190" s="5"/>
      <c r="IBQ190" s="5"/>
      <c r="IBR190" s="5"/>
      <c r="IBS190" s="5"/>
      <c r="IBT190" s="5"/>
      <c r="IBU190" s="5"/>
      <c r="IBV190" s="5"/>
      <c r="IBW190" s="5"/>
      <c r="IBX190" s="5"/>
      <c r="IBY190" s="5"/>
      <c r="IBZ190" s="5"/>
      <c r="ICA190" s="5"/>
      <c r="ICB190" s="5"/>
      <c r="ICC190" s="5"/>
      <c r="ICD190" s="5"/>
      <c r="ICE190" s="5"/>
      <c r="ICF190" s="5"/>
      <c r="ICG190" s="5"/>
      <c r="ICH190" s="5"/>
      <c r="ICI190" s="5"/>
      <c r="ICJ190" s="5"/>
      <c r="ICK190" s="5"/>
      <c r="ICL190" s="5"/>
      <c r="ICM190" s="5"/>
      <c r="ICN190" s="5"/>
      <c r="ICO190" s="5"/>
      <c r="ICP190" s="5"/>
      <c r="ICQ190" s="5"/>
      <c r="ICR190" s="5"/>
      <c r="ICS190" s="5"/>
      <c r="ICT190" s="5"/>
      <c r="ICU190" s="5"/>
      <c r="ICV190" s="5"/>
      <c r="ICW190" s="5"/>
      <c r="ICX190" s="5"/>
      <c r="ICY190" s="5"/>
      <c r="ICZ190" s="5"/>
      <c r="IDA190" s="5"/>
      <c r="IDB190" s="5"/>
      <c r="IDC190" s="5"/>
      <c r="IDD190" s="5"/>
      <c r="IDE190" s="5"/>
      <c r="IDF190" s="5"/>
      <c r="IDG190" s="5"/>
      <c r="IDH190" s="5"/>
      <c r="IDI190" s="5"/>
      <c r="IDJ190" s="5"/>
      <c r="IDK190" s="5"/>
      <c r="IDL190" s="5"/>
      <c r="IDM190" s="5"/>
      <c r="IDN190" s="5"/>
      <c r="IDO190" s="5"/>
      <c r="IDP190" s="5"/>
      <c r="IDQ190" s="5"/>
      <c r="IDR190" s="5"/>
      <c r="IDS190" s="5"/>
      <c r="IDT190" s="5"/>
      <c r="IDU190" s="5"/>
      <c r="IDV190" s="5"/>
      <c r="IDW190" s="5"/>
      <c r="IDX190" s="5"/>
      <c r="IDY190" s="5"/>
      <c r="IDZ190" s="5"/>
      <c r="IEA190" s="5"/>
      <c r="IEB190" s="5"/>
      <c r="IEC190" s="5"/>
      <c r="IED190" s="5"/>
      <c r="IEE190" s="5"/>
      <c r="IEF190" s="5"/>
      <c r="IEG190" s="5"/>
      <c r="IEH190" s="5"/>
      <c r="IEI190" s="5"/>
      <c r="IEJ190" s="5"/>
      <c r="IEK190" s="5"/>
      <c r="IEL190" s="5"/>
      <c r="IEM190" s="5"/>
      <c r="IEN190" s="5"/>
      <c r="IEO190" s="5"/>
      <c r="IEP190" s="5"/>
      <c r="IEQ190" s="5"/>
      <c r="IER190" s="5"/>
      <c r="IES190" s="5"/>
      <c r="IET190" s="5"/>
      <c r="IEU190" s="5"/>
      <c r="IEV190" s="5"/>
      <c r="IEW190" s="5"/>
      <c r="IEX190" s="5"/>
      <c r="IEY190" s="5"/>
      <c r="IEZ190" s="5"/>
      <c r="IFA190" s="5"/>
      <c r="IFB190" s="5"/>
      <c r="IFC190" s="5"/>
      <c r="IFD190" s="5"/>
      <c r="IFE190" s="5"/>
      <c r="IFF190" s="5"/>
      <c r="IFG190" s="5"/>
      <c r="IFH190" s="5"/>
      <c r="IFI190" s="5"/>
      <c r="IFJ190" s="5"/>
      <c r="IFK190" s="5"/>
      <c r="IFL190" s="5"/>
      <c r="IFM190" s="5"/>
      <c r="IFN190" s="5"/>
      <c r="IFO190" s="5"/>
      <c r="IFP190" s="5"/>
      <c r="IFQ190" s="5"/>
      <c r="IFR190" s="5"/>
      <c r="IFS190" s="5"/>
      <c r="IFT190" s="5"/>
      <c r="IFU190" s="5"/>
      <c r="IFV190" s="5"/>
      <c r="IFW190" s="5"/>
      <c r="IFX190" s="5"/>
      <c r="IFY190" s="5"/>
      <c r="IFZ190" s="5"/>
      <c r="IGA190" s="5"/>
      <c r="IGB190" s="5"/>
      <c r="IGC190" s="5"/>
      <c r="IGD190" s="5"/>
      <c r="IGE190" s="5"/>
      <c r="IGF190" s="5"/>
      <c r="IGG190" s="5"/>
      <c r="IGH190" s="5"/>
      <c r="IGI190" s="5"/>
      <c r="IGJ190" s="5"/>
      <c r="IGK190" s="5"/>
      <c r="IGL190" s="5"/>
      <c r="IGM190" s="5"/>
      <c r="IGN190" s="5"/>
      <c r="IGO190" s="5"/>
      <c r="IGP190" s="5"/>
      <c r="IGQ190" s="5"/>
      <c r="IGR190" s="5"/>
      <c r="IGS190" s="5"/>
      <c r="IGT190" s="5"/>
      <c r="IGU190" s="5"/>
      <c r="IGV190" s="5"/>
      <c r="IGW190" s="5"/>
      <c r="IGX190" s="5"/>
      <c r="IGY190" s="5"/>
      <c r="IGZ190" s="5"/>
      <c r="IHA190" s="5"/>
      <c r="IHB190" s="5"/>
      <c r="IHC190" s="5"/>
      <c r="IHD190" s="5"/>
      <c r="IHE190" s="5"/>
      <c r="IHF190" s="5"/>
      <c r="IHG190" s="5"/>
      <c r="IHH190" s="5"/>
      <c r="IHI190" s="5"/>
      <c r="IHJ190" s="5"/>
      <c r="IHK190" s="5"/>
      <c r="IHL190" s="5"/>
      <c r="IHM190" s="5"/>
      <c r="IHN190" s="5"/>
      <c r="IHO190" s="5"/>
      <c r="IHP190" s="5"/>
      <c r="IHQ190" s="5"/>
      <c r="IHR190" s="5"/>
      <c r="IHS190" s="5"/>
      <c r="IHT190" s="5"/>
      <c r="IHU190" s="5"/>
      <c r="IHV190" s="5"/>
      <c r="IHW190" s="5"/>
      <c r="IHX190" s="5"/>
      <c r="IHY190" s="5"/>
      <c r="IHZ190" s="5"/>
      <c r="IIA190" s="5"/>
      <c r="IIB190" s="5"/>
      <c r="IIC190" s="5"/>
      <c r="IID190" s="5"/>
      <c r="IIE190" s="5"/>
      <c r="IIF190" s="5"/>
      <c r="IIG190" s="5"/>
      <c r="IIH190" s="5"/>
      <c r="III190" s="5"/>
      <c r="IIJ190" s="5"/>
      <c r="IIK190" s="5"/>
      <c r="IIL190" s="5"/>
      <c r="IIM190" s="5"/>
      <c r="IIN190" s="5"/>
      <c r="IIO190" s="5"/>
      <c r="IIP190" s="5"/>
      <c r="IIQ190" s="5"/>
      <c r="IIR190" s="5"/>
      <c r="IIS190" s="5"/>
      <c r="IIT190" s="5"/>
      <c r="IIU190" s="5"/>
      <c r="IIV190" s="5"/>
      <c r="IIW190" s="5"/>
      <c r="IIX190" s="5"/>
      <c r="IIY190" s="5"/>
      <c r="IIZ190" s="5"/>
      <c r="IJA190" s="5"/>
      <c r="IJB190" s="5"/>
      <c r="IJC190" s="5"/>
      <c r="IJD190" s="5"/>
      <c r="IJE190" s="5"/>
      <c r="IJF190" s="5"/>
      <c r="IJG190" s="5"/>
      <c r="IJH190" s="5"/>
      <c r="IJI190" s="5"/>
      <c r="IJJ190" s="5"/>
      <c r="IJK190" s="5"/>
      <c r="IJL190" s="5"/>
      <c r="IJM190" s="5"/>
      <c r="IJN190" s="5"/>
      <c r="IJO190" s="5"/>
      <c r="IJP190" s="5"/>
      <c r="IJQ190" s="5"/>
      <c r="IJR190" s="5"/>
      <c r="IJS190" s="5"/>
      <c r="IJT190" s="5"/>
      <c r="IJU190" s="5"/>
      <c r="IJV190" s="5"/>
      <c r="IJW190" s="5"/>
      <c r="IJX190" s="5"/>
      <c r="IJY190" s="5"/>
      <c r="IJZ190" s="5"/>
      <c r="IKA190" s="5"/>
      <c r="IKB190" s="5"/>
      <c r="IKC190" s="5"/>
      <c r="IKD190" s="5"/>
      <c r="IKE190" s="5"/>
      <c r="IKF190" s="5"/>
      <c r="IKG190" s="5"/>
      <c r="IKH190" s="5"/>
      <c r="IKI190" s="5"/>
      <c r="IKJ190" s="5"/>
      <c r="IKK190" s="5"/>
      <c r="IKL190" s="5"/>
      <c r="IKM190" s="5"/>
      <c r="IKN190" s="5"/>
      <c r="IKO190" s="5"/>
      <c r="IKP190" s="5"/>
      <c r="IKQ190" s="5"/>
      <c r="IKR190" s="5"/>
      <c r="IKS190" s="5"/>
      <c r="IKT190" s="5"/>
      <c r="IKU190" s="5"/>
      <c r="IKV190" s="5"/>
      <c r="IKW190" s="5"/>
      <c r="IKX190" s="5"/>
      <c r="IKY190" s="5"/>
      <c r="IKZ190" s="5"/>
      <c r="ILA190" s="5"/>
      <c r="ILB190" s="5"/>
      <c r="ILC190" s="5"/>
      <c r="ILD190" s="5"/>
      <c r="ILE190" s="5"/>
      <c r="ILF190" s="5"/>
      <c r="ILG190" s="5"/>
      <c r="ILH190" s="5"/>
      <c r="ILI190" s="5"/>
      <c r="ILJ190" s="5"/>
      <c r="ILK190" s="5"/>
      <c r="ILL190" s="5"/>
      <c r="ILM190" s="5"/>
      <c r="ILN190" s="5"/>
      <c r="ILO190" s="5"/>
      <c r="ILP190" s="5"/>
      <c r="ILQ190" s="5"/>
      <c r="ILR190" s="5"/>
      <c r="ILS190" s="5"/>
      <c r="ILT190" s="5"/>
      <c r="ILU190" s="5"/>
      <c r="ILV190" s="5"/>
      <c r="ILW190" s="5"/>
      <c r="ILX190" s="5"/>
      <c r="ILY190" s="5"/>
      <c r="ILZ190" s="5"/>
      <c r="IMA190" s="5"/>
      <c r="IMB190" s="5"/>
      <c r="IMC190" s="5"/>
      <c r="IMD190" s="5"/>
      <c r="IME190" s="5"/>
      <c r="IMF190" s="5"/>
      <c r="IMG190" s="5"/>
      <c r="IMH190" s="5"/>
      <c r="IMI190" s="5"/>
      <c r="IMJ190" s="5"/>
      <c r="IMK190" s="5"/>
      <c r="IML190" s="5"/>
      <c r="IMM190" s="5"/>
      <c r="IMN190" s="5"/>
      <c r="IMO190" s="5"/>
      <c r="IMP190" s="5"/>
      <c r="IMQ190" s="5"/>
      <c r="IMR190" s="5"/>
      <c r="IMS190" s="5"/>
      <c r="IMT190" s="5"/>
      <c r="IMU190" s="5"/>
      <c r="IMV190" s="5"/>
      <c r="IMW190" s="5"/>
      <c r="IMX190" s="5"/>
      <c r="IMY190" s="5"/>
      <c r="IMZ190" s="5"/>
      <c r="INA190" s="5"/>
      <c r="INB190" s="5"/>
      <c r="INC190" s="5"/>
      <c r="IND190" s="5"/>
      <c r="INE190" s="5"/>
      <c r="INF190" s="5"/>
      <c r="ING190" s="5"/>
      <c r="INH190" s="5"/>
      <c r="INI190" s="5"/>
      <c r="INJ190" s="5"/>
      <c r="INK190" s="5"/>
      <c r="INL190" s="5"/>
      <c r="INM190" s="5"/>
      <c r="INN190" s="5"/>
      <c r="INO190" s="5"/>
      <c r="INP190" s="5"/>
      <c r="INQ190" s="5"/>
      <c r="INR190" s="5"/>
      <c r="INS190" s="5"/>
      <c r="INT190" s="5"/>
      <c r="INU190" s="5"/>
      <c r="INV190" s="5"/>
      <c r="INW190" s="5"/>
      <c r="INX190" s="5"/>
      <c r="INY190" s="5"/>
      <c r="INZ190" s="5"/>
      <c r="IOA190" s="5"/>
      <c r="IOB190" s="5"/>
      <c r="IOC190" s="5"/>
      <c r="IOD190" s="5"/>
      <c r="IOE190" s="5"/>
      <c r="IOF190" s="5"/>
      <c r="IOG190" s="5"/>
      <c r="IOH190" s="5"/>
      <c r="IOI190" s="5"/>
      <c r="IOJ190" s="5"/>
      <c r="IOK190" s="5"/>
      <c r="IOL190" s="5"/>
      <c r="IOM190" s="5"/>
      <c r="ION190" s="5"/>
      <c r="IOO190" s="5"/>
      <c r="IOP190" s="5"/>
      <c r="IOQ190" s="5"/>
      <c r="IOR190" s="5"/>
      <c r="IOS190" s="5"/>
      <c r="IOT190" s="5"/>
      <c r="IOU190" s="5"/>
      <c r="IOV190" s="5"/>
      <c r="IOW190" s="5"/>
      <c r="IOX190" s="5"/>
      <c r="IOY190" s="5"/>
      <c r="IOZ190" s="5"/>
      <c r="IPA190" s="5"/>
      <c r="IPB190" s="5"/>
      <c r="IPC190" s="5"/>
      <c r="IPD190" s="5"/>
      <c r="IPE190" s="5"/>
      <c r="IPF190" s="5"/>
      <c r="IPG190" s="5"/>
      <c r="IPH190" s="5"/>
      <c r="IPI190" s="5"/>
      <c r="IPJ190" s="5"/>
      <c r="IPK190" s="5"/>
      <c r="IPL190" s="5"/>
      <c r="IPM190" s="5"/>
      <c r="IPN190" s="5"/>
      <c r="IPO190" s="5"/>
      <c r="IPP190" s="5"/>
      <c r="IPQ190" s="5"/>
      <c r="IPR190" s="5"/>
      <c r="IPS190" s="5"/>
      <c r="IPT190" s="5"/>
      <c r="IPU190" s="5"/>
      <c r="IPV190" s="5"/>
      <c r="IPW190" s="5"/>
      <c r="IPX190" s="5"/>
      <c r="IPY190" s="5"/>
      <c r="IPZ190" s="5"/>
      <c r="IQA190" s="5"/>
      <c r="IQB190" s="5"/>
      <c r="IQC190" s="5"/>
      <c r="IQD190" s="5"/>
      <c r="IQE190" s="5"/>
      <c r="IQF190" s="5"/>
      <c r="IQG190" s="5"/>
      <c r="IQH190" s="5"/>
      <c r="IQI190" s="5"/>
      <c r="IQJ190" s="5"/>
      <c r="IQK190" s="5"/>
      <c r="IQL190" s="5"/>
      <c r="IQM190" s="5"/>
      <c r="IQN190" s="5"/>
      <c r="IQO190" s="5"/>
      <c r="IQP190" s="5"/>
      <c r="IQQ190" s="5"/>
      <c r="IQR190" s="5"/>
      <c r="IQS190" s="5"/>
      <c r="IQT190" s="5"/>
      <c r="IQU190" s="5"/>
      <c r="IQV190" s="5"/>
      <c r="IQW190" s="5"/>
      <c r="IQX190" s="5"/>
      <c r="IQY190" s="5"/>
      <c r="IQZ190" s="5"/>
      <c r="IRA190" s="5"/>
      <c r="IRB190" s="5"/>
      <c r="IRC190" s="5"/>
      <c r="IRD190" s="5"/>
      <c r="IRE190" s="5"/>
      <c r="IRF190" s="5"/>
      <c r="IRG190" s="5"/>
      <c r="IRH190" s="5"/>
      <c r="IRI190" s="5"/>
      <c r="IRJ190" s="5"/>
      <c r="IRK190" s="5"/>
      <c r="IRL190" s="5"/>
      <c r="IRM190" s="5"/>
      <c r="IRN190" s="5"/>
      <c r="IRO190" s="5"/>
      <c r="IRP190" s="5"/>
      <c r="IRQ190" s="5"/>
      <c r="IRR190" s="5"/>
      <c r="IRS190" s="5"/>
      <c r="IRT190" s="5"/>
      <c r="IRU190" s="5"/>
      <c r="IRV190" s="5"/>
      <c r="IRW190" s="5"/>
      <c r="IRX190" s="5"/>
      <c r="IRY190" s="5"/>
      <c r="IRZ190" s="5"/>
      <c r="ISA190" s="5"/>
      <c r="ISB190" s="5"/>
      <c r="ISC190" s="5"/>
      <c r="ISD190" s="5"/>
      <c r="ISE190" s="5"/>
      <c r="ISF190" s="5"/>
      <c r="ISG190" s="5"/>
      <c r="ISH190" s="5"/>
      <c r="ISI190" s="5"/>
      <c r="ISJ190" s="5"/>
      <c r="ISK190" s="5"/>
      <c r="ISL190" s="5"/>
      <c r="ISM190" s="5"/>
      <c r="ISN190" s="5"/>
      <c r="ISO190" s="5"/>
      <c r="ISP190" s="5"/>
      <c r="ISQ190" s="5"/>
      <c r="ISR190" s="5"/>
      <c r="ISS190" s="5"/>
      <c r="IST190" s="5"/>
      <c r="ISU190" s="5"/>
      <c r="ISV190" s="5"/>
      <c r="ISW190" s="5"/>
      <c r="ISX190" s="5"/>
      <c r="ISY190" s="5"/>
      <c r="ISZ190" s="5"/>
      <c r="ITA190" s="5"/>
      <c r="ITB190" s="5"/>
      <c r="ITC190" s="5"/>
      <c r="ITD190" s="5"/>
      <c r="ITE190" s="5"/>
      <c r="ITF190" s="5"/>
      <c r="ITG190" s="5"/>
      <c r="ITH190" s="5"/>
      <c r="ITI190" s="5"/>
      <c r="ITJ190" s="5"/>
      <c r="ITK190" s="5"/>
      <c r="ITL190" s="5"/>
      <c r="ITM190" s="5"/>
      <c r="ITN190" s="5"/>
      <c r="ITO190" s="5"/>
      <c r="ITP190" s="5"/>
      <c r="ITQ190" s="5"/>
      <c r="ITR190" s="5"/>
      <c r="ITS190" s="5"/>
      <c r="ITT190" s="5"/>
      <c r="ITU190" s="5"/>
      <c r="ITV190" s="5"/>
      <c r="ITW190" s="5"/>
      <c r="ITX190" s="5"/>
      <c r="ITY190" s="5"/>
      <c r="ITZ190" s="5"/>
      <c r="IUA190" s="5"/>
      <c r="IUB190" s="5"/>
      <c r="IUC190" s="5"/>
      <c r="IUD190" s="5"/>
      <c r="IUE190" s="5"/>
      <c r="IUF190" s="5"/>
      <c r="IUG190" s="5"/>
      <c r="IUH190" s="5"/>
      <c r="IUI190" s="5"/>
      <c r="IUJ190" s="5"/>
      <c r="IUK190" s="5"/>
      <c r="IUL190" s="5"/>
      <c r="IUM190" s="5"/>
      <c r="IUN190" s="5"/>
      <c r="IUO190" s="5"/>
      <c r="IUP190" s="5"/>
      <c r="IUQ190" s="5"/>
      <c r="IUR190" s="5"/>
      <c r="IUS190" s="5"/>
      <c r="IUT190" s="5"/>
      <c r="IUU190" s="5"/>
      <c r="IUV190" s="5"/>
      <c r="IUW190" s="5"/>
      <c r="IUX190" s="5"/>
      <c r="IUY190" s="5"/>
      <c r="IUZ190" s="5"/>
      <c r="IVA190" s="5"/>
      <c r="IVB190" s="5"/>
      <c r="IVC190" s="5"/>
      <c r="IVD190" s="5"/>
      <c r="IVE190" s="5"/>
      <c r="IVF190" s="5"/>
      <c r="IVG190" s="5"/>
      <c r="IVH190" s="5"/>
      <c r="IVI190" s="5"/>
      <c r="IVJ190" s="5"/>
      <c r="IVK190" s="5"/>
      <c r="IVL190" s="5"/>
      <c r="IVM190" s="5"/>
      <c r="IVN190" s="5"/>
      <c r="IVO190" s="5"/>
      <c r="IVP190" s="5"/>
      <c r="IVQ190" s="5"/>
      <c r="IVR190" s="5"/>
      <c r="IVS190" s="5"/>
      <c r="IVT190" s="5"/>
      <c r="IVU190" s="5"/>
      <c r="IVV190" s="5"/>
      <c r="IVW190" s="5"/>
      <c r="IVX190" s="5"/>
      <c r="IVY190" s="5"/>
      <c r="IVZ190" s="5"/>
      <c r="IWA190" s="5"/>
      <c r="IWB190" s="5"/>
      <c r="IWC190" s="5"/>
      <c r="IWD190" s="5"/>
      <c r="IWE190" s="5"/>
      <c r="IWF190" s="5"/>
      <c r="IWG190" s="5"/>
      <c r="IWH190" s="5"/>
      <c r="IWI190" s="5"/>
      <c r="IWJ190" s="5"/>
      <c r="IWK190" s="5"/>
      <c r="IWL190" s="5"/>
      <c r="IWM190" s="5"/>
      <c r="IWN190" s="5"/>
      <c r="IWO190" s="5"/>
      <c r="IWP190" s="5"/>
      <c r="IWQ190" s="5"/>
      <c r="IWR190" s="5"/>
      <c r="IWS190" s="5"/>
      <c r="IWT190" s="5"/>
      <c r="IWU190" s="5"/>
      <c r="IWV190" s="5"/>
      <c r="IWW190" s="5"/>
      <c r="IWX190" s="5"/>
      <c r="IWY190" s="5"/>
      <c r="IWZ190" s="5"/>
      <c r="IXA190" s="5"/>
      <c r="IXB190" s="5"/>
      <c r="IXC190" s="5"/>
      <c r="IXD190" s="5"/>
      <c r="IXE190" s="5"/>
      <c r="IXF190" s="5"/>
      <c r="IXG190" s="5"/>
      <c r="IXH190" s="5"/>
      <c r="IXI190" s="5"/>
      <c r="IXJ190" s="5"/>
      <c r="IXK190" s="5"/>
      <c r="IXL190" s="5"/>
      <c r="IXM190" s="5"/>
      <c r="IXN190" s="5"/>
      <c r="IXO190" s="5"/>
      <c r="IXP190" s="5"/>
      <c r="IXQ190" s="5"/>
      <c r="IXR190" s="5"/>
      <c r="IXS190" s="5"/>
      <c r="IXT190" s="5"/>
      <c r="IXU190" s="5"/>
      <c r="IXV190" s="5"/>
      <c r="IXW190" s="5"/>
      <c r="IXX190" s="5"/>
      <c r="IXY190" s="5"/>
      <c r="IXZ190" s="5"/>
      <c r="IYA190" s="5"/>
      <c r="IYB190" s="5"/>
      <c r="IYC190" s="5"/>
      <c r="IYD190" s="5"/>
      <c r="IYE190" s="5"/>
      <c r="IYF190" s="5"/>
      <c r="IYG190" s="5"/>
      <c r="IYH190" s="5"/>
      <c r="IYI190" s="5"/>
      <c r="IYJ190" s="5"/>
      <c r="IYK190" s="5"/>
      <c r="IYL190" s="5"/>
      <c r="IYM190" s="5"/>
      <c r="IYN190" s="5"/>
      <c r="IYO190" s="5"/>
      <c r="IYP190" s="5"/>
      <c r="IYQ190" s="5"/>
      <c r="IYR190" s="5"/>
      <c r="IYS190" s="5"/>
      <c r="IYT190" s="5"/>
      <c r="IYU190" s="5"/>
      <c r="IYV190" s="5"/>
      <c r="IYW190" s="5"/>
      <c r="IYX190" s="5"/>
      <c r="IYY190" s="5"/>
      <c r="IYZ190" s="5"/>
      <c r="IZA190" s="5"/>
      <c r="IZB190" s="5"/>
      <c r="IZC190" s="5"/>
      <c r="IZD190" s="5"/>
      <c r="IZE190" s="5"/>
      <c r="IZF190" s="5"/>
      <c r="IZG190" s="5"/>
      <c r="IZH190" s="5"/>
      <c r="IZI190" s="5"/>
      <c r="IZJ190" s="5"/>
      <c r="IZK190" s="5"/>
      <c r="IZL190" s="5"/>
      <c r="IZM190" s="5"/>
      <c r="IZN190" s="5"/>
      <c r="IZO190" s="5"/>
      <c r="IZP190" s="5"/>
      <c r="IZQ190" s="5"/>
      <c r="IZR190" s="5"/>
      <c r="IZS190" s="5"/>
      <c r="IZT190" s="5"/>
      <c r="IZU190" s="5"/>
      <c r="IZV190" s="5"/>
      <c r="IZW190" s="5"/>
      <c r="IZX190" s="5"/>
      <c r="IZY190" s="5"/>
      <c r="IZZ190" s="5"/>
      <c r="JAA190" s="5"/>
      <c r="JAB190" s="5"/>
      <c r="JAC190" s="5"/>
      <c r="JAD190" s="5"/>
      <c r="JAE190" s="5"/>
      <c r="JAF190" s="5"/>
      <c r="JAG190" s="5"/>
      <c r="JAH190" s="5"/>
      <c r="JAI190" s="5"/>
      <c r="JAJ190" s="5"/>
      <c r="JAK190" s="5"/>
      <c r="JAL190" s="5"/>
      <c r="JAM190" s="5"/>
      <c r="JAN190" s="5"/>
      <c r="JAO190" s="5"/>
      <c r="JAP190" s="5"/>
      <c r="JAQ190" s="5"/>
      <c r="JAR190" s="5"/>
      <c r="JAS190" s="5"/>
      <c r="JAT190" s="5"/>
      <c r="JAU190" s="5"/>
      <c r="JAV190" s="5"/>
      <c r="JAW190" s="5"/>
      <c r="JAX190" s="5"/>
      <c r="JAY190" s="5"/>
      <c r="JAZ190" s="5"/>
      <c r="JBA190" s="5"/>
      <c r="JBB190" s="5"/>
      <c r="JBC190" s="5"/>
      <c r="JBD190" s="5"/>
      <c r="JBE190" s="5"/>
      <c r="JBF190" s="5"/>
      <c r="JBG190" s="5"/>
      <c r="JBH190" s="5"/>
      <c r="JBI190" s="5"/>
      <c r="JBJ190" s="5"/>
      <c r="JBK190" s="5"/>
      <c r="JBL190" s="5"/>
      <c r="JBM190" s="5"/>
      <c r="JBN190" s="5"/>
      <c r="JBO190" s="5"/>
      <c r="JBP190" s="5"/>
      <c r="JBQ190" s="5"/>
      <c r="JBR190" s="5"/>
      <c r="JBS190" s="5"/>
      <c r="JBT190" s="5"/>
      <c r="JBU190" s="5"/>
      <c r="JBV190" s="5"/>
      <c r="JBW190" s="5"/>
      <c r="JBX190" s="5"/>
      <c r="JBY190" s="5"/>
      <c r="JBZ190" s="5"/>
      <c r="JCA190" s="5"/>
      <c r="JCB190" s="5"/>
      <c r="JCC190" s="5"/>
      <c r="JCD190" s="5"/>
      <c r="JCE190" s="5"/>
      <c r="JCF190" s="5"/>
      <c r="JCG190" s="5"/>
      <c r="JCH190" s="5"/>
      <c r="JCI190" s="5"/>
      <c r="JCJ190" s="5"/>
      <c r="JCK190" s="5"/>
      <c r="JCL190" s="5"/>
      <c r="JCM190" s="5"/>
      <c r="JCN190" s="5"/>
      <c r="JCO190" s="5"/>
      <c r="JCP190" s="5"/>
      <c r="JCQ190" s="5"/>
      <c r="JCR190" s="5"/>
      <c r="JCS190" s="5"/>
      <c r="JCT190" s="5"/>
      <c r="JCU190" s="5"/>
      <c r="JCV190" s="5"/>
      <c r="JCW190" s="5"/>
      <c r="JCX190" s="5"/>
      <c r="JCY190" s="5"/>
      <c r="JCZ190" s="5"/>
      <c r="JDA190" s="5"/>
      <c r="JDB190" s="5"/>
      <c r="JDC190" s="5"/>
      <c r="JDD190" s="5"/>
      <c r="JDE190" s="5"/>
      <c r="JDF190" s="5"/>
      <c r="JDG190" s="5"/>
      <c r="JDH190" s="5"/>
      <c r="JDI190" s="5"/>
      <c r="JDJ190" s="5"/>
      <c r="JDK190" s="5"/>
      <c r="JDL190" s="5"/>
      <c r="JDM190" s="5"/>
      <c r="JDN190" s="5"/>
      <c r="JDO190" s="5"/>
      <c r="JDP190" s="5"/>
      <c r="JDQ190" s="5"/>
      <c r="JDR190" s="5"/>
      <c r="JDS190" s="5"/>
      <c r="JDT190" s="5"/>
      <c r="JDU190" s="5"/>
      <c r="JDV190" s="5"/>
      <c r="JDW190" s="5"/>
      <c r="JDX190" s="5"/>
      <c r="JDY190" s="5"/>
      <c r="JDZ190" s="5"/>
      <c r="JEA190" s="5"/>
      <c r="JEB190" s="5"/>
      <c r="JEC190" s="5"/>
      <c r="JED190" s="5"/>
      <c r="JEE190" s="5"/>
      <c r="JEF190" s="5"/>
      <c r="JEG190" s="5"/>
      <c r="JEH190" s="5"/>
      <c r="JEI190" s="5"/>
      <c r="JEJ190" s="5"/>
      <c r="JEK190" s="5"/>
      <c r="JEL190" s="5"/>
      <c r="JEM190" s="5"/>
      <c r="JEN190" s="5"/>
      <c r="JEO190" s="5"/>
      <c r="JEP190" s="5"/>
      <c r="JEQ190" s="5"/>
      <c r="JER190" s="5"/>
      <c r="JES190" s="5"/>
      <c r="JET190" s="5"/>
      <c r="JEU190" s="5"/>
      <c r="JEV190" s="5"/>
      <c r="JEW190" s="5"/>
      <c r="JEX190" s="5"/>
      <c r="JEY190" s="5"/>
      <c r="JEZ190" s="5"/>
      <c r="JFA190" s="5"/>
      <c r="JFB190" s="5"/>
      <c r="JFC190" s="5"/>
      <c r="JFD190" s="5"/>
      <c r="JFE190" s="5"/>
      <c r="JFF190" s="5"/>
      <c r="JFG190" s="5"/>
      <c r="JFH190" s="5"/>
      <c r="JFI190" s="5"/>
      <c r="JFJ190" s="5"/>
      <c r="JFK190" s="5"/>
      <c r="JFL190" s="5"/>
      <c r="JFM190" s="5"/>
      <c r="JFN190" s="5"/>
      <c r="JFO190" s="5"/>
      <c r="JFP190" s="5"/>
      <c r="JFQ190" s="5"/>
      <c r="JFR190" s="5"/>
      <c r="JFS190" s="5"/>
      <c r="JFT190" s="5"/>
      <c r="JFU190" s="5"/>
      <c r="JFV190" s="5"/>
      <c r="JFW190" s="5"/>
      <c r="JFX190" s="5"/>
      <c r="JFY190" s="5"/>
      <c r="JFZ190" s="5"/>
      <c r="JGA190" s="5"/>
      <c r="JGB190" s="5"/>
      <c r="JGC190" s="5"/>
      <c r="JGD190" s="5"/>
      <c r="JGE190" s="5"/>
      <c r="JGF190" s="5"/>
      <c r="JGG190" s="5"/>
      <c r="JGH190" s="5"/>
      <c r="JGI190" s="5"/>
      <c r="JGJ190" s="5"/>
      <c r="JGK190" s="5"/>
      <c r="JGL190" s="5"/>
      <c r="JGM190" s="5"/>
      <c r="JGN190" s="5"/>
      <c r="JGO190" s="5"/>
      <c r="JGP190" s="5"/>
      <c r="JGQ190" s="5"/>
      <c r="JGR190" s="5"/>
      <c r="JGS190" s="5"/>
      <c r="JGT190" s="5"/>
      <c r="JGU190" s="5"/>
      <c r="JGV190" s="5"/>
      <c r="JGW190" s="5"/>
      <c r="JGX190" s="5"/>
      <c r="JGY190" s="5"/>
      <c r="JGZ190" s="5"/>
      <c r="JHA190" s="5"/>
      <c r="JHB190" s="5"/>
      <c r="JHC190" s="5"/>
      <c r="JHD190" s="5"/>
      <c r="JHE190" s="5"/>
      <c r="JHF190" s="5"/>
      <c r="JHG190" s="5"/>
      <c r="JHH190" s="5"/>
      <c r="JHI190" s="5"/>
      <c r="JHJ190" s="5"/>
      <c r="JHK190" s="5"/>
      <c r="JHL190" s="5"/>
      <c r="JHM190" s="5"/>
      <c r="JHN190" s="5"/>
      <c r="JHO190" s="5"/>
      <c r="JHP190" s="5"/>
      <c r="JHQ190" s="5"/>
      <c r="JHR190" s="5"/>
      <c r="JHS190" s="5"/>
      <c r="JHT190" s="5"/>
      <c r="JHU190" s="5"/>
      <c r="JHV190" s="5"/>
      <c r="JHW190" s="5"/>
      <c r="JHX190" s="5"/>
      <c r="JHY190" s="5"/>
      <c r="JHZ190" s="5"/>
      <c r="JIA190" s="5"/>
      <c r="JIB190" s="5"/>
      <c r="JIC190" s="5"/>
      <c r="JID190" s="5"/>
      <c r="JIE190" s="5"/>
      <c r="JIF190" s="5"/>
      <c r="JIG190" s="5"/>
      <c r="JIH190" s="5"/>
      <c r="JII190" s="5"/>
      <c r="JIJ190" s="5"/>
      <c r="JIK190" s="5"/>
      <c r="JIL190" s="5"/>
      <c r="JIM190" s="5"/>
      <c r="JIN190" s="5"/>
      <c r="JIO190" s="5"/>
      <c r="JIP190" s="5"/>
      <c r="JIQ190" s="5"/>
      <c r="JIR190" s="5"/>
      <c r="JIS190" s="5"/>
      <c r="JIT190" s="5"/>
      <c r="JIU190" s="5"/>
      <c r="JIV190" s="5"/>
      <c r="JIW190" s="5"/>
      <c r="JIX190" s="5"/>
      <c r="JIY190" s="5"/>
      <c r="JIZ190" s="5"/>
      <c r="JJA190" s="5"/>
      <c r="JJB190" s="5"/>
      <c r="JJC190" s="5"/>
      <c r="JJD190" s="5"/>
      <c r="JJE190" s="5"/>
      <c r="JJF190" s="5"/>
      <c r="JJG190" s="5"/>
      <c r="JJH190" s="5"/>
      <c r="JJI190" s="5"/>
      <c r="JJJ190" s="5"/>
      <c r="JJK190" s="5"/>
      <c r="JJL190" s="5"/>
      <c r="JJM190" s="5"/>
      <c r="JJN190" s="5"/>
      <c r="JJO190" s="5"/>
      <c r="JJP190" s="5"/>
      <c r="JJQ190" s="5"/>
      <c r="JJR190" s="5"/>
      <c r="JJS190" s="5"/>
      <c r="JJT190" s="5"/>
      <c r="JJU190" s="5"/>
      <c r="JJV190" s="5"/>
      <c r="JJW190" s="5"/>
      <c r="JJX190" s="5"/>
      <c r="JJY190" s="5"/>
      <c r="JJZ190" s="5"/>
      <c r="JKA190" s="5"/>
      <c r="JKB190" s="5"/>
      <c r="JKC190" s="5"/>
      <c r="JKD190" s="5"/>
      <c r="JKE190" s="5"/>
      <c r="JKF190" s="5"/>
      <c r="JKG190" s="5"/>
      <c r="JKH190" s="5"/>
      <c r="JKI190" s="5"/>
      <c r="JKJ190" s="5"/>
      <c r="JKK190" s="5"/>
      <c r="JKL190" s="5"/>
      <c r="JKM190" s="5"/>
      <c r="JKN190" s="5"/>
      <c r="JKO190" s="5"/>
      <c r="JKP190" s="5"/>
      <c r="JKQ190" s="5"/>
      <c r="JKR190" s="5"/>
      <c r="JKS190" s="5"/>
      <c r="JKT190" s="5"/>
      <c r="JKU190" s="5"/>
      <c r="JKV190" s="5"/>
      <c r="JKW190" s="5"/>
      <c r="JKX190" s="5"/>
      <c r="JKY190" s="5"/>
      <c r="JKZ190" s="5"/>
      <c r="JLA190" s="5"/>
      <c r="JLB190" s="5"/>
      <c r="JLC190" s="5"/>
      <c r="JLD190" s="5"/>
      <c r="JLE190" s="5"/>
      <c r="JLF190" s="5"/>
      <c r="JLG190" s="5"/>
      <c r="JLH190" s="5"/>
      <c r="JLI190" s="5"/>
      <c r="JLJ190" s="5"/>
      <c r="JLK190" s="5"/>
      <c r="JLL190" s="5"/>
      <c r="JLM190" s="5"/>
      <c r="JLN190" s="5"/>
      <c r="JLO190" s="5"/>
      <c r="JLP190" s="5"/>
      <c r="JLQ190" s="5"/>
      <c r="JLR190" s="5"/>
      <c r="JLS190" s="5"/>
      <c r="JLT190" s="5"/>
      <c r="JLU190" s="5"/>
      <c r="JLV190" s="5"/>
      <c r="JLW190" s="5"/>
      <c r="JLX190" s="5"/>
      <c r="JLY190" s="5"/>
      <c r="JLZ190" s="5"/>
      <c r="JMA190" s="5"/>
      <c r="JMB190" s="5"/>
      <c r="JMC190" s="5"/>
      <c r="JMD190" s="5"/>
      <c r="JME190" s="5"/>
      <c r="JMF190" s="5"/>
      <c r="JMG190" s="5"/>
      <c r="JMH190" s="5"/>
      <c r="JMI190" s="5"/>
      <c r="JMJ190" s="5"/>
      <c r="JMK190" s="5"/>
      <c r="JML190" s="5"/>
      <c r="JMM190" s="5"/>
      <c r="JMN190" s="5"/>
      <c r="JMO190" s="5"/>
      <c r="JMP190" s="5"/>
      <c r="JMQ190" s="5"/>
      <c r="JMR190" s="5"/>
      <c r="JMS190" s="5"/>
      <c r="JMT190" s="5"/>
      <c r="JMU190" s="5"/>
      <c r="JMV190" s="5"/>
      <c r="JMW190" s="5"/>
      <c r="JMX190" s="5"/>
      <c r="JMY190" s="5"/>
      <c r="JMZ190" s="5"/>
      <c r="JNA190" s="5"/>
      <c r="JNB190" s="5"/>
      <c r="JNC190" s="5"/>
      <c r="JND190" s="5"/>
      <c r="JNE190" s="5"/>
      <c r="JNF190" s="5"/>
      <c r="JNG190" s="5"/>
      <c r="JNH190" s="5"/>
      <c r="JNI190" s="5"/>
      <c r="JNJ190" s="5"/>
      <c r="JNK190" s="5"/>
      <c r="JNL190" s="5"/>
      <c r="JNM190" s="5"/>
      <c r="JNN190" s="5"/>
      <c r="JNO190" s="5"/>
      <c r="JNP190" s="5"/>
      <c r="JNQ190" s="5"/>
      <c r="JNR190" s="5"/>
      <c r="JNS190" s="5"/>
      <c r="JNT190" s="5"/>
      <c r="JNU190" s="5"/>
      <c r="JNV190" s="5"/>
      <c r="JNW190" s="5"/>
      <c r="JNX190" s="5"/>
      <c r="JNY190" s="5"/>
      <c r="JNZ190" s="5"/>
      <c r="JOA190" s="5"/>
      <c r="JOB190" s="5"/>
      <c r="JOC190" s="5"/>
      <c r="JOD190" s="5"/>
      <c r="JOE190" s="5"/>
      <c r="JOF190" s="5"/>
      <c r="JOG190" s="5"/>
      <c r="JOH190" s="5"/>
      <c r="JOI190" s="5"/>
      <c r="JOJ190" s="5"/>
      <c r="JOK190" s="5"/>
      <c r="JOL190" s="5"/>
      <c r="JOM190" s="5"/>
      <c r="JON190" s="5"/>
      <c r="JOO190" s="5"/>
      <c r="JOP190" s="5"/>
      <c r="JOQ190" s="5"/>
      <c r="JOR190" s="5"/>
      <c r="JOS190" s="5"/>
      <c r="JOT190" s="5"/>
      <c r="JOU190" s="5"/>
      <c r="JOV190" s="5"/>
      <c r="JOW190" s="5"/>
      <c r="JOX190" s="5"/>
      <c r="JOY190" s="5"/>
      <c r="JOZ190" s="5"/>
      <c r="JPA190" s="5"/>
      <c r="JPB190" s="5"/>
      <c r="JPC190" s="5"/>
      <c r="JPD190" s="5"/>
      <c r="JPE190" s="5"/>
      <c r="JPF190" s="5"/>
      <c r="JPG190" s="5"/>
      <c r="JPH190" s="5"/>
      <c r="JPI190" s="5"/>
      <c r="JPJ190" s="5"/>
      <c r="JPK190" s="5"/>
      <c r="JPL190" s="5"/>
      <c r="JPM190" s="5"/>
      <c r="JPN190" s="5"/>
      <c r="JPO190" s="5"/>
      <c r="JPP190" s="5"/>
      <c r="JPQ190" s="5"/>
      <c r="JPR190" s="5"/>
      <c r="JPS190" s="5"/>
      <c r="JPT190" s="5"/>
      <c r="JPU190" s="5"/>
      <c r="JPV190" s="5"/>
      <c r="JPW190" s="5"/>
      <c r="JPX190" s="5"/>
      <c r="JPY190" s="5"/>
      <c r="JPZ190" s="5"/>
      <c r="JQA190" s="5"/>
      <c r="JQB190" s="5"/>
      <c r="JQC190" s="5"/>
      <c r="JQD190" s="5"/>
      <c r="JQE190" s="5"/>
      <c r="JQF190" s="5"/>
      <c r="JQG190" s="5"/>
      <c r="JQH190" s="5"/>
      <c r="JQI190" s="5"/>
      <c r="JQJ190" s="5"/>
      <c r="JQK190" s="5"/>
      <c r="JQL190" s="5"/>
      <c r="JQM190" s="5"/>
      <c r="JQN190" s="5"/>
      <c r="JQO190" s="5"/>
      <c r="JQP190" s="5"/>
      <c r="JQQ190" s="5"/>
      <c r="JQR190" s="5"/>
      <c r="JQS190" s="5"/>
      <c r="JQT190" s="5"/>
      <c r="JQU190" s="5"/>
      <c r="JQV190" s="5"/>
      <c r="JQW190" s="5"/>
      <c r="JQX190" s="5"/>
      <c r="JQY190" s="5"/>
      <c r="JQZ190" s="5"/>
      <c r="JRA190" s="5"/>
      <c r="JRB190" s="5"/>
      <c r="JRC190" s="5"/>
      <c r="JRD190" s="5"/>
      <c r="JRE190" s="5"/>
      <c r="JRF190" s="5"/>
      <c r="JRG190" s="5"/>
      <c r="JRH190" s="5"/>
      <c r="JRI190" s="5"/>
      <c r="JRJ190" s="5"/>
      <c r="JRK190" s="5"/>
      <c r="JRL190" s="5"/>
      <c r="JRM190" s="5"/>
      <c r="JRN190" s="5"/>
      <c r="JRO190" s="5"/>
      <c r="JRP190" s="5"/>
      <c r="JRQ190" s="5"/>
      <c r="JRR190" s="5"/>
      <c r="JRS190" s="5"/>
      <c r="JRT190" s="5"/>
      <c r="JRU190" s="5"/>
      <c r="JRV190" s="5"/>
      <c r="JRW190" s="5"/>
      <c r="JRX190" s="5"/>
      <c r="JRY190" s="5"/>
      <c r="JRZ190" s="5"/>
      <c r="JSA190" s="5"/>
      <c r="JSB190" s="5"/>
      <c r="JSC190" s="5"/>
      <c r="JSD190" s="5"/>
      <c r="JSE190" s="5"/>
      <c r="JSF190" s="5"/>
      <c r="JSG190" s="5"/>
      <c r="JSH190" s="5"/>
      <c r="JSI190" s="5"/>
      <c r="JSJ190" s="5"/>
      <c r="JSK190" s="5"/>
      <c r="JSL190" s="5"/>
      <c r="JSM190" s="5"/>
      <c r="JSN190" s="5"/>
      <c r="JSO190" s="5"/>
      <c r="JSP190" s="5"/>
      <c r="JSQ190" s="5"/>
      <c r="JSR190" s="5"/>
      <c r="JSS190" s="5"/>
      <c r="JST190" s="5"/>
      <c r="JSU190" s="5"/>
      <c r="JSV190" s="5"/>
      <c r="JSW190" s="5"/>
      <c r="JSX190" s="5"/>
      <c r="JSY190" s="5"/>
      <c r="JSZ190" s="5"/>
      <c r="JTA190" s="5"/>
      <c r="JTB190" s="5"/>
      <c r="JTC190" s="5"/>
      <c r="JTD190" s="5"/>
      <c r="JTE190" s="5"/>
      <c r="JTF190" s="5"/>
      <c r="JTG190" s="5"/>
      <c r="JTH190" s="5"/>
      <c r="JTI190" s="5"/>
      <c r="JTJ190" s="5"/>
      <c r="JTK190" s="5"/>
      <c r="JTL190" s="5"/>
      <c r="JTM190" s="5"/>
      <c r="JTN190" s="5"/>
      <c r="JTO190" s="5"/>
      <c r="JTP190" s="5"/>
      <c r="JTQ190" s="5"/>
      <c r="JTR190" s="5"/>
      <c r="JTS190" s="5"/>
      <c r="JTT190" s="5"/>
      <c r="JTU190" s="5"/>
      <c r="JTV190" s="5"/>
      <c r="JTW190" s="5"/>
      <c r="JTX190" s="5"/>
      <c r="JTY190" s="5"/>
      <c r="JTZ190" s="5"/>
      <c r="JUA190" s="5"/>
      <c r="JUB190" s="5"/>
      <c r="JUC190" s="5"/>
      <c r="JUD190" s="5"/>
      <c r="JUE190" s="5"/>
      <c r="JUF190" s="5"/>
      <c r="JUG190" s="5"/>
      <c r="JUH190" s="5"/>
      <c r="JUI190" s="5"/>
      <c r="JUJ190" s="5"/>
      <c r="JUK190" s="5"/>
      <c r="JUL190" s="5"/>
      <c r="JUM190" s="5"/>
      <c r="JUN190" s="5"/>
      <c r="JUO190" s="5"/>
      <c r="JUP190" s="5"/>
      <c r="JUQ190" s="5"/>
      <c r="JUR190" s="5"/>
      <c r="JUS190" s="5"/>
      <c r="JUT190" s="5"/>
      <c r="JUU190" s="5"/>
      <c r="JUV190" s="5"/>
      <c r="JUW190" s="5"/>
      <c r="JUX190" s="5"/>
      <c r="JUY190" s="5"/>
      <c r="JUZ190" s="5"/>
      <c r="JVA190" s="5"/>
      <c r="JVB190" s="5"/>
      <c r="JVC190" s="5"/>
      <c r="JVD190" s="5"/>
      <c r="JVE190" s="5"/>
      <c r="JVF190" s="5"/>
      <c r="JVG190" s="5"/>
      <c r="JVH190" s="5"/>
      <c r="JVI190" s="5"/>
      <c r="JVJ190" s="5"/>
      <c r="JVK190" s="5"/>
      <c r="JVL190" s="5"/>
      <c r="JVM190" s="5"/>
      <c r="JVN190" s="5"/>
      <c r="JVO190" s="5"/>
      <c r="JVP190" s="5"/>
      <c r="JVQ190" s="5"/>
      <c r="JVR190" s="5"/>
      <c r="JVS190" s="5"/>
      <c r="JVT190" s="5"/>
      <c r="JVU190" s="5"/>
      <c r="JVV190" s="5"/>
      <c r="JVW190" s="5"/>
      <c r="JVX190" s="5"/>
      <c r="JVY190" s="5"/>
      <c r="JVZ190" s="5"/>
      <c r="JWA190" s="5"/>
      <c r="JWB190" s="5"/>
      <c r="JWC190" s="5"/>
      <c r="JWD190" s="5"/>
      <c r="JWE190" s="5"/>
      <c r="JWF190" s="5"/>
      <c r="JWG190" s="5"/>
      <c r="JWH190" s="5"/>
      <c r="JWI190" s="5"/>
      <c r="JWJ190" s="5"/>
      <c r="JWK190" s="5"/>
      <c r="JWL190" s="5"/>
      <c r="JWM190" s="5"/>
      <c r="JWN190" s="5"/>
      <c r="JWO190" s="5"/>
      <c r="JWP190" s="5"/>
      <c r="JWQ190" s="5"/>
      <c r="JWR190" s="5"/>
      <c r="JWS190" s="5"/>
      <c r="JWT190" s="5"/>
      <c r="JWU190" s="5"/>
      <c r="JWV190" s="5"/>
      <c r="JWW190" s="5"/>
      <c r="JWX190" s="5"/>
      <c r="JWY190" s="5"/>
      <c r="JWZ190" s="5"/>
      <c r="JXA190" s="5"/>
      <c r="JXB190" s="5"/>
      <c r="JXC190" s="5"/>
      <c r="JXD190" s="5"/>
      <c r="JXE190" s="5"/>
      <c r="JXF190" s="5"/>
      <c r="JXG190" s="5"/>
      <c r="JXH190" s="5"/>
      <c r="JXI190" s="5"/>
      <c r="JXJ190" s="5"/>
      <c r="JXK190" s="5"/>
      <c r="JXL190" s="5"/>
      <c r="JXM190" s="5"/>
      <c r="JXN190" s="5"/>
      <c r="JXO190" s="5"/>
      <c r="JXP190" s="5"/>
      <c r="JXQ190" s="5"/>
      <c r="JXR190" s="5"/>
      <c r="JXS190" s="5"/>
      <c r="JXT190" s="5"/>
      <c r="JXU190" s="5"/>
      <c r="JXV190" s="5"/>
      <c r="JXW190" s="5"/>
      <c r="JXX190" s="5"/>
      <c r="JXY190" s="5"/>
      <c r="JXZ190" s="5"/>
      <c r="JYA190" s="5"/>
      <c r="JYB190" s="5"/>
      <c r="JYC190" s="5"/>
      <c r="JYD190" s="5"/>
      <c r="JYE190" s="5"/>
      <c r="JYF190" s="5"/>
      <c r="JYG190" s="5"/>
      <c r="JYH190" s="5"/>
      <c r="JYI190" s="5"/>
      <c r="JYJ190" s="5"/>
      <c r="JYK190" s="5"/>
      <c r="JYL190" s="5"/>
      <c r="JYM190" s="5"/>
      <c r="JYN190" s="5"/>
      <c r="JYO190" s="5"/>
      <c r="JYP190" s="5"/>
      <c r="JYQ190" s="5"/>
      <c r="JYR190" s="5"/>
      <c r="JYS190" s="5"/>
      <c r="JYT190" s="5"/>
      <c r="JYU190" s="5"/>
      <c r="JYV190" s="5"/>
      <c r="JYW190" s="5"/>
      <c r="JYX190" s="5"/>
      <c r="JYY190" s="5"/>
      <c r="JYZ190" s="5"/>
      <c r="JZA190" s="5"/>
      <c r="JZB190" s="5"/>
      <c r="JZC190" s="5"/>
      <c r="JZD190" s="5"/>
      <c r="JZE190" s="5"/>
      <c r="JZF190" s="5"/>
      <c r="JZG190" s="5"/>
      <c r="JZH190" s="5"/>
      <c r="JZI190" s="5"/>
      <c r="JZJ190" s="5"/>
      <c r="JZK190" s="5"/>
      <c r="JZL190" s="5"/>
      <c r="JZM190" s="5"/>
      <c r="JZN190" s="5"/>
      <c r="JZO190" s="5"/>
      <c r="JZP190" s="5"/>
      <c r="JZQ190" s="5"/>
      <c r="JZR190" s="5"/>
      <c r="JZS190" s="5"/>
      <c r="JZT190" s="5"/>
      <c r="JZU190" s="5"/>
      <c r="JZV190" s="5"/>
      <c r="JZW190" s="5"/>
      <c r="JZX190" s="5"/>
      <c r="JZY190" s="5"/>
      <c r="JZZ190" s="5"/>
      <c r="KAA190" s="5"/>
      <c r="KAB190" s="5"/>
      <c r="KAC190" s="5"/>
      <c r="KAD190" s="5"/>
      <c r="KAE190" s="5"/>
      <c r="KAF190" s="5"/>
      <c r="KAG190" s="5"/>
      <c r="KAH190" s="5"/>
      <c r="KAI190" s="5"/>
      <c r="KAJ190" s="5"/>
      <c r="KAK190" s="5"/>
      <c r="KAL190" s="5"/>
      <c r="KAM190" s="5"/>
      <c r="KAN190" s="5"/>
      <c r="KAO190" s="5"/>
      <c r="KAP190" s="5"/>
      <c r="KAQ190" s="5"/>
      <c r="KAR190" s="5"/>
      <c r="KAS190" s="5"/>
      <c r="KAT190" s="5"/>
      <c r="KAU190" s="5"/>
      <c r="KAV190" s="5"/>
      <c r="KAW190" s="5"/>
      <c r="KAX190" s="5"/>
      <c r="KAY190" s="5"/>
      <c r="KAZ190" s="5"/>
      <c r="KBA190" s="5"/>
      <c r="KBB190" s="5"/>
      <c r="KBC190" s="5"/>
      <c r="KBD190" s="5"/>
      <c r="KBE190" s="5"/>
      <c r="KBF190" s="5"/>
      <c r="KBG190" s="5"/>
      <c r="KBH190" s="5"/>
      <c r="KBI190" s="5"/>
      <c r="KBJ190" s="5"/>
      <c r="KBK190" s="5"/>
      <c r="KBL190" s="5"/>
      <c r="KBM190" s="5"/>
      <c r="KBN190" s="5"/>
      <c r="KBO190" s="5"/>
      <c r="KBP190" s="5"/>
      <c r="KBQ190" s="5"/>
      <c r="KBR190" s="5"/>
      <c r="KBS190" s="5"/>
      <c r="KBT190" s="5"/>
      <c r="KBU190" s="5"/>
      <c r="KBV190" s="5"/>
      <c r="KBW190" s="5"/>
      <c r="KBX190" s="5"/>
      <c r="KBY190" s="5"/>
      <c r="KBZ190" s="5"/>
      <c r="KCA190" s="5"/>
      <c r="KCB190" s="5"/>
      <c r="KCC190" s="5"/>
      <c r="KCD190" s="5"/>
      <c r="KCE190" s="5"/>
      <c r="KCF190" s="5"/>
      <c r="KCG190" s="5"/>
      <c r="KCH190" s="5"/>
      <c r="KCI190" s="5"/>
      <c r="KCJ190" s="5"/>
      <c r="KCK190" s="5"/>
      <c r="KCL190" s="5"/>
      <c r="KCM190" s="5"/>
      <c r="KCN190" s="5"/>
      <c r="KCO190" s="5"/>
      <c r="KCP190" s="5"/>
      <c r="KCQ190" s="5"/>
      <c r="KCR190" s="5"/>
      <c r="KCS190" s="5"/>
      <c r="KCT190" s="5"/>
      <c r="KCU190" s="5"/>
      <c r="KCV190" s="5"/>
      <c r="KCW190" s="5"/>
      <c r="KCX190" s="5"/>
      <c r="KCY190" s="5"/>
      <c r="KCZ190" s="5"/>
      <c r="KDA190" s="5"/>
      <c r="KDB190" s="5"/>
      <c r="KDC190" s="5"/>
      <c r="KDD190" s="5"/>
      <c r="KDE190" s="5"/>
      <c r="KDF190" s="5"/>
      <c r="KDG190" s="5"/>
      <c r="KDH190" s="5"/>
      <c r="KDI190" s="5"/>
      <c r="KDJ190" s="5"/>
      <c r="KDK190" s="5"/>
      <c r="KDL190" s="5"/>
      <c r="KDM190" s="5"/>
      <c r="KDN190" s="5"/>
      <c r="KDO190" s="5"/>
      <c r="KDP190" s="5"/>
      <c r="KDQ190" s="5"/>
      <c r="KDR190" s="5"/>
      <c r="KDS190" s="5"/>
      <c r="KDT190" s="5"/>
      <c r="KDU190" s="5"/>
      <c r="KDV190" s="5"/>
      <c r="KDW190" s="5"/>
      <c r="KDX190" s="5"/>
      <c r="KDY190" s="5"/>
      <c r="KDZ190" s="5"/>
      <c r="KEA190" s="5"/>
      <c r="KEB190" s="5"/>
      <c r="KEC190" s="5"/>
      <c r="KED190" s="5"/>
      <c r="KEE190" s="5"/>
      <c r="KEF190" s="5"/>
      <c r="KEG190" s="5"/>
      <c r="KEH190" s="5"/>
      <c r="KEI190" s="5"/>
      <c r="KEJ190" s="5"/>
      <c r="KEK190" s="5"/>
      <c r="KEL190" s="5"/>
      <c r="KEM190" s="5"/>
      <c r="KEN190" s="5"/>
      <c r="KEO190" s="5"/>
      <c r="KEP190" s="5"/>
      <c r="KEQ190" s="5"/>
      <c r="KER190" s="5"/>
      <c r="KES190" s="5"/>
      <c r="KET190" s="5"/>
      <c r="KEU190" s="5"/>
      <c r="KEV190" s="5"/>
      <c r="KEW190" s="5"/>
      <c r="KEX190" s="5"/>
      <c r="KEY190" s="5"/>
      <c r="KEZ190" s="5"/>
      <c r="KFA190" s="5"/>
      <c r="KFB190" s="5"/>
      <c r="KFC190" s="5"/>
      <c r="KFD190" s="5"/>
      <c r="KFE190" s="5"/>
      <c r="KFF190" s="5"/>
      <c r="KFG190" s="5"/>
      <c r="KFH190" s="5"/>
      <c r="KFI190" s="5"/>
      <c r="KFJ190" s="5"/>
      <c r="KFK190" s="5"/>
      <c r="KFL190" s="5"/>
      <c r="KFM190" s="5"/>
      <c r="KFN190" s="5"/>
      <c r="KFO190" s="5"/>
      <c r="KFP190" s="5"/>
      <c r="KFQ190" s="5"/>
      <c r="KFR190" s="5"/>
      <c r="KFS190" s="5"/>
      <c r="KFT190" s="5"/>
      <c r="KFU190" s="5"/>
      <c r="KFV190" s="5"/>
      <c r="KFW190" s="5"/>
      <c r="KFX190" s="5"/>
      <c r="KFY190" s="5"/>
      <c r="KFZ190" s="5"/>
      <c r="KGA190" s="5"/>
      <c r="KGB190" s="5"/>
      <c r="KGC190" s="5"/>
      <c r="KGD190" s="5"/>
      <c r="KGE190" s="5"/>
      <c r="KGF190" s="5"/>
      <c r="KGG190" s="5"/>
      <c r="KGH190" s="5"/>
      <c r="KGI190" s="5"/>
      <c r="KGJ190" s="5"/>
      <c r="KGK190" s="5"/>
      <c r="KGL190" s="5"/>
      <c r="KGM190" s="5"/>
      <c r="KGN190" s="5"/>
      <c r="KGO190" s="5"/>
      <c r="KGP190" s="5"/>
      <c r="KGQ190" s="5"/>
      <c r="KGR190" s="5"/>
      <c r="KGS190" s="5"/>
      <c r="KGT190" s="5"/>
      <c r="KGU190" s="5"/>
      <c r="KGV190" s="5"/>
      <c r="KGW190" s="5"/>
      <c r="KGX190" s="5"/>
      <c r="KGY190" s="5"/>
      <c r="KGZ190" s="5"/>
      <c r="KHA190" s="5"/>
      <c r="KHB190" s="5"/>
      <c r="KHC190" s="5"/>
      <c r="KHD190" s="5"/>
      <c r="KHE190" s="5"/>
      <c r="KHF190" s="5"/>
      <c r="KHG190" s="5"/>
      <c r="KHH190" s="5"/>
      <c r="KHI190" s="5"/>
      <c r="KHJ190" s="5"/>
      <c r="KHK190" s="5"/>
      <c r="KHL190" s="5"/>
      <c r="KHM190" s="5"/>
      <c r="KHN190" s="5"/>
      <c r="KHO190" s="5"/>
      <c r="KHP190" s="5"/>
      <c r="KHQ190" s="5"/>
      <c r="KHR190" s="5"/>
      <c r="KHS190" s="5"/>
      <c r="KHT190" s="5"/>
      <c r="KHU190" s="5"/>
      <c r="KHV190" s="5"/>
      <c r="KHW190" s="5"/>
      <c r="KHX190" s="5"/>
      <c r="KHY190" s="5"/>
      <c r="KHZ190" s="5"/>
      <c r="KIA190" s="5"/>
      <c r="KIB190" s="5"/>
      <c r="KIC190" s="5"/>
      <c r="KID190" s="5"/>
      <c r="KIE190" s="5"/>
      <c r="KIF190" s="5"/>
      <c r="KIG190" s="5"/>
      <c r="KIH190" s="5"/>
      <c r="KII190" s="5"/>
      <c r="KIJ190" s="5"/>
      <c r="KIK190" s="5"/>
      <c r="KIL190" s="5"/>
      <c r="KIM190" s="5"/>
      <c r="KIN190" s="5"/>
      <c r="KIO190" s="5"/>
      <c r="KIP190" s="5"/>
      <c r="KIQ190" s="5"/>
      <c r="KIR190" s="5"/>
      <c r="KIS190" s="5"/>
      <c r="KIT190" s="5"/>
      <c r="KIU190" s="5"/>
      <c r="KIV190" s="5"/>
      <c r="KIW190" s="5"/>
      <c r="KIX190" s="5"/>
      <c r="KIY190" s="5"/>
      <c r="KIZ190" s="5"/>
      <c r="KJA190" s="5"/>
      <c r="KJB190" s="5"/>
      <c r="KJC190" s="5"/>
      <c r="KJD190" s="5"/>
      <c r="KJE190" s="5"/>
      <c r="KJF190" s="5"/>
      <c r="KJG190" s="5"/>
      <c r="KJH190" s="5"/>
      <c r="KJI190" s="5"/>
      <c r="KJJ190" s="5"/>
      <c r="KJK190" s="5"/>
      <c r="KJL190" s="5"/>
      <c r="KJM190" s="5"/>
      <c r="KJN190" s="5"/>
      <c r="KJO190" s="5"/>
      <c r="KJP190" s="5"/>
      <c r="KJQ190" s="5"/>
      <c r="KJR190" s="5"/>
      <c r="KJS190" s="5"/>
      <c r="KJT190" s="5"/>
      <c r="KJU190" s="5"/>
      <c r="KJV190" s="5"/>
      <c r="KJW190" s="5"/>
      <c r="KJX190" s="5"/>
      <c r="KJY190" s="5"/>
      <c r="KJZ190" s="5"/>
      <c r="KKA190" s="5"/>
      <c r="KKB190" s="5"/>
      <c r="KKC190" s="5"/>
      <c r="KKD190" s="5"/>
      <c r="KKE190" s="5"/>
      <c r="KKF190" s="5"/>
      <c r="KKG190" s="5"/>
      <c r="KKH190" s="5"/>
      <c r="KKI190" s="5"/>
      <c r="KKJ190" s="5"/>
      <c r="KKK190" s="5"/>
      <c r="KKL190" s="5"/>
      <c r="KKM190" s="5"/>
      <c r="KKN190" s="5"/>
      <c r="KKO190" s="5"/>
      <c r="KKP190" s="5"/>
      <c r="KKQ190" s="5"/>
      <c r="KKR190" s="5"/>
      <c r="KKS190" s="5"/>
      <c r="KKT190" s="5"/>
      <c r="KKU190" s="5"/>
      <c r="KKV190" s="5"/>
      <c r="KKW190" s="5"/>
      <c r="KKX190" s="5"/>
      <c r="KKY190" s="5"/>
      <c r="KKZ190" s="5"/>
      <c r="KLA190" s="5"/>
      <c r="KLB190" s="5"/>
      <c r="KLC190" s="5"/>
      <c r="KLD190" s="5"/>
      <c r="KLE190" s="5"/>
      <c r="KLF190" s="5"/>
      <c r="KLG190" s="5"/>
      <c r="KLH190" s="5"/>
      <c r="KLI190" s="5"/>
      <c r="KLJ190" s="5"/>
      <c r="KLK190" s="5"/>
      <c r="KLL190" s="5"/>
      <c r="KLM190" s="5"/>
      <c r="KLN190" s="5"/>
      <c r="KLO190" s="5"/>
      <c r="KLP190" s="5"/>
      <c r="KLQ190" s="5"/>
      <c r="KLR190" s="5"/>
      <c r="KLS190" s="5"/>
      <c r="KLT190" s="5"/>
      <c r="KLU190" s="5"/>
      <c r="KLV190" s="5"/>
      <c r="KLW190" s="5"/>
      <c r="KLX190" s="5"/>
      <c r="KLY190" s="5"/>
      <c r="KLZ190" s="5"/>
      <c r="KMA190" s="5"/>
      <c r="KMB190" s="5"/>
      <c r="KMC190" s="5"/>
      <c r="KMD190" s="5"/>
      <c r="KME190" s="5"/>
      <c r="KMF190" s="5"/>
      <c r="KMG190" s="5"/>
      <c r="KMH190" s="5"/>
      <c r="KMI190" s="5"/>
      <c r="KMJ190" s="5"/>
      <c r="KMK190" s="5"/>
      <c r="KML190" s="5"/>
      <c r="KMM190" s="5"/>
      <c r="KMN190" s="5"/>
      <c r="KMO190" s="5"/>
      <c r="KMP190" s="5"/>
      <c r="KMQ190" s="5"/>
      <c r="KMR190" s="5"/>
      <c r="KMS190" s="5"/>
      <c r="KMT190" s="5"/>
      <c r="KMU190" s="5"/>
      <c r="KMV190" s="5"/>
      <c r="KMW190" s="5"/>
      <c r="KMX190" s="5"/>
      <c r="KMY190" s="5"/>
      <c r="KMZ190" s="5"/>
      <c r="KNA190" s="5"/>
      <c r="KNB190" s="5"/>
      <c r="KNC190" s="5"/>
      <c r="KND190" s="5"/>
      <c r="KNE190" s="5"/>
      <c r="KNF190" s="5"/>
      <c r="KNG190" s="5"/>
      <c r="KNH190" s="5"/>
      <c r="KNI190" s="5"/>
      <c r="KNJ190" s="5"/>
      <c r="KNK190" s="5"/>
      <c r="KNL190" s="5"/>
      <c r="KNM190" s="5"/>
      <c r="KNN190" s="5"/>
      <c r="KNO190" s="5"/>
      <c r="KNP190" s="5"/>
      <c r="KNQ190" s="5"/>
      <c r="KNR190" s="5"/>
      <c r="KNS190" s="5"/>
      <c r="KNT190" s="5"/>
      <c r="KNU190" s="5"/>
      <c r="KNV190" s="5"/>
      <c r="KNW190" s="5"/>
      <c r="KNX190" s="5"/>
      <c r="KNY190" s="5"/>
      <c r="KNZ190" s="5"/>
      <c r="KOA190" s="5"/>
      <c r="KOB190" s="5"/>
      <c r="KOC190" s="5"/>
      <c r="KOD190" s="5"/>
      <c r="KOE190" s="5"/>
      <c r="KOF190" s="5"/>
      <c r="KOG190" s="5"/>
      <c r="KOH190" s="5"/>
      <c r="KOI190" s="5"/>
      <c r="KOJ190" s="5"/>
      <c r="KOK190" s="5"/>
      <c r="KOL190" s="5"/>
      <c r="KOM190" s="5"/>
      <c r="KON190" s="5"/>
      <c r="KOO190" s="5"/>
      <c r="KOP190" s="5"/>
      <c r="KOQ190" s="5"/>
      <c r="KOR190" s="5"/>
      <c r="KOS190" s="5"/>
      <c r="KOT190" s="5"/>
      <c r="KOU190" s="5"/>
      <c r="KOV190" s="5"/>
      <c r="KOW190" s="5"/>
      <c r="KOX190" s="5"/>
      <c r="KOY190" s="5"/>
      <c r="KOZ190" s="5"/>
      <c r="KPA190" s="5"/>
      <c r="KPB190" s="5"/>
      <c r="KPC190" s="5"/>
      <c r="KPD190" s="5"/>
      <c r="KPE190" s="5"/>
      <c r="KPF190" s="5"/>
      <c r="KPG190" s="5"/>
      <c r="KPH190" s="5"/>
      <c r="KPI190" s="5"/>
      <c r="KPJ190" s="5"/>
      <c r="KPK190" s="5"/>
      <c r="KPL190" s="5"/>
      <c r="KPM190" s="5"/>
      <c r="KPN190" s="5"/>
      <c r="KPO190" s="5"/>
      <c r="KPP190" s="5"/>
      <c r="KPQ190" s="5"/>
      <c r="KPR190" s="5"/>
      <c r="KPS190" s="5"/>
      <c r="KPT190" s="5"/>
      <c r="KPU190" s="5"/>
      <c r="KPV190" s="5"/>
      <c r="KPW190" s="5"/>
      <c r="KPX190" s="5"/>
      <c r="KPY190" s="5"/>
      <c r="KPZ190" s="5"/>
      <c r="KQA190" s="5"/>
      <c r="KQB190" s="5"/>
      <c r="KQC190" s="5"/>
      <c r="KQD190" s="5"/>
      <c r="KQE190" s="5"/>
      <c r="KQF190" s="5"/>
      <c r="KQG190" s="5"/>
      <c r="KQH190" s="5"/>
      <c r="KQI190" s="5"/>
      <c r="KQJ190" s="5"/>
      <c r="KQK190" s="5"/>
      <c r="KQL190" s="5"/>
      <c r="KQM190" s="5"/>
      <c r="KQN190" s="5"/>
      <c r="KQO190" s="5"/>
      <c r="KQP190" s="5"/>
      <c r="KQQ190" s="5"/>
      <c r="KQR190" s="5"/>
      <c r="KQS190" s="5"/>
      <c r="KQT190" s="5"/>
      <c r="KQU190" s="5"/>
      <c r="KQV190" s="5"/>
      <c r="KQW190" s="5"/>
      <c r="KQX190" s="5"/>
      <c r="KQY190" s="5"/>
      <c r="KQZ190" s="5"/>
      <c r="KRA190" s="5"/>
      <c r="KRB190" s="5"/>
      <c r="KRC190" s="5"/>
      <c r="KRD190" s="5"/>
      <c r="KRE190" s="5"/>
      <c r="KRF190" s="5"/>
      <c r="KRG190" s="5"/>
      <c r="KRH190" s="5"/>
      <c r="KRI190" s="5"/>
      <c r="KRJ190" s="5"/>
      <c r="KRK190" s="5"/>
      <c r="KRL190" s="5"/>
      <c r="KRM190" s="5"/>
      <c r="KRN190" s="5"/>
      <c r="KRO190" s="5"/>
      <c r="KRP190" s="5"/>
      <c r="KRQ190" s="5"/>
      <c r="KRR190" s="5"/>
      <c r="KRS190" s="5"/>
      <c r="KRT190" s="5"/>
      <c r="KRU190" s="5"/>
      <c r="KRV190" s="5"/>
      <c r="KRW190" s="5"/>
      <c r="KRX190" s="5"/>
      <c r="KRY190" s="5"/>
      <c r="KRZ190" s="5"/>
      <c r="KSA190" s="5"/>
      <c r="KSB190" s="5"/>
      <c r="KSC190" s="5"/>
      <c r="KSD190" s="5"/>
      <c r="KSE190" s="5"/>
      <c r="KSF190" s="5"/>
      <c r="KSG190" s="5"/>
      <c r="KSH190" s="5"/>
      <c r="KSI190" s="5"/>
      <c r="KSJ190" s="5"/>
      <c r="KSK190" s="5"/>
      <c r="KSL190" s="5"/>
      <c r="KSM190" s="5"/>
      <c r="KSN190" s="5"/>
      <c r="KSO190" s="5"/>
      <c r="KSP190" s="5"/>
      <c r="KSQ190" s="5"/>
      <c r="KSR190" s="5"/>
      <c r="KSS190" s="5"/>
      <c r="KST190" s="5"/>
      <c r="KSU190" s="5"/>
      <c r="KSV190" s="5"/>
      <c r="KSW190" s="5"/>
      <c r="KSX190" s="5"/>
      <c r="KSY190" s="5"/>
      <c r="KSZ190" s="5"/>
      <c r="KTA190" s="5"/>
      <c r="KTB190" s="5"/>
      <c r="KTC190" s="5"/>
      <c r="KTD190" s="5"/>
      <c r="KTE190" s="5"/>
      <c r="KTF190" s="5"/>
      <c r="KTG190" s="5"/>
      <c r="KTH190" s="5"/>
      <c r="KTI190" s="5"/>
      <c r="KTJ190" s="5"/>
      <c r="KTK190" s="5"/>
      <c r="KTL190" s="5"/>
      <c r="KTM190" s="5"/>
      <c r="KTN190" s="5"/>
      <c r="KTO190" s="5"/>
      <c r="KTP190" s="5"/>
      <c r="KTQ190" s="5"/>
      <c r="KTR190" s="5"/>
      <c r="KTS190" s="5"/>
      <c r="KTT190" s="5"/>
      <c r="KTU190" s="5"/>
      <c r="KTV190" s="5"/>
      <c r="KTW190" s="5"/>
      <c r="KTX190" s="5"/>
      <c r="KTY190" s="5"/>
      <c r="KTZ190" s="5"/>
      <c r="KUA190" s="5"/>
      <c r="KUB190" s="5"/>
      <c r="KUC190" s="5"/>
      <c r="KUD190" s="5"/>
      <c r="KUE190" s="5"/>
      <c r="KUF190" s="5"/>
      <c r="KUG190" s="5"/>
      <c r="KUH190" s="5"/>
      <c r="KUI190" s="5"/>
      <c r="KUJ190" s="5"/>
      <c r="KUK190" s="5"/>
      <c r="KUL190" s="5"/>
      <c r="KUM190" s="5"/>
      <c r="KUN190" s="5"/>
      <c r="KUO190" s="5"/>
      <c r="KUP190" s="5"/>
      <c r="KUQ190" s="5"/>
      <c r="KUR190" s="5"/>
      <c r="KUS190" s="5"/>
      <c r="KUT190" s="5"/>
      <c r="KUU190" s="5"/>
      <c r="KUV190" s="5"/>
      <c r="KUW190" s="5"/>
      <c r="KUX190" s="5"/>
      <c r="KUY190" s="5"/>
      <c r="KUZ190" s="5"/>
      <c r="KVA190" s="5"/>
      <c r="KVB190" s="5"/>
      <c r="KVC190" s="5"/>
      <c r="KVD190" s="5"/>
      <c r="KVE190" s="5"/>
      <c r="KVF190" s="5"/>
      <c r="KVG190" s="5"/>
      <c r="KVH190" s="5"/>
      <c r="KVI190" s="5"/>
      <c r="KVJ190" s="5"/>
      <c r="KVK190" s="5"/>
      <c r="KVL190" s="5"/>
      <c r="KVM190" s="5"/>
      <c r="KVN190" s="5"/>
      <c r="KVO190" s="5"/>
      <c r="KVP190" s="5"/>
      <c r="KVQ190" s="5"/>
      <c r="KVR190" s="5"/>
      <c r="KVS190" s="5"/>
      <c r="KVT190" s="5"/>
      <c r="KVU190" s="5"/>
      <c r="KVV190" s="5"/>
      <c r="KVW190" s="5"/>
      <c r="KVX190" s="5"/>
      <c r="KVY190" s="5"/>
      <c r="KVZ190" s="5"/>
      <c r="KWA190" s="5"/>
      <c r="KWB190" s="5"/>
      <c r="KWC190" s="5"/>
      <c r="KWD190" s="5"/>
      <c r="KWE190" s="5"/>
      <c r="KWF190" s="5"/>
      <c r="KWG190" s="5"/>
      <c r="KWH190" s="5"/>
      <c r="KWI190" s="5"/>
      <c r="KWJ190" s="5"/>
      <c r="KWK190" s="5"/>
      <c r="KWL190" s="5"/>
      <c r="KWM190" s="5"/>
      <c r="KWN190" s="5"/>
      <c r="KWO190" s="5"/>
      <c r="KWP190" s="5"/>
      <c r="KWQ190" s="5"/>
      <c r="KWR190" s="5"/>
      <c r="KWS190" s="5"/>
      <c r="KWT190" s="5"/>
      <c r="KWU190" s="5"/>
      <c r="KWV190" s="5"/>
      <c r="KWW190" s="5"/>
      <c r="KWX190" s="5"/>
      <c r="KWY190" s="5"/>
      <c r="KWZ190" s="5"/>
      <c r="KXA190" s="5"/>
      <c r="KXB190" s="5"/>
      <c r="KXC190" s="5"/>
      <c r="KXD190" s="5"/>
      <c r="KXE190" s="5"/>
      <c r="KXF190" s="5"/>
      <c r="KXG190" s="5"/>
      <c r="KXH190" s="5"/>
      <c r="KXI190" s="5"/>
      <c r="KXJ190" s="5"/>
      <c r="KXK190" s="5"/>
      <c r="KXL190" s="5"/>
      <c r="KXM190" s="5"/>
      <c r="KXN190" s="5"/>
      <c r="KXO190" s="5"/>
      <c r="KXP190" s="5"/>
      <c r="KXQ190" s="5"/>
      <c r="KXR190" s="5"/>
      <c r="KXS190" s="5"/>
      <c r="KXT190" s="5"/>
      <c r="KXU190" s="5"/>
      <c r="KXV190" s="5"/>
      <c r="KXW190" s="5"/>
      <c r="KXX190" s="5"/>
      <c r="KXY190" s="5"/>
      <c r="KXZ190" s="5"/>
      <c r="KYA190" s="5"/>
      <c r="KYB190" s="5"/>
      <c r="KYC190" s="5"/>
      <c r="KYD190" s="5"/>
      <c r="KYE190" s="5"/>
      <c r="KYF190" s="5"/>
      <c r="KYG190" s="5"/>
      <c r="KYH190" s="5"/>
      <c r="KYI190" s="5"/>
      <c r="KYJ190" s="5"/>
      <c r="KYK190" s="5"/>
      <c r="KYL190" s="5"/>
      <c r="KYM190" s="5"/>
      <c r="KYN190" s="5"/>
      <c r="KYO190" s="5"/>
      <c r="KYP190" s="5"/>
      <c r="KYQ190" s="5"/>
      <c r="KYR190" s="5"/>
      <c r="KYS190" s="5"/>
      <c r="KYT190" s="5"/>
      <c r="KYU190" s="5"/>
      <c r="KYV190" s="5"/>
      <c r="KYW190" s="5"/>
      <c r="KYX190" s="5"/>
      <c r="KYY190" s="5"/>
      <c r="KYZ190" s="5"/>
      <c r="KZA190" s="5"/>
      <c r="KZB190" s="5"/>
      <c r="KZC190" s="5"/>
      <c r="KZD190" s="5"/>
      <c r="KZE190" s="5"/>
      <c r="KZF190" s="5"/>
      <c r="KZG190" s="5"/>
      <c r="KZH190" s="5"/>
      <c r="KZI190" s="5"/>
      <c r="KZJ190" s="5"/>
      <c r="KZK190" s="5"/>
      <c r="KZL190" s="5"/>
      <c r="KZM190" s="5"/>
      <c r="KZN190" s="5"/>
      <c r="KZO190" s="5"/>
      <c r="KZP190" s="5"/>
      <c r="KZQ190" s="5"/>
      <c r="KZR190" s="5"/>
      <c r="KZS190" s="5"/>
      <c r="KZT190" s="5"/>
      <c r="KZU190" s="5"/>
      <c r="KZV190" s="5"/>
      <c r="KZW190" s="5"/>
      <c r="KZX190" s="5"/>
      <c r="KZY190" s="5"/>
      <c r="KZZ190" s="5"/>
      <c r="LAA190" s="5"/>
      <c r="LAB190" s="5"/>
      <c r="LAC190" s="5"/>
      <c r="LAD190" s="5"/>
      <c r="LAE190" s="5"/>
      <c r="LAF190" s="5"/>
      <c r="LAG190" s="5"/>
      <c r="LAH190" s="5"/>
      <c r="LAI190" s="5"/>
      <c r="LAJ190" s="5"/>
      <c r="LAK190" s="5"/>
      <c r="LAL190" s="5"/>
      <c r="LAM190" s="5"/>
      <c r="LAN190" s="5"/>
      <c r="LAO190" s="5"/>
      <c r="LAP190" s="5"/>
      <c r="LAQ190" s="5"/>
      <c r="LAR190" s="5"/>
      <c r="LAS190" s="5"/>
      <c r="LAT190" s="5"/>
      <c r="LAU190" s="5"/>
      <c r="LAV190" s="5"/>
      <c r="LAW190" s="5"/>
      <c r="LAX190" s="5"/>
      <c r="LAY190" s="5"/>
      <c r="LAZ190" s="5"/>
      <c r="LBA190" s="5"/>
      <c r="LBB190" s="5"/>
      <c r="LBC190" s="5"/>
      <c r="LBD190" s="5"/>
      <c r="LBE190" s="5"/>
      <c r="LBF190" s="5"/>
      <c r="LBG190" s="5"/>
      <c r="LBH190" s="5"/>
      <c r="LBI190" s="5"/>
      <c r="LBJ190" s="5"/>
      <c r="LBK190" s="5"/>
      <c r="LBL190" s="5"/>
      <c r="LBM190" s="5"/>
      <c r="LBN190" s="5"/>
      <c r="LBO190" s="5"/>
      <c r="LBP190" s="5"/>
      <c r="LBQ190" s="5"/>
      <c r="LBR190" s="5"/>
      <c r="LBS190" s="5"/>
      <c r="LBT190" s="5"/>
      <c r="LBU190" s="5"/>
      <c r="LBV190" s="5"/>
      <c r="LBW190" s="5"/>
      <c r="LBX190" s="5"/>
      <c r="LBY190" s="5"/>
      <c r="LBZ190" s="5"/>
      <c r="LCA190" s="5"/>
      <c r="LCB190" s="5"/>
      <c r="LCC190" s="5"/>
      <c r="LCD190" s="5"/>
      <c r="LCE190" s="5"/>
      <c r="LCF190" s="5"/>
      <c r="LCG190" s="5"/>
      <c r="LCH190" s="5"/>
      <c r="LCI190" s="5"/>
      <c r="LCJ190" s="5"/>
      <c r="LCK190" s="5"/>
      <c r="LCL190" s="5"/>
      <c r="LCM190" s="5"/>
      <c r="LCN190" s="5"/>
      <c r="LCO190" s="5"/>
      <c r="LCP190" s="5"/>
      <c r="LCQ190" s="5"/>
      <c r="LCR190" s="5"/>
      <c r="LCS190" s="5"/>
      <c r="LCT190" s="5"/>
      <c r="LCU190" s="5"/>
      <c r="LCV190" s="5"/>
      <c r="LCW190" s="5"/>
      <c r="LCX190" s="5"/>
      <c r="LCY190" s="5"/>
      <c r="LCZ190" s="5"/>
      <c r="LDA190" s="5"/>
      <c r="LDB190" s="5"/>
      <c r="LDC190" s="5"/>
      <c r="LDD190" s="5"/>
      <c r="LDE190" s="5"/>
      <c r="LDF190" s="5"/>
      <c r="LDG190" s="5"/>
      <c r="LDH190" s="5"/>
      <c r="LDI190" s="5"/>
      <c r="LDJ190" s="5"/>
      <c r="LDK190" s="5"/>
      <c r="LDL190" s="5"/>
      <c r="LDM190" s="5"/>
      <c r="LDN190" s="5"/>
      <c r="LDO190" s="5"/>
      <c r="LDP190" s="5"/>
      <c r="LDQ190" s="5"/>
      <c r="LDR190" s="5"/>
      <c r="LDS190" s="5"/>
      <c r="LDT190" s="5"/>
      <c r="LDU190" s="5"/>
      <c r="LDV190" s="5"/>
      <c r="LDW190" s="5"/>
      <c r="LDX190" s="5"/>
      <c r="LDY190" s="5"/>
      <c r="LDZ190" s="5"/>
      <c r="LEA190" s="5"/>
      <c r="LEB190" s="5"/>
      <c r="LEC190" s="5"/>
      <c r="LED190" s="5"/>
      <c r="LEE190" s="5"/>
      <c r="LEF190" s="5"/>
      <c r="LEG190" s="5"/>
      <c r="LEH190" s="5"/>
      <c r="LEI190" s="5"/>
      <c r="LEJ190" s="5"/>
      <c r="LEK190" s="5"/>
      <c r="LEL190" s="5"/>
      <c r="LEM190" s="5"/>
      <c r="LEN190" s="5"/>
      <c r="LEO190" s="5"/>
      <c r="LEP190" s="5"/>
      <c r="LEQ190" s="5"/>
      <c r="LER190" s="5"/>
      <c r="LES190" s="5"/>
      <c r="LET190" s="5"/>
      <c r="LEU190" s="5"/>
      <c r="LEV190" s="5"/>
      <c r="LEW190" s="5"/>
      <c r="LEX190" s="5"/>
      <c r="LEY190" s="5"/>
      <c r="LEZ190" s="5"/>
      <c r="LFA190" s="5"/>
      <c r="LFB190" s="5"/>
      <c r="LFC190" s="5"/>
      <c r="LFD190" s="5"/>
      <c r="LFE190" s="5"/>
      <c r="LFF190" s="5"/>
      <c r="LFG190" s="5"/>
      <c r="LFH190" s="5"/>
      <c r="LFI190" s="5"/>
      <c r="LFJ190" s="5"/>
      <c r="LFK190" s="5"/>
      <c r="LFL190" s="5"/>
      <c r="LFM190" s="5"/>
      <c r="LFN190" s="5"/>
      <c r="LFO190" s="5"/>
      <c r="LFP190" s="5"/>
      <c r="LFQ190" s="5"/>
      <c r="LFR190" s="5"/>
      <c r="LFS190" s="5"/>
      <c r="LFT190" s="5"/>
      <c r="LFU190" s="5"/>
      <c r="LFV190" s="5"/>
      <c r="LFW190" s="5"/>
      <c r="LFX190" s="5"/>
      <c r="LFY190" s="5"/>
      <c r="LFZ190" s="5"/>
      <c r="LGA190" s="5"/>
      <c r="LGB190" s="5"/>
      <c r="LGC190" s="5"/>
      <c r="LGD190" s="5"/>
      <c r="LGE190" s="5"/>
      <c r="LGF190" s="5"/>
      <c r="LGG190" s="5"/>
      <c r="LGH190" s="5"/>
      <c r="LGI190" s="5"/>
      <c r="LGJ190" s="5"/>
      <c r="LGK190" s="5"/>
      <c r="LGL190" s="5"/>
      <c r="LGM190" s="5"/>
      <c r="LGN190" s="5"/>
      <c r="LGO190" s="5"/>
      <c r="LGP190" s="5"/>
      <c r="LGQ190" s="5"/>
      <c r="LGR190" s="5"/>
      <c r="LGS190" s="5"/>
      <c r="LGT190" s="5"/>
      <c r="LGU190" s="5"/>
      <c r="LGV190" s="5"/>
      <c r="LGW190" s="5"/>
      <c r="LGX190" s="5"/>
      <c r="LGY190" s="5"/>
      <c r="LGZ190" s="5"/>
      <c r="LHA190" s="5"/>
      <c r="LHB190" s="5"/>
      <c r="LHC190" s="5"/>
      <c r="LHD190" s="5"/>
      <c r="LHE190" s="5"/>
      <c r="LHF190" s="5"/>
      <c r="LHG190" s="5"/>
      <c r="LHH190" s="5"/>
      <c r="LHI190" s="5"/>
      <c r="LHJ190" s="5"/>
      <c r="LHK190" s="5"/>
      <c r="LHL190" s="5"/>
      <c r="LHM190" s="5"/>
      <c r="LHN190" s="5"/>
      <c r="LHO190" s="5"/>
      <c r="LHP190" s="5"/>
      <c r="LHQ190" s="5"/>
      <c r="LHR190" s="5"/>
      <c r="LHS190" s="5"/>
      <c r="LHT190" s="5"/>
      <c r="LHU190" s="5"/>
      <c r="LHV190" s="5"/>
      <c r="LHW190" s="5"/>
      <c r="LHX190" s="5"/>
      <c r="LHY190" s="5"/>
      <c r="LHZ190" s="5"/>
      <c r="LIA190" s="5"/>
      <c r="LIB190" s="5"/>
      <c r="LIC190" s="5"/>
      <c r="LID190" s="5"/>
      <c r="LIE190" s="5"/>
      <c r="LIF190" s="5"/>
      <c r="LIG190" s="5"/>
      <c r="LIH190" s="5"/>
      <c r="LII190" s="5"/>
      <c r="LIJ190" s="5"/>
      <c r="LIK190" s="5"/>
      <c r="LIL190" s="5"/>
      <c r="LIM190" s="5"/>
      <c r="LIN190" s="5"/>
      <c r="LIO190" s="5"/>
      <c r="LIP190" s="5"/>
      <c r="LIQ190" s="5"/>
      <c r="LIR190" s="5"/>
      <c r="LIS190" s="5"/>
      <c r="LIT190" s="5"/>
      <c r="LIU190" s="5"/>
      <c r="LIV190" s="5"/>
      <c r="LIW190" s="5"/>
      <c r="LIX190" s="5"/>
      <c r="LIY190" s="5"/>
      <c r="LIZ190" s="5"/>
      <c r="LJA190" s="5"/>
      <c r="LJB190" s="5"/>
      <c r="LJC190" s="5"/>
      <c r="LJD190" s="5"/>
      <c r="LJE190" s="5"/>
      <c r="LJF190" s="5"/>
      <c r="LJG190" s="5"/>
      <c r="LJH190" s="5"/>
      <c r="LJI190" s="5"/>
      <c r="LJJ190" s="5"/>
      <c r="LJK190" s="5"/>
      <c r="LJL190" s="5"/>
      <c r="LJM190" s="5"/>
      <c r="LJN190" s="5"/>
      <c r="LJO190" s="5"/>
      <c r="LJP190" s="5"/>
      <c r="LJQ190" s="5"/>
      <c r="LJR190" s="5"/>
      <c r="LJS190" s="5"/>
      <c r="LJT190" s="5"/>
      <c r="LJU190" s="5"/>
      <c r="LJV190" s="5"/>
      <c r="LJW190" s="5"/>
      <c r="LJX190" s="5"/>
      <c r="LJY190" s="5"/>
      <c r="LJZ190" s="5"/>
      <c r="LKA190" s="5"/>
      <c r="LKB190" s="5"/>
      <c r="LKC190" s="5"/>
      <c r="LKD190" s="5"/>
      <c r="LKE190" s="5"/>
      <c r="LKF190" s="5"/>
      <c r="LKG190" s="5"/>
      <c r="LKH190" s="5"/>
      <c r="LKI190" s="5"/>
      <c r="LKJ190" s="5"/>
      <c r="LKK190" s="5"/>
      <c r="LKL190" s="5"/>
      <c r="LKM190" s="5"/>
      <c r="LKN190" s="5"/>
      <c r="LKO190" s="5"/>
      <c r="LKP190" s="5"/>
      <c r="LKQ190" s="5"/>
      <c r="LKR190" s="5"/>
      <c r="LKS190" s="5"/>
      <c r="LKT190" s="5"/>
      <c r="LKU190" s="5"/>
      <c r="LKV190" s="5"/>
      <c r="LKW190" s="5"/>
      <c r="LKX190" s="5"/>
      <c r="LKY190" s="5"/>
      <c r="LKZ190" s="5"/>
      <c r="LLA190" s="5"/>
      <c r="LLB190" s="5"/>
      <c r="LLC190" s="5"/>
      <c r="LLD190" s="5"/>
      <c r="LLE190" s="5"/>
      <c r="LLF190" s="5"/>
      <c r="LLG190" s="5"/>
      <c r="LLH190" s="5"/>
      <c r="LLI190" s="5"/>
      <c r="LLJ190" s="5"/>
      <c r="LLK190" s="5"/>
      <c r="LLL190" s="5"/>
      <c r="LLM190" s="5"/>
      <c r="LLN190" s="5"/>
      <c r="LLO190" s="5"/>
      <c r="LLP190" s="5"/>
      <c r="LLQ190" s="5"/>
      <c r="LLR190" s="5"/>
      <c r="LLS190" s="5"/>
      <c r="LLT190" s="5"/>
      <c r="LLU190" s="5"/>
      <c r="LLV190" s="5"/>
      <c r="LLW190" s="5"/>
      <c r="LLX190" s="5"/>
      <c r="LLY190" s="5"/>
      <c r="LLZ190" s="5"/>
      <c r="LMA190" s="5"/>
      <c r="LMB190" s="5"/>
      <c r="LMC190" s="5"/>
      <c r="LMD190" s="5"/>
      <c r="LME190" s="5"/>
      <c r="LMF190" s="5"/>
      <c r="LMG190" s="5"/>
      <c r="LMH190" s="5"/>
      <c r="LMI190" s="5"/>
      <c r="LMJ190" s="5"/>
      <c r="LMK190" s="5"/>
      <c r="LML190" s="5"/>
      <c r="LMM190" s="5"/>
      <c r="LMN190" s="5"/>
      <c r="LMO190" s="5"/>
      <c r="LMP190" s="5"/>
      <c r="LMQ190" s="5"/>
      <c r="LMR190" s="5"/>
      <c r="LMS190" s="5"/>
      <c r="LMT190" s="5"/>
      <c r="LMU190" s="5"/>
      <c r="LMV190" s="5"/>
      <c r="LMW190" s="5"/>
      <c r="LMX190" s="5"/>
      <c r="LMY190" s="5"/>
      <c r="LMZ190" s="5"/>
      <c r="LNA190" s="5"/>
      <c r="LNB190" s="5"/>
      <c r="LNC190" s="5"/>
      <c r="LND190" s="5"/>
      <c r="LNE190" s="5"/>
      <c r="LNF190" s="5"/>
      <c r="LNG190" s="5"/>
      <c r="LNH190" s="5"/>
      <c r="LNI190" s="5"/>
      <c r="LNJ190" s="5"/>
      <c r="LNK190" s="5"/>
      <c r="LNL190" s="5"/>
      <c r="LNM190" s="5"/>
      <c r="LNN190" s="5"/>
      <c r="LNO190" s="5"/>
      <c r="LNP190" s="5"/>
      <c r="LNQ190" s="5"/>
      <c r="LNR190" s="5"/>
      <c r="LNS190" s="5"/>
      <c r="LNT190" s="5"/>
      <c r="LNU190" s="5"/>
      <c r="LNV190" s="5"/>
      <c r="LNW190" s="5"/>
      <c r="LNX190" s="5"/>
      <c r="LNY190" s="5"/>
      <c r="LNZ190" s="5"/>
      <c r="LOA190" s="5"/>
      <c r="LOB190" s="5"/>
      <c r="LOC190" s="5"/>
      <c r="LOD190" s="5"/>
      <c r="LOE190" s="5"/>
      <c r="LOF190" s="5"/>
      <c r="LOG190" s="5"/>
      <c r="LOH190" s="5"/>
      <c r="LOI190" s="5"/>
      <c r="LOJ190" s="5"/>
      <c r="LOK190" s="5"/>
      <c r="LOL190" s="5"/>
      <c r="LOM190" s="5"/>
      <c r="LON190" s="5"/>
      <c r="LOO190" s="5"/>
      <c r="LOP190" s="5"/>
      <c r="LOQ190" s="5"/>
      <c r="LOR190" s="5"/>
      <c r="LOS190" s="5"/>
      <c r="LOT190" s="5"/>
      <c r="LOU190" s="5"/>
      <c r="LOV190" s="5"/>
      <c r="LOW190" s="5"/>
      <c r="LOX190" s="5"/>
      <c r="LOY190" s="5"/>
      <c r="LOZ190" s="5"/>
      <c r="LPA190" s="5"/>
      <c r="LPB190" s="5"/>
      <c r="LPC190" s="5"/>
      <c r="LPD190" s="5"/>
      <c r="LPE190" s="5"/>
      <c r="LPF190" s="5"/>
      <c r="LPG190" s="5"/>
      <c r="LPH190" s="5"/>
      <c r="LPI190" s="5"/>
      <c r="LPJ190" s="5"/>
      <c r="LPK190" s="5"/>
      <c r="LPL190" s="5"/>
      <c r="LPM190" s="5"/>
      <c r="LPN190" s="5"/>
      <c r="LPO190" s="5"/>
      <c r="LPP190" s="5"/>
      <c r="LPQ190" s="5"/>
      <c r="LPR190" s="5"/>
      <c r="LPS190" s="5"/>
      <c r="LPT190" s="5"/>
      <c r="LPU190" s="5"/>
      <c r="LPV190" s="5"/>
      <c r="LPW190" s="5"/>
      <c r="LPX190" s="5"/>
      <c r="LPY190" s="5"/>
      <c r="LPZ190" s="5"/>
      <c r="LQA190" s="5"/>
      <c r="LQB190" s="5"/>
      <c r="LQC190" s="5"/>
      <c r="LQD190" s="5"/>
      <c r="LQE190" s="5"/>
      <c r="LQF190" s="5"/>
      <c r="LQG190" s="5"/>
      <c r="LQH190" s="5"/>
      <c r="LQI190" s="5"/>
      <c r="LQJ190" s="5"/>
      <c r="LQK190" s="5"/>
      <c r="LQL190" s="5"/>
      <c r="LQM190" s="5"/>
      <c r="LQN190" s="5"/>
      <c r="LQO190" s="5"/>
      <c r="LQP190" s="5"/>
      <c r="LQQ190" s="5"/>
      <c r="LQR190" s="5"/>
      <c r="LQS190" s="5"/>
      <c r="LQT190" s="5"/>
      <c r="LQU190" s="5"/>
      <c r="LQV190" s="5"/>
      <c r="LQW190" s="5"/>
      <c r="LQX190" s="5"/>
      <c r="LQY190" s="5"/>
      <c r="LQZ190" s="5"/>
      <c r="LRA190" s="5"/>
      <c r="LRB190" s="5"/>
      <c r="LRC190" s="5"/>
      <c r="LRD190" s="5"/>
      <c r="LRE190" s="5"/>
      <c r="LRF190" s="5"/>
      <c r="LRG190" s="5"/>
      <c r="LRH190" s="5"/>
      <c r="LRI190" s="5"/>
      <c r="LRJ190" s="5"/>
      <c r="LRK190" s="5"/>
      <c r="LRL190" s="5"/>
      <c r="LRM190" s="5"/>
      <c r="LRN190" s="5"/>
      <c r="LRO190" s="5"/>
      <c r="LRP190" s="5"/>
      <c r="LRQ190" s="5"/>
      <c r="LRR190" s="5"/>
      <c r="LRS190" s="5"/>
      <c r="LRT190" s="5"/>
      <c r="LRU190" s="5"/>
      <c r="LRV190" s="5"/>
      <c r="LRW190" s="5"/>
      <c r="LRX190" s="5"/>
      <c r="LRY190" s="5"/>
      <c r="LRZ190" s="5"/>
      <c r="LSA190" s="5"/>
      <c r="LSB190" s="5"/>
      <c r="LSC190" s="5"/>
      <c r="LSD190" s="5"/>
      <c r="LSE190" s="5"/>
      <c r="LSF190" s="5"/>
      <c r="LSG190" s="5"/>
      <c r="LSH190" s="5"/>
      <c r="LSI190" s="5"/>
      <c r="LSJ190" s="5"/>
      <c r="LSK190" s="5"/>
      <c r="LSL190" s="5"/>
      <c r="LSM190" s="5"/>
      <c r="LSN190" s="5"/>
      <c r="LSO190" s="5"/>
      <c r="LSP190" s="5"/>
      <c r="LSQ190" s="5"/>
      <c r="LSR190" s="5"/>
      <c r="LSS190" s="5"/>
      <c r="LST190" s="5"/>
      <c r="LSU190" s="5"/>
      <c r="LSV190" s="5"/>
      <c r="LSW190" s="5"/>
      <c r="LSX190" s="5"/>
      <c r="LSY190" s="5"/>
      <c r="LSZ190" s="5"/>
      <c r="LTA190" s="5"/>
      <c r="LTB190" s="5"/>
      <c r="LTC190" s="5"/>
      <c r="LTD190" s="5"/>
      <c r="LTE190" s="5"/>
      <c r="LTF190" s="5"/>
      <c r="LTG190" s="5"/>
      <c r="LTH190" s="5"/>
      <c r="LTI190" s="5"/>
      <c r="LTJ190" s="5"/>
      <c r="LTK190" s="5"/>
      <c r="LTL190" s="5"/>
      <c r="LTM190" s="5"/>
      <c r="LTN190" s="5"/>
      <c r="LTO190" s="5"/>
      <c r="LTP190" s="5"/>
      <c r="LTQ190" s="5"/>
      <c r="LTR190" s="5"/>
      <c r="LTS190" s="5"/>
      <c r="LTT190" s="5"/>
      <c r="LTU190" s="5"/>
      <c r="LTV190" s="5"/>
      <c r="LTW190" s="5"/>
      <c r="LTX190" s="5"/>
      <c r="LTY190" s="5"/>
      <c r="LTZ190" s="5"/>
      <c r="LUA190" s="5"/>
      <c r="LUB190" s="5"/>
      <c r="LUC190" s="5"/>
      <c r="LUD190" s="5"/>
      <c r="LUE190" s="5"/>
      <c r="LUF190" s="5"/>
      <c r="LUG190" s="5"/>
      <c r="LUH190" s="5"/>
      <c r="LUI190" s="5"/>
      <c r="LUJ190" s="5"/>
      <c r="LUK190" s="5"/>
      <c r="LUL190" s="5"/>
      <c r="LUM190" s="5"/>
      <c r="LUN190" s="5"/>
      <c r="LUO190" s="5"/>
      <c r="LUP190" s="5"/>
      <c r="LUQ190" s="5"/>
      <c r="LUR190" s="5"/>
      <c r="LUS190" s="5"/>
      <c r="LUT190" s="5"/>
      <c r="LUU190" s="5"/>
      <c r="LUV190" s="5"/>
      <c r="LUW190" s="5"/>
      <c r="LUX190" s="5"/>
      <c r="LUY190" s="5"/>
      <c r="LUZ190" s="5"/>
      <c r="LVA190" s="5"/>
      <c r="LVB190" s="5"/>
      <c r="LVC190" s="5"/>
      <c r="LVD190" s="5"/>
      <c r="LVE190" s="5"/>
      <c r="LVF190" s="5"/>
      <c r="LVG190" s="5"/>
      <c r="LVH190" s="5"/>
      <c r="LVI190" s="5"/>
      <c r="LVJ190" s="5"/>
      <c r="LVK190" s="5"/>
      <c r="LVL190" s="5"/>
      <c r="LVM190" s="5"/>
      <c r="LVN190" s="5"/>
      <c r="LVO190" s="5"/>
      <c r="LVP190" s="5"/>
      <c r="LVQ190" s="5"/>
      <c r="LVR190" s="5"/>
      <c r="LVS190" s="5"/>
      <c r="LVT190" s="5"/>
      <c r="LVU190" s="5"/>
      <c r="LVV190" s="5"/>
      <c r="LVW190" s="5"/>
      <c r="LVX190" s="5"/>
      <c r="LVY190" s="5"/>
      <c r="LVZ190" s="5"/>
      <c r="LWA190" s="5"/>
      <c r="LWB190" s="5"/>
      <c r="LWC190" s="5"/>
      <c r="LWD190" s="5"/>
      <c r="LWE190" s="5"/>
      <c r="LWF190" s="5"/>
      <c r="LWG190" s="5"/>
      <c r="LWH190" s="5"/>
      <c r="LWI190" s="5"/>
      <c r="LWJ190" s="5"/>
      <c r="LWK190" s="5"/>
      <c r="LWL190" s="5"/>
      <c r="LWM190" s="5"/>
      <c r="LWN190" s="5"/>
      <c r="LWO190" s="5"/>
      <c r="LWP190" s="5"/>
      <c r="LWQ190" s="5"/>
      <c r="LWR190" s="5"/>
      <c r="LWS190" s="5"/>
      <c r="LWT190" s="5"/>
      <c r="LWU190" s="5"/>
      <c r="LWV190" s="5"/>
      <c r="LWW190" s="5"/>
      <c r="LWX190" s="5"/>
      <c r="LWY190" s="5"/>
      <c r="LWZ190" s="5"/>
      <c r="LXA190" s="5"/>
      <c r="LXB190" s="5"/>
      <c r="LXC190" s="5"/>
      <c r="LXD190" s="5"/>
      <c r="LXE190" s="5"/>
      <c r="LXF190" s="5"/>
      <c r="LXG190" s="5"/>
      <c r="LXH190" s="5"/>
      <c r="LXI190" s="5"/>
      <c r="LXJ190" s="5"/>
      <c r="LXK190" s="5"/>
      <c r="LXL190" s="5"/>
      <c r="LXM190" s="5"/>
      <c r="LXN190" s="5"/>
      <c r="LXO190" s="5"/>
      <c r="LXP190" s="5"/>
      <c r="LXQ190" s="5"/>
      <c r="LXR190" s="5"/>
      <c r="LXS190" s="5"/>
      <c r="LXT190" s="5"/>
      <c r="LXU190" s="5"/>
      <c r="LXV190" s="5"/>
      <c r="LXW190" s="5"/>
      <c r="LXX190" s="5"/>
      <c r="LXY190" s="5"/>
      <c r="LXZ190" s="5"/>
      <c r="LYA190" s="5"/>
      <c r="LYB190" s="5"/>
      <c r="LYC190" s="5"/>
      <c r="LYD190" s="5"/>
      <c r="LYE190" s="5"/>
      <c r="LYF190" s="5"/>
      <c r="LYG190" s="5"/>
      <c r="LYH190" s="5"/>
      <c r="LYI190" s="5"/>
      <c r="LYJ190" s="5"/>
      <c r="LYK190" s="5"/>
      <c r="LYL190" s="5"/>
      <c r="LYM190" s="5"/>
      <c r="LYN190" s="5"/>
      <c r="LYO190" s="5"/>
      <c r="LYP190" s="5"/>
      <c r="LYQ190" s="5"/>
      <c r="LYR190" s="5"/>
      <c r="LYS190" s="5"/>
      <c r="LYT190" s="5"/>
      <c r="LYU190" s="5"/>
      <c r="LYV190" s="5"/>
      <c r="LYW190" s="5"/>
      <c r="LYX190" s="5"/>
      <c r="LYY190" s="5"/>
      <c r="LYZ190" s="5"/>
      <c r="LZA190" s="5"/>
      <c r="LZB190" s="5"/>
      <c r="LZC190" s="5"/>
      <c r="LZD190" s="5"/>
      <c r="LZE190" s="5"/>
      <c r="LZF190" s="5"/>
      <c r="LZG190" s="5"/>
      <c r="LZH190" s="5"/>
      <c r="LZI190" s="5"/>
      <c r="LZJ190" s="5"/>
      <c r="LZK190" s="5"/>
      <c r="LZL190" s="5"/>
      <c r="LZM190" s="5"/>
      <c r="LZN190" s="5"/>
      <c r="LZO190" s="5"/>
      <c r="LZP190" s="5"/>
      <c r="LZQ190" s="5"/>
      <c r="LZR190" s="5"/>
      <c r="LZS190" s="5"/>
      <c r="LZT190" s="5"/>
      <c r="LZU190" s="5"/>
      <c r="LZV190" s="5"/>
      <c r="LZW190" s="5"/>
      <c r="LZX190" s="5"/>
      <c r="LZY190" s="5"/>
      <c r="LZZ190" s="5"/>
      <c r="MAA190" s="5"/>
      <c r="MAB190" s="5"/>
      <c r="MAC190" s="5"/>
      <c r="MAD190" s="5"/>
      <c r="MAE190" s="5"/>
      <c r="MAF190" s="5"/>
      <c r="MAG190" s="5"/>
      <c r="MAH190" s="5"/>
      <c r="MAI190" s="5"/>
      <c r="MAJ190" s="5"/>
      <c r="MAK190" s="5"/>
      <c r="MAL190" s="5"/>
      <c r="MAM190" s="5"/>
      <c r="MAN190" s="5"/>
      <c r="MAO190" s="5"/>
      <c r="MAP190" s="5"/>
      <c r="MAQ190" s="5"/>
      <c r="MAR190" s="5"/>
      <c r="MAS190" s="5"/>
      <c r="MAT190" s="5"/>
      <c r="MAU190" s="5"/>
      <c r="MAV190" s="5"/>
      <c r="MAW190" s="5"/>
      <c r="MAX190" s="5"/>
      <c r="MAY190" s="5"/>
      <c r="MAZ190" s="5"/>
      <c r="MBA190" s="5"/>
      <c r="MBB190" s="5"/>
      <c r="MBC190" s="5"/>
      <c r="MBD190" s="5"/>
      <c r="MBE190" s="5"/>
      <c r="MBF190" s="5"/>
      <c r="MBG190" s="5"/>
      <c r="MBH190" s="5"/>
      <c r="MBI190" s="5"/>
      <c r="MBJ190" s="5"/>
      <c r="MBK190" s="5"/>
      <c r="MBL190" s="5"/>
      <c r="MBM190" s="5"/>
      <c r="MBN190" s="5"/>
      <c r="MBO190" s="5"/>
      <c r="MBP190" s="5"/>
      <c r="MBQ190" s="5"/>
      <c r="MBR190" s="5"/>
      <c r="MBS190" s="5"/>
      <c r="MBT190" s="5"/>
      <c r="MBU190" s="5"/>
      <c r="MBV190" s="5"/>
      <c r="MBW190" s="5"/>
      <c r="MBX190" s="5"/>
      <c r="MBY190" s="5"/>
      <c r="MBZ190" s="5"/>
      <c r="MCA190" s="5"/>
      <c r="MCB190" s="5"/>
      <c r="MCC190" s="5"/>
      <c r="MCD190" s="5"/>
      <c r="MCE190" s="5"/>
      <c r="MCF190" s="5"/>
      <c r="MCG190" s="5"/>
      <c r="MCH190" s="5"/>
      <c r="MCI190" s="5"/>
      <c r="MCJ190" s="5"/>
      <c r="MCK190" s="5"/>
      <c r="MCL190" s="5"/>
      <c r="MCM190" s="5"/>
      <c r="MCN190" s="5"/>
      <c r="MCO190" s="5"/>
      <c r="MCP190" s="5"/>
      <c r="MCQ190" s="5"/>
      <c r="MCR190" s="5"/>
      <c r="MCS190" s="5"/>
      <c r="MCT190" s="5"/>
      <c r="MCU190" s="5"/>
      <c r="MCV190" s="5"/>
      <c r="MCW190" s="5"/>
      <c r="MCX190" s="5"/>
      <c r="MCY190" s="5"/>
      <c r="MCZ190" s="5"/>
      <c r="MDA190" s="5"/>
      <c r="MDB190" s="5"/>
      <c r="MDC190" s="5"/>
      <c r="MDD190" s="5"/>
      <c r="MDE190" s="5"/>
      <c r="MDF190" s="5"/>
      <c r="MDG190" s="5"/>
      <c r="MDH190" s="5"/>
      <c r="MDI190" s="5"/>
      <c r="MDJ190" s="5"/>
      <c r="MDK190" s="5"/>
      <c r="MDL190" s="5"/>
      <c r="MDM190" s="5"/>
      <c r="MDN190" s="5"/>
      <c r="MDO190" s="5"/>
      <c r="MDP190" s="5"/>
      <c r="MDQ190" s="5"/>
      <c r="MDR190" s="5"/>
      <c r="MDS190" s="5"/>
      <c r="MDT190" s="5"/>
      <c r="MDU190" s="5"/>
      <c r="MDV190" s="5"/>
      <c r="MDW190" s="5"/>
      <c r="MDX190" s="5"/>
      <c r="MDY190" s="5"/>
      <c r="MDZ190" s="5"/>
      <c r="MEA190" s="5"/>
      <c r="MEB190" s="5"/>
      <c r="MEC190" s="5"/>
      <c r="MED190" s="5"/>
      <c r="MEE190" s="5"/>
      <c r="MEF190" s="5"/>
      <c r="MEG190" s="5"/>
      <c r="MEH190" s="5"/>
      <c r="MEI190" s="5"/>
      <c r="MEJ190" s="5"/>
      <c r="MEK190" s="5"/>
      <c r="MEL190" s="5"/>
      <c r="MEM190" s="5"/>
      <c r="MEN190" s="5"/>
      <c r="MEO190" s="5"/>
      <c r="MEP190" s="5"/>
      <c r="MEQ190" s="5"/>
      <c r="MER190" s="5"/>
      <c r="MES190" s="5"/>
      <c r="MET190" s="5"/>
      <c r="MEU190" s="5"/>
      <c r="MEV190" s="5"/>
      <c r="MEW190" s="5"/>
      <c r="MEX190" s="5"/>
      <c r="MEY190" s="5"/>
      <c r="MEZ190" s="5"/>
      <c r="MFA190" s="5"/>
      <c r="MFB190" s="5"/>
      <c r="MFC190" s="5"/>
      <c r="MFD190" s="5"/>
      <c r="MFE190" s="5"/>
      <c r="MFF190" s="5"/>
      <c r="MFG190" s="5"/>
      <c r="MFH190" s="5"/>
      <c r="MFI190" s="5"/>
      <c r="MFJ190" s="5"/>
      <c r="MFK190" s="5"/>
      <c r="MFL190" s="5"/>
      <c r="MFM190" s="5"/>
      <c r="MFN190" s="5"/>
      <c r="MFO190" s="5"/>
      <c r="MFP190" s="5"/>
      <c r="MFQ190" s="5"/>
      <c r="MFR190" s="5"/>
      <c r="MFS190" s="5"/>
      <c r="MFT190" s="5"/>
      <c r="MFU190" s="5"/>
      <c r="MFV190" s="5"/>
      <c r="MFW190" s="5"/>
      <c r="MFX190" s="5"/>
      <c r="MFY190" s="5"/>
      <c r="MFZ190" s="5"/>
      <c r="MGA190" s="5"/>
      <c r="MGB190" s="5"/>
      <c r="MGC190" s="5"/>
      <c r="MGD190" s="5"/>
      <c r="MGE190" s="5"/>
      <c r="MGF190" s="5"/>
      <c r="MGG190" s="5"/>
      <c r="MGH190" s="5"/>
      <c r="MGI190" s="5"/>
      <c r="MGJ190" s="5"/>
      <c r="MGK190" s="5"/>
      <c r="MGL190" s="5"/>
      <c r="MGM190" s="5"/>
      <c r="MGN190" s="5"/>
      <c r="MGO190" s="5"/>
      <c r="MGP190" s="5"/>
      <c r="MGQ190" s="5"/>
      <c r="MGR190" s="5"/>
      <c r="MGS190" s="5"/>
      <c r="MGT190" s="5"/>
      <c r="MGU190" s="5"/>
      <c r="MGV190" s="5"/>
      <c r="MGW190" s="5"/>
      <c r="MGX190" s="5"/>
      <c r="MGY190" s="5"/>
      <c r="MGZ190" s="5"/>
      <c r="MHA190" s="5"/>
      <c r="MHB190" s="5"/>
      <c r="MHC190" s="5"/>
      <c r="MHD190" s="5"/>
      <c r="MHE190" s="5"/>
      <c r="MHF190" s="5"/>
      <c r="MHG190" s="5"/>
      <c r="MHH190" s="5"/>
      <c r="MHI190" s="5"/>
      <c r="MHJ190" s="5"/>
      <c r="MHK190" s="5"/>
      <c r="MHL190" s="5"/>
      <c r="MHM190" s="5"/>
      <c r="MHN190" s="5"/>
      <c r="MHO190" s="5"/>
      <c r="MHP190" s="5"/>
      <c r="MHQ190" s="5"/>
      <c r="MHR190" s="5"/>
      <c r="MHS190" s="5"/>
      <c r="MHT190" s="5"/>
      <c r="MHU190" s="5"/>
      <c r="MHV190" s="5"/>
      <c r="MHW190" s="5"/>
      <c r="MHX190" s="5"/>
      <c r="MHY190" s="5"/>
      <c r="MHZ190" s="5"/>
      <c r="MIA190" s="5"/>
      <c r="MIB190" s="5"/>
      <c r="MIC190" s="5"/>
      <c r="MID190" s="5"/>
      <c r="MIE190" s="5"/>
      <c r="MIF190" s="5"/>
      <c r="MIG190" s="5"/>
      <c r="MIH190" s="5"/>
      <c r="MII190" s="5"/>
      <c r="MIJ190" s="5"/>
      <c r="MIK190" s="5"/>
      <c r="MIL190" s="5"/>
      <c r="MIM190" s="5"/>
      <c r="MIN190" s="5"/>
      <c r="MIO190" s="5"/>
      <c r="MIP190" s="5"/>
      <c r="MIQ190" s="5"/>
      <c r="MIR190" s="5"/>
      <c r="MIS190" s="5"/>
      <c r="MIT190" s="5"/>
      <c r="MIU190" s="5"/>
      <c r="MIV190" s="5"/>
      <c r="MIW190" s="5"/>
      <c r="MIX190" s="5"/>
      <c r="MIY190" s="5"/>
      <c r="MIZ190" s="5"/>
      <c r="MJA190" s="5"/>
      <c r="MJB190" s="5"/>
      <c r="MJC190" s="5"/>
      <c r="MJD190" s="5"/>
      <c r="MJE190" s="5"/>
      <c r="MJF190" s="5"/>
      <c r="MJG190" s="5"/>
      <c r="MJH190" s="5"/>
      <c r="MJI190" s="5"/>
      <c r="MJJ190" s="5"/>
      <c r="MJK190" s="5"/>
      <c r="MJL190" s="5"/>
      <c r="MJM190" s="5"/>
      <c r="MJN190" s="5"/>
      <c r="MJO190" s="5"/>
      <c r="MJP190" s="5"/>
      <c r="MJQ190" s="5"/>
      <c r="MJR190" s="5"/>
      <c r="MJS190" s="5"/>
      <c r="MJT190" s="5"/>
      <c r="MJU190" s="5"/>
      <c r="MJV190" s="5"/>
      <c r="MJW190" s="5"/>
      <c r="MJX190" s="5"/>
      <c r="MJY190" s="5"/>
      <c r="MJZ190" s="5"/>
      <c r="MKA190" s="5"/>
      <c r="MKB190" s="5"/>
      <c r="MKC190" s="5"/>
      <c r="MKD190" s="5"/>
      <c r="MKE190" s="5"/>
      <c r="MKF190" s="5"/>
      <c r="MKG190" s="5"/>
      <c r="MKH190" s="5"/>
      <c r="MKI190" s="5"/>
      <c r="MKJ190" s="5"/>
      <c r="MKK190" s="5"/>
      <c r="MKL190" s="5"/>
      <c r="MKM190" s="5"/>
      <c r="MKN190" s="5"/>
      <c r="MKO190" s="5"/>
      <c r="MKP190" s="5"/>
      <c r="MKQ190" s="5"/>
      <c r="MKR190" s="5"/>
      <c r="MKS190" s="5"/>
      <c r="MKT190" s="5"/>
      <c r="MKU190" s="5"/>
      <c r="MKV190" s="5"/>
      <c r="MKW190" s="5"/>
      <c r="MKX190" s="5"/>
      <c r="MKY190" s="5"/>
      <c r="MKZ190" s="5"/>
      <c r="MLA190" s="5"/>
      <c r="MLB190" s="5"/>
      <c r="MLC190" s="5"/>
      <c r="MLD190" s="5"/>
      <c r="MLE190" s="5"/>
      <c r="MLF190" s="5"/>
      <c r="MLG190" s="5"/>
      <c r="MLH190" s="5"/>
      <c r="MLI190" s="5"/>
      <c r="MLJ190" s="5"/>
      <c r="MLK190" s="5"/>
      <c r="MLL190" s="5"/>
      <c r="MLM190" s="5"/>
      <c r="MLN190" s="5"/>
      <c r="MLO190" s="5"/>
      <c r="MLP190" s="5"/>
      <c r="MLQ190" s="5"/>
      <c r="MLR190" s="5"/>
      <c r="MLS190" s="5"/>
      <c r="MLT190" s="5"/>
      <c r="MLU190" s="5"/>
      <c r="MLV190" s="5"/>
      <c r="MLW190" s="5"/>
      <c r="MLX190" s="5"/>
      <c r="MLY190" s="5"/>
      <c r="MLZ190" s="5"/>
      <c r="MMA190" s="5"/>
      <c r="MMB190" s="5"/>
      <c r="MMC190" s="5"/>
      <c r="MMD190" s="5"/>
      <c r="MME190" s="5"/>
      <c r="MMF190" s="5"/>
      <c r="MMG190" s="5"/>
      <c r="MMH190" s="5"/>
      <c r="MMI190" s="5"/>
      <c r="MMJ190" s="5"/>
      <c r="MMK190" s="5"/>
      <c r="MML190" s="5"/>
      <c r="MMM190" s="5"/>
      <c r="MMN190" s="5"/>
      <c r="MMO190" s="5"/>
      <c r="MMP190" s="5"/>
      <c r="MMQ190" s="5"/>
      <c r="MMR190" s="5"/>
      <c r="MMS190" s="5"/>
      <c r="MMT190" s="5"/>
      <c r="MMU190" s="5"/>
      <c r="MMV190" s="5"/>
      <c r="MMW190" s="5"/>
      <c r="MMX190" s="5"/>
      <c r="MMY190" s="5"/>
      <c r="MMZ190" s="5"/>
      <c r="MNA190" s="5"/>
      <c r="MNB190" s="5"/>
      <c r="MNC190" s="5"/>
      <c r="MND190" s="5"/>
      <c r="MNE190" s="5"/>
      <c r="MNF190" s="5"/>
      <c r="MNG190" s="5"/>
      <c r="MNH190" s="5"/>
      <c r="MNI190" s="5"/>
      <c r="MNJ190" s="5"/>
      <c r="MNK190" s="5"/>
      <c r="MNL190" s="5"/>
      <c r="MNM190" s="5"/>
      <c r="MNN190" s="5"/>
      <c r="MNO190" s="5"/>
      <c r="MNP190" s="5"/>
      <c r="MNQ190" s="5"/>
      <c r="MNR190" s="5"/>
      <c r="MNS190" s="5"/>
      <c r="MNT190" s="5"/>
      <c r="MNU190" s="5"/>
      <c r="MNV190" s="5"/>
      <c r="MNW190" s="5"/>
      <c r="MNX190" s="5"/>
      <c r="MNY190" s="5"/>
      <c r="MNZ190" s="5"/>
      <c r="MOA190" s="5"/>
      <c r="MOB190" s="5"/>
      <c r="MOC190" s="5"/>
      <c r="MOD190" s="5"/>
      <c r="MOE190" s="5"/>
      <c r="MOF190" s="5"/>
      <c r="MOG190" s="5"/>
      <c r="MOH190" s="5"/>
      <c r="MOI190" s="5"/>
      <c r="MOJ190" s="5"/>
      <c r="MOK190" s="5"/>
      <c r="MOL190" s="5"/>
      <c r="MOM190" s="5"/>
      <c r="MON190" s="5"/>
      <c r="MOO190" s="5"/>
      <c r="MOP190" s="5"/>
      <c r="MOQ190" s="5"/>
      <c r="MOR190" s="5"/>
      <c r="MOS190" s="5"/>
      <c r="MOT190" s="5"/>
      <c r="MOU190" s="5"/>
      <c r="MOV190" s="5"/>
      <c r="MOW190" s="5"/>
      <c r="MOX190" s="5"/>
      <c r="MOY190" s="5"/>
      <c r="MOZ190" s="5"/>
      <c r="MPA190" s="5"/>
      <c r="MPB190" s="5"/>
      <c r="MPC190" s="5"/>
      <c r="MPD190" s="5"/>
      <c r="MPE190" s="5"/>
      <c r="MPF190" s="5"/>
      <c r="MPG190" s="5"/>
      <c r="MPH190" s="5"/>
      <c r="MPI190" s="5"/>
      <c r="MPJ190" s="5"/>
      <c r="MPK190" s="5"/>
      <c r="MPL190" s="5"/>
      <c r="MPM190" s="5"/>
      <c r="MPN190" s="5"/>
      <c r="MPO190" s="5"/>
      <c r="MPP190" s="5"/>
      <c r="MPQ190" s="5"/>
      <c r="MPR190" s="5"/>
      <c r="MPS190" s="5"/>
      <c r="MPT190" s="5"/>
      <c r="MPU190" s="5"/>
      <c r="MPV190" s="5"/>
      <c r="MPW190" s="5"/>
      <c r="MPX190" s="5"/>
      <c r="MPY190" s="5"/>
      <c r="MPZ190" s="5"/>
      <c r="MQA190" s="5"/>
      <c r="MQB190" s="5"/>
      <c r="MQC190" s="5"/>
      <c r="MQD190" s="5"/>
      <c r="MQE190" s="5"/>
      <c r="MQF190" s="5"/>
      <c r="MQG190" s="5"/>
      <c r="MQH190" s="5"/>
      <c r="MQI190" s="5"/>
      <c r="MQJ190" s="5"/>
      <c r="MQK190" s="5"/>
      <c r="MQL190" s="5"/>
      <c r="MQM190" s="5"/>
      <c r="MQN190" s="5"/>
      <c r="MQO190" s="5"/>
      <c r="MQP190" s="5"/>
      <c r="MQQ190" s="5"/>
      <c r="MQR190" s="5"/>
      <c r="MQS190" s="5"/>
      <c r="MQT190" s="5"/>
      <c r="MQU190" s="5"/>
      <c r="MQV190" s="5"/>
      <c r="MQW190" s="5"/>
      <c r="MQX190" s="5"/>
      <c r="MQY190" s="5"/>
      <c r="MQZ190" s="5"/>
      <c r="MRA190" s="5"/>
      <c r="MRB190" s="5"/>
      <c r="MRC190" s="5"/>
      <c r="MRD190" s="5"/>
      <c r="MRE190" s="5"/>
      <c r="MRF190" s="5"/>
      <c r="MRG190" s="5"/>
      <c r="MRH190" s="5"/>
      <c r="MRI190" s="5"/>
      <c r="MRJ190" s="5"/>
      <c r="MRK190" s="5"/>
      <c r="MRL190" s="5"/>
      <c r="MRM190" s="5"/>
      <c r="MRN190" s="5"/>
      <c r="MRO190" s="5"/>
      <c r="MRP190" s="5"/>
      <c r="MRQ190" s="5"/>
      <c r="MRR190" s="5"/>
      <c r="MRS190" s="5"/>
      <c r="MRT190" s="5"/>
      <c r="MRU190" s="5"/>
      <c r="MRV190" s="5"/>
      <c r="MRW190" s="5"/>
      <c r="MRX190" s="5"/>
      <c r="MRY190" s="5"/>
      <c r="MRZ190" s="5"/>
      <c r="MSA190" s="5"/>
      <c r="MSB190" s="5"/>
      <c r="MSC190" s="5"/>
      <c r="MSD190" s="5"/>
      <c r="MSE190" s="5"/>
      <c r="MSF190" s="5"/>
      <c r="MSG190" s="5"/>
      <c r="MSH190" s="5"/>
      <c r="MSI190" s="5"/>
      <c r="MSJ190" s="5"/>
      <c r="MSK190" s="5"/>
      <c r="MSL190" s="5"/>
      <c r="MSM190" s="5"/>
      <c r="MSN190" s="5"/>
      <c r="MSO190" s="5"/>
      <c r="MSP190" s="5"/>
      <c r="MSQ190" s="5"/>
      <c r="MSR190" s="5"/>
      <c r="MSS190" s="5"/>
      <c r="MST190" s="5"/>
      <c r="MSU190" s="5"/>
      <c r="MSV190" s="5"/>
      <c r="MSW190" s="5"/>
      <c r="MSX190" s="5"/>
      <c r="MSY190" s="5"/>
      <c r="MSZ190" s="5"/>
      <c r="MTA190" s="5"/>
      <c r="MTB190" s="5"/>
      <c r="MTC190" s="5"/>
      <c r="MTD190" s="5"/>
      <c r="MTE190" s="5"/>
      <c r="MTF190" s="5"/>
      <c r="MTG190" s="5"/>
      <c r="MTH190" s="5"/>
      <c r="MTI190" s="5"/>
      <c r="MTJ190" s="5"/>
      <c r="MTK190" s="5"/>
      <c r="MTL190" s="5"/>
      <c r="MTM190" s="5"/>
      <c r="MTN190" s="5"/>
      <c r="MTO190" s="5"/>
      <c r="MTP190" s="5"/>
      <c r="MTQ190" s="5"/>
      <c r="MTR190" s="5"/>
      <c r="MTS190" s="5"/>
      <c r="MTT190" s="5"/>
      <c r="MTU190" s="5"/>
      <c r="MTV190" s="5"/>
      <c r="MTW190" s="5"/>
      <c r="MTX190" s="5"/>
      <c r="MTY190" s="5"/>
      <c r="MTZ190" s="5"/>
      <c r="MUA190" s="5"/>
      <c r="MUB190" s="5"/>
      <c r="MUC190" s="5"/>
      <c r="MUD190" s="5"/>
      <c r="MUE190" s="5"/>
      <c r="MUF190" s="5"/>
      <c r="MUG190" s="5"/>
      <c r="MUH190" s="5"/>
      <c r="MUI190" s="5"/>
      <c r="MUJ190" s="5"/>
      <c r="MUK190" s="5"/>
      <c r="MUL190" s="5"/>
      <c r="MUM190" s="5"/>
      <c r="MUN190" s="5"/>
      <c r="MUO190" s="5"/>
      <c r="MUP190" s="5"/>
      <c r="MUQ190" s="5"/>
      <c r="MUR190" s="5"/>
      <c r="MUS190" s="5"/>
      <c r="MUT190" s="5"/>
      <c r="MUU190" s="5"/>
      <c r="MUV190" s="5"/>
      <c r="MUW190" s="5"/>
      <c r="MUX190" s="5"/>
      <c r="MUY190" s="5"/>
      <c r="MUZ190" s="5"/>
      <c r="MVA190" s="5"/>
      <c r="MVB190" s="5"/>
      <c r="MVC190" s="5"/>
      <c r="MVD190" s="5"/>
      <c r="MVE190" s="5"/>
      <c r="MVF190" s="5"/>
      <c r="MVG190" s="5"/>
      <c r="MVH190" s="5"/>
      <c r="MVI190" s="5"/>
      <c r="MVJ190" s="5"/>
      <c r="MVK190" s="5"/>
      <c r="MVL190" s="5"/>
      <c r="MVM190" s="5"/>
      <c r="MVN190" s="5"/>
      <c r="MVO190" s="5"/>
      <c r="MVP190" s="5"/>
      <c r="MVQ190" s="5"/>
      <c r="MVR190" s="5"/>
      <c r="MVS190" s="5"/>
      <c r="MVT190" s="5"/>
      <c r="MVU190" s="5"/>
      <c r="MVV190" s="5"/>
      <c r="MVW190" s="5"/>
      <c r="MVX190" s="5"/>
      <c r="MVY190" s="5"/>
      <c r="MVZ190" s="5"/>
      <c r="MWA190" s="5"/>
      <c r="MWB190" s="5"/>
      <c r="MWC190" s="5"/>
      <c r="MWD190" s="5"/>
      <c r="MWE190" s="5"/>
      <c r="MWF190" s="5"/>
      <c r="MWG190" s="5"/>
      <c r="MWH190" s="5"/>
      <c r="MWI190" s="5"/>
      <c r="MWJ190" s="5"/>
      <c r="MWK190" s="5"/>
      <c r="MWL190" s="5"/>
      <c r="MWM190" s="5"/>
      <c r="MWN190" s="5"/>
      <c r="MWO190" s="5"/>
      <c r="MWP190" s="5"/>
      <c r="MWQ190" s="5"/>
      <c r="MWR190" s="5"/>
      <c r="MWS190" s="5"/>
      <c r="MWT190" s="5"/>
      <c r="MWU190" s="5"/>
      <c r="MWV190" s="5"/>
      <c r="MWW190" s="5"/>
      <c r="MWX190" s="5"/>
      <c r="MWY190" s="5"/>
      <c r="MWZ190" s="5"/>
      <c r="MXA190" s="5"/>
      <c r="MXB190" s="5"/>
      <c r="MXC190" s="5"/>
      <c r="MXD190" s="5"/>
      <c r="MXE190" s="5"/>
      <c r="MXF190" s="5"/>
      <c r="MXG190" s="5"/>
      <c r="MXH190" s="5"/>
      <c r="MXI190" s="5"/>
      <c r="MXJ190" s="5"/>
      <c r="MXK190" s="5"/>
      <c r="MXL190" s="5"/>
      <c r="MXM190" s="5"/>
      <c r="MXN190" s="5"/>
      <c r="MXO190" s="5"/>
      <c r="MXP190" s="5"/>
      <c r="MXQ190" s="5"/>
      <c r="MXR190" s="5"/>
      <c r="MXS190" s="5"/>
      <c r="MXT190" s="5"/>
      <c r="MXU190" s="5"/>
      <c r="MXV190" s="5"/>
      <c r="MXW190" s="5"/>
      <c r="MXX190" s="5"/>
      <c r="MXY190" s="5"/>
      <c r="MXZ190" s="5"/>
      <c r="MYA190" s="5"/>
      <c r="MYB190" s="5"/>
      <c r="MYC190" s="5"/>
      <c r="MYD190" s="5"/>
      <c r="MYE190" s="5"/>
      <c r="MYF190" s="5"/>
      <c r="MYG190" s="5"/>
      <c r="MYH190" s="5"/>
      <c r="MYI190" s="5"/>
      <c r="MYJ190" s="5"/>
      <c r="MYK190" s="5"/>
      <c r="MYL190" s="5"/>
      <c r="MYM190" s="5"/>
      <c r="MYN190" s="5"/>
      <c r="MYO190" s="5"/>
      <c r="MYP190" s="5"/>
      <c r="MYQ190" s="5"/>
      <c r="MYR190" s="5"/>
      <c r="MYS190" s="5"/>
      <c r="MYT190" s="5"/>
      <c r="MYU190" s="5"/>
      <c r="MYV190" s="5"/>
      <c r="MYW190" s="5"/>
      <c r="MYX190" s="5"/>
      <c r="MYY190" s="5"/>
      <c r="MYZ190" s="5"/>
      <c r="MZA190" s="5"/>
      <c r="MZB190" s="5"/>
      <c r="MZC190" s="5"/>
      <c r="MZD190" s="5"/>
      <c r="MZE190" s="5"/>
      <c r="MZF190" s="5"/>
      <c r="MZG190" s="5"/>
      <c r="MZH190" s="5"/>
      <c r="MZI190" s="5"/>
      <c r="MZJ190" s="5"/>
      <c r="MZK190" s="5"/>
      <c r="MZL190" s="5"/>
      <c r="MZM190" s="5"/>
      <c r="MZN190" s="5"/>
      <c r="MZO190" s="5"/>
      <c r="MZP190" s="5"/>
      <c r="MZQ190" s="5"/>
      <c r="MZR190" s="5"/>
      <c r="MZS190" s="5"/>
      <c r="MZT190" s="5"/>
      <c r="MZU190" s="5"/>
      <c r="MZV190" s="5"/>
      <c r="MZW190" s="5"/>
      <c r="MZX190" s="5"/>
      <c r="MZY190" s="5"/>
      <c r="MZZ190" s="5"/>
      <c r="NAA190" s="5"/>
      <c r="NAB190" s="5"/>
      <c r="NAC190" s="5"/>
      <c r="NAD190" s="5"/>
      <c r="NAE190" s="5"/>
      <c r="NAF190" s="5"/>
      <c r="NAG190" s="5"/>
      <c r="NAH190" s="5"/>
      <c r="NAI190" s="5"/>
      <c r="NAJ190" s="5"/>
      <c r="NAK190" s="5"/>
      <c r="NAL190" s="5"/>
      <c r="NAM190" s="5"/>
      <c r="NAN190" s="5"/>
      <c r="NAO190" s="5"/>
      <c r="NAP190" s="5"/>
      <c r="NAQ190" s="5"/>
      <c r="NAR190" s="5"/>
      <c r="NAS190" s="5"/>
      <c r="NAT190" s="5"/>
      <c r="NAU190" s="5"/>
      <c r="NAV190" s="5"/>
      <c r="NAW190" s="5"/>
      <c r="NAX190" s="5"/>
      <c r="NAY190" s="5"/>
      <c r="NAZ190" s="5"/>
      <c r="NBA190" s="5"/>
      <c r="NBB190" s="5"/>
      <c r="NBC190" s="5"/>
      <c r="NBD190" s="5"/>
      <c r="NBE190" s="5"/>
      <c r="NBF190" s="5"/>
      <c r="NBG190" s="5"/>
      <c r="NBH190" s="5"/>
      <c r="NBI190" s="5"/>
      <c r="NBJ190" s="5"/>
      <c r="NBK190" s="5"/>
      <c r="NBL190" s="5"/>
      <c r="NBM190" s="5"/>
      <c r="NBN190" s="5"/>
      <c r="NBO190" s="5"/>
      <c r="NBP190" s="5"/>
      <c r="NBQ190" s="5"/>
      <c r="NBR190" s="5"/>
      <c r="NBS190" s="5"/>
      <c r="NBT190" s="5"/>
      <c r="NBU190" s="5"/>
      <c r="NBV190" s="5"/>
      <c r="NBW190" s="5"/>
      <c r="NBX190" s="5"/>
      <c r="NBY190" s="5"/>
      <c r="NBZ190" s="5"/>
      <c r="NCA190" s="5"/>
      <c r="NCB190" s="5"/>
      <c r="NCC190" s="5"/>
      <c r="NCD190" s="5"/>
      <c r="NCE190" s="5"/>
      <c r="NCF190" s="5"/>
      <c r="NCG190" s="5"/>
      <c r="NCH190" s="5"/>
      <c r="NCI190" s="5"/>
      <c r="NCJ190" s="5"/>
      <c r="NCK190" s="5"/>
      <c r="NCL190" s="5"/>
      <c r="NCM190" s="5"/>
      <c r="NCN190" s="5"/>
      <c r="NCO190" s="5"/>
      <c r="NCP190" s="5"/>
      <c r="NCQ190" s="5"/>
      <c r="NCR190" s="5"/>
      <c r="NCS190" s="5"/>
      <c r="NCT190" s="5"/>
      <c r="NCU190" s="5"/>
      <c r="NCV190" s="5"/>
      <c r="NCW190" s="5"/>
      <c r="NCX190" s="5"/>
      <c r="NCY190" s="5"/>
      <c r="NCZ190" s="5"/>
      <c r="NDA190" s="5"/>
      <c r="NDB190" s="5"/>
      <c r="NDC190" s="5"/>
      <c r="NDD190" s="5"/>
      <c r="NDE190" s="5"/>
      <c r="NDF190" s="5"/>
      <c r="NDG190" s="5"/>
      <c r="NDH190" s="5"/>
      <c r="NDI190" s="5"/>
      <c r="NDJ190" s="5"/>
      <c r="NDK190" s="5"/>
      <c r="NDL190" s="5"/>
      <c r="NDM190" s="5"/>
      <c r="NDN190" s="5"/>
      <c r="NDO190" s="5"/>
      <c r="NDP190" s="5"/>
      <c r="NDQ190" s="5"/>
      <c r="NDR190" s="5"/>
      <c r="NDS190" s="5"/>
      <c r="NDT190" s="5"/>
      <c r="NDU190" s="5"/>
      <c r="NDV190" s="5"/>
      <c r="NDW190" s="5"/>
      <c r="NDX190" s="5"/>
      <c r="NDY190" s="5"/>
      <c r="NDZ190" s="5"/>
      <c r="NEA190" s="5"/>
      <c r="NEB190" s="5"/>
      <c r="NEC190" s="5"/>
      <c r="NED190" s="5"/>
      <c r="NEE190" s="5"/>
      <c r="NEF190" s="5"/>
      <c r="NEG190" s="5"/>
      <c r="NEH190" s="5"/>
      <c r="NEI190" s="5"/>
      <c r="NEJ190" s="5"/>
      <c r="NEK190" s="5"/>
      <c r="NEL190" s="5"/>
      <c r="NEM190" s="5"/>
      <c r="NEN190" s="5"/>
      <c r="NEO190" s="5"/>
      <c r="NEP190" s="5"/>
      <c r="NEQ190" s="5"/>
      <c r="NER190" s="5"/>
      <c r="NES190" s="5"/>
      <c r="NET190" s="5"/>
      <c r="NEU190" s="5"/>
      <c r="NEV190" s="5"/>
      <c r="NEW190" s="5"/>
      <c r="NEX190" s="5"/>
      <c r="NEY190" s="5"/>
      <c r="NEZ190" s="5"/>
      <c r="NFA190" s="5"/>
      <c r="NFB190" s="5"/>
      <c r="NFC190" s="5"/>
      <c r="NFD190" s="5"/>
      <c r="NFE190" s="5"/>
      <c r="NFF190" s="5"/>
      <c r="NFG190" s="5"/>
      <c r="NFH190" s="5"/>
      <c r="NFI190" s="5"/>
      <c r="NFJ190" s="5"/>
      <c r="NFK190" s="5"/>
      <c r="NFL190" s="5"/>
      <c r="NFM190" s="5"/>
      <c r="NFN190" s="5"/>
      <c r="NFO190" s="5"/>
      <c r="NFP190" s="5"/>
      <c r="NFQ190" s="5"/>
      <c r="NFR190" s="5"/>
      <c r="NFS190" s="5"/>
      <c r="NFT190" s="5"/>
      <c r="NFU190" s="5"/>
      <c r="NFV190" s="5"/>
      <c r="NFW190" s="5"/>
      <c r="NFX190" s="5"/>
      <c r="NFY190" s="5"/>
      <c r="NFZ190" s="5"/>
      <c r="NGA190" s="5"/>
      <c r="NGB190" s="5"/>
      <c r="NGC190" s="5"/>
      <c r="NGD190" s="5"/>
      <c r="NGE190" s="5"/>
      <c r="NGF190" s="5"/>
      <c r="NGG190" s="5"/>
      <c r="NGH190" s="5"/>
      <c r="NGI190" s="5"/>
      <c r="NGJ190" s="5"/>
      <c r="NGK190" s="5"/>
      <c r="NGL190" s="5"/>
      <c r="NGM190" s="5"/>
      <c r="NGN190" s="5"/>
      <c r="NGO190" s="5"/>
      <c r="NGP190" s="5"/>
      <c r="NGQ190" s="5"/>
      <c r="NGR190" s="5"/>
      <c r="NGS190" s="5"/>
      <c r="NGT190" s="5"/>
      <c r="NGU190" s="5"/>
      <c r="NGV190" s="5"/>
      <c r="NGW190" s="5"/>
      <c r="NGX190" s="5"/>
      <c r="NGY190" s="5"/>
      <c r="NGZ190" s="5"/>
      <c r="NHA190" s="5"/>
      <c r="NHB190" s="5"/>
      <c r="NHC190" s="5"/>
      <c r="NHD190" s="5"/>
      <c r="NHE190" s="5"/>
      <c r="NHF190" s="5"/>
      <c r="NHG190" s="5"/>
      <c r="NHH190" s="5"/>
      <c r="NHI190" s="5"/>
      <c r="NHJ190" s="5"/>
      <c r="NHK190" s="5"/>
      <c r="NHL190" s="5"/>
      <c r="NHM190" s="5"/>
      <c r="NHN190" s="5"/>
      <c r="NHO190" s="5"/>
      <c r="NHP190" s="5"/>
      <c r="NHQ190" s="5"/>
      <c r="NHR190" s="5"/>
      <c r="NHS190" s="5"/>
      <c r="NHT190" s="5"/>
      <c r="NHU190" s="5"/>
      <c r="NHV190" s="5"/>
      <c r="NHW190" s="5"/>
      <c r="NHX190" s="5"/>
      <c r="NHY190" s="5"/>
      <c r="NHZ190" s="5"/>
      <c r="NIA190" s="5"/>
      <c r="NIB190" s="5"/>
      <c r="NIC190" s="5"/>
      <c r="NID190" s="5"/>
      <c r="NIE190" s="5"/>
      <c r="NIF190" s="5"/>
      <c r="NIG190" s="5"/>
      <c r="NIH190" s="5"/>
      <c r="NII190" s="5"/>
      <c r="NIJ190" s="5"/>
      <c r="NIK190" s="5"/>
      <c r="NIL190" s="5"/>
      <c r="NIM190" s="5"/>
      <c r="NIN190" s="5"/>
      <c r="NIO190" s="5"/>
      <c r="NIP190" s="5"/>
      <c r="NIQ190" s="5"/>
      <c r="NIR190" s="5"/>
      <c r="NIS190" s="5"/>
      <c r="NIT190" s="5"/>
      <c r="NIU190" s="5"/>
      <c r="NIV190" s="5"/>
      <c r="NIW190" s="5"/>
      <c r="NIX190" s="5"/>
      <c r="NIY190" s="5"/>
      <c r="NIZ190" s="5"/>
      <c r="NJA190" s="5"/>
      <c r="NJB190" s="5"/>
      <c r="NJC190" s="5"/>
      <c r="NJD190" s="5"/>
      <c r="NJE190" s="5"/>
      <c r="NJF190" s="5"/>
      <c r="NJG190" s="5"/>
      <c r="NJH190" s="5"/>
      <c r="NJI190" s="5"/>
      <c r="NJJ190" s="5"/>
      <c r="NJK190" s="5"/>
      <c r="NJL190" s="5"/>
      <c r="NJM190" s="5"/>
      <c r="NJN190" s="5"/>
      <c r="NJO190" s="5"/>
      <c r="NJP190" s="5"/>
      <c r="NJQ190" s="5"/>
      <c r="NJR190" s="5"/>
      <c r="NJS190" s="5"/>
      <c r="NJT190" s="5"/>
      <c r="NJU190" s="5"/>
      <c r="NJV190" s="5"/>
      <c r="NJW190" s="5"/>
      <c r="NJX190" s="5"/>
      <c r="NJY190" s="5"/>
      <c r="NJZ190" s="5"/>
      <c r="NKA190" s="5"/>
      <c r="NKB190" s="5"/>
      <c r="NKC190" s="5"/>
      <c r="NKD190" s="5"/>
      <c r="NKE190" s="5"/>
      <c r="NKF190" s="5"/>
      <c r="NKG190" s="5"/>
      <c r="NKH190" s="5"/>
      <c r="NKI190" s="5"/>
      <c r="NKJ190" s="5"/>
      <c r="NKK190" s="5"/>
      <c r="NKL190" s="5"/>
      <c r="NKM190" s="5"/>
      <c r="NKN190" s="5"/>
      <c r="NKO190" s="5"/>
      <c r="NKP190" s="5"/>
      <c r="NKQ190" s="5"/>
      <c r="NKR190" s="5"/>
      <c r="NKS190" s="5"/>
      <c r="NKT190" s="5"/>
      <c r="NKU190" s="5"/>
      <c r="NKV190" s="5"/>
      <c r="NKW190" s="5"/>
      <c r="NKX190" s="5"/>
      <c r="NKY190" s="5"/>
      <c r="NKZ190" s="5"/>
      <c r="NLA190" s="5"/>
      <c r="NLB190" s="5"/>
      <c r="NLC190" s="5"/>
      <c r="NLD190" s="5"/>
      <c r="NLE190" s="5"/>
      <c r="NLF190" s="5"/>
      <c r="NLG190" s="5"/>
      <c r="NLH190" s="5"/>
      <c r="NLI190" s="5"/>
      <c r="NLJ190" s="5"/>
      <c r="NLK190" s="5"/>
      <c r="NLL190" s="5"/>
      <c r="NLM190" s="5"/>
      <c r="NLN190" s="5"/>
      <c r="NLO190" s="5"/>
      <c r="NLP190" s="5"/>
      <c r="NLQ190" s="5"/>
      <c r="NLR190" s="5"/>
      <c r="NLS190" s="5"/>
      <c r="NLT190" s="5"/>
      <c r="NLU190" s="5"/>
      <c r="NLV190" s="5"/>
      <c r="NLW190" s="5"/>
      <c r="NLX190" s="5"/>
      <c r="NLY190" s="5"/>
      <c r="NLZ190" s="5"/>
      <c r="NMA190" s="5"/>
      <c r="NMB190" s="5"/>
      <c r="NMC190" s="5"/>
      <c r="NMD190" s="5"/>
      <c r="NME190" s="5"/>
      <c r="NMF190" s="5"/>
      <c r="NMG190" s="5"/>
      <c r="NMH190" s="5"/>
      <c r="NMI190" s="5"/>
      <c r="NMJ190" s="5"/>
      <c r="NMK190" s="5"/>
      <c r="NML190" s="5"/>
      <c r="NMM190" s="5"/>
      <c r="NMN190" s="5"/>
      <c r="NMO190" s="5"/>
      <c r="NMP190" s="5"/>
      <c r="NMQ190" s="5"/>
      <c r="NMR190" s="5"/>
      <c r="NMS190" s="5"/>
      <c r="NMT190" s="5"/>
      <c r="NMU190" s="5"/>
      <c r="NMV190" s="5"/>
      <c r="NMW190" s="5"/>
      <c r="NMX190" s="5"/>
      <c r="NMY190" s="5"/>
      <c r="NMZ190" s="5"/>
      <c r="NNA190" s="5"/>
      <c r="NNB190" s="5"/>
      <c r="NNC190" s="5"/>
      <c r="NND190" s="5"/>
      <c r="NNE190" s="5"/>
      <c r="NNF190" s="5"/>
      <c r="NNG190" s="5"/>
      <c r="NNH190" s="5"/>
      <c r="NNI190" s="5"/>
      <c r="NNJ190" s="5"/>
      <c r="NNK190" s="5"/>
      <c r="NNL190" s="5"/>
      <c r="NNM190" s="5"/>
      <c r="NNN190" s="5"/>
      <c r="NNO190" s="5"/>
      <c r="NNP190" s="5"/>
      <c r="NNQ190" s="5"/>
      <c r="NNR190" s="5"/>
      <c r="NNS190" s="5"/>
      <c r="NNT190" s="5"/>
      <c r="NNU190" s="5"/>
      <c r="NNV190" s="5"/>
      <c r="NNW190" s="5"/>
      <c r="NNX190" s="5"/>
      <c r="NNY190" s="5"/>
      <c r="NNZ190" s="5"/>
      <c r="NOA190" s="5"/>
      <c r="NOB190" s="5"/>
      <c r="NOC190" s="5"/>
      <c r="NOD190" s="5"/>
      <c r="NOE190" s="5"/>
      <c r="NOF190" s="5"/>
      <c r="NOG190" s="5"/>
      <c r="NOH190" s="5"/>
      <c r="NOI190" s="5"/>
      <c r="NOJ190" s="5"/>
      <c r="NOK190" s="5"/>
      <c r="NOL190" s="5"/>
      <c r="NOM190" s="5"/>
      <c r="NON190" s="5"/>
      <c r="NOO190" s="5"/>
      <c r="NOP190" s="5"/>
      <c r="NOQ190" s="5"/>
      <c r="NOR190" s="5"/>
      <c r="NOS190" s="5"/>
      <c r="NOT190" s="5"/>
      <c r="NOU190" s="5"/>
      <c r="NOV190" s="5"/>
      <c r="NOW190" s="5"/>
      <c r="NOX190" s="5"/>
      <c r="NOY190" s="5"/>
      <c r="NOZ190" s="5"/>
      <c r="NPA190" s="5"/>
      <c r="NPB190" s="5"/>
      <c r="NPC190" s="5"/>
      <c r="NPD190" s="5"/>
      <c r="NPE190" s="5"/>
      <c r="NPF190" s="5"/>
      <c r="NPG190" s="5"/>
      <c r="NPH190" s="5"/>
      <c r="NPI190" s="5"/>
      <c r="NPJ190" s="5"/>
      <c r="NPK190" s="5"/>
      <c r="NPL190" s="5"/>
      <c r="NPM190" s="5"/>
      <c r="NPN190" s="5"/>
      <c r="NPO190" s="5"/>
      <c r="NPP190" s="5"/>
      <c r="NPQ190" s="5"/>
      <c r="NPR190" s="5"/>
      <c r="NPS190" s="5"/>
      <c r="NPT190" s="5"/>
      <c r="NPU190" s="5"/>
      <c r="NPV190" s="5"/>
      <c r="NPW190" s="5"/>
      <c r="NPX190" s="5"/>
      <c r="NPY190" s="5"/>
      <c r="NPZ190" s="5"/>
      <c r="NQA190" s="5"/>
      <c r="NQB190" s="5"/>
      <c r="NQC190" s="5"/>
      <c r="NQD190" s="5"/>
      <c r="NQE190" s="5"/>
      <c r="NQF190" s="5"/>
      <c r="NQG190" s="5"/>
      <c r="NQH190" s="5"/>
      <c r="NQI190" s="5"/>
      <c r="NQJ190" s="5"/>
      <c r="NQK190" s="5"/>
      <c r="NQL190" s="5"/>
      <c r="NQM190" s="5"/>
      <c r="NQN190" s="5"/>
      <c r="NQO190" s="5"/>
      <c r="NQP190" s="5"/>
      <c r="NQQ190" s="5"/>
      <c r="NQR190" s="5"/>
      <c r="NQS190" s="5"/>
      <c r="NQT190" s="5"/>
      <c r="NQU190" s="5"/>
      <c r="NQV190" s="5"/>
      <c r="NQW190" s="5"/>
      <c r="NQX190" s="5"/>
      <c r="NQY190" s="5"/>
      <c r="NQZ190" s="5"/>
      <c r="NRA190" s="5"/>
      <c r="NRB190" s="5"/>
      <c r="NRC190" s="5"/>
      <c r="NRD190" s="5"/>
      <c r="NRE190" s="5"/>
      <c r="NRF190" s="5"/>
      <c r="NRG190" s="5"/>
      <c r="NRH190" s="5"/>
      <c r="NRI190" s="5"/>
      <c r="NRJ190" s="5"/>
      <c r="NRK190" s="5"/>
      <c r="NRL190" s="5"/>
      <c r="NRM190" s="5"/>
      <c r="NRN190" s="5"/>
      <c r="NRO190" s="5"/>
      <c r="NRP190" s="5"/>
      <c r="NRQ190" s="5"/>
      <c r="NRR190" s="5"/>
      <c r="NRS190" s="5"/>
      <c r="NRT190" s="5"/>
      <c r="NRU190" s="5"/>
      <c r="NRV190" s="5"/>
      <c r="NRW190" s="5"/>
      <c r="NRX190" s="5"/>
      <c r="NRY190" s="5"/>
      <c r="NRZ190" s="5"/>
      <c r="NSA190" s="5"/>
      <c r="NSB190" s="5"/>
      <c r="NSC190" s="5"/>
      <c r="NSD190" s="5"/>
      <c r="NSE190" s="5"/>
      <c r="NSF190" s="5"/>
      <c r="NSG190" s="5"/>
      <c r="NSH190" s="5"/>
      <c r="NSI190" s="5"/>
      <c r="NSJ190" s="5"/>
      <c r="NSK190" s="5"/>
      <c r="NSL190" s="5"/>
      <c r="NSM190" s="5"/>
      <c r="NSN190" s="5"/>
      <c r="NSO190" s="5"/>
      <c r="NSP190" s="5"/>
      <c r="NSQ190" s="5"/>
      <c r="NSR190" s="5"/>
      <c r="NSS190" s="5"/>
      <c r="NST190" s="5"/>
      <c r="NSU190" s="5"/>
      <c r="NSV190" s="5"/>
      <c r="NSW190" s="5"/>
      <c r="NSX190" s="5"/>
      <c r="NSY190" s="5"/>
      <c r="NSZ190" s="5"/>
      <c r="NTA190" s="5"/>
      <c r="NTB190" s="5"/>
      <c r="NTC190" s="5"/>
      <c r="NTD190" s="5"/>
      <c r="NTE190" s="5"/>
      <c r="NTF190" s="5"/>
      <c r="NTG190" s="5"/>
      <c r="NTH190" s="5"/>
      <c r="NTI190" s="5"/>
      <c r="NTJ190" s="5"/>
      <c r="NTK190" s="5"/>
      <c r="NTL190" s="5"/>
      <c r="NTM190" s="5"/>
      <c r="NTN190" s="5"/>
      <c r="NTO190" s="5"/>
      <c r="NTP190" s="5"/>
      <c r="NTQ190" s="5"/>
      <c r="NTR190" s="5"/>
      <c r="NTS190" s="5"/>
      <c r="NTT190" s="5"/>
      <c r="NTU190" s="5"/>
      <c r="NTV190" s="5"/>
      <c r="NTW190" s="5"/>
      <c r="NTX190" s="5"/>
      <c r="NTY190" s="5"/>
      <c r="NTZ190" s="5"/>
      <c r="NUA190" s="5"/>
      <c r="NUB190" s="5"/>
      <c r="NUC190" s="5"/>
      <c r="NUD190" s="5"/>
      <c r="NUE190" s="5"/>
      <c r="NUF190" s="5"/>
      <c r="NUG190" s="5"/>
      <c r="NUH190" s="5"/>
      <c r="NUI190" s="5"/>
      <c r="NUJ190" s="5"/>
      <c r="NUK190" s="5"/>
      <c r="NUL190" s="5"/>
      <c r="NUM190" s="5"/>
      <c r="NUN190" s="5"/>
      <c r="NUO190" s="5"/>
      <c r="NUP190" s="5"/>
      <c r="NUQ190" s="5"/>
      <c r="NUR190" s="5"/>
      <c r="NUS190" s="5"/>
      <c r="NUT190" s="5"/>
      <c r="NUU190" s="5"/>
      <c r="NUV190" s="5"/>
      <c r="NUW190" s="5"/>
      <c r="NUX190" s="5"/>
      <c r="NUY190" s="5"/>
      <c r="NUZ190" s="5"/>
      <c r="NVA190" s="5"/>
      <c r="NVB190" s="5"/>
      <c r="NVC190" s="5"/>
      <c r="NVD190" s="5"/>
      <c r="NVE190" s="5"/>
      <c r="NVF190" s="5"/>
      <c r="NVG190" s="5"/>
      <c r="NVH190" s="5"/>
      <c r="NVI190" s="5"/>
      <c r="NVJ190" s="5"/>
      <c r="NVK190" s="5"/>
      <c r="NVL190" s="5"/>
      <c r="NVM190" s="5"/>
      <c r="NVN190" s="5"/>
      <c r="NVO190" s="5"/>
      <c r="NVP190" s="5"/>
      <c r="NVQ190" s="5"/>
      <c r="NVR190" s="5"/>
      <c r="NVS190" s="5"/>
      <c r="NVT190" s="5"/>
      <c r="NVU190" s="5"/>
      <c r="NVV190" s="5"/>
      <c r="NVW190" s="5"/>
      <c r="NVX190" s="5"/>
      <c r="NVY190" s="5"/>
      <c r="NVZ190" s="5"/>
      <c r="NWA190" s="5"/>
      <c r="NWB190" s="5"/>
      <c r="NWC190" s="5"/>
      <c r="NWD190" s="5"/>
      <c r="NWE190" s="5"/>
      <c r="NWF190" s="5"/>
      <c r="NWG190" s="5"/>
      <c r="NWH190" s="5"/>
      <c r="NWI190" s="5"/>
      <c r="NWJ190" s="5"/>
      <c r="NWK190" s="5"/>
      <c r="NWL190" s="5"/>
      <c r="NWM190" s="5"/>
      <c r="NWN190" s="5"/>
      <c r="NWO190" s="5"/>
      <c r="NWP190" s="5"/>
      <c r="NWQ190" s="5"/>
      <c r="NWR190" s="5"/>
      <c r="NWS190" s="5"/>
      <c r="NWT190" s="5"/>
      <c r="NWU190" s="5"/>
      <c r="NWV190" s="5"/>
      <c r="NWW190" s="5"/>
      <c r="NWX190" s="5"/>
      <c r="NWY190" s="5"/>
      <c r="NWZ190" s="5"/>
      <c r="NXA190" s="5"/>
      <c r="NXB190" s="5"/>
      <c r="NXC190" s="5"/>
      <c r="NXD190" s="5"/>
      <c r="NXE190" s="5"/>
      <c r="NXF190" s="5"/>
      <c r="NXG190" s="5"/>
      <c r="NXH190" s="5"/>
      <c r="NXI190" s="5"/>
      <c r="NXJ190" s="5"/>
      <c r="NXK190" s="5"/>
      <c r="NXL190" s="5"/>
      <c r="NXM190" s="5"/>
      <c r="NXN190" s="5"/>
      <c r="NXO190" s="5"/>
      <c r="NXP190" s="5"/>
      <c r="NXQ190" s="5"/>
      <c r="NXR190" s="5"/>
      <c r="NXS190" s="5"/>
      <c r="NXT190" s="5"/>
      <c r="NXU190" s="5"/>
      <c r="NXV190" s="5"/>
      <c r="NXW190" s="5"/>
      <c r="NXX190" s="5"/>
      <c r="NXY190" s="5"/>
      <c r="NXZ190" s="5"/>
      <c r="NYA190" s="5"/>
      <c r="NYB190" s="5"/>
      <c r="NYC190" s="5"/>
      <c r="NYD190" s="5"/>
      <c r="NYE190" s="5"/>
      <c r="NYF190" s="5"/>
      <c r="NYG190" s="5"/>
      <c r="NYH190" s="5"/>
      <c r="NYI190" s="5"/>
      <c r="NYJ190" s="5"/>
      <c r="NYK190" s="5"/>
      <c r="NYL190" s="5"/>
      <c r="NYM190" s="5"/>
      <c r="NYN190" s="5"/>
      <c r="NYO190" s="5"/>
      <c r="NYP190" s="5"/>
      <c r="NYQ190" s="5"/>
      <c r="NYR190" s="5"/>
      <c r="NYS190" s="5"/>
      <c r="NYT190" s="5"/>
      <c r="NYU190" s="5"/>
      <c r="NYV190" s="5"/>
      <c r="NYW190" s="5"/>
      <c r="NYX190" s="5"/>
      <c r="NYY190" s="5"/>
      <c r="NYZ190" s="5"/>
      <c r="NZA190" s="5"/>
      <c r="NZB190" s="5"/>
      <c r="NZC190" s="5"/>
      <c r="NZD190" s="5"/>
      <c r="NZE190" s="5"/>
      <c r="NZF190" s="5"/>
      <c r="NZG190" s="5"/>
      <c r="NZH190" s="5"/>
      <c r="NZI190" s="5"/>
      <c r="NZJ190" s="5"/>
      <c r="NZK190" s="5"/>
      <c r="NZL190" s="5"/>
      <c r="NZM190" s="5"/>
      <c r="NZN190" s="5"/>
      <c r="NZO190" s="5"/>
      <c r="NZP190" s="5"/>
      <c r="NZQ190" s="5"/>
      <c r="NZR190" s="5"/>
      <c r="NZS190" s="5"/>
      <c r="NZT190" s="5"/>
      <c r="NZU190" s="5"/>
      <c r="NZV190" s="5"/>
      <c r="NZW190" s="5"/>
      <c r="NZX190" s="5"/>
      <c r="NZY190" s="5"/>
      <c r="NZZ190" s="5"/>
      <c r="OAA190" s="5"/>
      <c r="OAB190" s="5"/>
      <c r="OAC190" s="5"/>
      <c r="OAD190" s="5"/>
      <c r="OAE190" s="5"/>
      <c r="OAF190" s="5"/>
      <c r="OAG190" s="5"/>
      <c r="OAH190" s="5"/>
      <c r="OAI190" s="5"/>
      <c r="OAJ190" s="5"/>
      <c r="OAK190" s="5"/>
      <c r="OAL190" s="5"/>
      <c r="OAM190" s="5"/>
      <c r="OAN190" s="5"/>
      <c r="OAO190" s="5"/>
      <c r="OAP190" s="5"/>
      <c r="OAQ190" s="5"/>
      <c r="OAR190" s="5"/>
      <c r="OAS190" s="5"/>
      <c r="OAT190" s="5"/>
      <c r="OAU190" s="5"/>
      <c r="OAV190" s="5"/>
      <c r="OAW190" s="5"/>
      <c r="OAX190" s="5"/>
      <c r="OAY190" s="5"/>
      <c r="OAZ190" s="5"/>
      <c r="OBA190" s="5"/>
      <c r="OBB190" s="5"/>
      <c r="OBC190" s="5"/>
      <c r="OBD190" s="5"/>
      <c r="OBE190" s="5"/>
      <c r="OBF190" s="5"/>
      <c r="OBG190" s="5"/>
      <c r="OBH190" s="5"/>
      <c r="OBI190" s="5"/>
      <c r="OBJ190" s="5"/>
      <c r="OBK190" s="5"/>
      <c r="OBL190" s="5"/>
      <c r="OBM190" s="5"/>
      <c r="OBN190" s="5"/>
      <c r="OBO190" s="5"/>
      <c r="OBP190" s="5"/>
      <c r="OBQ190" s="5"/>
      <c r="OBR190" s="5"/>
      <c r="OBS190" s="5"/>
      <c r="OBT190" s="5"/>
      <c r="OBU190" s="5"/>
      <c r="OBV190" s="5"/>
      <c r="OBW190" s="5"/>
      <c r="OBX190" s="5"/>
      <c r="OBY190" s="5"/>
      <c r="OBZ190" s="5"/>
      <c r="OCA190" s="5"/>
      <c r="OCB190" s="5"/>
      <c r="OCC190" s="5"/>
      <c r="OCD190" s="5"/>
      <c r="OCE190" s="5"/>
      <c r="OCF190" s="5"/>
      <c r="OCG190" s="5"/>
      <c r="OCH190" s="5"/>
      <c r="OCI190" s="5"/>
      <c r="OCJ190" s="5"/>
      <c r="OCK190" s="5"/>
      <c r="OCL190" s="5"/>
      <c r="OCM190" s="5"/>
      <c r="OCN190" s="5"/>
      <c r="OCO190" s="5"/>
      <c r="OCP190" s="5"/>
      <c r="OCQ190" s="5"/>
      <c r="OCR190" s="5"/>
      <c r="OCS190" s="5"/>
      <c r="OCT190" s="5"/>
      <c r="OCU190" s="5"/>
      <c r="OCV190" s="5"/>
      <c r="OCW190" s="5"/>
      <c r="OCX190" s="5"/>
      <c r="OCY190" s="5"/>
      <c r="OCZ190" s="5"/>
      <c r="ODA190" s="5"/>
      <c r="ODB190" s="5"/>
      <c r="ODC190" s="5"/>
      <c r="ODD190" s="5"/>
      <c r="ODE190" s="5"/>
      <c r="ODF190" s="5"/>
      <c r="ODG190" s="5"/>
      <c r="ODH190" s="5"/>
      <c r="ODI190" s="5"/>
      <c r="ODJ190" s="5"/>
      <c r="ODK190" s="5"/>
      <c r="ODL190" s="5"/>
      <c r="ODM190" s="5"/>
      <c r="ODN190" s="5"/>
      <c r="ODO190" s="5"/>
      <c r="ODP190" s="5"/>
      <c r="ODQ190" s="5"/>
      <c r="ODR190" s="5"/>
      <c r="ODS190" s="5"/>
      <c r="ODT190" s="5"/>
      <c r="ODU190" s="5"/>
      <c r="ODV190" s="5"/>
      <c r="ODW190" s="5"/>
      <c r="ODX190" s="5"/>
      <c r="ODY190" s="5"/>
      <c r="ODZ190" s="5"/>
      <c r="OEA190" s="5"/>
      <c r="OEB190" s="5"/>
      <c r="OEC190" s="5"/>
      <c r="OED190" s="5"/>
      <c r="OEE190" s="5"/>
      <c r="OEF190" s="5"/>
      <c r="OEG190" s="5"/>
      <c r="OEH190" s="5"/>
      <c r="OEI190" s="5"/>
      <c r="OEJ190" s="5"/>
      <c r="OEK190" s="5"/>
      <c r="OEL190" s="5"/>
      <c r="OEM190" s="5"/>
      <c r="OEN190" s="5"/>
      <c r="OEO190" s="5"/>
      <c r="OEP190" s="5"/>
      <c r="OEQ190" s="5"/>
      <c r="OER190" s="5"/>
      <c r="OES190" s="5"/>
      <c r="OET190" s="5"/>
      <c r="OEU190" s="5"/>
      <c r="OEV190" s="5"/>
      <c r="OEW190" s="5"/>
      <c r="OEX190" s="5"/>
      <c r="OEY190" s="5"/>
      <c r="OEZ190" s="5"/>
      <c r="OFA190" s="5"/>
      <c r="OFB190" s="5"/>
      <c r="OFC190" s="5"/>
      <c r="OFD190" s="5"/>
      <c r="OFE190" s="5"/>
      <c r="OFF190" s="5"/>
      <c r="OFG190" s="5"/>
      <c r="OFH190" s="5"/>
      <c r="OFI190" s="5"/>
      <c r="OFJ190" s="5"/>
      <c r="OFK190" s="5"/>
      <c r="OFL190" s="5"/>
      <c r="OFM190" s="5"/>
      <c r="OFN190" s="5"/>
      <c r="OFO190" s="5"/>
      <c r="OFP190" s="5"/>
      <c r="OFQ190" s="5"/>
      <c r="OFR190" s="5"/>
      <c r="OFS190" s="5"/>
      <c r="OFT190" s="5"/>
      <c r="OFU190" s="5"/>
      <c r="OFV190" s="5"/>
      <c r="OFW190" s="5"/>
      <c r="OFX190" s="5"/>
      <c r="OFY190" s="5"/>
      <c r="OFZ190" s="5"/>
      <c r="OGA190" s="5"/>
      <c r="OGB190" s="5"/>
      <c r="OGC190" s="5"/>
      <c r="OGD190" s="5"/>
      <c r="OGE190" s="5"/>
      <c r="OGF190" s="5"/>
      <c r="OGG190" s="5"/>
      <c r="OGH190" s="5"/>
      <c r="OGI190" s="5"/>
      <c r="OGJ190" s="5"/>
      <c r="OGK190" s="5"/>
      <c r="OGL190" s="5"/>
      <c r="OGM190" s="5"/>
      <c r="OGN190" s="5"/>
      <c r="OGO190" s="5"/>
      <c r="OGP190" s="5"/>
      <c r="OGQ190" s="5"/>
      <c r="OGR190" s="5"/>
      <c r="OGS190" s="5"/>
      <c r="OGT190" s="5"/>
      <c r="OGU190" s="5"/>
      <c r="OGV190" s="5"/>
      <c r="OGW190" s="5"/>
      <c r="OGX190" s="5"/>
      <c r="OGY190" s="5"/>
      <c r="OGZ190" s="5"/>
      <c r="OHA190" s="5"/>
      <c r="OHB190" s="5"/>
      <c r="OHC190" s="5"/>
      <c r="OHD190" s="5"/>
      <c r="OHE190" s="5"/>
      <c r="OHF190" s="5"/>
      <c r="OHG190" s="5"/>
      <c r="OHH190" s="5"/>
      <c r="OHI190" s="5"/>
      <c r="OHJ190" s="5"/>
      <c r="OHK190" s="5"/>
      <c r="OHL190" s="5"/>
      <c r="OHM190" s="5"/>
      <c r="OHN190" s="5"/>
      <c r="OHO190" s="5"/>
      <c r="OHP190" s="5"/>
      <c r="OHQ190" s="5"/>
      <c r="OHR190" s="5"/>
      <c r="OHS190" s="5"/>
      <c r="OHT190" s="5"/>
      <c r="OHU190" s="5"/>
      <c r="OHV190" s="5"/>
      <c r="OHW190" s="5"/>
      <c r="OHX190" s="5"/>
      <c r="OHY190" s="5"/>
      <c r="OHZ190" s="5"/>
      <c r="OIA190" s="5"/>
      <c r="OIB190" s="5"/>
      <c r="OIC190" s="5"/>
      <c r="OID190" s="5"/>
      <c r="OIE190" s="5"/>
      <c r="OIF190" s="5"/>
      <c r="OIG190" s="5"/>
      <c r="OIH190" s="5"/>
      <c r="OII190" s="5"/>
      <c r="OIJ190" s="5"/>
      <c r="OIK190" s="5"/>
      <c r="OIL190" s="5"/>
      <c r="OIM190" s="5"/>
      <c r="OIN190" s="5"/>
      <c r="OIO190" s="5"/>
      <c r="OIP190" s="5"/>
      <c r="OIQ190" s="5"/>
      <c r="OIR190" s="5"/>
      <c r="OIS190" s="5"/>
      <c r="OIT190" s="5"/>
      <c r="OIU190" s="5"/>
      <c r="OIV190" s="5"/>
      <c r="OIW190" s="5"/>
      <c r="OIX190" s="5"/>
      <c r="OIY190" s="5"/>
      <c r="OIZ190" s="5"/>
      <c r="OJA190" s="5"/>
      <c r="OJB190" s="5"/>
      <c r="OJC190" s="5"/>
      <c r="OJD190" s="5"/>
      <c r="OJE190" s="5"/>
      <c r="OJF190" s="5"/>
      <c r="OJG190" s="5"/>
      <c r="OJH190" s="5"/>
      <c r="OJI190" s="5"/>
      <c r="OJJ190" s="5"/>
      <c r="OJK190" s="5"/>
      <c r="OJL190" s="5"/>
      <c r="OJM190" s="5"/>
      <c r="OJN190" s="5"/>
      <c r="OJO190" s="5"/>
      <c r="OJP190" s="5"/>
      <c r="OJQ190" s="5"/>
      <c r="OJR190" s="5"/>
      <c r="OJS190" s="5"/>
      <c r="OJT190" s="5"/>
      <c r="OJU190" s="5"/>
      <c r="OJV190" s="5"/>
      <c r="OJW190" s="5"/>
      <c r="OJX190" s="5"/>
      <c r="OJY190" s="5"/>
      <c r="OJZ190" s="5"/>
      <c r="OKA190" s="5"/>
      <c r="OKB190" s="5"/>
      <c r="OKC190" s="5"/>
      <c r="OKD190" s="5"/>
      <c r="OKE190" s="5"/>
      <c r="OKF190" s="5"/>
      <c r="OKG190" s="5"/>
      <c r="OKH190" s="5"/>
      <c r="OKI190" s="5"/>
      <c r="OKJ190" s="5"/>
      <c r="OKK190" s="5"/>
      <c r="OKL190" s="5"/>
      <c r="OKM190" s="5"/>
      <c r="OKN190" s="5"/>
      <c r="OKO190" s="5"/>
      <c r="OKP190" s="5"/>
      <c r="OKQ190" s="5"/>
      <c r="OKR190" s="5"/>
      <c r="OKS190" s="5"/>
      <c r="OKT190" s="5"/>
      <c r="OKU190" s="5"/>
      <c r="OKV190" s="5"/>
      <c r="OKW190" s="5"/>
      <c r="OKX190" s="5"/>
      <c r="OKY190" s="5"/>
      <c r="OKZ190" s="5"/>
      <c r="OLA190" s="5"/>
      <c r="OLB190" s="5"/>
      <c r="OLC190" s="5"/>
      <c r="OLD190" s="5"/>
      <c r="OLE190" s="5"/>
      <c r="OLF190" s="5"/>
      <c r="OLG190" s="5"/>
      <c r="OLH190" s="5"/>
      <c r="OLI190" s="5"/>
      <c r="OLJ190" s="5"/>
      <c r="OLK190" s="5"/>
      <c r="OLL190" s="5"/>
      <c r="OLM190" s="5"/>
      <c r="OLN190" s="5"/>
      <c r="OLO190" s="5"/>
      <c r="OLP190" s="5"/>
      <c r="OLQ190" s="5"/>
      <c r="OLR190" s="5"/>
      <c r="OLS190" s="5"/>
      <c r="OLT190" s="5"/>
      <c r="OLU190" s="5"/>
      <c r="OLV190" s="5"/>
      <c r="OLW190" s="5"/>
      <c r="OLX190" s="5"/>
      <c r="OLY190" s="5"/>
      <c r="OLZ190" s="5"/>
      <c r="OMA190" s="5"/>
      <c r="OMB190" s="5"/>
      <c r="OMC190" s="5"/>
      <c r="OMD190" s="5"/>
      <c r="OME190" s="5"/>
      <c r="OMF190" s="5"/>
      <c r="OMG190" s="5"/>
      <c r="OMH190" s="5"/>
      <c r="OMI190" s="5"/>
      <c r="OMJ190" s="5"/>
      <c r="OMK190" s="5"/>
      <c r="OML190" s="5"/>
      <c r="OMM190" s="5"/>
      <c r="OMN190" s="5"/>
      <c r="OMO190" s="5"/>
      <c r="OMP190" s="5"/>
      <c r="OMQ190" s="5"/>
      <c r="OMR190" s="5"/>
      <c r="OMS190" s="5"/>
      <c r="OMT190" s="5"/>
      <c r="OMU190" s="5"/>
      <c r="OMV190" s="5"/>
      <c r="OMW190" s="5"/>
      <c r="OMX190" s="5"/>
      <c r="OMY190" s="5"/>
      <c r="OMZ190" s="5"/>
      <c r="ONA190" s="5"/>
      <c r="ONB190" s="5"/>
      <c r="ONC190" s="5"/>
      <c r="OND190" s="5"/>
      <c r="ONE190" s="5"/>
      <c r="ONF190" s="5"/>
      <c r="ONG190" s="5"/>
      <c r="ONH190" s="5"/>
      <c r="ONI190" s="5"/>
      <c r="ONJ190" s="5"/>
      <c r="ONK190" s="5"/>
      <c r="ONL190" s="5"/>
      <c r="ONM190" s="5"/>
      <c r="ONN190" s="5"/>
      <c r="ONO190" s="5"/>
      <c r="ONP190" s="5"/>
      <c r="ONQ190" s="5"/>
      <c r="ONR190" s="5"/>
      <c r="ONS190" s="5"/>
      <c r="ONT190" s="5"/>
      <c r="ONU190" s="5"/>
      <c r="ONV190" s="5"/>
      <c r="ONW190" s="5"/>
      <c r="ONX190" s="5"/>
      <c r="ONY190" s="5"/>
      <c r="ONZ190" s="5"/>
      <c r="OOA190" s="5"/>
      <c r="OOB190" s="5"/>
      <c r="OOC190" s="5"/>
      <c r="OOD190" s="5"/>
      <c r="OOE190" s="5"/>
      <c r="OOF190" s="5"/>
      <c r="OOG190" s="5"/>
      <c r="OOH190" s="5"/>
      <c r="OOI190" s="5"/>
      <c r="OOJ190" s="5"/>
      <c r="OOK190" s="5"/>
      <c r="OOL190" s="5"/>
      <c r="OOM190" s="5"/>
      <c r="OON190" s="5"/>
      <c r="OOO190" s="5"/>
      <c r="OOP190" s="5"/>
      <c r="OOQ190" s="5"/>
      <c r="OOR190" s="5"/>
      <c r="OOS190" s="5"/>
      <c r="OOT190" s="5"/>
      <c r="OOU190" s="5"/>
      <c r="OOV190" s="5"/>
      <c r="OOW190" s="5"/>
      <c r="OOX190" s="5"/>
      <c r="OOY190" s="5"/>
      <c r="OOZ190" s="5"/>
      <c r="OPA190" s="5"/>
      <c r="OPB190" s="5"/>
      <c r="OPC190" s="5"/>
      <c r="OPD190" s="5"/>
      <c r="OPE190" s="5"/>
      <c r="OPF190" s="5"/>
      <c r="OPG190" s="5"/>
      <c r="OPH190" s="5"/>
      <c r="OPI190" s="5"/>
      <c r="OPJ190" s="5"/>
      <c r="OPK190" s="5"/>
      <c r="OPL190" s="5"/>
      <c r="OPM190" s="5"/>
      <c r="OPN190" s="5"/>
      <c r="OPO190" s="5"/>
      <c r="OPP190" s="5"/>
      <c r="OPQ190" s="5"/>
      <c r="OPR190" s="5"/>
      <c r="OPS190" s="5"/>
      <c r="OPT190" s="5"/>
      <c r="OPU190" s="5"/>
      <c r="OPV190" s="5"/>
      <c r="OPW190" s="5"/>
      <c r="OPX190" s="5"/>
      <c r="OPY190" s="5"/>
      <c r="OPZ190" s="5"/>
      <c r="OQA190" s="5"/>
      <c r="OQB190" s="5"/>
      <c r="OQC190" s="5"/>
      <c r="OQD190" s="5"/>
      <c r="OQE190" s="5"/>
      <c r="OQF190" s="5"/>
      <c r="OQG190" s="5"/>
      <c r="OQH190" s="5"/>
      <c r="OQI190" s="5"/>
      <c r="OQJ190" s="5"/>
      <c r="OQK190" s="5"/>
      <c r="OQL190" s="5"/>
      <c r="OQM190" s="5"/>
      <c r="OQN190" s="5"/>
      <c r="OQO190" s="5"/>
      <c r="OQP190" s="5"/>
      <c r="OQQ190" s="5"/>
      <c r="OQR190" s="5"/>
      <c r="OQS190" s="5"/>
      <c r="OQT190" s="5"/>
      <c r="OQU190" s="5"/>
      <c r="OQV190" s="5"/>
      <c r="OQW190" s="5"/>
      <c r="OQX190" s="5"/>
      <c r="OQY190" s="5"/>
      <c r="OQZ190" s="5"/>
      <c r="ORA190" s="5"/>
      <c r="ORB190" s="5"/>
      <c r="ORC190" s="5"/>
      <c r="ORD190" s="5"/>
      <c r="ORE190" s="5"/>
      <c r="ORF190" s="5"/>
      <c r="ORG190" s="5"/>
      <c r="ORH190" s="5"/>
      <c r="ORI190" s="5"/>
      <c r="ORJ190" s="5"/>
      <c r="ORK190" s="5"/>
      <c r="ORL190" s="5"/>
      <c r="ORM190" s="5"/>
      <c r="ORN190" s="5"/>
      <c r="ORO190" s="5"/>
      <c r="ORP190" s="5"/>
      <c r="ORQ190" s="5"/>
      <c r="ORR190" s="5"/>
      <c r="ORS190" s="5"/>
      <c r="ORT190" s="5"/>
      <c r="ORU190" s="5"/>
      <c r="ORV190" s="5"/>
      <c r="ORW190" s="5"/>
      <c r="ORX190" s="5"/>
      <c r="ORY190" s="5"/>
      <c r="ORZ190" s="5"/>
      <c r="OSA190" s="5"/>
      <c r="OSB190" s="5"/>
      <c r="OSC190" s="5"/>
      <c r="OSD190" s="5"/>
      <c r="OSE190" s="5"/>
      <c r="OSF190" s="5"/>
      <c r="OSG190" s="5"/>
      <c r="OSH190" s="5"/>
      <c r="OSI190" s="5"/>
      <c r="OSJ190" s="5"/>
      <c r="OSK190" s="5"/>
      <c r="OSL190" s="5"/>
      <c r="OSM190" s="5"/>
      <c r="OSN190" s="5"/>
      <c r="OSO190" s="5"/>
      <c r="OSP190" s="5"/>
      <c r="OSQ190" s="5"/>
      <c r="OSR190" s="5"/>
      <c r="OSS190" s="5"/>
      <c r="OST190" s="5"/>
      <c r="OSU190" s="5"/>
      <c r="OSV190" s="5"/>
      <c r="OSW190" s="5"/>
      <c r="OSX190" s="5"/>
      <c r="OSY190" s="5"/>
      <c r="OSZ190" s="5"/>
      <c r="OTA190" s="5"/>
      <c r="OTB190" s="5"/>
      <c r="OTC190" s="5"/>
      <c r="OTD190" s="5"/>
      <c r="OTE190" s="5"/>
      <c r="OTF190" s="5"/>
      <c r="OTG190" s="5"/>
      <c r="OTH190" s="5"/>
      <c r="OTI190" s="5"/>
      <c r="OTJ190" s="5"/>
      <c r="OTK190" s="5"/>
      <c r="OTL190" s="5"/>
      <c r="OTM190" s="5"/>
      <c r="OTN190" s="5"/>
      <c r="OTO190" s="5"/>
      <c r="OTP190" s="5"/>
      <c r="OTQ190" s="5"/>
      <c r="OTR190" s="5"/>
      <c r="OTS190" s="5"/>
      <c r="OTT190" s="5"/>
      <c r="OTU190" s="5"/>
      <c r="OTV190" s="5"/>
      <c r="OTW190" s="5"/>
      <c r="OTX190" s="5"/>
      <c r="OTY190" s="5"/>
      <c r="OTZ190" s="5"/>
      <c r="OUA190" s="5"/>
      <c r="OUB190" s="5"/>
      <c r="OUC190" s="5"/>
      <c r="OUD190" s="5"/>
      <c r="OUE190" s="5"/>
      <c r="OUF190" s="5"/>
      <c r="OUG190" s="5"/>
      <c r="OUH190" s="5"/>
      <c r="OUI190" s="5"/>
      <c r="OUJ190" s="5"/>
      <c r="OUK190" s="5"/>
      <c r="OUL190" s="5"/>
      <c r="OUM190" s="5"/>
      <c r="OUN190" s="5"/>
      <c r="OUO190" s="5"/>
      <c r="OUP190" s="5"/>
      <c r="OUQ190" s="5"/>
      <c r="OUR190" s="5"/>
      <c r="OUS190" s="5"/>
      <c r="OUT190" s="5"/>
      <c r="OUU190" s="5"/>
      <c r="OUV190" s="5"/>
      <c r="OUW190" s="5"/>
      <c r="OUX190" s="5"/>
      <c r="OUY190" s="5"/>
      <c r="OUZ190" s="5"/>
      <c r="OVA190" s="5"/>
      <c r="OVB190" s="5"/>
      <c r="OVC190" s="5"/>
      <c r="OVD190" s="5"/>
      <c r="OVE190" s="5"/>
      <c r="OVF190" s="5"/>
      <c r="OVG190" s="5"/>
      <c r="OVH190" s="5"/>
      <c r="OVI190" s="5"/>
      <c r="OVJ190" s="5"/>
      <c r="OVK190" s="5"/>
      <c r="OVL190" s="5"/>
      <c r="OVM190" s="5"/>
      <c r="OVN190" s="5"/>
      <c r="OVO190" s="5"/>
      <c r="OVP190" s="5"/>
      <c r="OVQ190" s="5"/>
      <c r="OVR190" s="5"/>
      <c r="OVS190" s="5"/>
      <c r="OVT190" s="5"/>
      <c r="OVU190" s="5"/>
      <c r="OVV190" s="5"/>
      <c r="OVW190" s="5"/>
      <c r="OVX190" s="5"/>
      <c r="OVY190" s="5"/>
      <c r="OVZ190" s="5"/>
      <c r="OWA190" s="5"/>
      <c r="OWB190" s="5"/>
      <c r="OWC190" s="5"/>
      <c r="OWD190" s="5"/>
      <c r="OWE190" s="5"/>
      <c r="OWF190" s="5"/>
      <c r="OWG190" s="5"/>
      <c r="OWH190" s="5"/>
      <c r="OWI190" s="5"/>
      <c r="OWJ190" s="5"/>
      <c r="OWK190" s="5"/>
      <c r="OWL190" s="5"/>
      <c r="OWM190" s="5"/>
      <c r="OWN190" s="5"/>
      <c r="OWO190" s="5"/>
      <c r="OWP190" s="5"/>
      <c r="OWQ190" s="5"/>
      <c r="OWR190" s="5"/>
      <c r="OWS190" s="5"/>
      <c r="OWT190" s="5"/>
      <c r="OWU190" s="5"/>
      <c r="OWV190" s="5"/>
      <c r="OWW190" s="5"/>
      <c r="OWX190" s="5"/>
      <c r="OWY190" s="5"/>
      <c r="OWZ190" s="5"/>
      <c r="OXA190" s="5"/>
      <c r="OXB190" s="5"/>
      <c r="OXC190" s="5"/>
      <c r="OXD190" s="5"/>
      <c r="OXE190" s="5"/>
      <c r="OXF190" s="5"/>
      <c r="OXG190" s="5"/>
      <c r="OXH190" s="5"/>
      <c r="OXI190" s="5"/>
      <c r="OXJ190" s="5"/>
      <c r="OXK190" s="5"/>
      <c r="OXL190" s="5"/>
      <c r="OXM190" s="5"/>
      <c r="OXN190" s="5"/>
      <c r="OXO190" s="5"/>
      <c r="OXP190" s="5"/>
      <c r="OXQ190" s="5"/>
      <c r="OXR190" s="5"/>
      <c r="OXS190" s="5"/>
      <c r="OXT190" s="5"/>
      <c r="OXU190" s="5"/>
      <c r="OXV190" s="5"/>
      <c r="OXW190" s="5"/>
      <c r="OXX190" s="5"/>
      <c r="OXY190" s="5"/>
      <c r="OXZ190" s="5"/>
      <c r="OYA190" s="5"/>
      <c r="OYB190" s="5"/>
      <c r="OYC190" s="5"/>
      <c r="OYD190" s="5"/>
      <c r="OYE190" s="5"/>
      <c r="OYF190" s="5"/>
      <c r="OYG190" s="5"/>
      <c r="OYH190" s="5"/>
      <c r="OYI190" s="5"/>
      <c r="OYJ190" s="5"/>
      <c r="OYK190" s="5"/>
      <c r="OYL190" s="5"/>
      <c r="OYM190" s="5"/>
      <c r="OYN190" s="5"/>
      <c r="OYO190" s="5"/>
      <c r="OYP190" s="5"/>
      <c r="OYQ190" s="5"/>
      <c r="OYR190" s="5"/>
      <c r="OYS190" s="5"/>
      <c r="OYT190" s="5"/>
      <c r="OYU190" s="5"/>
      <c r="OYV190" s="5"/>
      <c r="OYW190" s="5"/>
      <c r="OYX190" s="5"/>
      <c r="OYY190" s="5"/>
      <c r="OYZ190" s="5"/>
      <c r="OZA190" s="5"/>
      <c r="OZB190" s="5"/>
      <c r="OZC190" s="5"/>
      <c r="OZD190" s="5"/>
      <c r="OZE190" s="5"/>
      <c r="OZF190" s="5"/>
      <c r="OZG190" s="5"/>
      <c r="OZH190" s="5"/>
      <c r="OZI190" s="5"/>
      <c r="OZJ190" s="5"/>
      <c r="OZK190" s="5"/>
      <c r="OZL190" s="5"/>
      <c r="OZM190" s="5"/>
      <c r="OZN190" s="5"/>
      <c r="OZO190" s="5"/>
      <c r="OZP190" s="5"/>
      <c r="OZQ190" s="5"/>
      <c r="OZR190" s="5"/>
      <c r="OZS190" s="5"/>
      <c r="OZT190" s="5"/>
      <c r="OZU190" s="5"/>
      <c r="OZV190" s="5"/>
      <c r="OZW190" s="5"/>
      <c r="OZX190" s="5"/>
      <c r="OZY190" s="5"/>
      <c r="OZZ190" s="5"/>
      <c r="PAA190" s="5"/>
      <c r="PAB190" s="5"/>
      <c r="PAC190" s="5"/>
      <c r="PAD190" s="5"/>
      <c r="PAE190" s="5"/>
      <c r="PAF190" s="5"/>
      <c r="PAG190" s="5"/>
      <c r="PAH190" s="5"/>
      <c r="PAI190" s="5"/>
      <c r="PAJ190" s="5"/>
      <c r="PAK190" s="5"/>
      <c r="PAL190" s="5"/>
      <c r="PAM190" s="5"/>
      <c r="PAN190" s="5"/>
      <c r="PAO190" s="5"/>
      <c r="PAP190" s="5"/>
      <c r="PAQ190" s="5"/>
      <c r="PAR190" s="5"/>
      <c r="PAS190" s="5"/>
      <c r="PAT190" s="5"/>
      <c r="PAU190" s="5"/>
      <c r="PAV190" s="5"/>
      <c r="PAW190" s="5"/>
      <c r="PAX190" s="5"/>
      <c r="PAY190" s="5"/>
      <c r="PAZ190" s="5"/>
      <c r="PBA190" s="5"/>
      <c r="PBB190" s="5"/>
      <c r="PBC190" s="5"/>
      <c r="PBD190" s="5"/>
      <c r="PBE190" s="5"/>
      <c r="PBF190" s="5"/>
      <c r="PBG190" s="5"/>
      <c r="PBH190" s="5"/>
      <c r="PBI190" s="5"/>
      <c r="PBJ190" s="5"/>
      <c r="PBK190" s="5"/>
      <c r="PBL190" s="5"/>
      <c r="PBM190" s="5"/>
      <c r="PBN190" s="5"/>
      <c r="PBO190" s="5"/>
      <c r="PBP190" s="5"/>
      <c r="PBQ190" s="5"/>
      <c r="PBR190" s="5"/>
      <c r="PBS190" s="5"/>
      <c r="PBT190" s="5"/>
      <c r="PBU190" s="5"/>
      <c r="PBV190" s="5"/>
      <c r="PBW190" s="5"/>
      <c r="PBX190" s="5"/>
      <c r="PBY190" s="5"/>
      <c r="PBZ190" s="5"/>
      <c r="PCA190" s="5"/>
      <c r="PCB190" s="5"/>
      <c r="PCC190" s="5"/>
      <c r="PCD190" s="5"/>
      <c r="PCE190" s="5"/>
      <c r="PCF190" s="5"/>
      <c r="PCG190" s="5"/>
      <c r="PCH190" s="5"/>
      <c r="PCI190" s="5"/>
      <c r="PCJ190" s="5"/>
      <c r="PCK190" s="5"/>
      <c r="PCL190" s="5"/>
      <c r="PCM190" s="5"/>
      <c r="PCN190" s="5"/>
      <c r="PCO190" s="5"/>
      <c r="PCP190" s="5"/>
      <c r="PCQ190" s="5"/>
      <c r="PCR190" s="5"/>
      <c r="PCS190" s="5"/>
      <c r="PCT190" s="5"/>
      <c r="PCU190" s="5"/>
      <c r="PCV190" s="5"/>
      <c r="PCW190" s="5"/>
      <c r="PCX190" s="5"/>
      <c r="PCY190" s="5"/>
      <c r="PCZ190" s="5"/>
      <c r="PDA190" s="5"/>
      <c r="PDB190" s="5"/>
      <c r="PDC190" s="5"/>
      <c r="PDD190" s="5"/>
      <c r="PDE190" s="5"/>
      <c r="PDF190" s="5"/>
      <c r="PDG190" s="5"/>
      <c r="PDH190" s="5"/>
      <c r="PDI190" s="5"/>
      <c r="PDJ190" s="5"/>
      <c r="PDK190" s="5"/>
      <c r="PDL190" s="5"/>
      <c r="PDM190" s="5"/>
      <c r="PDN190" s="5"/>
      <c r="PDO190" s="5"/>
      <c r="PDP190" s="5"/>
      <c r="PDQ190" s="5"/>
      <c r="PDR190" s="5"/>
      <c r="PDS190" s="5"/>
      <c r="PDT190" s="5"/>
      <c r="PDU190" s="5"/>
      <c r="PDV190" s="5"/>
      <c r="PDW190" s="5"/>
      <c r="PDX190" s="5"/>
      <c r="PDY190" s="5"/>
      <c r="PDZ190" s="5"/>
      <c r="PEA190" s="5"/>
      <c r="PEB190" s="5"/>
      <c r="PEC190" s="5"/>
      <c r="PED190" s="5"/>
      <c r="PEE190" s="5"/>
      <c r="PEF190" s="5"/>
      <c r="PEG190" s="5"/>
      <c r="PEH190" s="5"/>
      <c r="PEI190" s="5"/>
      <c r="PEJ190" s="5"/>
      <c r="PEK190" s="5"/>
      <c r="PEL190" s="5"/>
      <c r="PEM190" s="5"/>
      <c r="PEN190" s="5"/>
      <c r="PEO190" s="5"/>
      <c r="PEP190" s="5"/>
      <c r="PEQ190" s="5"/>
      <c r="PER190" s="5"/>
      <c r="PES190" s="5"/>
      <c r="PET190" s="5"/>
      <c r="PEU190" s="5"/>
      <c r="PEV190" s="5"/>
      <c r="PEW190" s="5"/>
      <c r="PEX190" s="5"/>
      <c r="PEY190" s="5"/>
      <c r="PEZ190" s="5"/>
      <c r="PFA190" s="5"/>
      <c r="PFB190" s="5"/>
      <c r="PFC190" s="5"/>
      <c r="PFD190" s="5"/>
      <c r="PFE190" s="5"/>
      <c r="PFF190" s="5"/>
      <c r="PFG190" s="5"/>
      <c r="PFH190" s="5"/>
      <c r="PFI190" s="5"/>
      <c r="PFJ190" s="5"/>
      <c r="PFK190" s="5"/>
      <c r="PFL190" s="5"/>
      <c r="PFM190" s="5"/>
      <c r="PFN190" s="5"/>
      <c r="PFO190" s="5"/>
      <c r="PFP190" s="5"/>
      <c r="PFQ190" s="5"/>
      <c r="PFR190" s="5"/>
      <c r="PFS190" s="5"/>
      <c r="PFT190" s="5"/>
      <c r="PFU190" s="5"/>
      <c r="PFV190" s="5"/>
      <c r="PFW190" s="5"/>
      <c r="PFX190" s="5"/>
      <c r="PFY190" s="5"/>
      <c r="PFZ190" s="5"/>
      <c r="PGA190" s="5"/>
      <c r="PGB190" s="5"/>
      <c r="PGC190" s="5"/>
      <c r="PGD190" s="5"/>
      <c r="PGE190" s="5"/>
      <c r="PGF190" s="5"/>
      <c r="PGG190" s="5"/>
      <c r="PGH190" s="5"/>
      <c r="PGI190" s="5"/>
      <c r="PGJ190" s="5"/>
      <c r="PGK190" s="5"/>
      <c r="PGL190" s="5"/>
      <c r="PGM190" s="5"/>
      <c r="PGN190" s="5"/>
      <c r="PGO190" s="5"/>
      <c r="PGP190" s="5"/>
      <c r="PGQ190" s="5"/>
      <c r="PGR190" s="5"/>
      <c r="PGS190" s="5"/>
      <c r="PGT190" s="5"/>
      <c r="PGU190" s="5"/>
      <c r="PGV190" s="5"/>
      <c r="PGW190" s="5"/>
      <c r="PGX190" s="5"/>
      <c r="PGY190" s="5"/>
      <c r="PGZ190" s="5"/>
      <c r="PHA190" s="5"/>
      <c r="PHB190" s="5"/>
      <c r="PHC190" s="5"/>
      <c r="PHD190" s="5"/>
      <c r="PHE190" s="5"/>
      <c r="PHF190" s="5"/>
      <c r="PHG190" s="5"/>
      <c r="PHH190" s="5"/>
      <c r="PHI190" s="5"/>
      <c r="PHJ190" s="5"/>
      <c r="PHK190" s="5"/>
      <c r="PHL190" s="5"/>
      <c r="PHM190" s="5"/>
      <c r="PHN190" s="5"/>
      <c r="PHO190" s="5"/>
      <c r="PHP190" s="5"/>
      <c r="PHQ190" s="5"/>
      <c r="PHR190" s="5"/>
      <c r="PHS190" s="5"/>
      <c r="PHT190" s="5"/>
      <c r="PHU190" s="5"/>
      <c r="PHV190" s="5"/>
      <c r="PHW190" s="5"/>
      <c r="PHX190" s="5"/>
      <c r="PHY190" s="5"/>
      <c r="PHZ190" s="5"/>
      <c r="PIA190" s="5"/>
      <c r="PIB190" s="5"/>
      <c r="PIC190" s="5"/>
      <c r="PID190" s="5"/>
      <c r="PIE190" s="5"/>
      <c r="PIF190" s="5"/>
      <c r="PIG190" s="5"/>
      <c r="PIH190" s="5"/>
      <c r="PII190" s="5"/>
      <c r="PIJ190" s="5"/>
      <c r="PIK190" s="5"/>
      <c r="PIL190" s="5"/>
      <c r="PIM190" s="5"/>
      <c r="PIN190" s="5"/>
      <c r="PIO190" s="5"/>
      <c r="PIP190" s="5"/>
      <c r="PIQ190" s="5"/>
      <c r="PIR190" s="5"/>
      <c r="PIS190" s="5"/>
      <c r="PIT190" s="5"/>
      <c r="PIU190" s="5"/>
      <c r="PIV190" s="5"/>
      <c r="PIW190" s="5"/>
      <c r="PIX190" s="5"/>
      <c r="PIY190" s="5"/>
      <c r="PIZ190" s="5"/>
      <c r="PJA190" s="5"/>
      <c r="PJB190" s="5"/>
      <c r="PJC190" s="5"/>
      <c r="PJD190" s="5"/>
      <c r="PJE190" s="5"/>
      <c r="PJF190" s="5"/>
      <c r="PJG190" s="5"/>
      <c r="PJH190" s="5"/>
      <c r="PJI190" s="5"/>
      <c r="PJJ190" s="5"/>
      <c r="PJK190" s="5"/>
      <c r="PJL190" s="5"/>
      <c r="PJM190" s="5"/>
      <c r="PJN190" s="5"/>
      <c r="PJO190" s="5"/>
      <c r="PJP190" s="5"/>
      <c r="PJQ190" s="5"/>
      <c r="PJR190" s="5"/>
      <c r="PJS190" s="5"/>
      <c r="PJT190" s="5"/>
      <c r="PJU190" s="5"/>
      <c r="PJV190" s="5"/>
      <c r="PJW190" s="5"/>
      <c r="PJX190" s="5"/>
      <c r="PJY190" s="5"/>
      <c r="PJZ190" s="5"/>
      <c r="PKA190" s="5"/>
      <c r="PKB190" s="5"/>
      <c r="PKC190" s="5"/>
      <c r="PKD190" s="5"/>
      <c r="PKE190" s="5"/>
      <c r="PKF190" s="5"/>
      <c r="PKG190" s="5"/>
      <c r="PKH190" s="5"/>
      <c r="PKI190" s="5"/>
      <c r="PKJ190" s="5"/>
      <c r="PKK190" s="5"/>
      <c r="PKL190" s="5"/>
      <c r="PKM190" s="5"/>
      <c r="PKN190" s="5"/>
      <c r="PKO190" s="5"/>
      <c r="PKP190" s="5"/>
      <c r="PKQ190" s="5"/>
      <c r="PKR190" s="5"/>
      <c r="PKS190" s="5"/>
      <c r="PKT190" s="5"/>
      <c r="PKU190" s="5"/>
      <c r="PKV190" s="5"/>
      <c r="PKW190" s="5"/>
      <c r="PKX190" s="5"/>
      <c r="PKY190" s="5"/>
      <c r="PKZ190" s="5"/>
      <c r="PLA190" s="5"/>
      <c r="PLB190" s="5"/>
      <c r="PLC190" s="5"/>
      <c r="PLD190" s="5"/>
      <c r="PLE190" s="5"/>
      <c r="PLF190" s="5"/>
      <c r="PLG190" s="5"/>
      <c r="PLH190" s="5"/>
      <c r="PLI190" s="5"/>
      <c r="PLJ190" s="5"/>
      <c r="PLK190" s="5"/>
      <c r="PLL190" s="5"/>
      <c r="PLM190" s="5"/>
      <c r="PLN190" s="5"/>
      <c r="PLO190" s="5"/>
      <c r="PLP190" s="5"/>
      <c r="PLQ190" s="5"/>
      <c r="PLR190" s="5"/>
      <c r="PLS190" s="5"/>
      <c r="PLT190" s="5"/>
      <c r="PLU190" s="5"/>
      <c r="PLV190" s="5"/>
      <c r="PLW190" s="5"/>
      <c r="PLX190" s="5"/>
      <c r="PLY190" s="5"/>
      <c r="PLZ190" s="5"/>
      <c r="PMA190" s="5"/>
      <c r="PMB190" s="5"/>
      <c r="PMC190" s="5"/>
      <c r="PMD190" s="5"/>
      <c r="PME190" s="5"/>
      <c r="PMF190" s="5"/>
      <c r="PMG190" s="5"/>
      <c r="PMH190" s="5"/>
      <c r="PMI190" s="5"/>
      <c r="PMJ190" s="5"/>
      <c r="PMK190" s="5"/>
      <c r="PML190" s="5"/>
      <c r="PMM190" s="5"/>
      <c r="PMN190" s="5"/>
      <c r="PMO190" s="5"/>
      <c r="PMP190" s="5"/>
      <c r="PMQ190" s="5"/>
      <c r="PMR190" s="5"/>
      <c r="PMS190" s="5"/>
      <c r="PMT190" s="5"/>
      <c r="PMU190" s="5"/>
      <c r="PMV190" s="5"/>
      <c r="PMW190" s="5"/>
      <c r="PMX190" s="5"/>
      <c r="PMY190" s="5"/>
      <c r="PMZ190" s="5"/>
      <c r="PNA190" s="5"/>
      <c r="PNB190" s="5"/>
      <c r="PNC190" s="5"/>
      <c r="PND190" s="5"/>
      <c r="PNE190" s="5"/>
      <c r="PNF190" s="5"/>
      <c r="PNG190" s="5"/>
      <c r="PNH190" s="5"/>
      <c r="PNI190" s="5"/>
      <c r="PNJ190" s="5"/>
      <c r="PNK190" s="5"/>
      <c r="PNL190" s="5"/>
      <c r="PNM190" s="5"/>
      <c r="PNN190" s="5"/>
      <c r="PNO190" s="5"/>
      <c r="PNP190" s="5"/>
      <c r="PNQ190" s="5"/>
      <c r="PNR190" s="5"/>
      <c r="PNS190" s="5"/>
      <c r="PNT190" s="5"/>
      <c r="PNU190" s="5"/>
      <c r="PNV190" s="5"/>
      <c r="PNW190" s="5"/>
      <c r="PNX190" s="5"/>
      <c r="PNY190" s="5"/>
      <c r="PNZ190" s="5"/>
      <c r="POA190" s="5"/>
      <c r="POB190" s="5"/>
      <c r="POC190" s="5"/>
      <c r="POD190" s="5"/>
      <c r="POE190" s="5"/>
      <c r="POF190" s="5"/>
      <c r="POG190" s="5"/>
      <c r="POH190" s="5"/>
      <c r="POI190" s="5"/>
      <c r="POJ190" s="5"/>
      <c r="POK190" s="5"/>
      <c r="POL190" s="5"/>
      <c r="POM190" s="5"/>
      <c r="PON190" s="5"/>
      <c r="POO190" s="5"/>
      <c r="POP190" s="5"/>
      <c r="POQ190" s="5"/>
      <c r="POR190" s="5"/>
      <c r="POS190" s="5"/>
      <c r="POT190" s="5"/>
      <c r="POU190" s="5"/>
      <c r="POV190" s="5"/>
      <c r="POW190" s="5"/>
      <c r="POX190" s="5"/>
      <c r="POY190" s="5"/>
      <c r="POZ190" s="5"/>
      <c r="PPA190" s="5"/>
      <c r="PPB190" s="5"/>
      <c r="PPC190" s="5"/>
      <c r="PPD190" s="5"/>
      <c r="PPE190" s="5"/>
      <c r="PPF190" s="5"/>
      <c r="PPG190" s="5"/>
      <c r="PPH190" s="5"/>
      <c r="PPI190" s="5"/>
      <c r="PPJ190" s="5"/>
      <c r="PPK190" s="5"/>
      <c r="PPL190" s="5"/>
      <c r="PPM190" s="5"/>
      <c r="PPN190" s="5"/>
      <c r="PPO190" s="5"/>
      <c r="PPP190" s="5"/>
      <c r="PPQ190" s="5"/>
      <c r="PPR190" s="5"/>
      <c r="PPS190" s="5"/>
      <c r="PPT190" s="5"/>
      <c r="PPU190" s="5"/>
      <c r="PPV190" s="5"/>
      <c r="PPW190" s="5"/>
      <c r="PPX190" s="5"/>
      <c r="PPY190" s="5"/>
      <c r="PPZ190" s="5"/>
      <c r="PQA190" s="5"/>
      <c r="PQB190" s="5"/>
      <c r="PQC190" s="5"/>
      <c r="PQD190" s="5"/>
      <c r="PQE190" s="5"/>
      <c r="PQF190" s="5"/>
      <c r="PQG190" s="5"/>
      <c r="PQH190" s="5"/>
      <c r="PQI190" s="5"/>
      <c r="PQJ190" s="5"/>
      <c r="PQK190" s="5"/>
      <c r="PQL190" s="5"/>
      <c r="PQM190" s="5"/>
      <c r="PQN190" s="5"/>
      <c r="PQO190" s="5"/>
      <c r="PQP190" s="5"/>
      <c r="PQQ190" s="5"/>
      <c r="PQR190" s="5"/>
      <c r="PQS190" s="5"/>
      <c r="PQT190" s="5"/>
      <c r="PQU190" s="5"/>
      <c r="PQV190" s="5"/>
      <c r="PQW190" s="5"/>
      <c r="PQX190" s="5"/>
      <c r="PQY190" s="5"/>
      <c r="PQZ190" s="5"/>
      <c r="PRA190" s="5"/>
      <c r="PRB190" s="5"/>
      <c r="PRC190" s="5"/>
      <c r="PRD190" s="5"/>
      <c r="PRE190" s="5"/>
      <c r="PRF190" s="5"/>
      <c r="PRG190" s="5"/>
      <c r="PRH190" s="5"/>
      <c r="PRI190" s="5"/>
      <c r="PRJ190" s="5"/>
      <c r="PRK190" s="5"/>
      <c r="PRL190" s="5"/>
      <c r="PRM190" s="5"/>
      <c r="PRN190" s="5"/>
      <c r="PRO190" s="5"/>
      <c r="PRP190" s="5"/>
      <c r="PRQ190" s="5"/>
      <c r="PRR190" s="5"/>
      <c r="PRS190" s="5"/>
      <c r="PRT190" s="5"/>
      <c r="PRU190" s="5"/>
      <c r="PRV190" s="5"/>
      <c r="PRW190" s="5"/>
      <c r="PRX190" s="5"/>
      <c r="PRY190" s="5"/>
      <c r="PRZ190" s="5"/>
      <c r="PSA190" s="5"/>
      <c r="PSB190" s="5"/>
      <c r="PSC190" s="5"/>
      <c r="PSD190" s="5"/>
      <c r="PSE190" s="5"/>
      <c r="PSF190" s="5"/>
      <c r="PSG190" s="5"/>
      <c r="PSH190" s="5"/>
      <c r="PSI190" s="5"/>
      <c r="PSJ190" s="5"/>
      <c r="PSK190" s="5"/>
      <c r="PSL190" s="5"/>
      <c r="PSM190" s="5"/>
      <c r="PSN190" s="5"/>
      <c r="PSO190" s="5"/>
      <c r="PSP190" s="5"/>
      <c r="PSQ190" s="5"/>
      <c r="PSR190" s="5"/>
      <c r="PSS190" s="5"/>
      <c r="PST190" s="5"/>
      <c r="PSU190" s="5"/>
      <c r="PSV190" s="5"/>
      <c r="PSW190" s="5"/>
      <c r="PSX190" s="5"/>
      <c r="PSY190" s="5"/>
      <c r="PSZ190" s="5"/>
      <c r="PTA190" s="5"/>
      <c r="PTB190" s="5"/>
      <c r="PTC190" s="5"/>
      <c r="PTD190" s="5"/>
      <c r="PTE190" s="5"/>
      <c r="PTF190" s="5"/>
      <c r="PTG190" s="5"/>
      <c r="PTH190" s="5"/>
      <c r="PTI190" s="5"/>
      <c r="PTJ190" s="5"/>
      <c r="PTK190" s="5"/>
      <c r="PTL190" s="5"/>
      <c r="PTM190" s="5"/>
      <c r="PTN190" s="5"/>
      <c r="PTO190" s="5"/>
      <c r="PTP190" s="5"/>
      <c r="PTQ190" s="5"/>
      <c r="PTR190" s="5"/>
      <c r="PTS190" s="5"/>
      <c r="PTT190" s="5"/>
      <c r="PTU190" s="5"/>
      <c r="PTV190" s="5"/>
      <c r="PTW190" s="5"/>
      <c r="PTX190" s="5"/>
      <c r="PTY190" s="5"/>
      <c r="PTZ190" s="5"/>
      <c r="PUA190" s="5"/>
      <c r="PUB190" s="5"/>
      <c r="PUC190" s="5"/>
      <c r="PUD190" s="5"/>
      <c r="PUE190" s="5"/>
      <c r="PUF190" s="5"/>
      <c r="PUG190" s="5"/>
      <c r="PUH190" s="5"/>
      <c r="PUI190" s="5"/>
      <c r="PUJ190" s="5"/>
      <c r="PUK190" s="5"/>
      <c r="PUL190" s="5"/>
      <c r="PUM190" s="5"/>
      <c r="PUN190" s="5"/>
      <c r="PUO190" s="5"/>
      <c r="PUP190" s="5"/>
      <c r="PUQ190" s="5"/>
      <c r="PUR190" s="5"/>
      <c r="PUS190" s="5"/>
      <c r="PUT190" s="5"/>
      <c r="PUU190" s="5"/>
      <c r="PUV190" s="5"/>
      <c r="PUW190" s="5"/>
      <c r="PUX190" s="5"/>
      <c r="PUY190" s="5"/>
      <c r="PUZ190" s="5"/>
      <c r="PVA190" s="5"/>
      <c r="PVB190" s="5"/>
      <c r="PVC190" s="5"/>
      <c r="PVD190" s="5"/>
      <c r="PVE190" s="5"/>
      <c r="PVF190" s="5"/>
      <c r="PVG190" s="5"/>
      <c r="PVH190" s="5"/>
      <c r="PVI190" s="5"/>
      <c r="PVJ190" s="5"/>
      <c r="PVK190" s="5"/>
      <c r="PVL190" s="5"/>
      <c r="PVM190" s="5"/>
      <c r="PVN190" s="5"/>
      <c r="PVO190" s="5"/>
      <c r="PVP190" s="5"/>
      <c r="PVQ190" s="5"/>
      <c r="PVR190" s="5"/>
      <c r="PVS190" s="5"/>
      <c r="PVT190" s="5"/>
      <c r="PVU190" s="5"/>
      <c r="PVV190" s="5"/>
      <c r="PVW190" s="5"/>
      <c r="PVX190" s="5"/>
      <c r="PVY190" s="5"/>
      <c r="PVZ190" s="5"/>
      <c r="PWA190" s="5"/>
      <c r="PWB190" s="5"/>
      <c r="PWC190" s="5"/>
      <c r="PWD190" s="5"/>
      <c r="PWE190" s="5"/>
      <c r="PWF190" s="5"/>
      <c r="PWG190" s="5"/>
      <c r="PWH190" s="5"/>
      <c r="PWI190" s="5"/>
      <c r="PWJ190" s="5"/>
      <c r="PWK190" s="5"/>
      <c r="PWL190" s="5"/>
      <c r="PWM190" s="5"/>
      <c r="PWN190" s="5"/>
      <c r="PWO190" s="5"/>
      <c r="PWP190" s="5"/>
      <c r="PWQ190" s="5"/>
      <c r="PWR190" s="5"/>
      <c r="PWS190" s="5"/>
      <c r="PWT190" s="5"/>
      <c r="PWU190" s="5"/>
      <c r="PWV190" s="5"/>
      <c r="PWW190" s="5"/>
      <c r="PWX190" s="5"/>
      <c r="PWY190" s="5"/>
      <c r="PWZ190" s="5"/>
      <c r="PXA190" s="5"/>
      <c r="PXB190" s="5"/>
      <c r="PXC190" s="5"/>
      <c r="PXD190" s="5"/>
      <c r="PXE190" s="5"/>
      <c r="PXF190" s="5"/>
      <c r="PXG190" s="5"/>
      <c r="PXH190" s="5"/>
      <c r="PXI190" s="5"/>
      <c r="PXJ190" s="5"/>
      <c r="PXK190" s="5"/>
      <c r="PXL190" s="5"/>
      <c r="PXM190" s="5"/>
      <c r="PXN190" s="5"/>
      <c r="PXO190" s="5"/>
      <c r="PXP190" s="5"/>
      <c r="PXQ190" s="5"/>
      <c r="PXR190" s="5"/>
      <c r="PXS190" s="5"/>
      <c r="PXT190" s="5"/>
      <c r="PXU190" s="5"/>
      <c r="PXV190" s="5"/>
      <c r="PXW190" s="5"/>
      <c r="PXX190" s="5"/>
      <c r="PXY190" s="5"/>
      <c r="PXZ190" s="5"/>
      <c r="PYA190" s="5"/>
      <c r="PYB190" s="5"/>
      <c r="PYC190" s="5"/>
      <c r="PYD190" s="5"/>
      <c r="PYE190" s="5"/>
      <c r="PYF190" s="5"/>
      <c r="PYG190" s="5"/>
      <c r="PYH190" s="5"/>
      <c r="PYI190" s="5"/>
      <c r="PYJ190" s="5"/>
      <c r="PYK190" s="5"/>
      <c r="PYL190" s="5"/>
      <c r="PYM190" s="5"/>
      <c r="PYN190" s="5"/>
      <c r="PYO190" s="5"/>
      <c r="PYP190" s="5"/>
      <c r="PYQ190" s="5"/>
      <c r="PYR190" s="5"/>
      <c r="PYS190" s="5"/>
      <c r="PYT190" s="5"/>
      <c r="PYU190" s="5"/>
      <c r="PYV190" s="5"/>
      <c r="PYW190" s="5"/>
      <c r="PYX190" s="5"/>
      <c r="PYY190" s="5"/>
      <c r="PYZ190" s="5"/>
      <c r="PZA190" s="5"/>
      <c r="PZB190" s="5"/>
      <c r="PZC190" s="5"/>
      <c r="PZD190" s="5"/>
      <c r="PZE190" s="5"/>
      <c r="PZF190" s="5"/>
      <c r="PZG190" s="5"/>
      <c r="PZH190" s="5"/>
      <c r="PZI190" s="5"/>
      <c r="PZJ190" s="5"/>
      <c r="PZK190" s="5"/>
      <c r="PZL190" s="5"/>
      <c r="PZM190" s="5"/>
      <c r="PZN190" s="5"/>
      <c r="PZO190" s="5"/>
      <c r="PZP190" s="5"/>
      <c r="PZQ190" s="5"/>
      <c r="PZR190" s="5"/>
      <c r="PZS190" s="5"/>
      <c r="PZT190" s="5"/>
      <c r="PZU190" s="5"/>
      <c r="PZV190" s="5"/>
      <c r="PZW190" s="5"/>
      <c r="PZX190" s="5"/>
      <c r="PZY190" s="5"/>
      <c r="PZZ190" s="5"/>
      <c r="QAA190" s="5"/>
      <c r="QAB190" s="5"/>
      <c r="QAC190" s="5"/>
      <c r="QAD190" s="5"/>
      <c r="QAE190" s="5"/>
      <c r="QAF190" s="5"/>
      <c r="QAG190" s="5"/>
      <c r="QAH190" s="5"/>
      <c r="QAI190" s="5"/>
      <c r="QAJ190" s="5"/>
      <c r="QAK190" s="5"/>
      <c r="QAL190" s="5"/>
      <c r="QAM190" s="5"/>
      <c r="QAN190" s="5"/>
      <c r="QAO190" s="5"/>
      <c r="QAP190" s="5"/>
      <c r="QAQ190" s="5"/>
      <c r="QAR190" s="5"/>
      <c r="QAS190" s="5"/>
      <c r="QAT190" s="5"/>
      <c r="QAU190" s="5"/>
      <c r="QAV190" s="5"/>
      <c r="QAW190" s="5"/>
      <c r="QAX190" s="5"/>
      <c r="QAY190" s="5"/>
      <c r="QAZ190" s="5"/>
      <c r="QBA190" s="5"/>
      <c r="QBB190" s="5"/>
      <c r="QBC190" s="5"/>
      <c r="QBD190" s="5"/>
      <c r="QBE190" s="5"/>
      <c r="QBF190" s="5"/>
      <c r="QBG190" s="5"/>
      <c r="QBH190" s="5"/>
      <c r="QBI190" s="5"/>
      <c r="QBJ190" s="5"/>
      <c r="QBK190" s="5"/>
      <c r="QBL190" s="5"/>
      <c r="QBM190" s="5"/>
      <c r="QBN190" s="5"/>
      <c r="QBO190" s="5"/>
      <c r="QBP190" s="5"/>
      <c r="QBQ190" s="5"/>
      <c r="QBR190" s="5"/>
      <c r="QBS190" s="5"/>
      <c r="QBT190" s="5"/>
      <c r="QBU190" s="5"/>
      <c r="QBV190" s="5"/>
      <c r="QBW190" s="5"/>
      <c r="QBX190" s="5"/>
      <c r="QBY190" s="5"/>
      <c r="QBZ190" s="5"/>
      <c r="QCA190" s="5"/>
      <c r="QCB190" s="5"/>
      <c r="QCC190" s="5"/>
      <c r="QCD190" s="5"/>
      <c r="QCE190" s="5"/>
      <c r="QCF190" s="5"/>
      <c r="QCG190" s="5"/>
      <c r="QCH190" s="5"/>
      <c r="QCI190" s="5"/>
      <c r="QCJ190" s="5"/>
      <c r="QCK190" s="5"/>
      <c r="QCL190" s="5"/>
      <c r="QCM190" s="5"/>
      <c r="QCN190" s="5"/>
      <c r="QCO190" s="5"/>
      <c r="QCP190" s="5"/>
      <c r="QCQ190" s="5"/>
      <c r="QCR190" s="5"/>
      <c r="QCS190" s="5"/>
      <c r="QCT190" s="5"/>
      <c r="QCU190" s="5"/>
      <c r="QCV190" s="5"/>
      <c r="QCW190" s="5"/>
      <c r="QCX190" s="5"/>
      <c r="QCY190" s="5"/>
      <c r="QCZ190" s="5"/>
      <c r="QDA190" s="5"/>
      <c r="QDB190" s="5"/>
      <c r="QDC190" s="5"/>
      <c r="QDD190" s="5"/>
      <c r="QDE190" s="5"/>
      <c r="QDF190" s="5"/>
      <c r="QDG190" s="5"/>
      <c r="QDH190" s="5"/>
      <c r="QDI190" s="5"/>
      <c r="QDJ190" s="5"/>
      <c r="QDK190" s="5"/>
      <c r="QDL190" s="5"/>
      <c r="QDM190" s="5"/>
      <c r="QDN190" s="5"/>
      <c r="QDO190" s="5"/>
      <c r="QDP190" s="5"/>
      <c r="QDQ190" s="5"/>
      <c r="QDR190" s="5"/>
      <c r="QDS190" s="5"/>
      <c r="QDT190" s="5"/>
      <c r="QDU190" s="5"/>
      <c r="QDV190" s="5"/>
      <c r="QDW190" s="5"/>
      <c r="QDX190" s="5"/>
      <c r="QDY190" s="5"/>
      <c r="QDZ190" s="5"/>
      <c r="QEA190" s="5"/>
      <c r="QEB190" s="5"/>
      <c r="QEC190" s="5"/>
      <c r="QED190" s="5"/>
      <c r="QEE190" s="5"/>
      <c r="QEF190" s="5"/>
      <c r="QEG190" s="5"/>
      <c r="QEH190" s="5"/>
      <c r="QEI190" s="5"/>
      <c r="QEJ190" s="5"/>
      <c r="QEK190" s="5"/>
      <c r="QEL190" s="5"/>
      <c r="QEM190" s="5"/>
      <c r="QEN190" s="5"/>
      <c r="QEO190" s="5"/>
      <c r="QEP190" s="5"/>
      <c r="QEQ190" s="5"/>
      <c r="QER190" s="5"/>
      <c r="QES190" s="5"/>
      <c r="QET190" s="5"/>
      <c r="QEU190" s="5"/>
      <c r="QEV190" s="5"/>
      <c r="QEW190" s="5"/>
      <c r="QEX190" s="5"/>
      <c r="QEY190" s="5"/>
      <c r="QEZ190" s="5"/>
      <c r="QFA190" s="5"/>
      <c r="QFB190" s="5"/>
      <c r="QFC190" s="5"/>
      <c r="QFD190" s="5"/>
      <c r="QFE190" s="5"/>
      <c r="QFF190" s="5"/>
      <c r="QFG190" s="5"/>
      <c r="QFH190" s="5"/>
      <c r="QFI190" s="5"/>
      <c r="QFJ190" s="5"/>
      <c r="QFK190" s="5"/>
      <c r="QFL190" s="5"/>
      <c r="QFM190" s="5"/>
      <c r="QFN190" s="5"/>
      <c r="QFO190" s="5"/>
      <c r="QFP190" s="5"/>
      <c r="QFQ190" s="5"/>
      <c r="QFR190" s="5"/>
      <c r="QFS190" s="5"/>
      <c r="QFT190" s="5"/>
      <c r="QFU190" s="5"/>
      <c r="QFV190" s="5"/>
      <c r="QFW190" s="5"/>
      <c r="QFX190" s="5"/>
      <c r="QFY190" s="5"/>
      <c r="QFZ190" s="5"/>
      <c r="QGA190" s="5"/>
      <c r="QGB190" s="5"/>
      <c r="QGC190" s="5"/>
      <c r="QGD190" s="5"/>
      <c r="QGE190" s="5"/>
      <c r="QGF190" s="5"/>
      <c r="QGG190" s="5"/>
      <c r="QGH190" s="5"/>
      <c r="QGI190" s="5"/>
      <c r="QGJ190" s="5"/>
      <c r="QGK190" s="5"/>
      <c r="QGL190" s="5"/>
      <c r="QGM190" s="5"/>
      <c r="QGN190" s="5"/>
      <c r="QGO190" s="5"/>
      <c r="QGP190" s="5"/>
      <c r="QGQ190" s="5"/>
      <c r="QGR190" s="5"/>
      <c r="QGS190" s="5"/>
      <c r="QGT190" s="5"/>
      <c r="QGU190" s="5"/>
      <c r="QGV190" s="5"/>
      <c r="QGW190" s="5"/>
      <c r="QGX190" s="5"/>
      <c r="QGY190" s="5"/>
      <c r="QGZ190" s="5"/>
      <c r="QHA190" s="5"/>
      <c r="QHB190" s="5"/>
      <c r="QHC190" s="5"/>
      <c r="QHD190" s="5"/>
      <c r="QHE190" s="5"/>
      <c r="QHF190" s="5"/>
      <c r="QHG190" s="5"/>
      <c r="QHH190" s="5"/>
      <c r="QHI190" s="5"/>
      <c r="QHJ190" s="5"/>
      <c r="QHK190" s="5"/>
      <c r="QHL190" s="5"/>
      <c r="QHM190" s="5"/>
      <c r="QHN190" s="5"/>
      <c r="QHO190" s="5"/>
      <c r="QHP190" s="5"/>
      <c r="QHQ190" s="5"/>
      <c r="QHR190" s="5"/>
      <c r="QHS190" s="5"/>
      <c r="QHT190" s="5"/>
      <c r="QHU190" s="5"/>
      <c r="QHV190" s="5"/>
      <c r="QHW190" s="5"/>
      <c r="QHX190" s="5"/>
      <c r="QHY190" s="5"/>
      <c r="QHZ190" s="5"/>
      <c r="QIA190" s="5"/>
      <c r="QIB190" s="5"/>
      <c r="QIC190" s="5"/>
      <c r="QID190" s="5"/>
      <c r="QIE190" s="5"/>
      <c r="QIF190" s="5"/>
      <c r="QIG190" s="5"/>
      <c r="QIH190" s="5"/>
      <c r="QII190" s="5"/>
      <c r="QIJ190" s="5"/>
      <c r="QIK190" s="5"/>
      <c r="QIL190" s="5"/>
      <c r="QIM190" s="5"/>
      <c r="QIN190" s="5"/>
      <c r="QIO190" s="5"/>
      <c r="QIP190" s="5"/>
      <c r="QIQ190" s="5"/>
      <c r="QIR190" s="5"/>
      <c r="QIS190" s="5"/>
      <c r="QIT190" s="5"/>
      <c r="QIU190" s="5"/>
      <c r="QIV190" s="5"/>
      <c r="QIW190" s="5"/>
      <c r="QIX190" s="5"/>
      <c r="QIY190" s="5"/>
      <c r="QIZ190" s="5"/>
      <c r="QJA190" s="5"/>
      <c r="QJB190" s="5"/>
      <c r="QJC190" s="5"/>
      <c r="QJD190" s="5"/>
      <c r="QJE190" s="5"/>
      <c r="QJF190" s="5"/>
      <c r="QJG190" s="5"/>
      <c r="QJH190" s="5"/>
      <c r="QJI190" s="5"/>
      <c r="QJJ190" s="5"/>
      <c r="QJK190" s="5"/>
      <c r="QJL190" s="5"/>
      <c r="QJM190" s="5"/>
      <c r="QJN190" s="5"/>
      <c r="QJO190" s="5"/>
      <c r="QJP190" s="5"/>
      <c r="QJQ190" s="5"/>
      <c r="QJR190" s="5"/>
      <c r="QJS190" s="5"/>
      <c r="QJT190" s="5"/>
      <c r="QJU190" s="5"/>
      <c r="QJV190" s="5"/>
      <c r="QJW190" s="5"/>
      <c r="QJX190" s="5"/>
      <c r="QJY190" s="5"/>
      <c r="QJZ190" s="5"/>
      <c r="QKA190" s="5"/>
      <c r="QKB190" s="5"/>
      <c r="QKC190" s="5"/>
      <c r="QKD190" s="5"/>
      <c r="QKE190" s="5"/>
      <c r="QKF190" s="5"/>
      <c r="QKG190" s="5"/>
      <c r="QKH190" s="5"/>
      <c r="QKI190" s="5"/>
      <c r="QKJ190" s="5"/>
      <c r="QKK190" s="5"/>
      <c r="QKL190" s="5"/>
      <c r="QKM190" s="5"/>
      <c r="QKN190" s="5"/>
      <c r="QKO190" s="5"/>
      <c r="QKP190" s="5"/>
      <c r="QKQ190" s="5"/>
      <c r="QKR190" s="5"/>
      <c r="QKS190" s="5"/>
      <c r="QKT190" s="5"/>
      <c r="QKU190" s="5"/>
      <c r="QKV190" s="5"/>
      <c r="QKW190" s="5"/>
      <c r="QKX190" s="5"/>
      <c r="QKY190" s="5"/>
      <c r="QKZ190" s="5"/>
      <c r="QLA190" s="5"/>
      <c r="QLB190" s="5"/>
      <c r="QLC190" s="5"/>
      <c r="QLD190" s="5"/>
      <c r="QLE190" s="5"/>
      <c r="QLF190" s="5"/>
      <c r="QLG190" s="5"/>
      <c r="QLH190" s="5"/>
      <c r="QLI190" s="5"/>
      <c r="QLJ190" s="5"/>
      <c r="QLK190" s="5"/>
      <c r="QLL190" s="5"/>
      <c r="QLM190" s="5"/>
      <c r="QLN190" s="5"/>
      <c r="QLO190" s="5"/>
      <c r="QLP190" s="5"/>
      <c r="QLQ190" s="5"/>
      <c r="QLR190" s="5"/>
      <c r="QLS190" s="5"/>
      <c r="QLT190" s="5"/>
      <c r="QLU190" s="5"/>
      <c r="QLV190" s="5"/>
      <c r="QLW190" s="5"/>
      <c r="QLX190" s="5"/>
      <c r="QLY190" s="5"/>
      <c r="QLZ190" s="5"/>
      <c r="QMA190" s="5"/>
      <c r="QMB190" s="5"/>
      <c r="QMC190" s="5"/>
      <c r="QMD190" s="5"/>
      <c r="QME190" s="5"/>
      <c r="QMF190" s="5"/>
      <c r="QMG190" s="5"/>
      <c r="QMH190" s="5"/>
      <c r="QMI190" s="5"/>
      <c r="QMJ190" s="5"/>
      <c r="QMK190" s="5"/>
      <c r="QML190" s="5"/>
      <c r="QMM190" s="5"/>
      <c r="QMN190" s="5"/>
      <c r="QMO190" s="5"/>
      <c r="QMP190" s="5"/>
      <c r="QMQ190" s="5"/>
      <c r="QMR190" s="5"/>
      <c r="QMS190" s="5"/>
      <c r="QMT190" s="5"/>
      <c r="QMU190" s="5"/>
      <c r="QMV190" s="5"/>
      <c r="QMW190" s="5"/>
      <c r="QMX190" s="5"/>
      <c r="QMY190" s="5"/>
      <c r="QMZ190" s="5"/>
      <c r="QNA190" s="5"/>
      <c r="QNB190" s="5"/>
      <c r="QNC190" s="5"/>
      <c r="QND190" s="5"/>
      <c r="QNE190" s="5"/>
      <c r="QNF190" s="5"/>
      <c r="QNG190" s="5"/>
      <c r="QNH190" s="5"/>
      <c r="QNI190" s="5"/>
      <c r="QNJ190" s="5"/>
      <c r="QNK190" s="5"/>
      <c r="QNL190" s="5"/>
      <c r="QNM190" s="5"/>
      <c r="QNN190" s="5"/>
      <c r="QNO190" s="5"/>
      <c r="QNP190" s="5"/>
      <c r="QNQ190" s="5"/>
      <c r="QNR190" s="5"/>
      <c r="QNS190" s="5"/>
      <c r="QNT190" s="5"/>
      <c r="QNU190" s="5"/>
      <c r="QNV190" s="5"/>
      <c r="QNW190" s="5"/>
      <c r="QNX190" s="5"/>
      <c r="QNY190" s="5"/>
      <c r="QNZ190" s="5"/>
      <c r="QOA190" s="5"/>
      <c r="QOB190" s="5"/>
      <c r="QOC190" s="5"/>
      <c r="QOD190" s="5"/>
      <c r="QOE190" s="5"/>
      <c r="QOF190" s="5"/>
      <c r="QOG190" s="5"/>
      <c r="QOH190" s="5"/>
      <c r="QOI190" s="5"/>
      <c r="QOJ190" s="5"/>
      <c r="QOK190" s="5"/>
      <c r="QOL190" s="5"/>
      <c r="QOM190" s="5"/>
      <c r="QON190" s="5"/>
      <c r="QOO190" s="5"/>
      <c r="QOP190" s="5"/>
      <c r="QOQ190" s="5"/>
      <c r="QOR190" s="5"/>
      <c r="QOS190" s="5"/>
      <c r="QOT190" s="5"/>
      <c r="QOU190" s="5"/>
      <c r="QOV190" s="5"/>
      <c r="QOW190" s="5"/>
      <c r="QOX190" s="5"/>
      <c r="QOY190" s="5"/>
      <c r="QOZ190" s="5"/>
      <c r="QPA190" s="5"/>
      <c r="QPB190" s="5"/>
      <c r="QPC190" s="5"/>
      <c r="QPD190" s="5"/>
      <c r="QPE190" s="5"/>
      <c r="QPF190" s="5"/>
      <c r="QPG190" s="5"/>
      <c r="QPH190" s="5"/>
      <c r="QPI190" s="5"/>
      <c r="QPJ190" s="5"/>
      <c r="QPK190" s="5"/>
      <c r="QPL190" s="5"/>
      <c r="QPM190" s="5"/>
      <c r="QPN190" s="5"/>
      <c r="QPO190" s="5"/>
      <c r="QPP190" s="5"/>
      <c r="QPQ190" s="5"/>
      <c r="QPR190" s="5"/>
      <c r="QPS190" s="5"/>
      <c r="QPT190" s="5"/>
      <c r="QPU190" s="5"/>
      <c r="QPV190" s="5"/>
      <c r="QPW190" s="5"/>
      <c r="QPX190" s="5"/>
      <c r="QPY190" s="5"/>
      <c r="QPZ190" s="5"/>
      <c r="QQA190" s="5"/>
      <c r="QQB190" s="5"/>
      <c r="QQC190" s="5"/>
      <c r="QQD190" s="5"/>
      <c r="QQE190" s="5"/>
      <c r="QQF190" s="5"/>
      <c r="QQG190" s="5"/>
      <c r="QQH190" s="5"/>
      <c r="QQI190" s="5"/>
      <c r="QQJ190" s="5"/>
      <c r="QQK190" s="5"/>
      <c r="QQL190" s="5"/>
      <c r="QQM190" s="5"/>
      <c r="QQN190" s="5"/>
      <c r="QQO190" s="5"/>
      <c r="QQP190" s="5"/>
      <c r="QQQ190" s="5"/>
      <c r="QQR190" s="5"/>
      <c r="QQS190" s="5"/>
      <c r="QQT190" s="5"/>
      <c r="QQU190" s="5"/>
      <c r="QQV190" s="5"/>
      <c r="QQW190" s="5"/>
      <c r="QQX190" s="5"/>
      <c r="QQY190" s="5"/>
      <c r="QQZ190" s="5"/>
      <c r="QRA190" s="5"/>
      <c r="QRB190" s="5"/>
      <c r="QRC190" s="5"/>
      <c r="QRD190" s="5"/>
      <c r="QRE190" s="5"/>
      <c r="QRF190" s="5"/>
      <c r="QRG190" s="5"/>
      <c r="QRH190" s="5"/>
      <c r="QRI190" s="5"/>
      <c r="QRJ190" s="5"/>
      <c r="QRK190" s="5"/>
      <c r="QRL190" s="5"/>
      <c r="QRM190" s="5"/>
      <c r="QRN190" s="5"/>
      <c r="QRO190" s="5"/>
      <c r="QRP190" s="5"/>
      <c r="QRQ190" s="5"/>
      <c r="QRR190" s="5"/>
      <c r="QRS190" s="5"/>
      <c r="QRT190" s="5"/>
      <c r="QRU190" s="5"/>
      <c r="QRV190" s="5"/>
      <c r="QRW190" s="5"/>
      <c r="QRX190" s="5"/>
      <c r="QRY190" s="5"/>
      <c r="QRZ190" s="5"/>
      <c r="QSA190" s="5"/>
      <c r="QSB190" s="5"/>
      <c r="QSC190" s="5"/>
      <c r="QSD190" s="5"/>
      <c r="QSE190" s="5"/>
      <c r="QSF190" s="5"/>
      <c r="QSG190" s="5"/>
      <c r="QSH190" s="5"/>
      <c r="QSI190" s="5"/>
      <c r="QSJ190" s="5"/>
      <c r="QSK190" s="5"/>
      <c r="QSL190" s="5"/>
      <c r="QSM190" s="5"/>
      <c r="QSN190" s="5"/>
      <c r="QSO190" s="5"/>
      <c r="QSP190" s="5"/>
      <c r="QSQ190" s="5"/>
      <c r="QSR190" s="5"/>
      <c r="QSS190" s="5"/>
      <c r="QST190" s="5"/>
      <c r="QSU190" s="5"/>
      <c r="QSV190" s="5"/>
      <c r="QSW190" s="5"/>
      <c r="QSX190" s="5"/>
      <c r="QSY190" s="5"/>
      <c r="QSZ190" s="5"/>
      <c r="QTA190" s="5"/>
      <c r="QTB190" s="5"/>
      <c r="QTC190" s="5"/>
      <c r="QTD190" s="5"/>
      <c r="QTE190" s="5"/>
      <c r="QTF190" s="5"/>
      <c r="QTG190" s="5"/>
      <c r="QTH190" s="5"/>
      <c r="QTI190" s="5"/>
      <c r="QTJ190" s="5"/>
      <c r="QTK190" s="5"/>
      <c r="QTL190" s="5"/>
      <c r="QTM190" s="5"/>
      <c r="QTN190" s="5"/>
      <c r="QTO190" s="5"/>
      <c r="QTP190" s="5"/>
      <c r="QTQ190" s="5"/>
      <c r="QTR190" s="5"/>
      <c r="QTS190" s="5"/>
      <c r="QTT190" s="5"/>
      <c r="QTU190" s="5"/>
      <c r="QTV190" s="5"/>
      <c r="QTW190" s="5"/>
      <c r="QTX190" s="5"/>
      <c r="QTY190" s="5"/>
      <c r="QTZ190" s="5"/>
      <c r="QUA190" s="5"/>
      <c r="QUB190" s="5"/>
      <c r="QUC190" s="5"/>
      <c r="QUD190" s="5"/>
      <c r="QUE190" s="5"/>
      <c r="QUF190" s="5"/>
      <c r="QUG190" s="5"/>
      <c r="QUH190" s="5"/>
      <c r="QUI190" s="5"/>
      <c r="QUJ190" s="5"/>
      <c r="QUK190" s="5"/>
      <c r="QUL190" s="5"/>
      <c r="QUM190" s="5"/>
      <c r="QUN190" s="5"/>
      <c r="QUO190" s="5"/>
      <c r="QUP190" s="5"/>
      <c r="QUQ190" s="5"/>
      <c r="QUR190" s="5"/>
      <c r="QUS190" s="5"/>
      <c r="QUT190" s="5"/>
      <c r="QUU190" s="5"/>
      <c r="QUV190" s="5"/>
      <c r="QUW190" s="5"/>
      <c r="QUX190" s="5"/>
      <c r="QUY190" s="5"/>
      <c r="QUZ190" s="5"/>
      <c r="QVA190" s="5"/>
      <c r="QVB190" s="5"/>
      <c r="QVC190" s="5"/>
      <c r="QVD190" s="5"/>
      <c r="QVE190" s="5"/>
      <c r="QVF190" s="5"/>
      <c r="QVG190" s="5"/>
      <c r="QVH190" s="5"/>
      <c r="QVI190" s="5"/>
      <c r="QVJ190" s="5"/>
      <c r="QVK190" s="5"/>
      <c r="QVL190" s="5"/>
      <c r="QVM190" s="5"/>
      <c r="QVN190" s="5"/>
      <c r="QVO190" s="5"/>
      <c r="QVP190" s="5"/>
      <c r="QVQ190" s="5"/>
      <c r="QVR190" s="5"/>
      <c r="QVS190" s="5"/>
      <c r="QVT190" s="5"/>
      <c r="QVU190" s="5"/>
      <c r="QVV190" s="5"/>
      <c r="QVW190" s="5"/>
      <c r="QVX190" s="5"/>
      <c r="QVY190" s="5"/>
      <c r="QVZ190" s="5"/>
      <c r="QWA190" s="5"/>
      <c r="QWB190" s="5"/>
      <c r="QWC190" s="5"/>
      <c r="QWD190" s="5"/>
      <c r="QWE190" s="5"/>
      <c r="QWF190" s="5"/>
      <c r="QWG190" s="5"/>
      <c r="QWH190" s="5"/>
      <c r="QWI190" s="5"/>
      <c r="QWJ190" s="5"/>
      <c r="QWK190" s="5"/>
      <c r="QWL190" s="5"/>
      <c r="QWM190" s="5"/>
      <c r="QWN190" s="5"/>
      <c r="QWO190" s="5"/>
      <c r="QWP190" s="5"/>
      <c r="QWQ190" s="5"/>
      <c r="QWR190" s="5"/>
      <c r="QWS190" s="5"/>
      <c r="QWT190" s="5"/>
      <c r="QWU190" s="5"/>
      <c r="QWV190" s="5"/>
      <c r="QWW190" s="5"/>
      <c r="QWX190" s="5"/>
      <c r="QWY190" s="5"/>
      <c r="QWZ190" s="5"/>
      <c r="QXA190" s="5"/>
      <c r="QXB190" s="5"/>
      <c r="QXC190" s="5"/>
      <c r="QXD190" s="5"/>
      <c r="QXE190" s="5"/>
      <c r="QXF190" s="5"/>
      <c r="QXG190" s="5"/>
      <c r="QXH190" s="5"/>
      <c r="QXI190" s="5"/>
      <c r="QXJ190" s="5"/>
      <c r="QXK190" s="5"/>
      <c r="QXL190" s="5"/>
      <c r="QXM190" s="5"/>
      <c r="QXN190" s="5"/>
      <c r="QXO190" s="5"/>
      <c r="QXP190" s="5"/>
      <c r="QXQ190" s="5"/>
      <c r="QXR190" s="5"/>
      <c r="QXS190" s="5"/>
      <c r="QXT190" s="5"/>
      <c r="QXU190" s="5"/>
      <c r="QXV190" s="5"/>
      <c r="QXW190" s="5"/>
      <c r="QXX190" s="5"/>
      <c r="QXY190" s="5"/>
      <c r="QXZ190" s="5"/>
      <c r="QYA190" s="5"/>
      <c r="QYB190" s="5"/>
      <c r="QYC190" s="5"/>
      <c r="QYD190" s="5"/>
      <c r="QYE190" s="5"/>
      <c r="QYF190" s="5"/>
      <c r="QYG190" s="5"/>
      <c r="QYH190" s="5"/>
      <c r="QYI190" s="5"/>
      <c r="QYJ190" s="5"/>
      <c r="QYK190" s="5"/>
      <c r="QYL190" s="5"/>
      <c r="QYM190" s="5"/>
      <c r="QYN190" s="5"/>
      <c r="QYO190" s="5"/>
      <c r="QYP190" s="5"/>
      <c r="QYQ190" s="5"/>
      <c r="QYR190" s="5"/>
      <c r="QYS190" s="5"/>
      <c r="QYT190" s="5"/>
      <c r="QYU190" s="5"/>
      <c r="QYV190" s="5"/>
      <c r="QYW190" s="5"/>
      <c r="QYX190" s="5"/>
      <c r="QYY190" s="5"/>
      <c r="QYZ190" s="5"/>
      <c r="QZA190" s="5"/>
      <c r="QZB190" s="5"/>
      <c r="QZC190" s="5"/>
      <c r="QZD190" s="5"/>
      <c r="QZE190" s="5"/>
      <c r="QZF190" s="5"/>
      <c r="QZG190" s="5"/>
      <c r="QZH190" s="5"/>
      <c r="QZI190" s="5"/>
      <c r="QZJ190" s="5"/>
      <c r="QZK190" s="5"/>
      <c r="QZL190" s="5"/>
      <c r="QZM190" s="5"/>
      <c r="QZN190" s="5"/>
      <c r="QZO190" s="5"/>
      <c r="QZP190" s="5"/>
      <c r="QZQ190" s="5"/>
      <c r="QZR190" s="5"/>
      <c r="QZS190" s="5"/>
      <c r="QZT190" s="5"/>
      <c r="QZU190" s="5"/>
      <c r="QZV190" s="5"/>
      <c r="QZW190" s="5"/>
      <c r="QZX190" s="5"/>
      <c r="QZY190" s="5"/>
      <c r="QZZ190" s="5"/>
      <c r="RAA190" s="5"/>
      <c r="RAB190" s="5"/>
      <c r="RAC190" s="5"/>
      <c r="RAD190" s="5"/>
      <c r="RAE190" s="5"/>
      <c r="RAF190" s="5"/>
      <c r="RAG190" s="5"/>
      <c r="RAH190" s="5"/>
      <c r="RAI190" s="5"/>
      <c r="RAJ190" s="5"/>
      <c r="RAK190" s="5"/>
      <c r="RAL190" s="5"/>
      <c r="RAM190" s="5"/>
      <c r="RAN190" s="5"/>
      <c r="RAO190" s="5"/>
      <c r="RAP190" s="5"/>
      <c r="RAQ190" s="5"/>
      <c r="RAR190" s="5"/>
      <c r="RAS190" s="5"/>
      <c r="RAT190" s="5"/>
      <c r="RAU190" s="5"/>
      <c r="RAV190" s="5"/>
      <c r="RAW190" s="5"/>
      <c r="RAX190" s="5"/>
      <c r="RAY190" s="5"/>
      <c r="RAZ190" s="5"/>
      <c r="RBA190" s="5"/>
      <c r="RBB190" s="5"/>
      <c r="RBC190" s="5"/>
      <c r="RBD190" s="5"/>
      <c r="RBE190" s="5"/>
      <c r="RBF190" s="5"/>
      <c r="RBG190" s="5"/>
      <c r="RBH190" s="5"/>
      <c r="RBI190" s="5"/>
      <c r="RBJ190" s="5"/>
      <c r="RBK190" s="5"/>
      <c r="RBL190" s="5"/>
      <c r="RBM190" s="5"/>
      <c r="RBN190" s="5"/>
      <c r="RBO190" s="5"/>
      <c r="RBP190" s="5"/>
      <c r="RBQ190" s="5"/>
      <c r="RBR190" s="5"/>
      <c r="RBS190" s="5"/>
      <c r="RBT190" s="5"/>
      <c r="RBU190" s="5"/>
      <c r="RBV190" s="5"/>
      <c r="RBW190" s="5"/>
      <c r="RBX190" s="5"/>
      <c r="RBY190" s="5"/>
      <c r="RBZ190" s="5"/>
      <c r="RCA190" s="5"/>
      <c r="RCB190" s="5"/>
      <c r="RCC190" s="5"/>
      <c r="RCD190" s="5"/>
      <c r="RCE190" s="5"/>
      <c r="RCF190" s="5"/>
      <c r="RCG190" s="5"/>
      <c r="RCH190" s="5"/>
      <c r="RCI190" s="5"/>
      <c r="RCJ190" s="5"/>
      <c r="RCK190" s="5"/>
      <c r="RCL190" s="5"/>
      <c r="RCM190" s="5"/>
      <c r="RCN190" s="5"/>
      <c r="RCO190" s="5"/>
      <c r="RCP190" s="5"/>
      <c r="RCQ190" s="5"/>
      <c r="RCR190" s="5"/>
      <c r="RCS190" s="5"/>
      <c r="RCT190" s="5"/>
      <c r="RCU190" s="5"/>
      <c r="RCV190" s="5"/>
      <c r="RCW190" s="5"/>
      <c r="RCX190" s="5"/>
      <c r="RCY190" s="5"/>
      <c r="RCZ190" s="5"/>
      <c r="RDA190" s="5"/>
      <c r="RDB190" s="5"/>
      <c r="RDC190" s="5"/>
      <c r="RDD190" s="5"/>
      <c r="RDE190" s="5"/>
      <c r="RDF190" s="5"/>
      <c r="RDG190" s="5"/>
      <c r="RDH190" s="5"/>
      <c r="RDI190" s="5"/>
      <c r="RDJ190" s="5"/>
      <c r="RDK190" s="5"/>
      <c r="RDL190" s="5"/>
      <c r="RDM190" s="5"/>
      <c r="RDN190" s="5"/>
      <c r="RDO190" s="5"/>
      <c r="RDP190" s="5"/>
      <c r="RDQ190" s="5"/>
      <c r="RDR190" s="5"/>
      <c r="RDS190" s="5"/>
      <c r="RDT190" s="5"/>
      <c r="RDU190" s="5"/>
      <c r="RDV190" s="5"/>
      <c r="RDW190" s="5"/>
      <c r="RDX190" s="5"/>
      <c r="RDY190" s="5"/>
      <c r="RDZ190" s="5"/>
      <c r="REA190" s="5"/>
      <c r="REB190" s="5"/>
      <c r="REC190" s="5"/>
      <c r="RED190" s="5"/>
      <c r="REE190" s="5"/>
      <c r="REF190" s="5"/>
      <c r="REG190" s="5"/>
      <c r="REH190" s="5"/>
      <c r="REI190" s="5"/>
      <c r="REJ190" s="5"/>
      <c r="REK190" s="5"/>
      <c r="REL190" s="5"/>
      <c r="REM190" s="5"/>
      <c r="REN190" s="5"/>
      <c r="REO190" s="5"/>
      <c r="REP190" s="5"/>
      <c r="REQ190" s="5"/>
      <c r="RER190" s="5"/>
      <c r="RES190" s="5"/>
      <c r="RET190" s="5"/>
      <c r="REU190" s="5"/>
      <c r="REV190" s="5"/>
      <c r="REW190" s="5"/>
      <c r="REX190" s="5"/>
      <c r="REY190" s="5"/>
      <c r="REZ190" s="5"/>
      <c r="RFA190" s="5"/>
      <c r="RFB190" s="5"/>
      <c r="RFC190" s="5"/>
      <c r="RFD190" s="5"/>
      <c r="RFE190" s="5"/>
      <c r="RFF190" s="5"/>
      <c r="RFG190" s="5"/>
      <c r="RFH190" s="5"/>
      <c r="RFI190" s="5"/>
      <c r="RFJ190" s="5"/>
      <c r="RFK190" s="5"/>
      <c r="RFL190" s="5"/>
      <c r="RFM190" s="5"/>
      <c r="RFN190" s="5"/>
      <c r="RFO190" s="5"/>
      <c r="RFP190" s="5"/>
      <c r="RFQ190" s="5"/>
      <c r="RFR190" s="5"/>
      <c r="RFS190" s="5"/>
      <c r="RFT190" s="5"/>
      <c r="RFU190" s="5"/>
      <c r="RFV190" s="5"/>
      <c r="RFW190" s="5"/>
      <c r="RFX190" s="5"/>
      <c r="RFY190" s="5"/>
      <c r="RFZ190" s="5"/>
      <c r="RGA190" s="5"/>
      <c r="RGB190" s="5"/>
      <c r="RGC190" s="5"/>
      <c r="RGD190" s="5"/>
      <c r="RGE190" s="5"/>
      <c r="RGF190" s="5"/>
      <c r="RGG190" s="5"/>
      <c r="RGH190" s="5"/>
      <c r="RGI190" s="5"/>
      <c r="RGJ190" s="5"/>
      <c r="RGK190" s="5"/>
      <c r="RGL190" s="5"/>
      <c r="RGM190" s="5"/>
      <c r="RGN190" s="5"/>
      <c r="RGO190" s="5"/>
      <c r="RGP190" s="5"/>
      <c r="RGQ190" s="5"/>
      <c r="RGR190" s="5"/>
      <c r="RGS190" s="5"/>
      <c r="RGT190" s="5"/>
      <c r="RGU190" s="5"/>
      <c r="RGV190" s="5"/>
      <c r="RGW190" s="5"/>
      <c r="RGX190" s="5"/>
      <c r="RGY190" s="5"/>
      <c r="RGZ190" s="5"/>
      <c r="RHA190" s="5"/>
      <c r="RHB190" s="5"/>
      <c r="RHC190" s="5"/>
      <c r="RHD190" s="5"/>
      <c r="RHE190" s="5"/>
      <c r="RHF190" s="5"/>
      <c r="RHG190" s="5"/>
      <c r="RHH190" s="5"/>
      <c r="RHI190" s="5"/>
      <c r="RHJ190" s="5"/>
      <c r="RHK190" s="5"/>
      <c r="RHL190" s="5"/>
      <c r="RHM190" s="5"/>
      <c r="RHN190" s="5"/>
      <c r="RHO190" s="5"/>
      <c r="RHP190" s="5"/>
      <c r="RHQ190" s="5"/>
      <c r="RHR190" s="5"/>
      <c r="RHS190" s="5"/>
      <c r="RHT190" s="5"/>
      <c r="RHU190" s="5"/>
      <c r="RHV190" s="5"/>
      <c r="RHW190" s="5"/>
      <c r="RHX190" s="5"/>
      <c r="RHY190" s="5"/>
      <c r="RHZ190" s="5"/>
      <c r="RIA190" s="5"/>
      <c r="RIB190" s="5"/>
      <c r="RIC190" s="5"/>
      <c r="RID190" s="5"/>
      <c r="RIE190" s="5"/>
      <c r="RIF190" s="5"/>
      <c r="RIG190" s="5"/>
      <c r="RIH190" s="5"/>
      <c r="RII190" s="5"/>
      <c r="RIJ190" s="5"/>
      <c r="RIK190" s="5"/>
      <c r="RIL190" s="5"/>
      <c r="RIM190" s="5"/>
      <c r="RIN190" s="5"/>
      <c r="RIO190" s="5"/>
      <c r="RIP190" s="5"/>
      <c r="RIQ190" s="5"/>
      <c r="RIR190" s="5"/>
      <c r="RIS190" s="5"/>
      <c r="RIT190" s="5"/>
      <c r="RIU190" s="5"/>
      <c r="RIV190" s="5"/>
      <c r="RIW190" s="5"/>
      <c r="RIX190" s="5"/>
      <c r="RIY190" s="5"/>
      <c r="RIZ190" s="5"/>
      <c r="RJA190" s="5"/>
      <c r="RJB190" s="5"/>
      <c r="RJC190" s="5"/>
      <c r="RJD190" s="5"/>
      <c r="RJE190" s="5"/>
      <c r="RJF190" s="5"/>
      <c r="RJG190" s="5"/>
      <c r="RJH190" s="5"/>
      <c r="RJI190" s="5"/>
      <c r="RJJ190" s="5"/>
      <c r="RJK190" s="5"/>
      <c r="RJL190" s="5"/>
      <c r="RJM190" s="5"/>
      <c r="RJN190" s="5"/>
      <c r="RJO190" s="5"/>
      <c r="RJP190" s="5"/>
      <c r="RJQ190" s="5"/>
      <c r="RJR190" s="5"/>
      <c r="RJS190" s="5"/>
      <c r="RJT190" s="5"/>
      <c r="RJU190" s="5"/>
      <c r="RJV190" s="5"/>
      <c r="RJW190" s="5"/>
      <c r="RJX190" s="5"/>
      <c r="RJY190" s="5"/>
      <c r="RJZ190" s="5"/>
      <c r="RKA190" s="5"/>
      <c r="RKB190" s="5"/>
      <c r="RKC190" s="5"/>
      <c r="RKD190" s="5"/>
      <c r="RKE190" s="5"/>
      <c r="RKF190" s="5"/>
      <c r="RKG190" s="5"/>
      <c r="RKH190" s="5"/>
      <c r="RKI190" s="5"/>
      <c r="RKJ190" s="5"/>
      <c r="RKK190" s="5"/>
      <c r="RKL190" s="5"/>
      <c r="RKM190" s="5"/>
      <c r="RKN190" s="5"/>
      <c r="RKO190" s="5"/>
      <c r="RKP190" s="5"/>
      <c r="RKQ190" s="5"/>
      <c r="RKR190" s="5"/>
      <c r="RKS190" s="5"/>
      <c r="RKT190" s="5"/>
      <c r="RKU190" s="5"/>
      <c r="RKV190" s="5"/>
      <c r="RKW190" s="5"/>
      <c r="RKX190" s="5"/>
      <c r="RKY190" s="5"/>
      <c r="RKZ190" s="5"/>
      <c r="RLA190" s="5"/>
      <c r="RLB190" s="5"/>
      <c r="RLC190" s="5"/>
      <c r="RLD190" s="5"/>
      <c r="RLE190" s="5"/>
      <c r="RLF190" s="5"/>
      <c r="RLG190" s="5"/>
      <c r="RLH190" s="5"/>
      <c r="RLI190" s="5"/>
      <c r="RLJ190" s="5"/>
      <c r="RLK190" s="5"/>
      <c r="RLL190" s="5"/>
      <c r="RLM190" s="5"/>
      <c r="RLN190" s="5"/>
      <c r="RLO190" s="5"/>
      <c r="RLP190" s="5"/>
      <c r="RLQ190" s="5"/>
      <c r="RLR190" s="5"/>
      <c r="RLS190" s="5"/>
      <c r="RLT190" s="5"/>
      <c r="RLU190" s="5"/>
      <c r="RLV190" s="5"/>
      <c r="RLW190" s="5"/>
      <c r="RLX190" s="5"/>
      <c r="RLY190" s="5"/>
      <c r="RLZ190" s="5"/>
      <c r="RMA190" s="5"/>
      <c r="RMB190" s="5"/>
      <c r="RMC190" s="5"/>
      <c r="RMD190" s="5"/>
      <c r="RME190" s="5"/>
      <c r="RMF190" s="5"/>
      <c r="RMG190" s="5"/>
      <c r="RMH190" s="5"/>
      <c r="RMI190" s="5"/>
      <c r="RMJ190" s="5"/>
      <c r="RMK190" s="5"/>
      <c r="RML190" s="5"/>
      <c r="RMM190" s="5"/>
      <c r="RMN190" s="5"/>
      <c r="RMO190" s="5"/>
      <c r="RMP190" s="5"/>
      <c r="RMQ190" s="5"/>
      <c r="RMR190" s="5"/>
      <c r="RMS190" s="5"/>
      <c r="RMT190" s="5"/>
      <c r="RMU190" s="5"/>
      <c r="RMV190" s="5"/>
      <c r="RMW190" s="5"/>
      <c r="RMX190" s="5"/>
      <c r="RMY190" s="5"/>
      <c r="RMZ190" s="5"/>
      <c r="RNA190" s="5"/>
      <c r="RNB190" s="5"/>
      <c r="RNC190" s="5"/>
      <c r="RND190" s="5"/>
      <c r="RNE190" s="5"/>
      <c r="RNF190" s="5"/>
      <c r="RNG190" s="5"/>
      <c r="RNH190" s="5"/>
      <c r="RNI190" s="5"/>
      <c r="RNJ190" s="5"/>
      <c r="RNK190" s="5"/>
      <c r="RNL190" s="5"/>
      <c r="RNM190" s="5"/>
      <c r="RNN190" s="5"/>
      <c r="RNO190" s="5"/>
      <c r="RNP190" s="5"/>
      <c r="RNQ190" s="5"/>
      <c r="RNR190" s="5"/>
      <c r="RNS190" s="5"/>
      <c r="RNT190" s="5"/>
      <c r="RNU190" s="5"/>
      <c r="RNV190" s="5"/>
      <c r="RNW190" s="5"/>
      <c r="RNX190" s="5"/>
      <c r="RNY190" s="5"/>
      <c r="RNZ190" s="5"/>
      <c r="ROA190" s="5"/>
      <c r="ROB190" s="5"/>
      <c r="ROC190" s="5"/>
      <c r="ROD190" s="5"/>
      <c r="ROE190" s="5"/>
      <c r="ROF190" s="5"/>
      <c r="ROG190" s="5"/>
      <c r="ROH190" s="5"/>
      <c r="ROI190" s="5"/>
      <c r="ROJ190" s="5"/>
      <c r="ROK190" s="5"/>
      <c r="ROL190" s="5"/>
      <c r="ROM190" s="5"/>
      <c r="RON190" s="5"/>
      <c r="ROO190" s="5"/>
      <c r="ROP190" s="5"/>
      <c r="ROQ190" s="5"/>
      <c r="ROR190" s="5"/>
      <c r="ROS190" s="5"/>
      <c r="ROT190" s="5"/>
      <c r="ROU190" s="5"/>
      <c r="ROV190" s="5"/>
      <c r="ROW190" s="5"/>
      <c r="ROX190" s="5"/>
      <c r="ROY190" s="5"/>
      <c r="ROZ190" s="5"/>
      <c r="RPA190" s="5"/>
      <c r="RPB190" s="5"/>
      <c r="RPC190" s="5"/>
      <c r="RPD190" s="5"/>
      <c r="RPE190" s="5"/>
      <c r="RPF190" s="5"/>
      <c r="RPG190" s="5"/>
      <c r="RPH190" s="5"/>
      <c r="RPI190" s="5"/>
      <c r="RPJ190" s="5"/>
      <c r="RPK190" s="5"/>
      <c r="RPL190" s="5"/>
      <c r="RPM190" s="5"/>
      <c r="RPN190" s="5"/>
      <c r="RPO190" s="5"/>
      <c r="RPP190" s="5"/>
      <c r="RPQ190" s="5"/>
      <c r="RPR190" s="5"/>
      <c r="RPS190" s="5"/>
      <c r="RPT190" s="5"/>
      <c r="RPU190" s="5"/>
      <c r="RPV190" s="5"/>
      <c r="RPW190" s="5"/>
      <c r="RPX190" s="5"/>
      <c r="RPY190" s="5"/>
      <c r="RPZ190" s="5"/>
      <c r="RQA190" s="5"/>
      <c r="RQB190" s="5"/>
      <c r="RQC190" s="5"/>
      <c r="RQD190" s="5"/>
      <c r="RQE190" s="5"/>
      <c r="RQF190" s="5"/>
      <c r="RQG190" s="5"/>
      <c r="RQH190" s="5"/>
      <c r="RQI190" s="5"/>
      <c r="RQJ190" s="5"/>
      <c r="RQK190" s="5"/>
      <c r="RQL190" s="5"/>
      <c r="RQM190" s="5"/>
      <c r="RQN190" s="5"/>
      <c r="RQO190" s="5"/>
      <c r="RQP190" s="5"/>
      <c r="RQQ190" s="5"/>
      <c r="RQR190" s="5"/>
      <c r="RQS190" s="5"/>
      <c r="RQT190" s="5"/>
      <c r="RQU190" s="5"/>
      <c r="RQV190" s="5"/>
      <c r="RQW190" s="5"/>
      <c r="RQX190" s="5"/>
      <c r="RQY190" s="5"/>
      <c r="RQZ190" s="5"/>
      <c r="RRA190" s="5"/>
      <c r="RRB190" s="5"/>
      <c r="RRC190" s="5"/>
      <c r="RRD190" s="5"/>
      <c r="RRE190" s="5"/>
      <c r="RRF190" s="5"/>
      <c r="RRG190" s="5"/>
      <c r="RRH190" s="5"/>
      <c r="RRI190" s="5"/>
      <c r="RRJ190" s="5"/>
      <c r="RRK190" s="5"/>
      <c r="RRL190" s="5"/>
      <c r="RRM190" s="5"/>
      <c r="RRN190" s="5"/>
      <c r="RRO190" s="5"/>
      <c r="RRP190" s="5"/>
      <c r="RRQ190" s="5"/>
      <c r="RRR190" s="5"/>
      <c r="RRS190" s="5"/>
      <c r="RRT190" s="5"/>
      <c r="RRU190" s="5"/>
      <c r="RRV190" s="5"/>
      <c r="RRW190" s="5"/>
      <c r="RRX190" s="5"/>
      <c r="RRY190" s="5"/>
      <c r="RRZ190" s="5"/>
      <c r="RSA190" s="5"/>
      <c r="RSB190" s="5"/>
      <c r="RSC190" s="5"/>
      <c r="RSD190" s="5"/>
      <c r="RSE190" s="5"/>
      <c r="RSF190" s="5"/>
      <c r="RSG190" s="5"/>
      <c r="RSH190" s="5"/>
      <c r="RSI190" s="5"/>
      <c r="RSJ190" s="5"/>
      <c r="RSK190" s="5"/>
      <c r="RSL190" s="5"/>
      <c r="RSM190" s="5"/>
      <c r="RSN190" s="5"/>
      <c r="RSO190" s="5"/>
      <c r="RSP190" s="5"/>
      <c r="RSQ190" s="5"/>
      <c r="RSR190" s="5"/>
      <c r="RSS190" s="5"/>
      <c r="RST190" s="5"/>
      <c r="RSU190" s="5"/>
      <c r="RSV190" s="5"/>
      <c r="RSW190" s="5"/>
      <c r="RSX190" s="5"/>
      <c r="RSY190" s="5"/>
      <c r="RSZ190" s="5"/>
      <c r="RTA190" s="5"/>
      <c r="RTB190" s="5"/>
      <c r="RTC190" s="5"/>
      <c r="RTD190" s="5"/>
      <c r="RTE190" s="5"/>
      <c r="RTF190" s="5"/>
      <c r="RTG190" s="5"/>
      <c r="RTH190" s="5"/>
      <c r="RTI190" s="5"/>
      <c r="RTJ190" s="5"/>
      <c r="RTK190" s="5"/>
      <c r="RTL190" s="5"/>
      <c r="RTM190" s="5"/>
      <c r="RTN190" s="5"/>
      <c r="RTO190" s="5"/>
      <c r="RTP190" s="5"/>
      <c r="RTQ190" s="5"/>
      <c r="RTR190" s="5"/>
      <c r="RTS190" s="5"/>
      <c r="RTT190" s="5"/>
      <c r="RTU190" s="5"/>
      <c r="RTV190" s="5"/>
      <c r="RTW190" s="5"/>
      <c r="RTX190" s="5"/>
      <c r="RTY190" s="5"/>
      <c r="RTZ190" s="5"/>
      <c r="RUA190" s="5"/>
      <c r="RUB190" s="5"/>
      <c r="RUC190" s="5"/>
      <c r="RUD190" s="5"/>
      <c r="RUE190" s="5"/>
      <c r="RUF190" s="5"/>
      <c r="RUG190" s="5"/>
      <c r="RUH190" s="5"/>
      <c r="RUI190" s="5"/>
      <c r="RUJ190" s="5"/>
      <c r="RUK190" s="5"/>
      <c r="RUL190" s="5"/>
      <c r="RUM190" s="5"/>
      <c r="RUN190" s="5"/>
      <c r="RUO190" s="5"/>
      <c r="RUP190" s="5"/>
      <c r="RUQ190" s="5"/>
      <c r="RUR190" s="5"/>
      <c r="RUS190" s="5"/>
      <c r="RUT190" s="5"/>
      <c r="RUU190" s="5"/>
      <c r="RUV190" s="5"/>
      <c r="RUW190" s="5"/>
      <c r="RUX190" s="5"/>
      <c r="RUY190" s="5"/>
      <c r="RUZ190" s="5"/>
      <c r="RVA190" s="5"/>
      <c r="RVB190" s="5"/>
      <c r="RVC190" s="5"/>
      <c r="RVD190" s="5"/>
      <c r="RVE190" s="5"/>
      <c r="RVF190" s="5"/>
      <c r="RVG190" s="5"/>
      <c r="RVH190" s="5"/>
      <c r="RVI190" s="5"/>
      <c r="RVJ190" s="5"/>
      <c r="RVK190" s="5"/>
      <c r="RVL190" s="5"/>
      <c r="RVM190" s="5"/>
      <c r="RVN190" s="5"/>
      <c r="RVO190" s="5"/>
      <c r="RVP190" s="5"/>
      <c r="RVQ190" s="5"/>
      <c r="RVR190" s="5"/>
      <c r="RVS190" s="5"/>
      <c r="RVT190" s="5"/>
      <c r="RVU190" s="5"/>
      <c r="RVV190" s="5"/>
      <c r="RVW190" s="5"/>
      <c r="RVX190" s="5"/>
      <c r="RVY190" s="5"/>
      <c r="RVZ190" s="5"/>
      <c r="RWA190" s="5"/>
      <c r="RWB190" s="5"/>
      <c r="RWC190" s="5"/>
      <c r="RWD190" s="5"/>
      <c r="RWE190" s="5"/>
      <c r="RWF190" s="5"/>
      <c r="RWG190" s="5"/>
      <c r="RWH190" s="5"/>
      <c r="RWI190" s="5"/>
      <c r="RWJ190" s="5"/>
      <c r="RWK190" s="5"/>
      <c r="RWL190" s="5"/>
      <c r="RWM190" s="5"/>
      <c r="RWN190" s="5"/>
      <c r="RWO190" s="5"/>
      <c r="RWP190" s="5"/>
      <c r="RWQ190" s="5"/>
      <c r="RWR190" s="5"/>
      <c r="RWS190" s="5"/>
      <c r="RWT190" s="5"/>
      <c r="RWU190" s="5"/>
      <c r="RWV190" s="5"/>
      <c r="RWW190" s="5"/>
      <c r="RWX190" s="5"/>
      <c r="RWY190" s="5"/>
      <c r="RWZ190" s="5"/>
      <c r="RXA190" s="5"/>
      <c r="RXB190" s="5"/>
      <c r="RXC190" s="5"/>
      <c r="RXD190" s="5"/>
      <c r="RXE190" s="5"/>
      <c r="RXF190" s="5"/>
      <c r="RXG190" s="5"/>
      <c r="RXH190" s="5"/>
      <c r="RXI190" s="5"/>
      <c r="RXJ190" s="5"/>
      <c r="RXK190" s="5"/>
      <c r="RXL190" s="5"/>
      <c r="RXM190" s="5"/>
      <c r="RXN190" s="5"/>
      <c r="RXO190" s="5"/>
      <c r="RXP190" s="5"/>
      <c r="RXQ190" s="5"/>
      <c r="RXR190" s="5"/>
      <c r="RXS190" s="5"/>
      <c r="RXT190" s="5"/>
      <c r="RXU190" s="5"/>
      <c r="RXV190" s="5"/>
      <c r="RXW190" s="5"/>
      <c r="RXX190" s="5"/>
      <c r="RXY190" s="5"/>
      <c r="RXZ190" s="5"/>
      <c r="RYA190" s="5"/>
      <c r="RYB190" s="5"/>
      <c r="RYC190" s="5"/>
      <c r="RYD190" s="5"/>
      <c r="RYE190" s="5"/>
      <c r="RYF190" s="5"/>
      <c r="RYG190" s="5"/>
      <c r="RYH190" s="5"/>
      <c r="RYI190" s="5"/>
      <c r="RYJ190" s="5"/>
      <c r="RYK190" s="5"/>
      <c r="RYL190" s="5"/>
      <c r="RYM190" s="5"/>
      <c r="RYN190" s="5"/>
      <c r="RYO190" s="5"/>
      <c r="RYP190" s="5"/>
      <c r="RYQ190" s="5"/>
      <c r="RYR190" s="5"/>
      <c r="RYS190" s="5"/>
      <c r="RYT190" s="5"/>
      <c r="RYU190" s="5"/>
      <c r="RYV190" s="5"/>
      <c r="RYW190" s="5"/>
      <c r="RYX190" s="5"/>
      <c r="RYY190" s="5"/>
      <c r="RYZ190" s="5"/>
      <c r="RZA190" s="5"/>
      <c r="RZB190" s="5"/>
      <c r="RZC190" s="5"/>
      <c r="RZD190" s="5"/>
      <c r="RZE190" s="5"/>
      <c r="RZF190" s="5"/>
      <c r="RZG190" s="5"/>
      <c r="RZH190" s="5"/>
      <c r="RZI190" s="5"/>
      <c r="RZJ190" s="5"/>
      <c r="RZK190" s="5"/>
      <c r="RZL190" s="5"/>
      <c r="RZM190" s="5"/>
      <c r="RZN190" s="5"/>
      <c r="RZO190" s="5"/>
      <c r="RZP190" s="5"/>
      <c r="RZQ190" s="5"/>
      <c r="RZR190" s="5"/>
      <c r="RZS190" s="5"/>
      <c r="RZT190" s="5"/>
      <c r="RZU190" s="5"/>
      <c r="RZV190" s="5"/>
      <c r="RZW190" s="5"/>
      <c r="RZX190" s="5"/>
      <c r="RZY190" s="5"/>
      <c r="RZZ190" s="5"/>
      <c r="SAA190" s="5"/>
      <c r="SAB190" s="5"/>
      <c r="SAC190" s="5"/>
      <c r="SAD190" s="5"/>
      <c r="SAE190" s="5"/>
      <c r="SAF190" s="5"/>
      <c r="SAG190" s="5"/>
      <c r="SAH190" s="5"/>
      <c r="SAI190" s="5"/>
      <c r="SAJ190" s="5"/>
      <c r="SAK190" s="5"/>
      <c r="SAL190" s="5"/>
      <c r="SAM190" s="5"/>
      <c r="SAN190" s="5"/>
      <c r="SAO190" s="5"/>
      <c r="SAP190" s="5"/>
      <c r="SAQ190" s="5"/>
      <c r="SAR190" s="5"/>
      <c r="SAS190" s="5"/>
      <c r="SAT190" s="5"/>
      <c r="SAU190" s="5"/>
      <c r="SAV190" s="5"/>
      <c r="SAW190" s="5"/>
      <c r="SAX190" s="5"/>
      <c r="SAY190" s="5"/>
      <c r="SAZ190" s="5"/>
      <c r="SBA190" s="5"/>
      <c r="SBB190" s="5"/>
      <c r="SBC190" s="5"/>
      <c r="SBD190" s="5"/>
      <c r="SBE190" s="5"/>
      <c r="SBF190" s="5"/>
      <c r="SBG190" s="5"/>
      <c r="SBH190" s="5"/>
      <c r="SBI190" s="5"/>
      <c r="SBJ190" s="5"/>
      <c r="SBK190" s="5"/>
      <c r="SBL190" s="5"/>
      <c r="SBM190" s="5"/>
      <c r="SBN190" s="5"/>
      <c r="SBO190" s="5"/>
      <c r="SBP190" s="5"/>
      <c r="SBQ190" s="5"/>
      <c r="SBR190" s="5"/>
      <c r="SBS190" s="5"/>
      <c r="SBT190" s="5"/>
      <c r="SBU190" s="5"/>
      <c r="SBV190" s="5"/>
      <c r="SBW190" s="5"/>
      <c r="SBX190" s="5"/>
      <c r="SBY190" s="5"/>
      <c r="SBZ190" s="5"/>
      <c r="SCA190" s="5"/>
      <c r="SCB190" s="5"/>
      <c r="SCC190" s="5"/>
      <c r="SCD190" s="5"/>
      <c r="SCE190" s="5"/>
      <c r="SCF190" s="5"/>
      <c r="SCG190" s="5"/>
      <c r="SCH190" s="5"/>
      <c r="SCI190" s="5"/>
      <c r="SCJ190" s="5"/>
      <c r="SCK190" s="5"/>
      <c r="SCL190" s="5"/>
      <c r="SCM190" s="5"/>
      <c r="SCN190" s="5"/>
      <c r="SCO190" s="5"/>
      <c r="SCP190" s="5"/>
      <c r="SCQ190" s="5"/>
      <c r="SCR190" s="5"/>
      <c r="SCS190" s="5"/>
      <c r="SCT190" s="5"/>
      <c r="SCU190" s="5"/>
      <c r="SCV190" s="5"/>
      <c r="SCW190" s="5"/>
      <c r="SCX190" s="5"/>
      <c r="SCY190" s="5"/>
      <c r="SCZ190" s="5"/>
      <c r="SDA190" s="5"/>
      <c r="SDB190" s="5"/>
      <c r="SDC190" s="5"/>
      <c r="SDD190" s="5"/>
      <c r="SDE190" s="5"/>
      <c r="SDF190" s="5"/>
      <c r="SDG190" s="5"/>
      <c r="SDH190" s="5"/>
      <c r="SDI190" s="5"/>
      <c r="SDJ190" s="5"/>
      <c r="SDK190" s="5"/>
      <c r="SDL190" s="5"/>
      <c r="SDM190" s="5"/>
      <c r="SDN190" s="5"/>
      <c r="SDO190" s="5"/>
      <c r="SDP190" s="5"/>
      <c r="SDQ190" s="5"/>
      <c r="SDR190" s="5"/>
      <c r="SDS190" s="5"/>
      <c r="SDT190" s="5"/>
      <c r="SDU190" s="5"/>
      <c r="SDV190" s="5"/>
      <c r="SDW190" s="5"/>
      <c r="SDX190" s="5"/>
      <c r="SDY190" s="5"/>
      <c r="SDZ190" s="5"/>
      <c r="SEA190" s="5"/>
      <c r="SEB190" s="5"/>
      <c r="SEC190" s="5"/>
      <c r="SED190" s="5"/>
      <c r="SEE190" s="5"/>
      <c r="SEF190" s="5"/>
      <c r="SEG190" s="5"/>
      <c r="SEH190" s="5"/>
      <c r="SEI190" s="5"/>
      <c r="SEJ190" s="5"/>
      <c r="SEK190" s="5"/>
      <c r="SEL190" s="5"/>
      <c r="SEM190" s="5"/>
      <c r="SEN190" s="5"/>
      <c r="SEO190" s="5"/>
      <c r="SEP190" s="5"/>
      <c r="SEQ190" s="5"/>
      <c r="SER190" s="5"/>
      <c r="SES190" s="5"/>
      <c r="SET190" s="5"/>
      <c r="SEU190" s="5"/>
      <c r="SEV190" s="5"/>
      <c r="SEW190" s="5"/>
      <c r="SEX190" s="5"/>
      <c r="SEY190" s="5"/>
      <c r="SEZ190" s="5"/>
      <c r="SFA190" s="5"/>
      <c r="SFB190" s="5"/>
      <c r="SFC190" s="5"/>
      <c r="SFD190" s="5"/>
      <c r="SFE190" s="5"/>
      <c r="SFF190" s="5"/>
      <c r="SFG190" s="5"/>
      <c r="SFH190" s="5"/>
      <c r="SFI190" s="5"/>
      <c r="SFJ190" s="5"/>
      <c r="SFK190" s="5"/>
      <c r="SFL190" s="5"/>
      <c r="SFM190" s="5"/>
      <c r="SFN190" s="5"/>
      <c r="SFO190" s="5"/>
      <c r="SFP190" s="5"/>
      <c r="SFQ190" s="5"/>
      <c r="SFR190" s="5"/>
      <c r="SFS190" s="5"/>
      <c r="SFT190" s="5"/>
      <c r="SFU190" s="5"/>
      <c r="SFV190" s="5"/>
      <c r="SFW190" s="5"/>
      <c r="SFX190" s="5"/>
      <c r="SFY190" s="5"/>
      <c r="SFZ190" s="5"/>
      <c r="SGA190" s="5"/>
      <c r="SGB190" s="5"/>
      <c r="SGC190" s="5"/>
      <c r="SGD190" s="5"/>
      <c r="SGE190" s="5"/>
      <c r="SGF190" s="5"/>
      <c r="SGG190" s="5"/>
      <c r="SGH190" s="5"/>
      <c r="SGI190" s="5"/>
      <c r="SGJ190" s="5"/>
      <c r="SGK190" s="5"/>
      <c r="SGL190" s="5"/>
      <c r="SGM190" s="5"/>
      <c r="SGN190" s="5"/>
      <c r="SGO190" s="5"/>
      <c r="SGP190" s="5"/>
      <c r="SGQ190" s="5"/>
      <c r="SGR190" s="5"/>
      <c r="SGS190" s="5"/>
      <c r="SGT190" s="5"/>
      <c r="SGU190" s="5"/>
      <c r="SGV190" s="5"/>
      <c r="SGW190" s="5"/>
      <c r="SGX190" s="5"/>
      <c r="SGY190" s="5"/>
      <c r="SGZ190" s="5"/>
      <c r="SHA190" s="5"/>
      <c r="SHB190" s="5"/>
      <c r="SHC190" s="5"/>
      <c r="SHD190" s="5"/>
      <c r="SHE190" s="5"/>
      <c r="SHF190" s="5"/>
      <c r="SHG190" s="5"/>
      <c r="SHH190" s="5"/>
      <c r="SHI190" s="5"/>
      <c r="SHJ190" s="5"/>
      <c r="SHK190" s="5"/>
      <c r="SHL190" s="5"/>
      <c r="SHM190" s="5"/>
      <c r="SHN190" s="5"/>
      <c r="SHO190" s="5"/>
      <c r="SHP190" s="5"/>
      <c r="SHQ190" s="5"/>
      <c r="SHR190" s="5"/>
      <c r="SHS190" s="5"/>
      <c r="SHT190" s="5"/>
      <c r="SHU190" s="5"/>
      <c r="SHV190" s="5"/>
      <c r="SHW190" s="5"/>
      <c r="SHX190" s="5"/>
      <c r="SHY190" s="5"/>
      <c r="SHZ190" s="5"/>
      <c r="SIA190" s="5"/>
      <c r="SIB190" s="5"/>
      <c r="SIC190" s="5"/>
      <c r="SID190" s="5"/>
      <c r="SIE190" s="5"/>
      <c r="SIF190" s="5"/>
      <c r="SIG190" s="5"/>
      <c r="SIH190" s="5"/>
      <c r="SII190" s="5"/>
      <c r="SIJ190" s="5"/>
      <c r="SIK190" s="5"/>
      <c r="SIL190" s="5"/>
      <c r="SIM190" s="5"/>
      <c r="SIN190" s="5"/>
      <c r="SIO190" s="5"/>
      <c r="SIP190" s="5"/>
      <c r="SIQ190" s="5"/>
      <c r="SIR190" s="5"/>
      <c r="SIS190" s="5"/>
      <c r="SIT190" s="5"/>
      <c r="SIU190" s="5"/>
      <c r="SIV190" s="5"/>
      <c r="SIW190" s="5"/>
      <c r="SIX190" s="5"/>
      <c r="SIY190" s="5"/>
      <c r="SIZ190" s="5"/>
      <c r="SJA190" s="5"/>
      <c r="SJB190" s="5"/>
      <c r="SJC190" s="5"/>
      <c r="SJD190" s="5"/>
      <c r="SJE190" s="5"/>
      <c r="SJF190" s="5"/>
      <c r="SJG190" s="5"/>
      <c r="SJH190" s="5"/>
      <c r="SJI190" s="5"/>
      <c r="SJJ190" s="5"/>
      <c r="SJK190" s="5"/>
      <c r="SJL190" s="5"/>
      <c r="SJM190" s="5"/>
      <c r="SJN190" s="5"/>
      <c r="SJO190" s="5"/>
      <c r="SJP190" s="5"/>
      <c r="SJQ190" s="5"/>
      <c r="SJR190" s="5"/>
      <c r="SJS190" s="5"/>
      <c r="SJT190" s="5"/>
      <c r="SJU190" s="5"/>
      <c r="SJV190" s="5"/>
      <c r="SJW190" s="5"/>
      <c r="SJX190" s="5"/>
      <c r="SJY190" s="5"/>
      <c r="SJZ190" s="5"/>
      <c r="SKA190" s="5"/>
      <c r="SKB190" s="5"/>
      <c r="SKC190" s="5"/>
      <c r="SKD190" s="5"/>
      <c r="SKE190" s="5"/>
      <c r="SKF190" s="5"/>
      <c r="SKG190" s="5"/>
      <c r="SKH190" s="5"/>
      <c r="SKI190" s="5"/>
      <c r="SKJ190" s="5"/>
      <c r="SKK190" s="5"/>
      <c r="SKL190" s="5"/>
      <c r="SKM190" s="5"/>
      <c r="SKN190" s="5"/>
      <c r="SKO190" s="5"/>
      <c r="SKP190" s="5"/>
      <c r="SKQ190" s="5"/>
      <c r="SKR190" s="5"/>
      <c r="SKS190" s="5"/>
      <c r="SKT190" s="5"/>
      <c r="SKU190" s="5"/>
      <c r="SKV190" s="5"/>
      <c r="SKW190" s="5"/>
      <c r="SKX190" s="5"/>
      <c r="SKY190" s="5"/>
      <c r="SKZ190" s="5"/>
      <c r="SLA190" s="5"/>
      <c r="SLB190" s="5"/>
      <c r="SLC190" s="5"/>
      <c r="SLD190" s="5"/>
      <c r="SLE190" s="5"/>
      <c r="SLF190" s="5"/>
      <c r="SLG190" s="5"/>
      <c r="SLH190" s="5"/>
      <c r="SLI190" s="5"/>
      <c r="SLJ190" s="5"/>
      <c r="SLK190" s="5"/>
      <c r="SLL190" s="5"/>
      <c r="SLM190" s="5"/>
      <c r="SLN190" s="5"/>
      <c r="SLO190" s="5"/>
      <c r="SLP190" s="5"/>
      <c r="SLQ190" s="5"/>
      <c r="SLR190" s="5"/>
      <c r="SLS190" s="5"/>
      <c r="SLT190" s="5"/>
      <c r="SLU190" s="5"/>
      <c r="SLV190" s="5"/>
      <c r="SLW190" s="5"/>
      <c r="SLX190" s="5"/>
      <c r="SLY190" s="5"/>
      <c r="SLZ190" s="5"/>
      <c r="SMA190" s="5"/>
      <c r="SMB190" s="5"/>
      <c r="SMC190" s="5"/>
      <c r="SMD190" s="5"/>
      <c r="SME190" s="5"/>
      <c r="SMF190" s="5"/>
      <c r="SMG190" s="5"/>
      <c r="SMH190" s="5"/>
      <c r="SMI190" s="5"/>
      <c r="SMJ190" s="5"/>
      <c r="SMK190" s="5"/>
      <c r="SML190" s="5"/>
      <c r="SMM190" s="5"/>
      <c r="SMN190" s="5"/>
      <c r="SMO190" s="5"/>
      <c r="SMP190" s="5"/>
      <c r="SMQ190" s="5"/>
      <c r="SMR190" s="5"/>
      <c r="SMS190" s="5"/>
      <c r="SMT190" s="5"/>
      <c r="SMU190" s="5"/>
      <c r="SMV190" s="5"/>
      <c r="SMW190" s="5"/>
      <c r="SMX190" s="5"/>
      <c r="SMY190" s="5"/>
      <c r="SMZ190" s="5"/>
      <c r="SNA190" s="5"/>
      <c r="SNB190" s="5"/>
      <c r="SNC190" s="5"/>
      <c r="SND190" s="5"/>
      <c r="SNE190" s="5"/>
      <c r="SNF190" s="5"/>
      <c r="SNG190" s="5"/>
      <c r="SNH190" s="5"/>
      <c r="SNI190" s="5"/>
      <c r="SNJ190" s="5"/>
      <c r="SNK190" s="5"/>
      <c r="SNL190" s="5"/>
      <c r="SNM190" s="5"/>
      <c r="SNN190" s="5"/>
      <c r="SNO190" s="5"/>
      <c r="SNP190" s="5"/>
      <c r="SNQ190" s="5"/>
      <c r="SNR190" s="5"/>
      <c r="SNS190" s="5"/>
      <c r="SNT190" s="5"/>
      <c r="SNU190" s="5"/>
      <c r="SNV190" s="5"/>
      <c r="SNW190" s="5"/>
      <c r="SNX190" s="5"/>
      <c r="SNY190" s="5"/>
      <c r="SNZ190" s="5"/>
      <c r="SOA190" s="5"/>
      <c r="SOB190" s="5"/>
      <c r="SOC190" s="5"/>
      <c r="SOD190" s="5"/>
      <c r="SOE190" s="5"/>
      <c r="SOF190" s="5"/>
      <c r="SOG190" s="5"/>
      <c r="SOH190" s="5"/>
      <c r="SOI190" s="5"/>
      <c r="SOJ190" s="5"/>
      <c r="SOK190" s="5"/>
      <c r="SOL190" s="5"/>
      <c r="SOM190" s="5"/>
      <c r="SON190" s="5"/>
      <c r="SOO190" s="5"/>
      <c r="SOP190" s="5"/>
      <c r="SOQ190" s="5"/>
      <c r="SOR190" s="5"/>
      <c r="SOS190" s="5"/>
      <c r="SOT190" s="5"/>
      <c r="SOU190" s="5"/>
      <c r="SOV190" s="5"/>
      <c r="SOW190" s="5"/>
      <c r="SOX190" s="5"/>
      <c r="SOY190" s="5"/>
      <c r="SOZ190" s="5"/>
      <c r="SPA190" s="5"/>
      <c r="SPB190" s="5"/>
      <c r="SPC190" s="5"/>
      <c r="SPD190" s="5"/>
      <c r="SPE190" s="5"/>
      <c r="SPF190" s="5"/>
      <c r="SPG190" s="5"/>
      <c r="SPH190" s="5"/>
      <c r="SPI190" s="5"/>
      <c r="SPJ190" s="5"/>
      <c r="SPK190" s="5"/>
      <c r="SPL190" s="5"/>
      <c r="SPM190" s="5"/>
      <c r="SPN190" s="5"/>
      <c r="SPO190" s="5"/>
      <c r="SPP190" s="5"/>
      <c r="SPQ190" s="5"/>
      <c r="SPR190" s="5"/>
      <c r="SPS190" s="5"/>
      <c r="SPT190" s="5"/>
      <c r="SPU190" s="5"/>
      <c r="SPV190" s="5"/>
      <c r="SPW190" s="5"/>
      <c r="SPX190" s="5"/>
      <c r="SPY190" s="5"/>
      <c r="SPZ190" s="5"/>
      <c r="SQA190" s="5"/>
      <c r="SQB190" s="5"/>
      <c r="SQC190" s="5"/>
      <c r="SQD190" s="5"/>
      <c r="SQE190" s="5"/>
      <c r="SQF190" s="5"/>
      <c r="SQG190" s="5"/>
      <c r="SQH190" s="5"/>
      <c r="SQI190" s="5"/>
      <c r="SQJ190" s="5"/>
      <c r="SQK190" s="5"/>
      <c r="SQL190" s="5"/>
      <c r="SQM190" s="5"/>
      <c r="SQN190" s="5"/>
      <c r="SQO190" s="5"/>
      <c r="SQP190" s="5"/>
      <c r="SQQ190" s="5"/>
      <c r="SQR190" s="5"/>
      <c r="SQS190" s="5"/>
      <c r="SQT190" s="5"/>
      <c r="SQU190" s="5"/>
      <c r="SQV190" s="5"/>
      <c r="SQW190" s="5"/>
      <c r="SQX190" s="5"/>
      <c r="SQY190" s="5"/>
      <c r="SQZ190" s="5"/>
      <c r="SRA190" s="5"/>
      <c r="SRB190" s="5"/>
      <c r="SRC190" s="5"/>
      <c r="SRD190" s="5"/>
      <c r="SRE190" s="5"/>
      <c r="SRF190" s="5"/>
      <c r="SRG190" s="5"/>
      <c r="SRH190" s="5"/>
      <c r="SRI190" s="5"/>
      <c r="SRJ190" s="5"/>
      <c r="SRK190" s="5"/>
      <c r="SRL190" s="5"/>
      <c r="SRM190" s="5"/>
      <c r="SRN190" s="5"/>
      <c r="SRO190" s="5"/>
      <c r="SRP190" s="5"/>
      <c r="SRQ190" s="5"/>
      <c r="SRR190" s="5"/>
      <c r="SRS190" s="5"/>
      <c r="SRT190" s="5"/>
      <c r="SRU190" s="5"/>
      <c r="SRV190" s="5"/>
      <c r="SRW190" s="5"/>
      <c r="SRX190" s="5"/>
      <c r="SRY190" s="5"/>
      <c r="SRZ190" s="5"/>
      <c r="SSA190" s="5"/>
      <c r="SSB190" s="5"/>
      <c r="SSC190" s="5"/>
      <c r="SSD190" s="5"/>
      <c r="SSE190" s="5"/>
      <c r="SSF190" s="5"/>
      <c r="SSG190" s="5"/>
      <c r="SSH190" s="5"/>
      <c r="SSI190" s="5"/>
      <c r="SSJ190" s="5"/>
      <c r="SSK190" s="5"/>
      <c r="SSL190" s="5"/>
      <c r="SSM190" s="5"/>
      <c r="SSN190" s="5"/>
      <c r="SSO190" s="5"/>
      <c r="SSP190" s="5"/>
      <c r="SSQ190" s="5"/>
      <c r="SSR190" s="5"/>
      <c r="SSS190" s="5"/>
      <c r="SST190" s="5"/>
      <c r="SSU190" s="5"/>
      <c r="SSV190" s="5"/>
      <c r="SSW190" s="5"/>
      <c r="SSX190" s="5"/>
      <c r="SSY190" s="5"/>
      <c r="SSZ190" s="5"/>
      <c r="STA190" s="5"/>
      <c r="STB190" s="5"/>
      <c r="STC190" s="5"/>
      <c r="STD190" s="5"/>
      <c r="STE190" s="5"/>
      <c r="STF190" s="5"/>
      <c r="STG190" s="5"/>
      <c r="STH190" s="5"/>
      <c r="STI190" s="5"/>
      <c r="STJ190" s="5"/>
      <c r="STK190" s="5"/>
      <c r="STL190" s="5"/>
      <c r="STM190" s="5"/>
      <c r="STN190" s="5"/>
      <c r="STO190" s="5"/>
      <c r="STP190" s="5"/>
      <c r="STQ190" s="5"/>
      <c r="STR190" s="5"/>
      <c r="STS190" s="5"/>
      <c r="STT190" s="5"/>
      <c r="STU190" s="5"/>
      <c r="STV190" s="5"/>
      <c r="STW190" s="5"/>
      <c r="STX190" s="5"/>
      <c r="STY190" s="5"/>
      <c r="STZ190" s="5"/>
      <c r="SUA190" s="5"/>
      <c r="SUB190" s="5"/>
      <c r="SUC190" s="5"/>
      <c r="SUD190" s="5"/>
      <c r="SUE190" s="5"/>
      <c r="SUF190" s="5"/>
      <c r="SUG190" s="5"/>
      <c r="SUH190" s="5"/>
      <c r="SUI190" s="5"/>
      <c r="SUJ190" s="5"/>
      <c r="SUK190" s="5"/>
      <c r="SUL190" s="5"/>
      <c r="SUM190" s="5"/>
      <c r="SUN190" s="5"/>
      <c r="SUO190" s="5"/>
      <c r="SUP190" s="5"/>
      <c r="SUQ190" s="5"/>
      <c r="SUR190" s="5"/>
      <c r="SUS190" s="5"/>
      <c r="SUT190" s="5"/>
      <c r="SUU190" s="5"/>
      <c r="SUV190" s="5"/>
      <c r="SUW190" s="5"/>
      <c r="SUX190" s="5"/>
      <c r="SUY190" s="5"/>
      <c r="SUZ190" s="5"/>
      <c r="SVA190" s="5"/>
      <c r="SVB190" s="5"/>
      <c r="SVC190" s="5"/>
      <c r="SVD190" s="5"/>
      <c r="SVE190" s="5"/>
      <c r="SVF190" s="5"/>
      <c r="SVG190" s="5"/>
      <c r="SVH190" s="5"/>
      <c r="SVI190" s="5"/>
      <c r="SVJ190" s="5"/>
      <c r="SVK190" s="5"/>
      <c r="SVL190" s="5"/>
      <c r="SVM190" s="5"/>
      <c r="SVN190" s="5"/>
      <c r="SVO190" s="5"/>
      <c r="SVP190" s="5"/>
      <c r="SVQ190" s="5"/>
      <c r="SVR190" s="5"/>
      <c r="SVS190" s="5"/>
      <c r="SVT190" s="5"/>
      <c r="SVU190" s="5"/>
      <c r="SVV190" s="5"/>
      <c r="SVW190" s="5"/>
      <c r="SVX190" s="5"/>
      <c r="SVY190" s="5"/>
      <c r="SVZ190" s="5"/>
      <c r="SWA190" s="5"/>
      <c r="SWB190" s="5"/>
      <c r="SWC190" s="5"/>
      <c r="SWD190" s="5"/>
      <c r="SWE190" s="5"/>
      <c r="SWF190" s="5"/>
      <c r="SWG190" s="5"/>
      <c r="SWH190" s="5"/>
      <c r="SWI190" s="5"/>
      <c r="SWJ190" s="5"/>
      <c r="SWK190" s="5"/>
      <c r="SWL190" s="5"/>
      <c r="SWM190" s="5"/>
      <c r="SWN190" s="5"/>
      <c r="SWO190" s="5"/>
      <c r="SWP190" s="5"/>
      <c r="SWQ190" s="5"/>
      <c r="SWR190" s="5"/>
      <c r="SWS190" s="5"/>
      <c r="SWT190" s="5"/>
      <c r="SWU190" s="5"/>
      <c r="SWV190" s="5"/>
      <c r="SWW190" s="5"/>
      <c r="SWX190" s="5"/>
      <c r="SWY190" s="5"/>
      <c r="SWZ190" s="5"/>
      <c r="SXA190" s="5"/>
      <c r="SXB190" s="5"/>
      <c r="SXC190" s="5"/>
      <c r="SXD190" s="5"/>
      <c r="SXE190" s="5"/>
      <c r="SXF190" s="5"/>
      <c r="SXG190" s="5"/>
      <c r="SXH190" s="5"/>
      <c r="SXI190" s="5"/>
      <c r="SXJ190" s="5"/>
      <c r="SXK190" s="5"/>
      <c r="SXL190" s="5"/>
      <c r="SXM190" s="5"/>
      <c r="SXN190" s="5"/>
      <c r="SXO190" s="5"/>
      <c r="SXP190" s="5"/>
      <c r="SXQ190" s="5"/>
      <c r="SXR190" s="5"/>
      <c r="SXS190" s="5"/>
      <c r="SXT190" s="5"/>
      <c r="SXU190" s="5"/>
      <c r="SXV190" s="5"/>
      <c r="SXW190" s="5"/>
      <c r="SXX190" s="5"/>
      <c r="SXY190" s="5"/>
      <c r="SXZ190" s="5"/>
      <c r="SYA190" s="5"/>
      <c r="SYB190" s="5"/>
      <c r="SYC190" s="5"/>
      <c r="SYD190" s="5"/>
      <c r="SYE190" s="5"/>
      <c r="SYF190" s="5"/>
      <c r="SYG190" s="5"/>
      <c r="SYH190" s="5"/>
      <c r="SYI190" s="5"/>
      <c r="SYJ190" s="5"/>
      <c r="SYK190" s="5"/>
      <c r="SYL190" s="5"/>
      <c r="SYM190" s="5"/>
      <c r="SYN190" s="5"/>
      <c r="SYO190" s="5"/>
      <c r="SYP190" s="5"/>
      <c r="SYQ190" s="5"/>
      <c r="SYR190" s="5"/>
      <c r="SYS190" s="5"/>
      <c r="SYT190" s="5"/>
      <c r="SYU190" s="5"/>
      <c r="SYV190" s="5"/>
      <c r="SYW190" s="5"/>
      <c r="SYX190" s="5"/>
      <c r="SYY190" s="5"/>
      <c r="SYZ190" s="5"/>
      <c r="SZA190" s="5"/>
      <c r="SZB190" s="5"/>
      <c r="SZC190" s="5"/>
      <c r="SZD190" s="5"/>
      <c r="SZE190" s="5"/>
      <c r="SZF190" s="5"/>
      <c r="SZG190" s="5"/>
      <c r="SZH190" s="5"/>
      <c r="SZI190" s="5"/>
      <c r="SZJ190" s="5"/>
      <c r="SZK190" s="5"/>
      <c r="SZL190" s="5"/>
      <c r="SZM190" s="5"/>
      <c r="SZN190" s="5"/>
      <c r="SZO190" s="5"/>
      <c r="SZP190" s="5"/>
      <c r="SZQ190" s="5"/>
      <c r="SZR190" s="5"/>
      <c r="SZS190" s="5"/>
      <c r="SZT190" s="5"/>
      <c r="SZU190" s="5"/>
      <c r="SZV190" s="5"/>
      <c r="SZW190" s="5"/>
      <c r="SZX190" s="5"/>
      <c r="SZY190" s="5"/>
      <c r="SZZ190" s="5"/>
      <c r="TAA190" s="5"/>
      <c r="TAB190" s="5"/>
      <c r="TAC190" s="5"/>
      <c r="TAD190" s="5"/>
      <c r="TAE190" s="5"/>
      <c r="TAF190" s="5"/>
      <c r="TAG190" s="5"/>
      <c r="TAH190" s="5"/>
      <c r="TAI190" s="5"/>
      <c r="TAJ190" s="5"/>
      <c r="TAK190" s="5"/>
      <c r="TAL190" s="5"/>
      <c r="TAM190" s="5"/>
      <c r="TAN190" s="5"/>
      <c r="TAO190" s="5"/>
      <c r="TAP190" s="5"/>
      <c r="TAQ190" s="5"/>
      <c r="TAR190" s="5"/>
      <c r="TAS190" s="5"/>
      <c r="TAT190" s="5"/>
      <c r="TAU190" s="5"/>
      <c r="TAV190" s="5"/>
      <c r="TAW190" s="5"/>
      <c r="TAX190" s="5"/>
      <c r="TAY190" s="5"/>
      <c r="TAZ190" s="5"/>
      <c r="TBA190" s="5"/>
      <c r="TBB190" s="5"/>
      <c r="TBC190" s="5"/>
      <c r="TBD190" s="5"/>
      <c r="TBE190" s="5"/>
      <c r="TBF190" s="5"/>
      <c r="TBG190" s="5"/>
      <c r="TBH190" s="5"/>
      <c r="TBI190" s="5"/>
      <c r="TBJ190" s="5"/>
      <c r="TBK190" s="5"/>
      <c r="TBL190" s="5"/>
      <c r="TBM190" s="5"/>
      <c r="TBN190" s="5"/>
      <c r="TBO190" s="5"/>
      <c r="TBP190" s="5"/>
      <c r="TBQ190" s="5"/>
      <c r="TBR190" s="5"/>
      <c r="TBS190" s="5"/>
      <c r="TBT190" s="5"/>
      <c r="TBU190" s="5"/>
      <c r="TBV190" s="5"/>
      <c r="TBW190" s="5"/>
      <c r="TBX190" s="5"/>
      <c r="TBY190" s="5"/>
      <c r="TBZ190" s="5"/>
      <c r="TCA190" s="5"/>
      <c r="TCB190" s="5"/>
      <c r="TCC190" s="5"/>
      <c r="TCD190" s="5"/>
      <c r="TCE190" s="5"/>
      <c r="TCF190" s="5"/>
      <c r="TCG190" s="5"/>
      <c r="TCH190" s="5"/>
      <c r="TCI190" s="5"/>
      <c r="TCJ190" s="5"/>
      <c r="TCK190" s="5"/>
      <c r="TCL190" s="5"/>
      <c r="TCM190" s="5"/>
      <c r="TCN190" s="5"/>
      <c r="TCO190" s="5"/>
      <c r="TCP190" s="5"/>
      <c r="TCQ190" s="5"/>
      <c r="TCR190" s="5"/>
      <c r="TCS190" s="5"/>
      <c r="TCT190" s="5"/>
      <c r="TCU190" s="5"/>
      <c r="TCV190" s="5"/>
      <c r="TCW190" s="5"/>
      <c r="TCX190" s="5"/>
      <c r="TCY190" s="5"/>
      <c r="TCZ190" s="5"/>
      <c r="TDA190" s="5"/>
      <c r="TDB190" s="5"/>
      <c r="TDC190" s="5"/>
      <c r="TDD190" s="5"/>
      <c r="TDE190" s="5"/>
      <c r="TDF190" s="5"/>
      <c r="TDG190" s="5"/>
      <c r="TDH190" s="5"/>
      <c r="TDI190" s="5"/>
      <c r="TDJ190" s="5"/>
      <c r="TDK190" s="5"/>
      <c r="TDL190" s="5"/>
      <c r="TDM190" s="5"/>
      <c r="TDN190" s="5"/>
      <c r="TDO190" s="5"/>
      <c r="TDP190" s="5"/>
      <c r="TDQ190" s="5"/>
      <c r="TDR190" s="5"/>
      <c r="TDS190" s="5"/>
      <c r="TDT190" s="5"/>
      <c r="TDU190" s="5"/>
      <c r="TDV190" s="5"/>
      <c r="TDW190" s="5"/>
      <c r="TDX190" s="5"/>
      <c r="TDY190" s="5"/>
      <c r="TDZ190" s="5"/>
      <c r="TEA190" s="5"/>
      <c r="TEB190" s="5"/>
      <c r="TEC190" s="5"/>
      <c r="TED190" s="5"/>
      <c r="TEE190" s="5"/>
      <c r="TEF190" s="5"/>
      <c r="TEG190" s="5"/>
      <c r="TEH190" s="5"/>
      <c r="TEI190" s="5"/>
      <c r="TEJ190" s="5"/>
      <c r="TEK190" s="5"/>
      <c r="TEL190" s="5"/>
      <c r="TEM190" s="5"/>
      <c r="TEN190" s="5"/>
      <c r="TEO190" s="5"/>
      <c r="TEP190" s="5"/>
      <c r="TEQ190" s="5"/>
      <c r="TER190" s="5"/>
      <c r="TES190" s="5"/>
      <c r="TET190" s="5"/>
      <c r="TEU190" s="5"/>
      <c r="TEV190" s="5"/>
      <c r="TEW190" s="5"/>
      <c r="TEX190" s="5"/>
      <c r="TEY190" s="5"/>
      <c r="TEZ190" s="5"/>
      <c r="TFA190" s="5"/>
      <c r="TFB190" s="5"/>
      <c r="TFC190" s="5"/>
      <c r="TFD190" s="5"/>
      <c r="TFE190" s="5"/>
      <c r="TFF190" s="5"/>
      <c r="TFG190" s="5"/>
      <c r="TFH190" s="5"/>
      <c r="TFI190" s="5"/>
      <c r="TFJ190" s="5"/>
      <c r="TFK190" s="5"/>
      <c r="TFL190" s="5"/>
      <c r="TFM190" s="5"/>
      <c r="TFN190" s="5"/>
      <c r="TFO190" s="5"/>
      <c r="TFP190" s="5"/>
      <c r="TFQ190" s="5"/>
      <c r="TFR190" s="5"/>
      <c r="TFS190" s="5"/>
      <c r="TFT190" s="5"/>
      <c r="TFU190" s="5"/>
      <c r="TFV190" s="5"/>
      <c r="TFW190" s="5"/>
      <c r="TFX190" s="5"/>
      <c r="TFY190" s="5"/>
      <c r="TFZ190" s="5"/>
      <c r="TGA190" s="5"/>
      <c r="TGB190" s="5"/>
      <c r="TGC190" s="5"/>
      <c r="TGD190" s="5"/>
      <c r="TGE190" s="5"/>
      <c r="TGF190" s="5"/>
      <c r="TGG190" s="5"/>
      <c r="TGH190" s="5"/>
      <c r="TGI190" s="5"/>
      <c r="TGJ190" s="5"/>
      <c r="TGK190" s="5"/>
      <c r="TGL190" s="5"/>
      <c r="TGM190" s="5"/>
      <c r="TGN190" s="5"/>
      <c r="TGO190" s="5"/>
      <c r="TGP190" s="5"/>
      <c r="TGQ190" s="5"/>
      <c r="TGR190" s="5"/>
      <c r="TGS190" s="5"/>
      <c r="TGT190" s="5"/>
      <c r="TGU190" s="5"/>
      <c r="TGV190" s="5"/>
      <c r="TGW190" s="5"/>
      <c r="TGX190" s="5"/>
      <c r="TGY190" s="5"/>
      <c r="TGZ190" s="5"/>
      <c r="THA190" s="5"/>
      <c r="THB190" s="5"/>
      <c r="THC190" s="5"/>
      <c r="THD190" s="5"/>
      <c r="THE190" s="5"/>
      <c r="THF190" s="5"/>
      <c r="THG190" s="5"/>
      <c r="THH190" s="5"/>
      <c r="THI190" s="5"/>
      <c r="THJ190" s="5"/>
      <c r="THK190" s="5"/>
      <c r="THL190" s="5"/>
      <c r="THM190" s="5"/>
      <c r="THN190" s="5"/>
      <c r="THO190" s="5"/>
      <c r="THP190" s="5"/>
      <c r="THQ190" s="5"/>
      <c r="THR190" s="5"/>
      <c r="THS190" s="5"/>
      <c r="THT190" s="5"/>
      <c r="THU190" s="5"/>
      <c r="THV190" s="5"/>
      <c r="THW190" s="5"/>
      <c r="THX190" s="5"/>
      <c r="THY190" s="5"/>
      <c r="THZ190" s="5"/>
      <c r="TIA190" s="5"/>
      <c r="TIB190" s="5"/>
      <c r="TIC190" s="5"/>
      <c r="TID190" s="5"/>
      <c r="TIE190" s="5"/>
      <c r="TIF190" s="5"/>
      <c r="TIG190" s="5"/>
      <c r="TIH190" s="5"/>
      <c r="TII190" s="5"/>
      <c r="TIJ190" s="5"/>
      <c r="TIK190" s="5"/>
      <c r="TIL190" s="5"/>
      <c r="TIM190" s="5"/>
      <c r="TIN190" s="5"/>
      <c r="TIO190" s="5"/>
      <c r="TIP190" s="5"/>
      <c r="TIQ190" s="5"/>
      <c r="TIR190" s="5"/>
      <c r="TIS190" s="5"/>
      <c r="TIT190" s="5"/>
      <c r="TIU190" s="5"/>
      <c r="TIV190" s="5"/>
      <c r="TIW190" s="5"/>
      <c r="TIX190" s="5"/>
      <c r="TIY190" s="5"/>
      <c r="TIZ190" s="5"/>
      <c r="TJA190" s="5"/>
      <c r="TJB190" s="5"/>
      <c r="TJC190" s="5"/>
      <c r="TJD190" s="5"/>
      <c r="TJE190" s="5"/>
      <c r="TJF190" s="5"/>
      <c r="TJG190" s="5"/>
      <c r="TJH190" s="5"/>
      <c r="TJI190" s="5"/>
      <c r="TJJ190" s="5"/>
      <c r="TJK190" s="5"/>
      <c r="TJL190" s="5"/>
      <c r="TJM190" s="5"/>
      <c r="TJN190" s="5"/>
      <c r="TJO190" s="5"/>
      <c r="TJP190" s="5"/>
      <c r="TJQ190" s="5"/>
      <c r="TJR190" s="5"/>
      <c r="TJS190" s="5"/>
      <c r="TJT190" s="5"/>
      <c r="TJU190" s="5"/>
      <c r="TJV190" s="5"/>
      <c r="TJW190" s="5"/>
      <c r="TJX190" s="5"/>
      <c r="TJY190" s="5"/>
      <c r="TJZ190" s="5"/>
      <c r="TKA190" s="5"/>
      <c r="TKB190" s="5"/>
      <c r="TKC190" s="5"/>
      <c r="TKD190" s="5"/>
      <c r="TKE190" s="5"/>
      <c r="TKF190" s="5"/>
      <c r="TKG190" s="5"/>
      <c r="TKH190" s="5"/>
      <c r="TKI190" s="5"/>
      <c r="TKJ190" s="5"/>
      <c r="TKK190" s="5"/>
      <c r="TKL190" s="5"/>
      <c r="TKM190" s="5"/>
      <c r="TKN190" s="5"/>
      <c r="TKO190" s="5"/>
      <c r="TKP190" s="5"/>
      <c r="TKQ190" s="5"/>
      <c r="TKR190" s="5"/>
      <c r="TKS190" s="5"/>
      <c r="TKT190" s="5"/>
      <c r="TKU190" s="5"/>
      <c r="TKV190" s="5"/>
      <c r="TKW190" s="5"/>
      <c r="TKX190" s="5"/>
      <c r="TKY190" s="5"/>
      <c r="TKZ190" s="5"/>
      <c r="TLA190" s="5"/>
      <c r="TLB190" s="5"/>
      <c r="TLC190" s="5"/>
      <c r="TLD190" s="5"/>
      <c r="TLE190" s="5"/>
      <c r="TLF190" s="5"/>
      <c r="TLG190" s="5"/>
      <c r="TLH190" s="5"/>
      <c r="TLI190" s="5"/>
      <c r="TLJ190" s="5"/>
      <c r="TLK190" s="5"/>
      <c r="TLL190" s="5"/>
      <c r="TLM190" s="5"/>
      <c r="TLN190" s="5"/>
      <c r="TLO190" s="5"/>
      <c r="TLP190" s="5"/>
      <c r="TLQ190" s="5"/>
      <c r="TLR190" s="5"/>
      <c r="TLS190" s="5"/>
      <c r="TLT190" s="5"/>
      <c r="TLU190" s="5"/>
      <c r="TLV190" s="5"/>
      <c r="TLW190" s="5"/>
      <c r="TLX190" s="5"/>
      <c r="TLY190" s="5"/>
      <c r="TLZ190" s="5"/>
      <c r="TMA190" s="5"/>
      <c r="TMB190" s="5"/>
      <c r="TMC190" s="5"/>
      <c r="TMD190" s="5"/>
      <c r="TME190" s="5"/>
      <c r="TMF190" s="5"/>
      <c r="TMG190" s="5"/>
      <c r="TMH190" s="5"/>
      <c r="TMI190" s="5"/>
      <c r="TMJ190" s="5"/>
      <c r="TMK190" s="5"/>
      <c r="TML190" s="5"/>
      <c r="TMM190" s="5"/>
      <c r="TMN190" s="5"/>
      <c r="TMO190" s="5"/>
      <c r="TMP190" s="5"/>
      <c r="TMQ190" s="5"/>
      <c r="TMR190" s="5"/>
      <c r="TMS190" s="5"/>
      <c r="TMT190" s="5"/>
      <c r="TMU190" s="5"/>
      <c r="TMV190" s="5"/>
      <c r="TMW190" s="5"/>
      <c r="TMX190" s="5"/>
      <c r="TMY190" s="5"/>
      <c r="TMZ190" s="5"/>
      <c r="TNA190" s="5"/>
      <c r="TNB190" s="5"/>
      <c r="TNC190" s="5"/>
      <c r="TND190" s="5"/>
      <c r="TNE190" s="5"/>
      <c r="TNF190" s="5"/>
      <c r="TNG190" s="5"/>
      <c r="TNH190" s="5"/>
      <c r="TNI190" s="5"/>
      <c r="TNJ190" s="5"/>
      <c r="TNK190" s="5"/>
      <c r="TNL190" s="5"/>
      <c r="TNM190" s="5"/>
      <c r="TNN190" s="5"/>
      <c r="TNO190" s="5"/>
      <c r="TNP190" s="5"/>
      <c r="TNQ190" s="5"/>
      <c r="TNR190" s="5"/>
      <c r="TNS190" s="5"/>
      <c r="TNT190" s="5"/>
      <c r="TNU190" s="5"/>
      <c r="TNV190" s="5"/>
      <c r="TNW190" s="5"/>
      <c r="TNX190" s="5"/>
      <c r="TNY190" s="5"/>
      <c r="TNZ190" s="5"/>
      <c r="TOA190" s="5"/>
      <c r="TOB190" s="5"/>
      <c r="TOC190" s="5"/>
      <c r="TOD190" s="5"/>
      <c r="TOE190" s="5"/>
      <c r="TOF190" s="5"/>
      <c r="TOG190" s="5"/>
      <c r="TOH190" s="5"/>
      <c r="TOI190" s="5"/>
      <c r="TOJ190" s="5"/>
      <c r="TOK190" s="5"/>
      <c r="TOL190" s="5"/>
      <c r="TOM190" s="5"/>
      <c r="TON190" s="5"/>
      <c r="TOO190" s="5"/>
      <c r="TOP190" s="5"/>
      <c r="TOQ190" s="5"/>
      <c r="TOR190" s="5"/>
      <c r="TOS190" s="5"/>
      <c r="TOT190" s="5"/>
      <c r="TOU190" s="5"/>
      <c r="TOV190" s="5"/>
      <c r="TOW190" s="5"/>
      <c r="TOX190" s="5"/>
      <c r="TOY190" s="5"/>
      <c r="TOZ190" s="5"/>
      <c r="TPA190" s="5"/>
      <c r="TPB190" s="5"/>
      <c r="TPC190" s="5"/>
      <c r="TPD190" s="5"/>
      <c r="TPE190" s="5"/>
      <c r="TPF190" s="5"/>
      <c r="TPG190" s="5"/>
      <c r="TPH190" s="5"/>
      <c r="TPI190" s="5"/>
      <c r="TPJ190" s="5"/>
      <c r="TPK190" s="5"/>
      <c r="TPL190" s="5"/>
      <c r="TPM190" s="5"/>
      <c r="TPN190" s="5"/>
      <c r="TPO190" s="5"/>
      <c r="TPP190" s="5"/>
      <c r="TPQ190" s="5"/>
      <c r="TPR190" s="5"/>
      <c r="TPS190" s="5"/>
      <c r="TPT190" s="5"/>
      <c r="TPU190" s="5"/>
      <c r="TPV190" s="5"/>
      <c r="TPW190" s="5"/>
      <c r="TPX190" s="5"/>
      <c r="TPY190" s="5"/>
      <c r="TPZ190" s="5"/>
      <c r="TQA190" s="5"/>
      <c r="TQB190" s="5"/>
      <c r="TQC190" s="5"/>
      <c r="TQD190" s="5"/>
      <c r="TQE190" s="5"/>
      <c r="TQF190" s="5"/>
      <c r="TQG190" s="5"/>
      <c r="TQH190" s="5"/>
      <c r="TQI190" s="5"/>
      <c r="TQJ190" s="5"/>
      <c r="TQK190" s="5"/>
      <c r="TQL190" s="5"/>
      <c r="TQM190" s="5"/>
      <c r="TQN190" s="5"/>
      <c r="TQO190" s="5"/>
      <c r="TQP190" s="5"/>
      <c r="TQQ190" s="5"/>
      <c r="TQR190" s="5"/>
      <c r="TQS190" s="5"/>
      <c r="TQT190" s="5"/>
      <c r="TQU190" s="5"/>
      <c r="TQV190" s="5"/>
      <c r="TQW190" s="5"/>
      <c r="TQX190" s="5"/>
      <c r="TQY190" s="5"/>
      <c r="TQZ190" s="5"/>
      <c r="TRA190" s="5"/>
      <c r="TRB190" s="5"/>
      <c r="TRC190" s="5"/>
      <c r="TRD190" s="5"/>
      <c r="TRE190" s="5"/>
      <c r="TRF190" s="5"/>
      <c r="TRG190" s="5"/>
      <c r="TRH190" s="5"/>
      <c r="TRI190" s="5"/>
      <c r="TRJ190" s="5"/>
      <c r="TRK190" s="5"/>
      <c r="TRL190" s="5"/>
      <c r="TRM190" s="5"/>
      <c r="TRN190" s="5"/>
      <c r="TRO190" s="5"/>
      <c r="TRP190" s="5"/>
      <c r="TRQ190" s="5"/>
      <c r="TRR190" s="5"/>
      <c r="TRS190" s="5"/>
      <c r="TRT190" s="5"/>
      <c r="TRU190" s="5"/>
      <c r="TRV190" s="5"/>
      <c r="TRW190" s="5"/>
      <c r="TRX190" s="5"/>
      <c r="TRY190" s="5"/>
      <c r="TRZ190" s="5"/>
      <c r="TSA190" s="5"/>
      <c r="TSB190" s="5"/>
      <c r="TSC190" s="5"/>
      <c r="TSD190" s="5"/>
      <c r="TSE190" s="5"/>
      <c r="TSF190" s="5"/>
      <c r="TSG190" s="5"/>
      <c r="TSH190" s="5"/>
      <c r="TSI190" s="5"/>
      <c r="TSJ190" s="5"/>
      <c r="TSK190" s="5"/>
      <c r="TSL190" s="5"/>
      <c r="TSM190" s="5"/>
      <c r="TSN190" s="5"/>
      <c r="TSO190" s="5"/>
      <c r="TSP190" s="5"/>
      <c r="TSQ190" s="5"/>
      <c r="TSR190" s="5"/>
      <c r="TSS190" s="5"/>
      <c r="TST190" s="5"/>
      <c r="TSU190" s="5"/>
      <c r="TSV190" s="5"/>
      <c r="TSW190" s="5"/>
      <c r="TSX190" s="5"/>
      <c r="TSY190" s="5"/>
      <c r="TSZ190" s="5"/>
      <c r="TTA190" s="5"/>
      <c r="TTB190" s="5"/>
      <c r="TTC190" s="5"/>
      <c r="TTD190" s="5"/>
      <c r="TTE190" s="5"/>
      <c r="TTF190" s="5"/>
      <c r="TTG190" s="5"/>
      <c r="TTH190" s="5"/>
      <c r="TTI190" s="5"/>
      <c r="TTJ190" s="5"/>
      <c r="TTK190" s="5"/>
      <c r="TTL190" s="5"/>
      <c r="TTM190" s="5"/>
      <c r="TTN190" s="5"/>
      <c r="TTO190" s="5"/>
      <c r="TTP190" s="5"/>
      <c r="TTQ190" s="5"/>
      <c r="TTR190" s="5"/>
      <c r="TTS190" s="5"/>
      <c r="TTT190" s="5"/>
      <c r="TTU190" s="5"/>
      <c r="TTV190" s="5"/>
      <c r="TTW190" s="5"/>
      <c r="TTX190" s="5"/>
      <c r="TTY190" s="5"/>
      <c r="TTZ190" s="5"/>
      <c r="TUA190" s="5"/>
      <c r="TUB190" s="5"/>
      <c r="TUC190" s="5"/>
      <c r="TUD190" s="5"/>
      <c r="TUE190" s="5"/>
      <c r="TUF190" s="5"/>
      <c r="TUG190" s="5"/>
      <c r="TUH190" s="5"/>
      <c r="TUI190" s="5"/>
      <c r="TUJ190" s="5"/>
      <c r="TUK190" s="5"/>
      <c r="TUL190" s="5"/>
      <c r="TUM190" s="5"/>
      <c r="TUN190" s="5"/>
      <c r="TUO190" s="5"/>
      <c r="TUP190" s="5"/>
      <c r="TUQ190" s="5"/>
      <c r="TUR190" s="5"/>
      <c r="TUS190" s="5"/>
      <c r="TUT190" s="5"/>
      <c r="TUU190" s="5"/>
      <c r="TUV190" s="5"/>
      <c r="TUW190" s="5"/>
      <c r="TUX190" s="5"/>
      <c r="TUY190" s="5"/>
      <c r="TUZ190" s="5"/>
      <c r="TVA190" s="5"/>
      <c r="TVB190" s="5"/>
      <c r="TVC190" s="5"/>
      <c r="TVD190" s="5"/>
      <c r="TVE190" s="5"/>
      <c r="TVF190" s="5"/>
      <c r="TVG190" s="5"/>
      <c r="TVH190" s="5"/>
      <c r="TVI190" s="5"/>
      <c r="TVJ190" s="5"/>
      <c r="TVK190" s="5"/>
      <c r="TVL190" s="5"/>
      <c r="TVM190" s="5"/>
      <c r="TVN190" s="5"/>
      <c r="TVO190" s="5"/>
      <c r="TVP190" s="5"/>
      <c r="TVQ190" s="5"/>
      <c r="TVR190" s="5"/>
      <c r="TVS190" s="5"/>
      <c r="TVT190" s="5"/>
      <c r="TVU190" s="5"/>
      <c r="TVV190" s="5"/>
      <c r="TVW190" s="5"/>
      <c r="TVX190" s="5"/>
      <c r="TVY190" s="5"/>
      <c r="TVZ190" s="5"/>
      <c r="TWA190" s="5"/>
      <c r="TWB190" s="5"/>
      <c r="TWC190" s="5"/>
      <c r="TWD190" s="5"/>
      <c r="TWE190" s="5"/>
      <c r="TWF190" s="5"/>
      <c r="TWG190" s="5"/>
      <c r="TWH190" s="5"/>
      <c r="TWI190" s="5"/>
      <c r="TWJ190" s="5"/>
      <c r="TWK190" s="5"/>
      <c r="TWL190" s="5"/>
      <c r="TWM190" s="5"/>
      <c r="TWN190" s="5"/>
      <c r="TWO190" s="5"/>
      <c r="TWP190" s="5"/>
      <c r="TWQ190" s="5"/>
      <c r="TWR190" s="5"/>
      <c r="TWS190" s="5"/>
      <c r="TWT190" s="5"/>
      <c r="TWU190" s="5"/>
      <c r="TWV190" s="5"/>
      <c r="TWW190" s="5"/>
      <c r="TWX190" s="5"/>
      <c r="TWY190" s="5"/>
      <c r="TWZ190" s="5"/>
      <c r="TXA190" s="5"/>
      <c r="TXB190" s="5"/>
      <c r="TXC190" s="5"/>
      <c r="TXD190" s="5"/>
      <c r="TXE190" s="5"/>
      <c r="TXF190" s="5"/>
      <c r="TXG190" s="5"/>
      <c r="TXH190" s="5"/>
      <c r="TXI190" s="5"/>
      <c r="TXJ190" s="5"/>
      <c r="TXK190" s="5"/>
      <c r="TXL190" s="5"/>
      <c r="TXM190" s="5"/>
      <c r="TXN190" s="5"/>
      <c r="TXO190" s="5"/>
      <c r="TXP190" s="5"/>
      <c r="TXQ190" s="5"/>
      <c r="TXR190" s="5"/>
      <c r="TXS190" s="5"/>
      <c r="TXT190" s="5"/>
      <c r="TXU190" s="5"/>
      <c r="TXV190" s="5"/>
      <c r="TXW190" s="5"/>
      <c r="TXX190" s="5"/>
      <c r="TXY190" s="5"/>
      <c r="TXZ190" s="5"/>
      <c r="TYA190" s="5"/>
      <c r="TYB190" s="5"/>
      <c r="TYC190" s="5"/>
      <c r="TYD190" s="5"/>
      <c r="TYE190" s="5"/>
      <c r="TYF190" s="5"/>
      <c r="TYG190" s="5"/>
      <c r="TYH190" s="5"/>
      <c r="TYI190" s="5"/>
      <c r="TYJ190" s="5"/>
      <c r="TYK190" s="5"/>
      <c r="TYL190" s="5"/>
      <c r="TYM190" s="5"/>
      <c r="TYN190" s="5"/>
      <c r="TYO190" s="5"/>
      <c r="TYP190" s="5"/>
      <c r="TYQ190" s="5"/>
      <c r="TYR190" s="5"/>
      <c r="TYS190" s="5"/>
      <c r="TYT190" s="5"/>
      <c r="TYU190" s="5"/>
      <c r="TYV190" s="5"/>
      <c r="TYW190" s="5"/>
      <c r="TYX190" s="5"/>
      <c r="TYY190" s="5"/>
      <c r="TYZ190" s="5"/>
      <c r="TZA190" s="5"/>
      <c r="TZB190" s="5"/>
      <c r="TZC190" s="5"/>
      <c r="TZD190" s="5"/>
      <c r="TZE190" s="5"/>
      <c r="TZF190" s="5"/>
      <c r="TZG190" s="5"/>
      <c r="TZH190" s="5"/>
      <c r="TZI190" s="5"/>
      <c r="TZJ190" s="5"/>
      <c r="TZK190" s="5"/>
      <c r="TZL190" s="5"/>
      <c r="TZM190" s="5"/>
      <c r="TZN190" s="5"/>
      <c r="TZO190" s="5"/>
      <c r="TZP190" s="5"/>
      <c r="TZQ190" s="5"/>
      <c r="TZR190" s="5"/>
      <c r="TZS190" s="5"/>
      <c r="TZT190" s="5"/>
      <c r="TZU190" s="5"/>
      <c r="TZV190" s="5"/>
      <c r="TZW190" s="5"/>
      <c r="TZX190" s="5"/>
      <c r="TZY190" s="5"/>
      <c r="TZZ190" s="5"/>
      <c r="UAA190" s="5"/>
      <c r="UAB190" s="5"/>
      <c r="UAC190" s="5"/>
      <c r="UAD190" s="5"/>
      <c r="UAE190" s="5"/>
      <c r="UAF190" s="5"/>
      <c r="UAG190" s="5"/>
      <c r="UAH190" s="5"/>
      <c r="UAI190" s="5"/>
      <c r="UAJ190" s="5"/>
      <c r="UAK190" s="5"/>
      <c r="UAL190" s="5"/>
      <c r="UAM190" s="5"/>
      <c r="UAN190" s="5"/>
      <c r="UAO190" s="5"/>
      <c r="UAP190" s="5"/>
      <c r="UAQ190" s="5"/>
      <c r="UAR190" s="5"/>
      <c r="UAS190" s="5"/>
      <c r="UAT190" s="5"/>
      <c r="UAU190" s="5"/>
      <c r="UAV190" s="5"/>
      <c r="UAW190" s="5"/>
      <c r="UAX190" s="5"/>
      <c r="UAY190" s="5"/>
      <c r="UAZ190" s="5"/>
      <c r="UBA190" s="5"/>
      <c r="UBB190" s="5"/>
      <c r="UBC190" s="5"/>
      <c r="UBD190" s="5"/>
      <c r="UBE190" s="5"/>
      <c r="UBF190" s="5"/>
      <c r="UBG190" s="5"/>
      <c r="UBH190" s="5"/>
      <c r="UBI190" s="5"/>
      <c r="UBJ190" s="5"/>
      <c r="UBK190" s="5"/>
      <c r="UBL190" s="5"/>
      <c r="UBM190" s="5"/>
      <c r="UBN190" s="5"/>
      <c r="UBO190" s="5"/>
      <c r="UBP190" s="5"/>
      <c r="UBQ190" s="5"/>
      <c r="UBR190" s="5"/>
      <c r="UBS190" s="5"/>
      <c r="UBT190" s="5"/>
      <c r="UBU190" s="5"/>
      <c r="UBV190" s="5"/>
      <c r="UBW190" s="5"/>
      <c r="UBX190" s="5"/>
      <c r="UBY190" s="5"/>
      <c r="UBZ190" s="5"/>
      <c r="UCA190" s="5"/>
      <c r="UCB190" s="5"/>
      <c r="UCC190" s="5"/>
      <c r="UCD190" s="5"/>
      <c r="UCE190" s="5"/>
      <c r="UCF190" s="5"/>
      <c r="UCG190" s="5"/>
      <c r="UCH190" s="5"/>
      <c r="UCI190" s="5"/>
      <c r="UCJ190" s="5"/>
      <c r="UCK190" s="5"/>
      <c r="UCL190" s="5"/>
      <c r="UCM190" s="5"/>
      <c r="UCN190" s="5"/>
      <c r="UCO190" s="5"/>
      <c r="UCP190" s="5"/>
      <c r="UCQ190" s="5"/>
      <c r="UCR190" s="5"/>
      <c r="UCS190" s="5"/>
      <c r="UCT190" s="5"/>
      <c r="UCU190" s="5"/>
      <c r="UCV190" s="5"/>
      <c r="UCW190" s="5"/>
      <c r="UCX190" s="5"/>
      <c r="UCY190" s="5"/>
      <c r="UCZ190" s="5"/>
      <c r="UDA190" s="5"/>
      <c r="UDB190" s="5"/>
      <c r="UDC190" s="5"/>
      <c r="UDD190" s="5"/>
      <c r="UDE190" s="5"/>
      <c r="UDF190" s="5"/>
      <c r="UDG190" s="5"/>
      <c r="UDH190" s="5"/>
      <c r="UDI190" s="5"/>
      <c r="UDJ190" s="5"/>
      <c r="UDK190" s="5"/>
      <c r="UDL190" s="5"/>
      <c r="UDM190" s="5"/>
      <c r="UDN190" s="5"/>
      <c r="UDO190" s="5"/>
      <c r="UDP190" s="5"/>
      <c r="UDQ190" s="5"/>
      <c r="UDR190" s="5"/>
      <c r="UDS190" s="5"/>
      <c r="UDT190" s="5"/>
      <c r="UDU190" s="5"/>
      <c r="UDV190" s="5"/>
      <c r="UDW190" s="5"/>
      <c r="UDX190" s="5"/>
      <c r="UDY190" s="5"/>
      <c r="UDZ190" s="5"/>
      <c r="UEA190" s="5"/>
      <c r="UEB190" s="5"/>
      <c r="UEC190" s="5"/>
      <c r="UED190" s="5"/>
      <c r="UEE190" s="5"/>
      <c r="UEF190" s="5"/>
      <c r="UEG190" s="5"/>
      <c r="UEH190" s="5"/>
      <c r="UEI190" s="5"/>
      <c r="UEJ190" s="5"/>
      <c r="UEK190" s="5"/>
      <c r="UEL190" s="5"/>
      <c r="UEM190" s="5"/>
      <c r="UEN190" s="5"/>
      <c r="UEO190" s="5"/>
      <c r="UEP190" s="5"/>
      <c r="UEQ190" s="5"/>
      <c r="UER190" s="5"/>
      <c r="UES190" s="5"/>
      <c r="UET190" s="5"/>
      <c r="UEU190" s="5"/>
      <c r="UEV190" s="5"/>
      <c r="UEW190" s="5"/>
      <c r="UEX190" s="5"/>
      <c r="UEY190" s="5"/>
      <c r="UEZ190" s="5"/>
      <c r="UFA190" s="5"/>
      <c r="UFB190" s="5"/>
      <c r="UFC190" s="5"/>
      <c r="UFD190" s="5"/>
      <c r="UFE190" s="5"/>
      <c r="UFF190" s="5"/>
      <c r="UFG190" s="5"/>
      <c r="UFH190" s="5"/>
      <c r="UFI190" s="5"/>
      <c r="UFJ190" s="5"/>
      <c r="UFK190" s="5"/>
      <c r="UFL190" s="5"/>
      <c r="UFM190" s="5"/>
      <c r="UFN190" s="5"/>
      <c r="UFO190" s="5"/>
      <c r="UFP190" s="5"/>
      <c r="UFQ190" s="5"/>
      <c r="UFR190" s="5"/>
      <c r="UFS190" s="5"/>
      <c r="UFT190" s="5"/>
      <c r="UFU190" s="5"/>
      <c r="UFV190" s="5"/>
      <c r="UFW190" s="5"/>
      <c r="UFX190" s="5"/>
      <c r="UFY190" s="5"/>
      <c r="UFZ190" s="5"/>
      <c r="UGA190" s="5"/>
      <c r="UGB190" s="5"/>
      <c r="UGC190" s="5"/>
      <c r="UGD190" s="5"/>
      <c r="UGE190" s="5"/>
      <c r="UGF190" s="5"/>
      <c r="UGG190" s="5"/>
      <c r="UGH190" s="5"/>
      <c r="UGI190" s="5"/>
      <c r="UGJ190" s="5"/>
      <c r="UGK190" s="5"/>
      <c r="UGL190" s="5"/>
      <c r="UGM190" s="5"/>
      <c r="UGN190" s="5"/>
      <c r="UGO190" s="5"/>
      <c r="UGP190" s="5"/>
      <c r="UGQ190" s="5"/>
      <c r="UGR190" s="5"/>
      <c r="UGS190" s="5"/>
      <c r="UGT190" s="5"/>
      <c r="UGU190" s="5"/>
      <c r="UGV190" s="5"/>
      <c r="UGW190" s="5"/>
      <c r="UGX190" s="5"/>
      <c r="UGY190" s="5"/>
      <c r="UGZ190" s="5"/>
      <c r="UHA190" s="5"/>
      <c r="UHB190" s="5"/>
      <c r="UHC190" s="5"/>
      <c r="UHD190" s="5"/>
      <c r="UHE190" s="5"/>
      <c r="UHF190" s="5"/>
      <c r="UHG190" s="5"/>
      <c r="UHH190" s="5"/>
      <c r="UHI190" s="5"/>
      <c r="UHJ190" s="5"/>
      <c r="UHK190" s="5"/>
      <c r="UHL190" s="5"/>
      <c r="UHM190" s="5"/>
      <c r="UHN190" s="5"/>
      <c r="UHO190" s="5"/>
      <c r="UHP190" s="5"/>
      <c r="UHQ190" s="5"/>
      <c r="UHR190" s="5"/>
      <c r="UHS190" s="5"/>
      <c r="UHT190" s="5"/>
      <c r="UHU190" s="5"/>
      <c r="UHV190" s="5"/>
      <c r="UHW190" s="5"/>
      <c r="UHX190" s="5"/>
      <c r="UHY190" s="5"/>
      <c r="UHZ190" s="5"/>
      <c r="UIA190" s="5"/>
      <c r="UIB190" s="5"/>
      <c r="UIC190" s="5"/>
      <c r="UID190" s="5"/>
      <c r="UIE190" s="5"/>
      <c r="UIF190" s="5"/>
      <c r="UIG190" s="5"/>
      <c r="UIH190" s="5"/>
      <c r="UII190" s="5"/>
      <c r="UIJ190" s="5"/>
      <c r="UIK190" s="5"/>
      <c r="UIL190" s="5"/>
      <c r="UIM190" s="5"/>
      <c r="UIN190" s="5"/>
      <c r="UIO190" s="5"/>
      <c r="UIP190" s="5"/>
      <c r="UIQ190" s="5"/>
      <c r="UIR190" s="5"/>
      <c r="UIS190" s="5"/>
      <c r="UIT190" s="5"/>
      <c r="UIU190" s="5"/>
      <c r="UIV190" s="5"/>
      <c r="UIW190" s="5"/>
      <c r="UIX190" s="5"/>
      <c r="UIY190" s="5"/>
      <c r="UIZ190" s="5"/>
      <c r="UJA190" s="5"/>
      <c r="UJB190" s="5"/>
      <c r="UJC190" s="5"/>
      <c r="UJD190" s="5"/>
      <c r="UJE190" s="5"/>
      <c r="UJF190" s="5"/>
      <c r="UJG190" s="5"/>
      <c r="UJH190" s="5"/>
      <c r="UJI190" s="5"/>
      <c r="UJJ190" s="5"/>
      <c r="UJK190" s="5"/>
      <c r="UJL190" s="5"/>
      <c r="UJM190" s="5"/>
      <c r="UJN190" s="5"/>
      <c r="UJO190" s="5"/>
      <c r="UJP190" s="5"/>
      <c r="UJQ190" s="5"/>
      <c r="UJR190" s="5"/>
      <c r="UJS190" s="5"/>
      <c r="UJT190" s="5"/>
      <c r="UJU190" s="5"/>
      <c r="UJV190" s="5"/>
      <c r="UJW190" s="5"/>
      <c r="UJX190" s="5"/>
      <c r="UJY190" s="5"/>
      <c r="UJZ190" s="5"/>
      <c r="UKA190" s="5"/>
      <c r="UKB190" s="5"/>
      <c r="UKC190" s="5"/>
      <c r="UKD190" s="5"/>
      <c r="UKE190" s="5"/>
      <c r="UKF190" s="5"/>
      <c r="UKG190" s="5"/>
      <c r="UKH190" s="5"/>
      <c r="UKI190" s="5"/>
      <c r="UKJ190" s="5"/>
      <c r="UKK190" s="5"/>
      <c r="UKL190" s="5"/>
      <c r="UKM190" s="5"/>
      <c r="UKN190" s="5"/>
      <c r="UKO190" s="5"/>
      <c r="UKP190" s="5"/>
      <c r="UKQ190" s="5"/>
      <c r="UKR190" s="5"/>
      <c r="UKS190" s="5"/>
      <c r="UKT190" s="5"/>
      <c r="UKU190" s="5"/>
      <c r="UKV190" s="5"/>
      <c r="UKW190" s="5"/>
      <c r="UKX190" s="5"/>
      <c r="UKY190" s="5"/>
      <c r="UKZ190" s="5"/>
      <c r="ULA190" s="5"/>
      <c r="ULB190" s="5"/>
      <c r="ULC190" s="5"/>
      <c r="ULD190" s="5"/>
      <c r="ULE190" s="5"/>
      <c r="ULF190" s="5"/>
      <c r="ULG190" s="5"/>
      <c r="ULH190" s="5"/>
      <c r="ULI190" s="5"/>
      <c r="ULJ190" s="5"/>
      <c r="ULK190" s="5"/>
      <c r="ULL190" s="5"/>
      <c r="ULM190" s="5"/>
      <c r="ULN190" s="5"/>
      <c r="ULO190" s="5"/>
      <c r="ULP190" s="5"/>
      <c r="ULQ190" s="5"/>
      <c r="ULR190" s="5"/>
      <c r="ULS190" s="5"/>
      <c r="ULT190" s="5"/>
      <c r="ULU190" s="5"/>
      <c r="ULV190" s="5"/>
      <c r="ULW190" s="5"/>
      <c r="ULX190" s="5"/>
      <c r="ULY190" s="5"/>
      <c r="ULZ190" s="5"/>
      <c r="UMA190" s="5"/>
      <c r="UMB190" s="5"/>
      <c r="UMC190" s="5"/>
      <c r="UMD190" s="5"/>
      <c r="UME190" s="5"/>
      <c r="UMF190" s="5"/>
      <c r="UMG190" s="5"/>
      <c r="UMH190" s="5"/>
      <c r="UMI190" s="5"/>
      <c r="UMJ190" s="5"/>
      <c r="UMK190" s="5"/>
      <c r="UML190" s="5"/>
      <c r="UMM190" s="5"/>
      <c r="UMN190" s="5"/>
      <c r="UMO190" s="5"/>
      <c r="UMP190" s="5"/>
      <c r="UMQ190" s="5"/>
      <c r="UMR190" s="5"/>
      <c r="UMS190" s="5"/>
      <c r="UMT190" s="5"/>
      <c r="UMU190" s="5"/>
      <c r="UMV190" s="5"/>
      <c r="UMW190" s="5"/>
      <c r="UMX190" s="5"/>
      <c r="UMY190" s="5"/>
      <c r="UMZ190" s="5"/>
      <c r="UNA190" s="5"/>
      <c r="UNB190" s="5"/>
      <c r="UNC190" s="5"/>
      <c r="UND190" s="5"/>
      <c r="UNE190" s="5"/>
      <c r="UNF190" s="5"/>
      <c r="UNG190" s="5"/>
      <c r="UNH190" s="5"/>
      <c r="UNI190" s="5"/>
      <c r="UNJ190" s="5"/>
      <c r="UNK190" s="5"/>
      <c r="UNL190" s="5"/>
      <c r="UNM190" s="5"/>
      <c r="UNN190" s="5"/>
      <c r="UNO190" s="5"/>
      <c r="UNP190" s="5"/>
      <c r="UNQ190" s="5"/>
      <c r="UNR190" s="5"/>
      <c r="UNS190" s="5"/>
      <c r="UNT190" s="5"/>
      <c r="UNU190" s="5"/>
      <c r="UNV190" s="5"/>
      <c r="UNW190" s="5"/>
      <c r="UNX190" s="5"/>
      <c r="UNY190" s="5"/>
      <c r="UNZ190" s="5"/>
      <c r="UOA190" s="5"/>
      <c r="UOB190" s="5"/>
      <c r="UOC190" s="5"/>
      <c r="UOD190" s="5"/>
      <c r="UOE190" s="5"/>
      <c r="UOF190" s="5"/>
      <c r="UOG190" s="5"/>
      <c r="UOH190" s="5"/>
      <c r="UOI190" s="5"/>
      <c r="UOJ190" s="5"/>
      <c r="UOK190" s="5"/>
      <c r="UOL190" s="5"/>
      <c r="UOM190" s="5"/>
      <c r="UON190" s="5"/>
      <c r="UOO190" s="5"/>
      <c r="UOP190" s="5"/>
      <c r="UOQ190" s="5"/>
      <c r="UOR190" s="5"/>
      <c r="UOS190" s="5"/>
      <c r="UOT190" s="5"/>
      <c r="UOU190" s="5"/>
      <c r="UOV190" s="5"/>
      <c r="UOW190" s="5"/>
      <c r="UOX190" s="5"/>
      <c r="UOY190" s="5"/>
      <c r="UOZ190" s="5"/>
      <c r="UPA190" s="5"/>
      <c r="UPB190" s="5"/>
      <c r="UPC190" s="5"/>
      <c r="UPD190" s="5"/>
      <c r="UPE190" s="5"/>
      <c r="UPF190" s="5"/>
      <c r="UPG190" s="5"/>
      <c r="UPH190" s="5"/>
      <c r="UPI190" s="5"/>
      <c r="UPJ190" s="5"/>
      <c r="UPK190" s="5"/>
      <c r="UPL190" s="5"/>
      <c r="UPM190" s="5"/>
      <c r="UPN190" s="5"/>
      <c r="UPO190" s="5"/>
      <c r="UPP190" s="5"/>
      <c r="UPQ190" s="5"/>
      <c r="UPR190" s="5"/>
      <c r="UPS190" s="5"/>
      <c r="UPT190" s="5"/>
      <c r="UPU190" s="5"/>
      <c r="UPV190" s="5"/>
      <c r="UPW190" s="5"/>
      <c r="UPX190" s="5"/>
      <c r="UPY190" s="5"/>
      <c r="UPZ190" s="5"/>
      <c r="UQA190" s="5"/>
      <c r="UQB190" s="5"/>
      <c r="UQC190" s="5"/>
      <c r="UQD190" s="5"/>
      <c r="UQE190" s="5"/>
      <c r="UQF190" s="5"/>
      <c r="UQG190" s="5"/>
      <c r="UQH190" s="5"/>
      <c r="UQI190" s="5"/>
      <c r="UQJ190" s="5"/>
      <c r="UQK190" s="5"/>
      <c r="UQL190" s="5"/>
      <c r="UQM190" s="5"/>
      <c r="UQN190" s="5"/>
      <c r="UQO190" s="5"/>
      <c r="UQP190" s="5"/>
      <c r="UQQ190" s="5"/>
      <c r="UQR190" s="5"/>
      <c r="UQS190" s="5"/>
      <c r="UQT190" s="5"/>
      <c r="UQU190" s="5"/>
      <c r="UQV190" s="5"/>
      <c r="UQW190" s="5"/>
      <c r="UQX190" s="5"/>
      <c r="UQY190" s="5"/>
      <c r="UQZ190" s="5"/>
      <c r="URA190" s="5"/>
      <c r="URB190" s="5"/>
      <c r="URC190" s="5"/>
      <c r="URD190" s="5"/>
      <c r="URE190" s="5"/>
      <c r="URF190" s="5"/>
      <c r="URG190" s="5"/>
      <c r="URH190" s="5"/>
      <c r="URI190" s="5"/>
      <c r="URJ190" s="5"/>
      <c r="URK190" s="5"/>
      <c r="URL190" s="5"/>
      <c r="URM190" s="5"/>
      <c r="URN190" s="5"/>
      <c r="URO190" s="5"/>
      <c r="URP190" s="5"/>
      <c r="URQ190" s="5"/>
      <c r="URR190" s="5"/>
      <c r="URS190" s="5"/>
      <c r="URT190" s="5"/>
      <c r="URU190" s="5"/>
      <c r="URV190" s="5"/>
      <c r="URW190" s="5"/>
      <c r="URX190" s="5"/>
      <c r="URY190" s="5"/>
      <c r="URZ190" s="5"/>
      <c r="USA190" s="5"/>
      <c r="USB190" s="5"/>
      <c r="USC190" s="5"/>
      <c r="USD190" s="5"/>
      <c r="USE190" s="5"/>
      <c r="USF190" s="5"/>
      <c r="USG190" s="5"/>
      <c r="USH190" s="5"/>
      <c r="USI190" s="5"/>
      <c r="USJ190" s="5"/>
      <c r="USK190" s="5"/>
      <c r="USL190" s="5"/>
      <c r="USM190" s="5"/>
      <c r="USN190" s="5"/>
      <c r="USO190" s="5"/>
      <c r="USP190" s="5"/>
      <c r="USQ190" s="5"/>
      <c r="USR190" s="5"/>
      <c r="USS190" s="5"/>
      <c r="UST190" s="5"/>
      <c r="USU190" s="5"/>
      <c r="USV190" s="5"/>
      <c r="USW190" s="5"/>
      <c r="USX190" s="5"/>
      <c r="USY190" s="5"/>
      <c r="USZ190" s="5"/>
      <c r="UTA190" s="5"/>
      <c r="UTB190" s="5"/>
      <c r="UTC190" s="5"/>
      <c r="UTD190" s="5"/>
      <c r="UTE190" s="5"/>
      <c r="UTF190" s="5"/>
      <c r="UTG190" s="5"/>
      <c r="UTH190" s="5"/>
      <c r="UTI190" s="5"/>
      <c r="UTJ190" s="5"/>
      <c r="UTK190" s="5"/>
      <c r="UTL190" s="5"/>
      <c r="UTM190" s="5"/>
      <c r="UTN190" s="5"/>
      <c r="UTO190" s="5"/>
      <c r="UTP190" s="5"/>
      <c r="UTQ190" s="5"/>
      <c r="UTR190" s="5"/>
      <c r="UTS190" s="5"/>
      <c r="UTT190" s="5"/>
      <c r="UTU190" s="5"/>
      <c r="UTV190" s="5"/>
      <c r="UTW190" s="5"/>
      <c r="UTX190" s="5"/>
      <c r="UTY190" s="5"/>
      <c r="UTZ190" s="5"/>
      <c r="UUA190" s="5"/>
      <c r="UUB190" s="5"/>
      <c r="UUC190" s="5"/>
      <c r="UUD190" s="5"/>
      <c r="UUE190" s="5"/>
      <c r="UUF190" s="5"/>
      <c r="UUG190" s="5"/>
      <c r="UUH190" s="5"/>
      <c r="UUI190" s="5"/>
      <c r="UUJ190" s="5"/>
      <c r="UUK190" s="5"/>
      <c r="UUL190" s="5"/>
      <c r="UUM190" s="5"/>
      <c r="UUN190" s="5"/>
      <c r="UUO190" s="5"/>
      <c r="UUP190" s="5"/>
      <c r="UUQ190" s="5"/>
      <c r="UUR190" s="5"/>
      <c r="UUS190" s="5"/>
      <c r="UUT190" s="5"/>
      <c r="UUU190" s="5"/>
      <c r="UUV190" s="5"/>
      <c r="UUW190" s="5"/>
      <c r="UUX190" s="5"/>
      <c r="UUY190" s="5"/>
      <c r="UUZ190" s="5"/>
      <c r="UVA190" s="5"/>
      <c r="UVB190" s="5"/>
      <c r="UVC190" s="5"/>
      <c r="UVD190" s="5"/>
      <c r="UVE190" s="5"/>
      <c r="UVF190" s="5"/>
      <c r="UVG190" s="5"/>
      <c r="UVH190" s="5"/>
      <c r="UVI190" s="5"/>
      <c r="UVJ190" s="5"/>
      <c r="UVK190" s="5"/>
      <c r="UVL190" s="5"/>
      <c r="UVM190" s="5"/>
      <c r="UVN190" s="5"/>
      <c r="UVO190" s="5"/>
      <c r="UVP190" s="5"/>
      <c r="UVQ190" s="5"/>
      <c r="UVR190" s="5"/>
      <c r="UVS190" s="5"/>
      <c r="UVT190" s="5"/>
      <c r="UVU190" s="5"/>
      <c r="UVV190" s="5"/>
      <c r="UVW190" s="5"/>
      <c r="UVX190" s="5"/>
      <c r="UVY190" s="5"/>
      <c r="UVZ190" s="5"/>
      <c r="UWA190" s="5"/>
      <c r="UWB190" s="5"/>
      <c r="UWC190" s="5"/>
      <c r="UWD190" s="5"/>
      <c r="UWE190" s="5"/>
      <c r="UWF190" s="5"/>
      <c r="UWG190" s="5"/>
      <c r="UWH190" s="5"/>
      <c r="UWI190" s="5"/>
      <c r="UWJ190" s="5"/>
      <c r="UWK190" s="5"/>
      <c r="UWL190" s="5"/>
      <c r="UWM190" s="5"/>
      <c r="UWN190" s="5"/>
      <c r="UWO190" s="5"/>
      <c r="UWP190" s="5"/>
      <c r="UWQ190" s="5"/>
      <c r="UWR190" s="5"/>
      <c r="UWS190" s="5"/>
      <c r="UWT190" s="5"/>
      <c r="UWU190" s="5"/>
      <c r="UWV190" s="5"/>
      <c r="UWW190" s="5"/>
      <c r="UWX190" s="5"/>
      <c r="UWY190" s="5"/>
      <c r="UWZ190" s="5"/>
      <c r="UXA190" s="5"/>
      <c r="UXB190" s="5"/>
      <c r="UXC190" s="5"/>
      <c r="UXD190" s="5"/>
      <c r="UXE190" s="5"/>
      <c r="UXF190" s="5"/>
      <c r="UXG190" s="5"/>
      <c r="UXH190" s="5"/>
      <c r="UXI190" s="5"/>
      <c r="UXJ190" s="5"/>
      <c r="UXK190" s="5"/>
      <c r="UXL190" s="5"/>
      <c r="UXM190" s="5"/>
      <c r="UXN190" s="5"/>
      <c r="UXO190" s="5"/>
      <c r="UXP190" s="5"/>
      <c r="UXQ190" s="5"/>
      <c r="UXR190" s="5"/>
      <c r="UXS190" s="5"/>
      <c r="UXT190" s="5"/>
      <c r="UXU190" s="5"/>
      <c r="UXV190" s="5"/>
      <c r="UXW190" s="5"/>
      <c r="UXX190" s="5"/>
      <c r="UXY190" s="5"/>
      <c r="UXZ190" s="5"/>
      <c r="UYA190" s="5"/>
      <c r="UYB190" s="5"/>
      <c r="UYC190" s="5"/>
      <c r="UYD190" s="5"/>
      <c r="UYE190" s="5"/>
      <c r="UYF190" s="5"/>
      <c r="UYG190" s="5"/>
      <c r="UYH190" s="5"/>
      <c r="UYI190" s="5"/>
      <c r="UYJ190" s="5"/>
      <c r="UYK190" s="5"/>
      <c r="UYL190" s="5"/>
      <c r="UYM190" s="5"/>
      <c r="UYN190" s="5"/>
      <c r="UYO190" s="5"/>
      <c r="UYP190" s="5"/>
      <c r="UYQ190" s="5"/>
      <c r="UYR190" s="5"/>
      <c r="UYS190" s="5"/>
      <c r="UYT190" s="5"/>
      <c r="UYU190" s="5"/>
      <c r="UYV190" s="5"/>
      <c r="UYW190" s="5"/>
      <c r="UYX190" s="5"/>
      <c r="UYY190" s="5"/>
      <c r="UYZ190" s="5"/>
      <c r="UZA190" s="5"/>
      <c r="UZB190" s="5"/>
      <c r="UZC190" s="5"/>
      <c r="UZD190" s="5"/>
      <c r="UZE190" s="5"/>
      <c r="UZF190" s="5"/>
      <c r="UZG190" s="5"/>
      <c r="UZH190" s="5"/>
      <c r="UZI190" s="5"/>
      <c r="UZJ190" s="5"/>
      <c r="UZK190" s="5"/>
      <c r="UZL190" s="5"/>
      <c r="UZM190" s="5"/>
      <c r="UZN190" s="5"/>
      <c r="UZO190" s="5"/>
      <c r="UZP190" s="5"/>
      <c r="UZQ190" s="5"/>
      <c r="UZR190" s="5"/>
      <c r="UZS190" s="5"/>
      <c r="UZT190" s="5"/>
      <c r="UZU190" s="5"/>
      <c r="UZV190" s="5"/>
      <c r="UZW190" s="5"/>
      <c r="UZX190" s="5"/>
      <c r="UZY190" s="5"/>
      <c r="UZZ190" s="5"/>
      <c r="VAA190" s="5"/>
      <c r="VAB190" s="5"/>
      <c r="VAC190" s="5"/>
      <c r="VAD190" s="5"/>
      <c r="VAE190" s="5"/>
      <c r="VAF190" s="5"/>
      <c r="VAG190" s="5"/>
      <c r="VAH190" s="5"/>
      <c r="VAI190" s="5"/>
      <c r="VAJ190" s="5"/>
      <c r="VAK190" s="5"/>
      <c r="VAL190" s="5"/>
      <c r="VAM190" s="5"/>
      <c r="VAN190" s="5"/>
      <c r="VAO190" s="5"/>
      <c r="VAP190" s="5"/>
      <c r="VAQ190" s="5"/>
      <c r="VAR190" s="5"/>
      <c r="VAS190" s="5"/>
      <c r="VAT190" s="5"/>
      <c r="VAU190" s="5"/>
      <c r="VAV190" s="5"/>
      <c r="VAW190" s="5"/>
      <c r="VAX190" s="5"/>
      <c r="VAY190" s="5"/>
      <c r="VAZ190" s="5"/>
      <c r="VBA190" s="5"/>
      <c r="VBB190" s="5"/>
      <c r="VBC190" s="5"/>
      <c r="VBD190" s="5"/>
      <c r="VBE190" s="5"/>
      <c r="VBF190" s="5"/>
      <c r="VBG190" s="5"/>
      <c r="VBH190" s="5"/>
      <c r="VBI190" s="5"/>
      <c r="VBJ190" s="5"/>
      <c r="VBK190" s="5"/>
      <c r="VBL190" s="5"/>
      <c r="VBM190" s="5"/>
      <c r="VBN190" s="5"/>
      <c r="VBO190" s="5"/>
      <c r="VBP190" s="5"/>
      <c r="VBQ190" s="5"/>
      <c r="VBR190" s="5"/>
      <c r="VBS190" s="5"/>
      <c r="VBT190" s="5"/>
      <c r="VBU190" s="5"/>
      <c r="VBV190" s="5"/>
      <c r="VBW190" s="5"/>
      <c r="VBX190" s="5"/>
      <c r="VBY190" s="5"/>
      <c r="VBZ190" s="5"/>
      <c r="VCA190" s="5"/>
      <c r="VCB190" s="5"/>
      <c r="VCC190" s="5"/>
      <c r="VCD190" s="5"/>
      <c r="VCE190" s="5"/>
      <c r="VCF190" s="5"/>
      <c r="VCG190" s="5"/>
      <c r="VCH190" s="5"/>
      <c r="VCI190" s="5"/>
      <c r="VCJ190" s="5"/>
      <c r="VCK190" s="5"/>
      <c r="VCL190" s="5"/>
      <c r="VCM190" s="5"/>
      <c r="VCN190" s="5"/>
      <c r="VCO190" s="5"/>
      <c r="VCP190" s="5"/>
      <c r="VCQ190" s="5"/>
      <c r="VCR190" s="5"/>
      <c r="VCS190" s="5"/>
      <c r="VCT190" s="5"/>
      <c r="VCU190" s="5"/>
      <c r="VCV190" s="5"/>
      <c r="VCW190" s="5"/>
      <c r="VCX190" s="5"/>
      <c r="VCY190" s="5"/>
      <c r="VCZ190" s="5"/>
      <c r="VDA190" s="5"/>
      <c r="VDB190" s="5"/>
      <c r="VDC190" s="5"/>
      <c r="VDD190" s="5"/>
      <c r="VDE190" s="5"/>
      <c r="VDF190" s="5"/>
      <c r="VDG190" s="5"/>
      <c r="VDH190" s="5"/>
      <c r="VDI190" s="5"/>
      <c r="VDJ190" s="5"/>
      <c r="VDK190" s="5"/>
      <c r="VDL190" s="5"/>
      <c r="VDM190" s="5"/>
      <c r="VDN190" s="5"/>
      <c r="VDO190" s="5"/>
      <c r="VDP190" s="5"/>
      <c r="VDQ190" s="5"/>
      <c r="VDR190" s="5"/>
      <c r="VDS190" s="5"/>
      <c r="VDT190" s="5"/>
      <c r="VDU190" s="5"/>
      <c r="VDV190" s="5"/>
      <c r="VDW190" s="5"/>
      <c r="VDX190" s="5"/>
      <c r="VDY190" s="5"/>
      <c r="VDZ190" s="5"/>
      <c r="VEA190" s="5"/>
      <c r="VEB190" s="5"/>
      <c r="VEC190" s="5"/>
      <c r="VED190" s="5"/>
      <c r="VEE190" s="5"/>
      <c r="VEF190" s="5"/>
      <c r="VEG190" s="5"/>
      <c r="VEH190" s="5"/>
      <c r="VEI190" s="5"/>
      <c r="VEJ190" s="5"/>
      <c r="VEK190" s="5"/>
      <c r="VEL190" s="5"/>
      <c r="VEM190" s="5"/>
      <c r="VEN190" s="5"/>
      <c r="VEO190" s="5"/>
      <c r="VEP190" s="5"/>
      <c r="VEQ190" s="5"/>
      <c r="VER190" s="5"/>
      <c r="VES190" s="5"/>
      <c r="VET190" s="5"/>
      <c r="VEU190" s="5"/>
      <c r="VEV190" s="5"/>
      <c r="VEW190" s="5"/>
      <c r="VEX190" s="5"/>
      <c r="VEY190" s="5"/>
      <c r="VEZ190" s="5"/>
      <c r="VFA190" s="5"/>
      <c r="VFB190" s="5"/>
      <c r="VFC190" s="5"/>
      <c r="VFD190" s="5"/>
      <c r="VFE190" s="5"/>
      <c r="VFF190" s="5"/>
      <c r="VFG190" s="5"/>
      <c r="VFH190" s="5"/>
      <c r="VFI190" s="5"/>
      <c r="VFJ190" s="5"/>
      <c r="VFK190" s="5"/>
      <c r="VFL190" s="5"/>
      <c r="VFM190" s="5"/>
      <c r="VFN190" s="5"/>
      <c r="VFO190" s="5"/>
      <c r="VFP190" s="5"/>
      <c r="VFQ190" s="5"/>
      <c r="VFR190" s="5"/>
      <c r="VFS190" s="5"/>
      <c r="VFT190" s="5"/>
      <c r="VFU190" s="5"/>
      <c r="VFV190" s="5"/>
      <c r="VFW190" s="5"/>
      <c r="VFX190" s="5"/>
      <c r="VFY190" s="5"/>
      <c r="VFZ190" s="5"/>
      <c r="VGA190" s="5"/>
      <c r="VGB190" s="5"/>
      <c r="VGC190" s="5"/>
      <c r="VGD190" s="5"/>
      <c r="VGE190" s="5"/>
      <c r="VGF190" s="5"/>
      <c r="VGG190" s="5"/>
      <c r="VGH190" s="5"/>
      <c r="VGI190" s="5"/>
      <c r="VGJ190" s="5"/>
      <c r="VGK190" s="5"/>
      <c r="VGL190" s="5"/>
      <c r="VGM190" s="5"/>
      <c r="VGN190" s="5"/>
      <c r="VGO190" s="5"/>
      <c r="VGP190" s="5"/>
      <c r="VGQ190" s="5"/>
      <c r="VGR190" s="5"/>
      <c r="VGS190" s="5"/>
      <c r="VGT190" s="5"/>
      <c r="VGU190" s="5"/>
      <c r="VGV190" s="5"/>
      <c r="VGW190" s="5"/>
      <c r="VGX190" s="5"/>
      <c r="VGY190" s="5"/>
      <c r="VGZ190" s="5"/>
      <c r="VHA190" s="5"/>
      <c r="VHB190" s="5"/>
      <c r="VHC190" s="5"/>
      <c r="VHD190" s="5"/>
      <c r="VHE190" s="5"/>
      <c r="VHF190" s="5"/>
      <c r="VHG190" s="5"/>
      <c r="VHH190" s="5"/>
      <c r="VHI190" s="5"/>
      <c r="VHJ190" s="5"/>
      <c r="VHK190" s="5"/>
      <c r="VHL190" s="5"/>
      <c r="VHM190" s="5"/>
      <c r="VHN190" s="5"/>
      <c r="VHO190" s="5"/>
      <c r="VHP190" s="5"/>
      <c r="VHQ190" s="5"/>
      <c r="VHR190" s="5"/>
      <c r="VHS190" s="5"/>
      <c r="VHT190" s="5"/>
      <c r="VHU190" s="5"/>
      <c r="VHV190" s="5"/>
      <c r="VHW190" s="5"/>
      <c r="VHX190" s="5"/>
      <c r="VHY190" s="5"/>
      <c r="VHZ190" s="5"/>
      <c r="VIA190" s="5"/>
      <c r="VIB190" s="5"/>
      <c r="VIC190" s="5"/>
      <c r="VID190" s="5"/>
      <c r="VIE190" s="5"/>
      <c r="VIF190" s="5"/>
      <c r="VIG190" s="5"/>
      <c r="VIH190" s="5"/>
      <c r="VII190" s="5"/>
      <c r="VIJ190" s="5"/>
      <c r="VIK190" s="5"/>
      <c r="VIL190" s="5"/>
      <c r="VIM190" s="5"/>
      <c r="VIN190" s="5"/>
      <c r="VIO190" s="5"/>
      <c r="VIP190" s="5"/>
      <c r="VIQ190" s="5"/>
      <c r="VIR190" s="5"/>
      <c r="VIS190" s="5"/>
      <c r="VIT190" s="5"/>
      <c r="VIU190" s="5"/>
      <c r="VIV190" s="5"/>
      <c r="VIW190" s="5"/>
      <c r="VIX190" s="5"/>
      <c r="VIY190" s="5"/>
      <c r="VIZ190" s="5"/>
      <c r="VJA190" s="5"/>
      <c r="VJB190" s="5"/>
      <c r="VJC190" s="5"/>
      <c r="VJD190" s="5"/>
      <c r="VJE190" s="5"/>
      <c r="VJF190" s="5"/>
      <c r="VJG190" s="5"/>
      <c r="VJH190" s="5"/>
      <c r="VJI190" s="5"/>
      <c r="VJJ190" s="5"/>
      <c r="VJK190" s="5"/>
      <c r="VJL190" s="5"/>
      <c r="VJM190" s="5"/>
      <c r="VJN190" s="5"/>
      <c r="VJO190" s="5"/>
      <c r="VJP190" s="5"/>
      <c r="VJQ190" s="5"/>
      <c r="VJR190" s="5"/>
      <c r="VJS190" s="5"/>
      <c r="VJT190" s="5"/>
      <c r="VJU190" s="5"/>
      <c r="VJV190" s="5"/>
      <c r="VJW190" s="5"/>
      <c r="VJX190" s="5"/>
      <c r="VJY190" s="5"/>
      <c r="VJZ190" s="5"/>
      <c r="VKA190" s="5"/>
      <c r="VKB190" s="5"/>
      <c r="VKC190" s="5"/>
      <c r="VKD190" s="5"/>
      <c r="VKE190" s="5"/>
      <c r="VKF190" s="5"/>
      <c r="VKG190" s="5"/>
      <c r="VKH190" s="5"/>
      <c r="VKI190" s="5"/>
      <c r="VKJ190" s="5"/>
      <c r="VKK190" s="5"/>
      <c r="VKL190" s="5"/>
      <c r="VKM190" s="5"/>
      <c r="VKN190" s="5"/>
      <c r="VKO190" s="5"/>
      <c r="VKP190" s="5"/>
      <c r="VKQ190" s="5"/>
      <c r="VKR190" s="5"/>
      <c r="VKS190" s="5"/>
      <c r="VKT190" s="5"/>
      <c r="VKU190" s="5"/>
      <c r="VKV190" s="5"/>
      <c r="VKW190" s="5"/>
      <c r="VKX190" s="5"/>
      <c r="VKY190" s="5"/>
      <c r="VKZ190" s="5"/>
      <c r="VLA190" s="5"/>
      <c r="VLB190" s="5"/>
      <c r="VLC190" s="5"/>
      <c r="VLD190" s="5"/>
      <c r="VLE190" s="5"/>
      <c r="VLF190" s="5"/>
      <c r="VLG190" s="5"/>
      <c r="VLH190" s="5"/>
      <c r="VLI190" s="5"/>
      <c r="VLJ190" s="5"/>
      <c r="VLK190" s="5"/>
      <c r="VLL190" s="5"/>
      <c r="VLM190" s="5"/>
      <c r="VLN190" s="5"/>
      <c r="VLO190" s="5"/>
      <c r="VLP190" s="5"/>
      <c r="VLQ190" s="5"/>
      <c r="VLR190" s="5"/>
      <c r="VLS190" s="5"/>
      <c r="VLT190" s="5"/>
      <c r="VLU190" s="5"/>
      <c r="VLV190" s="5"/>
      <c r="VLW190" s="5"/>
      <c r="VLX190" s="5"/>
      <c r="VLY190" s="5"/>
      <c r="VLZ190" s="5"/>
      <c r="VMA190" s="5"/>
      <c r="VMB190" s="5"/>
      <c r="VMC190" s="5"/>
      <c r="VMD190" s="5"/>
      <c r="VME190" s="5"/>
      <c r="VMF190" s="5"/>
      <c r="VMG190" s="5"/>
      <c r="VMH190" s="5"/>
      <c r="VMI190" s="5"/>
      <c r="VMJ190" s="5"/>
      <c r="VMK190" s="5"/>
      <c r="VML190" s="5"/>
      <c r="VMM190" s="5"/>
      <c r="VMN190" s="5"/>
      <c r="VMO190" s="5"/>
      <c r="VMP190" s="5"/>
      <c r="VMQ190" s="5"/>
      <c r="VMR190" s="5"/>
      <c r="VMS190" s="5"/>
      <c r="VMT190" s="5"/>
      <c r="VMU190" s="5"/>
      <c r="VMV190" s="5"/>
      <c r="VMW190" s="5"/>
      <c r="VMX190" s="5"/>
      <c r="VMY190" s="5"/>
      <c r="VMZ190" s="5"/>
      <c r="VNA190" s="5"/>
      <c r="VNB190" s="5"/>
      <c r="VNC190" s="5"/>
      <c r="VND190" s="5"/>
      <c r="VNE190" s="5"/>
      <c r="VNF190" s="5"/>
      <c r="VNG190" s="5"/>
      <c r="VNH190" s="5"/>
      <c r="VNI190" s="5"/>
      <c r="VNJ190" s="5"/>
      <c r="VNK190" s="5"/>
      <c r="VNL190" s="5"/>
      <c r="VNM190" s="5"/>
      <c r="VNN190" s="5"/>
      <c r="VNO190" s="5"/>
      <c r="VNP190" s="5"/>
      <c r="VNQ190" s="5"/>
      <c r="VNR190" s="5"/>
      <c r="VNS190" s="5"/>
      <c r="VNT190" s="5"/>
      <c r="VNU190" s="5"/>
      <c r="VNV190" s="5"/>
      <c r="VNW190" s="5"/>
      <c r="VNX190" s="5"/>
      <c r="VNY190" s="5"/>
      <c r="VNZ190" s="5"/>
      <c r="VOA190" s="5"/>
      <c r="VOB190" s="5"/>
      <c r="VOC190" s="5"/>
      <c r="VOD190" s="5"/>
      <c r="VOE190" s="5"/>
      <c r="VOF190" s="5"/>
      <c r="VOG190" s="5"/>
      <c r="VOH190" s="5"/>
      <c r="VOI190" s="5"/>
      <c r="VOJ190" s="5"/>
      <c r="VOK190" s="5"/>
      <c r="VOL190" s="5"/>
      <c r="VOM190" s="5"/>
      <c r="VON190" s="5"/>
      <c r="VOO190" s="5"/>
      <c r="VOP190" s="5"/>
      <c r="VOQ190" s="5"/>
      <c r="VOR190" s="5"/>
      <c r="VOS190" s="5"/>
      <c r="VOT190" s="5"/>
      <c r="VOU190" s="5"/>
      <c r="VOV190" s="5"/>
      <c r="VOW190" s="5"/>
      <c r="VOX190" s="5"/>
      <c r="VOY190" s="5"/>
      <c r="VOZ190" s="5"/>
      <c r="VPA190" s="5"/>
      <c r="VPB190" s="5"/>
      <c r="VPC190" s="5"/>
      <c r="VPD190" s="5"/>
      <c r="VPE190" s="5"/>
      <c r="VPF190" s="5"/>
      <c r="VPG190" s="5"/>
      <c r="VPH190" s="5"/>
      <c r="VPI190" s="5"/>
      <c r="VPJ190" s="5"/>
      <c r="VPK190" s="5"/>
      <c r="VPL190" s="5"/>
      <c r="VPM190" s="5"/>
      <c r="VPN190" s="5"/>
      <c r="VPO190" s="5"/>
      <c r="VPP190" s="5"/>
      <c r="VPQ190" s="5"/>
      <c r="VPR190" s="5"/>
      <c r="VPS190" s="5"/>
      <c r="VPT190" s="5"/>
      <c r="VPU190" s="5"/>
      <c r="VPV190" s="5"/>
      <c r="VPW190" s="5"/>
      <c r="VPX190" s="5"/>
      <c r="VPY190" s="5"/>
      <c r="VPZ190" s="5"/>
      <c r="VQA190" s="5"/>
      <c r="VQB190" s="5"/>
      <c r="VQC190" s="5"/>
      <c r="VQD190" s="5"/>
      <c r="VQE190" s="5"/>
      <c r="VQF190" s="5"/>
      <c r="VQG190" s="5"/>
      <c r="VQH190" s="5"/>
      <c r="VQI190" s="5"/>
      <c r="VQJ190" s="5"/>
      <c r="VQK190" s="5"/>
      <c r="VQL190" s="5"/>
      <c r="VQM190" s="5"/>
      <c r="VQN190" s="5"/>
      <c r="VQO190" s="5"/>
      <c r="VQP190" s="5"/>
      <c r="VQQ190" s="5"/>
      <c r="VQR190" s="5"/>
      <c r="VQS190" s="5"/>
      <c r="VQT190" s="5"/>
      <c r="VQU190" s="5"/>
      <c r="VQV190" s="5"/>
      <c r="VQW190" s="5"/>
      <c r="VQX190" s="5"/>
      <c r="VQY190" s="5"/>
      <c r="VQZ190" s="5"/>
      <c r="VRA190" s="5"/>
      <c r="VRB190" s="5"/>
      <c r="VRC190" s="5"/>
      <c r="VRD190" s="5"/>
      <c r="VRE190" s="5"/>
      <c r="VRF190" s="5"/>
      <c r="VRG190" s="5"/>
      <c r="VRH190" s="5"/>
      <c r="VRI190" s="5"/>
      <c r="VRJ190" s="5"/>
      <c r="VRK190" s="5"/>
      <c r="VRL190" s="5"/>
      <c r="VRM190" s="5"/>
      <c r="VRN190" s="5"/>
      <c r="VRO190" s="5"/>
      <c r="VRP190" s="5"/>
      <c r="VRQ190" s="5"/>
      <c r="VRR190" s="5"/>
      <c r="VRS190" s="5"/>
      <c r="VRT190" s="5"/>
      <c r="VRU190" s="5"/>
      <c r="VRV190" s="5"/>
      <c r="VRW190" s="5"/>
      <c r="VRX190" s="5"/>
      <c r="VRY190" s="5"/>
      <c r="VRZ190" s="5"/>
      <c r="VSA190" s="5"/>
      <c r="VSB190" s="5"/>
      <c r="VSC190" s="5"/>
      <c r="VSD190" s="5"/>
      <c r="VSE190" s="5"/>
      <c r="VSF190" s="5"/>
      <c r="VSG190" s="5"/>
      <c r="VSH190" s="5"/>
      <c r="VSI190" s="5"/>
      <c r="VSJ190" s="5"/>
      <c r="VSK190" s="5"/>
      <c r="VSL190" s="5"/>
      <c r="VSM190" s="5"/>
      <c r="VSN190" s="5"/>
      <c r="VSO190" s="5"/>
      <c r="VSP190" s="5"/>
      <c r="VSQ190" s="5"/>
      <c r="VSR190" s="5"/>
      <c r="VSS190" s="5"/>
      <c r="VST190" s="5"/>
      <c r="VSU190" s="5"/>
      <c r="VSV190" s="5"/>
      <c r="VSW190" s="5"/>
      <c r="VSX190" s="5"/>
      <c r="VSY190" s="5"/>
      <c r="VSZ190" s="5"/>
      <c r="VTA190" s="5"/>
      <c r="VTB190" s="5"/>
      <c r="VTC190" s="5"/>
      <c r="VTD190" s="5"/>
      <c r="VTE190" s="5"/>
      <c r="VTF190" s="5"/>
      <c r="VTG190" s="5"/>
      <c r="VTH190" s="5"/>
      <c r="VTI190" s="5"/>
      <c r="VTJ190" s="5"/>
      <c r="VTK190" s="5"/>
      <c r="VTL190" s="5"/>
      <c r="VTM190" s="5"/>
      <c r="VTN190" s="5"/>
      <c r="VTO190" s="5"/>
      <c r="VTP190" s="5"/>
      <c r="VTQ190" s="5"/>
      <c r="VTR190" s="5"/>
      <c r="VTS190" s="5"/>
      <c r="VTT190" s="5"/>
      <c r="VTU190" s="5"/>
      <c r="VTV190" s="5"/>
      <c r="VTW190" s="5"/>
      <c r="VTX190" s="5"/>
      <c r="VTY190" s="5"/>
      <c r="VTZ190" s="5"/>
      <c r="VUA190" s="5"/>
      <c r="VUB190" s="5"/>
      <c r="VUC190" s="5"/>
      <c r="VUD190" s="5"/>
      <c r="VUE190" s="5"/>
      <c r="VUF190" s="5"/>
      <c r="VUG190" s="5"/>
      <c r="VUH190" s="5"/>
      <c r="VUI190" s="5"/>
      <c r="VUJ190" s="5"/>
      <c r="VUK190" s="5"/>
      <c r="VUL190" s="5"/>
      <c r="VUM190" s="5"/>
      <c r="VUN190" s="5"/>
      <c r="VUO190" s="5"/>
      <c r="VUP190" s="5"/>
      <c r="VUQ190" s="5"/>
      <c r="VUR190" s="5"/>
      <c r="VUS190" s="5"/>
      <c r="VUT190" s="5"/>
      <c r="VUU190" s="5"/>
      <c r="VUV190" s="5"/>
      <c r="VUW190" s="5"/>
      <c r="VUX190" s="5"/>
      <c r="VUY190" s="5"/>
      <c r="VUZ190" s="5"/>
      <c r="VVA190" s="5"/>
      <c r="VVB190" s="5"/>
      <c r="VVC190" s="5"/>
      <c r="VVD190" s="5"/>
      <c r="VVE190" s="5"/>
      <c r="VVF190" s="5"/>
      <c r="VVG190" s="5"/>
      <c r="VVH190" s="5"/>
      <c r="VVI190" s="5"/>
      <c r="VVJ190" s="5"/>
      <c r="VVK190" s="5"/>
      <c r="VVL190" s="5"/>
      <c r="VVM190" s="5"/>
      <c r="VVN190" s="5"/>
      <c r="VVO190" s="5"/>
      <c r="VVP190" s="5"/>
      <c r="VVQ190" s="5"/>
      <c r="VVR190" s="5"/>
      <c r="VVS190" s="5"/>
      <c r="VVT190" s="5"/>
      <c r="VVU190" s="5"/>
      <c r="VVV190" s="5"/>
      <c r="VVW190" s="5"/>
      <c r="VVX190" s="5"/>
      <c r="VVY190" s="5"/>
      <c r="VVZ190" s="5"/>
      <c r="VWA190" s="5"/>
      <c r="VWB190" s="5"/>
      <c r="VWC190" s="5"/>
      <c r="VWD190" s="5"/>
      <c r="VWE190" s="5"/>
      <c r="VWF190" s="5"/>
      <c r="VWG190" s="5"/>
      <c r="VWH190" s="5"/>
      <c r="VWI190" s="5"/>
      <c r="VWJ190" s="5"/>
      <c r="VWK190" s="5"/>
      <c r="VWL190" s="5"/>
      <c r="VWM190" s="5"/>
      <c r="VWN190" s="5"/>
      <c r="VWO190" s="5"/>
      <c r="VWP190" s="5"/>
      <c r="VWQ190" s="5"/>
      <c r="VWR190" s="5"/>
      <c r="VWS190" s="5"/>
      <c r="VWT190" s="5"/>
      <c r="VWU190" s="5"/>
      <c r="VWV190" s="5"/>
      <c r="VWW190" s="5"/>
      <c r="VWX190" s="5"/>
      <c r="VWY190" s="5"/>
      <c r="VWZ190" s="5"/>
      <c r="VXA190" s="5"/>
      <c r="VXB190" s="5"/>
      <c r="VXC190" s="5"/>
      <c r="VXD190" s="5"/>
      <c r="VXE190" s="5"/>
      <c r="VXF190" s="5"/>
      <c r="VXG190" s="5"/>
      <c r="VXH190" s="5"/>
      <c r="VXI190" s="5"/>
      <c r="VXJ190" s="5"/>
      <c r="VXK190" s="5"/>
      <c r="VXL190" s="5"/>
      <c r="VXM190" s="5"/>
      <c r="VXN190" s="5"/>
      <c r="VXO190" s="5"/>
      <c r="VXP190" s="5"/>
      <c r="VXQ190" s="5"/>
      <c r="VXR190" s="5"/>
      <c r="VXS190" s="5"/>
      <c r="VXT190" s="5"/>
      <c r="VXU190" s="5"/>
      <c r="VXV190" s="5"/>
      <c r="VXW190" s="5"/>
      <c r="VXX190" s="5"/>
      <c r="VXY190" s="5"/>
      <c r="VXZ190" s="5"/>
      <c r="VYA190" s="5"/>
      <c r="VYB190" s="5"/>
      <c r="VYC190" s="5"/>
      <c r="VYD190" s="5"/>
      <c r="VYE190" s="5"/>
      <c r="VYF190" s="5"/>
      <c r="VYG190" s="5"/>
      <c r="VYH190" s="5"/>
      <c r="VYI190" s="5"/>
      <c r="VYJ190" s="5"/>
      <c r="VYK190" s="5"/>
      <c r="VYL190" s="5"/>
      <c r="VYM190" s="5"/>
      <c r="VYN190" s="5"/>
      <c r="VYO190" s="5"/>
      <c r="VYP190" s="5"/>
      <c r="VYQ190" s="5"/>
      <c r="VYR190" s="5"/>
      <c r="VYS190" s="5"/>
      <c r="VYT190" s="5"/>
      <c r="VYU190" s="5"/>
      <c r="VYV190" s="5"/>
      <c r="VYW190" s="5"/>
      <c r="VYX190" s="5"/>
      <c r="VYY190" s="5"/>
      <c r="VYZ190" s="5"/>
      <c r="VZA190" s="5"/>
      <c r="VZB190" s="5"/>
      <c r="VZC190" s="5"/>
      <c r="VZD190" s="5"/>
      <c r="VZE190" s="5"/>
      <c r="VZF190" s="5"/>
      <c r="VZG190" s="5"/>
      <c r="VZH190" s="5"/>
      <c r="VZI190" s="5"/>
      <c r="VZJ190" s="5"/>
      <c r="VZK190" s="5"/>
      <c r="VZL190" s="5"/>
      <c r="VZM190" s="5"/>
      <c r="VZN190" s="5"/>
      <c r="VZO190" s="5"/>
      <c r="VZP190" s="5"/>
      <c r="VZQ190" s="5"/>
      <c r="VZR190" s="5"/>
      <c r="VZS190" s="5"/>
      <c r="VZT190" s="5"/>
      <c r="VZU190" s="5"/>
      <c r="VZV190" s="5"/>
      <c r="VZW190" s="5"/>
      <c r="VZX190" s="5"/>
      <c r="VZY190" s="5"/>
      <c r="VZZ190" s="5"/>
      <c r="WAA190" s="5"/>
      <c r="WAB190" s="5"/>
      <c r="WAC190" s="5"/>
      <c r="WAD190" s="5"/>
      <c r="WAE190" s="5"/>
      <c r="WAF190" s="5"/>
      <c r="WAG190" s="5"/>
      <c r="WAH190" s="5"/>
      <c r="WAI190" s="5"/>
      <c r="WAJ190" s="5"/>
      <c r="WAK190" s="5"/>
      <c r="WAL190" s="5"/>
      <c r="WAM190" s="5"/>
      <c r="WAN190" s="5"/>
      <c r="WAO190" s="5"/>
      <c r="WAP190" s="5"/>
      <c r="WAQ190" s="5"/>
      <c r="WAR190" s="5"/>
      <c r="WAS190" s="5"/>
      <c r="WAT190" s="5"/>
      <c r="WAU190" s="5"/>
      <c r="WAV190" s="5"/>
      <c r="WAW190" s="5"/>
      <c r="WAX190" s="5"/>
      <c r="WAY190" s="5"/>
      <c r="WAZ190" s="5"/>
      <c r="WBA190" s="5"/>
      <c r="WBB190" s="5"/>
      <c r="WBC190" s="5"/>
      <c r="WBD190" s="5"/>
      <c r="WBE190" s="5"/>
      <c r="WBF190" s="5"/>
      <c r="WBG190" s="5"/>
      <c r="WBH190" s="5"/>
      <c r="WBI190" s="5"/>
      <c r="WBJ190" s="5"/>
      <c r="WBK190" s="5"/>
      <c r="WBL190" s="5"/>
      <c r="WBM190" s="5"/>
      <c r="WBN190" s="5"/>
      <c r="WBO190" s="5"/>
      <c r="WBP190" s="5"/>
      <c r="WBQ190" s="5"/>
      <c r="WBR190" s="5"/>
      <c r="WBS190" s="5"/>
      <c r="WBT190" s="5"/>
      <c r="WBU190" s="5"/>
      <c r="WBV190" s="5"/>
      <c r="WBW190" s="5"/>
      <c r="WBX190" s="5"/>
      <c r="WBY190" s="5"/>
      <c r="WBZ190" s="5"/>
      <c r="WCA190" s="5"/>
      <c r="WCB190" s="5"/>
      <c r="WCC190" s="5"/>
      <c r="WCD190" s="5"/>
      <c r="WCE190" s="5"/>
      <c r="WCF190" s="5"/>
      <c r="WCG190" s="5"/>
      <c r="WCH190" s="5"/>
      <c r="WCI190" s="5"/>
      <c r="WCJ190" s="5"/>
      <c r="WCK190" s="5"/>
      <c r="WCL190" s="5"/>
      <c r="WCM190" s="5"/>
      <c r="WCN190" s="5"/>
      <c r="WCO190" s="5"/>
      <c r="WCP190" s="5"/>
      <c r="WCQ190" s="5"/>
      <c r="WCR190" s="5"/>
      <c r="WCS190" s="5"/>
      <c r="WCT190" s="5"/>
      <c r="WCU190" s="5"/>
      <c r="WCV190" s="5"/>
      <c r="WCW190" s="5"/>
      <c r="WCX190" s="5"/>
      <c r="WCY190" s="5"/>
      <c r="WCZ190" s="5"/>
      <c r="WDA190" s="5"/>
      <c r="WDB190" s="5"/>
      <c r="WDC190" s="5"/>
      <c r="WDD190" s="5"/>
      <c r="WDE190" s="5"/>
      <c r="WDF190" s="5"/>
      <c r="WDG190" s="5"/>
      <c r="WDH190" s="5"/>
      <c r="WDI190" s="5"/>
      <c r="WDJ190" s="5"/>
      <c r="WDK190" s="5"/>
      <c r="WDL190" s="5"/>
      <c r="WDM190" s="5"/>
      <c r="WDN190" s="5"/>
      <c r="WDO190" s="5"/>
      <c r="WDP190" s="5"/>
      <c r="WDQ190" s="5"/>
      <c r="WDR190" s="5"/>
      <c r="WDS190" s="5"/>
      <c r="WDT190" s="5"/>
      <c r="WDU190" s="5"/>
      <c r="WDV190" s="5"/>
      <c r="WDW190" s="5"/>
      <c r="WDX190" s="5"/>
      <c r="WDY190" s="5"/>
      <c r="WDZ190" s="5"/>
      <c r="WEA190" s="5"/>
      <c r="WEB190" s="5"/>
      <c r="WEC190" s="5"/>
      <c r="WED190" s="5"/>
      <c r="WEE190" s="5"/>
      <c r="WEF190" s="5"/>
      <c r="WEG190" s="5"/>
      <c r="WEH190" s="5"/>
      <c r="WEI190" s="5"/>
      <c r="WEJ190" s="5"/>
      <c r="WEK190" s="5"/>
      <c r="WEL190" s="5"/>
      <c r="WEM190" s="5"/>
      <c r="WEN190" s="5"/>
      <c r="WEO190" s="5"/>
      <c r="WEP190" s="5"/>
      <c r="WEQ190" s="5"/>
      <c r="WER190" s="5"/>
      <c r="WES190" s="5"/>
      <c r="WET190" s="5"/>
      <c r="WEU190" s="5"/>
      <c r="WEV190" s="5"/>
      <c r="WEW190" s="5"/>
      <c r="WEX190" s="5"/>
      <c r="WEY190" s="5"/>
      <c r="WEZ190" s="5"/>
      <c r="WFA190" s="5"/>
      <c r="WFB190" s="5"/>
      <c r="WFC190" s="5"/>
      <c r="WFD190" s="5"/>
      <c r="WFE190" s="5"/>
      <c r="WFF190" s="5"/>
      <c r="WFG190" s="5"/>
      <c r="WFH190" s="5"/>
      <c r="WFI190" s="5"/>
      <c r="WFJ190" s="5"/>
      <c r="WFK190" s="5"/>
      <c r="WFL190" s="5"/>
      <c r="WFM190" s="5"/>
      <c r="WFN190" s="5"/>
      <c r="WFO190" s="5"/>
      <c r="WFP190" s="5"/>
      <c r="WFQ190" s="5"/>
      <c r="WFR190" s="5"/>
      <c r="WFS190" s="5"/>
      <c r="WFT190" s="5"/>
      <c r="WFU190" s="5"/>
      <c r="WFV190" s="5"/>
      <c r="WFW190" s="5"/>
      <c r="WFX190" s="5"/>
      <c r="WFY190" s="5"/>
      <c r="WFZ190" s="5"/>
      <c r="WGA190" s="5"/>
      <c r="WGB190" s="5"/>
      <c r="WGC190" s="5"/>
      <c r="WGD190" s="5"/>
      <c r="WGE190" s="5"/>
      <c r="WGF190" s="5"/>
      <c r="WGG190" s="5"/>
      <c r="WGH190" s="5"/>
      <c r="WGI190" s="5"/>
      <c r="WGJ190" s="5"/>
      <c r="WGK190" s="5"/>
      <c r="WGL190" s="5"/>
      <c r="WGM190" s="5"/>
      <c r="WGN190" s="5"/>
      <c r="WGO190" s="5"/>
      <c r="WGP190" s="5"/>
      <c r="WGQ190" s="5"/>
      <c r="WGR190" s="5"/>
      <c r="WGS190" s="5"/>
      <c r="WGT190" s="5"/>
      <c r="WGU190" s="5"/>
      <c r="WGV190" s="5"/>
      <c r="WGW190" s="5"/>
      <c r="WGX190" s="5"/>
      <c r="WGY190" s="5"/>
      <c r="WGZ190" s="5"/>
      <c r="WHA190" s="5"/>
      <c r="WHB190" s="5"/>
      <c r="WHC190" s="5"/>
      <c r="WHD190" s="5"/>
      <c r="WHE190" s="5"/>
      <c r="WHF190" s="5"/>
      <c r="WHG190" s="5"/>
      <c r="WHH190" s="5"/>
      <c r="WHI190" s="5"/>
      <c r="WHJ190" s="5"/>
      <c r="WHK190" s="5"/>
      <c r="WHL190" s="5"/>
      <c r="WHM190" s="5"/>
      <c r="WHN190" s="5"/>
      <c r="WHO190" s="5"/>
      <c r="WHP190" s="5"/>
      <c r="WHQ190" s="5"/>
      <c r="WHR190" s="5"/>
      <c r="WHS190" s="5"/>
      <c r="WHT190" s="5"/>
      <c r="WHU190" s="5"/>
      <c r="WHV190" s="5"/>
      <c r="WHW190" s="5"/>
      <c r="WHX190" s="5"/>
      <c r="WHY190" s="5"/>
      <c r="WHZ190" s="5"/>
      <c r="WIA190" s="5"/>
      <c r="WIB190" s="5"/>
      <c r="WIC190" s="5"/>
      <c r="WID190" s="5"/>
      <c r="WIE190" s="5"/>
      <c r="WIF190" s="5"/>
      <c r="WIG190" s="5"/>
      <c r="WIH190" s="5"/>
      <c r="WII190" s="5"/>
      <c r="WIJ190" s="5"/>
      <c r="WIK190" s="5"/>
      <c r="WIL190" s="5"/>
      <c r="WIM190" s="5"/>
      <c r="WIN190" s="5"/>
      <c r="WIO190" s="5"/>
      <c r="WIP190" s="5"/>
      <c r="WIQ190" s="5"/>
      <c r="WIR190" s="5"/>
      <c r="WIS190" s="5"/>
      <c r="WIT190" s="5"/>
      <c r="WIU190" s="5"/>
      <c r="WIV190" s="5"/>
      <c r="WIW190" s="5"/>
      <c r="WIX190" s="5"/>
      <c r="WIY190" s="5"/>
      <c r="WIZ190" s="5"/>
      <c r="WJA190" s="5"/>
      <c r="WJB190" s="5"/>
      <c r="WJC190" s="5"/>
      <c r="WJD190" s="5"/>
      <c r="WJE190" s="5"/>
      <c r="WJF190" s="5"/>
      <c r="WJG190" s="5"/>
      <c r="WJH190" s="5"/>
      <c r="WJI190" s="5"/>
      <c r="WJJ190" s="5"/>
      <c r="WJK190" s="5"/>
      <c r="WJL190" s="5"/>
      <c r="WJM190" s="5"/>
      <c r="WJN190" s="5"/>
      <c r="WJO190" s="5"/>
      <c r="WJP190" s="5"/>
      <c r="WJQ190" s="5"/>
      <c r="WJR190" s="5"/>
      <c r="WJS190" s="5"/>
      <c r="WJT190" s="5"/>
      <c r="WJU190" s="5"/>
      <c r="WJV190" s="5"/>
      <c r="WJW190" s="5"/>
      <c r="WJX190" s="5"/>
      <c r="WJY190" s="5"/>
      <c r="WJZ190" s="5"/>
      <c r="WKA190" s="5"/>
      <c r="WKB190" s="5"/>
      <c r="WKC190" s="5"/>
      <c r="WKD190" s="5"/>
      <c r="WKE190" s="5"/>
      <c r="WKF190" s="5"/>
      <c r="WKG190" s="5"/>
      <c r="WKH190" s="5"/>
      <c r="WKI190" s="5"/>
      <c r="WKJ190" s="5"/>
      <c r="WKK190" s="5"/>
      <c r="WKL190" s="5"/>
      <c r="WKM190" s="5"/>
      <c r="WKN190" s="5"/>
      <c r="WKO190" s="5"/>
      <c r="WKP190" s="5"/>
      <c r="WKQ190" s="5"/>
      <c r="WKR190" s="5"/>
      <c r="WKS190" s="5"/>
      <c r="WKT190" s="5"/>
      <c r="WKU190" s="5"/>
      <c r="WKV190" s="5"/>
      <c r="WKW190" s="5"/>
      <c r="WKX190" s="5"/>
      <c r="WKY190" s="5"/>
      <c r="WKZ190" s="5"/>
      <c r="WLA190" s="5"/>
      <c r="WLB190" s="5"/>
      <c r="WLC190" s="5"/>
      <c r="WLD190" s="5"/>
      <c r="WLE190" s="5"/>
      <c r="WLF190" s="5"/>
      <c r="WLG190" s="5"/>
      <c r="WLH190" s="5"/>
      <c r="WLI190" s="5"/>
      <c r="WLJ190" s="5"/>
      <c r="WLK190" s="5"/>
      <c r="WLL190" s="5"/>
      <c r="WLM190" s="5"/>
      <c r="WLN190" s="5"/>
      <c r="WLO190" s="5"/>
      <c r="WLP190" s="5"/>
      <c r="WLQ190" s="5"/>
      <c r="WLR190" s="5"/>
      <c r="WLS190" s="5"/>
      <c r="WLT190" s="5"/>
      <c r="WLU190" s="5"/>
      <c r="WLV190" s="5"/>
      <c r="WLW190" s="5"/>
      <c r="WLX190" s="5"/>
      <c r="WLY190" s="5"/>
      <c r="WLZ190" s="5"/>
      <c r="WMA190" s="5"/>
      <c r="WMB190" s="5"/>
      <c r="WMC190" s="5"/>
      <c r="WMD190" s="5"/>
      <c r="WME190" s="5"/>
      <c r="WMF190" s="5"/>
      <c r="WMG190" s="5"/>
      <c r="WMH190" s="5"/>
      <c r="WMI190" s="5"/>
      <c r="WMJ190" s="5"/>
      <c r="WMK190" s="5"/>
      <c r="WML190" s="5"/>
      <c r="WMM190" s="5"/>
      <c r="WMN190" s="5"/>
      <c r="WMO190" s="5"/>
      <c r="WMP190" s="5"/>
      <c r="WMQ190" s="5"/>
      <c r="WMR190" s="5"/>
      <c r="WMS190" s="5"/>
      <c r="WMT190" s="5"/>
      <c r="WMU190" s="5"/>
      <c r="WMV190" s="5"/>
      <c r="WMW190" s="5"/>
      <c r="WMX190" s="5"/>
      <c r="WMY190" s="5"/>
      <c r="WMZ190" s="5"/>
      <c r="WNA190" s="5"/>
      <c r="WNB190" s="5"/>
      <c r="WNC190" s="5"/>
      <c r="WND190" s="5"/>
      <c r="WNE190" s="5"/>
      <c r="WNF190" s="5"/>
      <c r="WNG190" s="5"/>
      <c r="WNH190" s="5"/>
      <c r="WNI190" s="5"/>
      <c r="WNJ190" s="5"/>
      <c r="WNK190" s="5"/>
      <c r="WNL190" s="5"/>
      <c r="WNM190" s="5"/>
      <c r="WNN190" s="5"/>
      <c r="WNO190" s="5"/>
      <c r="WNP190" s="5"/>
      <c r="WNQ190" s="5"/>
      <c r="WNR190" s="5"/>
      <c r="WNS190" s="5"/>
      <c r="WNT190" s="5"/>
      <c r="WNU190" s="5"/>
      <c r="WNV190" s="5"/>
      <c r="WNW190" s="5"/>
      <c r="WNX190" s="5"/>
      <c r="WNY190" s="5"/>
      <c r="WNZ190" s="5"/>
      <c r="WOA190" s="5"/>
      <c r="WOB190" s="5"/>
      <c r="WOC190" s="5"/>
      <c r="WOD190" s="5"/>
      <c r="WOE190" s="5"/>
      <c r="WOF190" s="5"/>
      <c r="WOG190" s="5"/>
      <c r="WOH190" s="5"/>
      <c r="WOI190" s="5"/>
      <c r="WOJ190" s="5"/>
      <c r="WOK190" s="5"/>
      <c r="WOL190" s="5"/>
      <c r="WOM190" s="5"/>
      <c r="WON190" s="5"/>
      <c r="WOO190" s="5"/>
      <c r="WOP190" s="5"/>
      <c r="WOQ190" s="5"/>
      <c r="WOR190" s="5"/>
      <c r="WOS190" s="5"/>
      <c r="WOT190" s="5"/>
      <c r="WOU190" s="5"/>
      <c r="WOV190" s="5"/>
      <c r="WOW190" s="5"/>
      <c r="WOX190" s="5"/>
      <c r="WOY190" s="5"/>
      <c r="WOZ190" s="5"/>
      <c r="WPA190" s="5"/>
      <c r="WPB190" s="5"/>
      <c r="WPC190" s="5"/>
      <c r="WPD190" s="5"/>
      <c r="WPE190" s="5"/>
      <c r="WPF190" s="5"/>
      <c r="WPG190" s="5"/>
      <c r="WPH190" s="5"/>
      <c r="WPI190" s="5"/>
      <c r="WPJ190" s="5"/>
      <c r="WPK190" s="5"/>
      <c r="WPL190" s="5"/>
      <c r="WPM190" s="5"/>
      <c r="WPN190" s="5"/>
      <c r="WPO190" s="5"/>
      <c r="WPP190" s="5"/>
      <c r="WPQ190" s="5"/>
      <c r="WPR190" s="5"/>
      <c r="WPS190" s="5"/>
      <c r="WPT190" s="5"/>
      <c r="WPU190" s="5"/>
      <c r="WPV190" s="5"/>
      <c r="WPW190" s="5"/>
      <c r="WPX190" s="5"/>
      <c r="WPY190" s="5"/>
      <c r="WPZ190" s="5"/>
      <c r="WQA190" s="5"/>
      <c r="WQB190" s="5"/>
      <c r="WQC190" s="5"/>
      <c r="WQD190" s="5"/>
      <c r="WQE190" s="5"/>
      <c r="WQF190" s="5"/>
      <c r="WQG190" s="5"/>
      <c r="WQH190" s="5"/>
      <c r="WQI190" s="5"/>
      <c r="WQJ190" s="5"/>
      <c r="WQK190" s="5"/>
      <c r="WQL190" s="5"/>
      <c r="WQM190" s="5"/>
      <c r="WQN190" s="5"/>
      <c r="WQO190" s="5"/>
      <c r="WQP190" s="5"/>
      <c r="WQQ190" s="5"/>
      <c r="WQR190" s="5"/>
      <c r="WQS190" s="5"/>
      <c r="WQT190" s="5"/>
      <c r="WQU190" s="5"/>
      <c r="WQV190" s="5"/>
      <c r="WQW190" s="5"/>
      <c r="WQX190" s="5"/>
      <c r="WQY190" s="5"/>
      <c r="WQZ190" s="5"/>
      <c r="WRA190" s="5"/>
      <c r="WRB190" s="5"/>
      <c r="WRC190" s="5"/>
      <c r="WRD190" s="5"/>
      <c r="WRE190" s="5"/>
      <c r="WRF190" s="5"/>
      <c r="WRG190" s="5"/>
      <c r="WRH190" s="5"/>
      <c r="WRI190" s="5"/>
      <c r="WRJ190" s="5"/>
      <c r="WRK190" s="5"/>
      <c r="WRL190" s="5"/>
      <c r="WRM190" s="5"/>
      <c r="WRN190" s="5"/>
      <c r="WRO190" s="5"/>
      <c r="WRP190" s="5"/>
      <c r="WRQ190" s="5"/>
      <c r="WRR190" s="5"/>
      <c r="WRS190" s="5"/>
      <c r="WRT190" s="5"/>
      <c r="WRU190" s="5"/>
      <c r="WRV190" s="5"/>
      <c r="WRW190" s="5"/>
      <c r="WRX190" s="5"/>
      <c r="WRY190" s="5"/>
      <c r="WRZ190" s="5"/>
      <c r="WSA190" s="5"/>
      <c r="WSB190" s="5"/>
      <c r="WSC190" s="5"/>
      <c r="WSD190" s="5"/>
      <c r="WSE190" s="5"/>
      <c r="WSF190" s="5"/>
      <c r="WSG190" s="5"/>
      <c r="WSH190" s="5"/>
      <c r="WSI190" s="5"/>
      <c r="WSJ190" s="5"/>
      <c r="WSK190" s="5"/>
      <c r="WSL190" s="5"/>
      <c r="WSM190" s="5"/>
      <c r="WSN190" s="5"/>
      <c r="WSO190" s="5"/>
      <c r="WSP190" s="5"/>
      <c r="WSQ190" s="5"/>
      <c r="WSR190" s="5"/>
      <c r="WSS190" s="5"/>
      <c r="WST190" s="5"/>
      <c r="WSU190" s="5"/>
      <c r="WSV190" s="5"/>
      <c r="WSW190" s="5"/>
      <c r="WSX190" s="5"/>
      <c r="WSY190" s="5"/>
      <c r="WSZ190" s="5"/>
      <c r="WTA190" s="5"/>
      <c r="WTB190" s="5"/>
      <c r="WTC190" s="5"/>
      <c r="WTD190" s="5"/>
      <c r="WTE190" s="5"/>
      <c r="WTF190" s="5"/>
      <c r="WTG190" s="5"/>
      <c r="WTH190" s="5"/>
      <c r="WTI190" s="5"/>
      <c r="WTJ190" s="5"/>
      <c r="WTK190" s="5"/>
      <c r="WTL190" s="5"/>
      <c r="WTM190" s="5"/>
      <c r="WTN190" s="5"/>
      <c r="WTO190" s="5"/>
      <c r="WTP190" s="5"/>
      <c r="WTQ190" s="5"/>
      <c r="WTR190" s="5"/>
      <c r="WTS190" s="5"/>
      <c r="WTT190" s="5"/>
      <c r="WTU190" s="5"/>
      <c r="WTV190" s="5"/>
      <c r="WTW190" s="5"/>
      <c r="WTX190" s="5"/>
      <c r="WTY190" s="5"/>
      <c r="WTZ190" s="5"/>
      <c r="WUA190" s="5"/>
      <c r="WUB190" s="5"/>
      <c r="WUC190" s="5"/>
      <c r="WUD190" s="5"/>
      <c r="WUE190" s="5"/>
      <c r="WUF190" s="5"/>
      <c r="WUG190" s="5"/>
      <c r="WUH190" s="5"/>
      <c r="WUI190" s="5"/>
      <c r="WUJ190" s="5"/>
      <c r="WUK190" s="5"/>
      <c r="WUL190" s="5"/>
      <c r="WUM190" s="5"/>
      <c r="WUN190" s="5"/>
      <c r="WUO190" s="5"/>
      <c r="WUP190" s="5"/>
      <c r="WUQ190" s="5"/>
      <c r="WUR190" s="5"/>
      <c r="WUS190" s="5"/>
      <c r="WUT190" s="5"/>
      <c r="WUU190" s="5"/>
      <c r="WUV190" s="5"/>
      <c r="WUW190" s="5"/>
      <c r="WUX190" s="5"/>
      <c r="WUY190" s="5"/>
      <c r="WUZ190" s="5"/>
      <c r="WVA190" s="5"/>
      <c r="WVB190" s="5"/>
      <c r="WVC190" s="5"/>
      <c r="WVD190" s="5"/>
      <c r="WVE190" s="5"/>
      <c r="WVF190" s="5"/>
      <c r="WVG190" s="5"/>
      <c r="WVH190" s="5"/>
      <c r="WVI190" s="5"/>
      <c r="WVJ190" s="5"/>
      <c r="WVK190" s="5"/>
      <c r="WVL190" s="5"/>
      <c r="WVM190" s="5"/>
      <c r="WVN190" s="5"/>
      <c r="WVO190" s="5"/>
      <c r="WVP190" s="5"/>
      <c r="WVQ190" s="5"/>
      <c r="WVR190" s="5"/>
      <c r="WVS190" s="5"/>
      <c r="WVT190" s="5"/>
      <c r="WVU190" s="5"/>
      <c r="WVV190" s="5"/>
      <c r="WVW190" s="5"/>
      <c r="WVX190" s="5"/>
      <c r="WVY190" s="5"/>
      <c r="WVZ190" s="5"/>
      <c r="WWA190" s="5"/>
      <c r="WWB190" s="5"/>
      <c r="WWC190" s="5"/>
      <c r="WWD190" s="5"/>
      <c r="WWE190" s="5"/>
      <c r="WWF190" s="5"/>
      <c r="WWG190" s="5"/>
      <c r="WWH190" s="5"/>
      <c r="WWI190" s="5"/>
      <c r="WWJ190" s="5"/>
      <c r="WWK190" s="5"/>
      <c r="WWL190" s="5"/>
      <c r="WWM190" s="5"/>
      <c r="WWN190" s="5"/>
      <c r="WWO190" s="5"/>
      <c r="WWP190" s="5"/>
      <c r="WWQ190" s="5"/>
      <c r="WWR190" s="5"/>
      <c r="WWS190" s="5"/>
      <c r="WWT190" s="5"/>
      <c r="WWU190" s="5"/>
      <c r="WWV190" s="5"/>
      <c r="WWW190" s="5"/>
      <c r="WWX190" s="5"/>
      <c r="WWY190" s="5"/>
      <c r="WWZ190" s="5"/>
      <c r="WXA190" s="5"/>
      <c r="WXB190" s="5"/>
      <c r="WXC190" s="5"/>
      <c r="WXD190" s="5"/>
      <c r="WXE190" s="5"/>
      <c r="WXF190" s="5"/>
      <c r="WXG190" s="5"/>
      <c r="WXH190" s="5"/>
      <c r="WXI190" s="5"/>
      <c r="WXJ190" s="5"/>
      <c r="WXK190" s="5"/>
      <c r="WXL190" s="5"/>
      <c r="WXM190" s="5"/>
      <c r="WXN190" s="5"/>
      <c r="WXO190" s="5"/>
      <c r="WXP190" s="5"/>
      <c r="WXQ190" s="5"/>
      <c r="WXR190" s="5"/>
      <c r="WXS190" s="5"/>
      <c r="WXT190" s="5"/>
      <c r="WXU190" s="5"/>
      <c r="WXV190" s="5"/>
      <c r="WXW190" s="5"/>
      <c r="WXX190" s="5"/>
      <c r="WXY190" s="5"/>
      <c r="WXZ190" s="5"/>
      <c r="WYA190" s="5"/>
      <c r="WYB190" s="5"/>
      <c r="WYC190" s="5"/>
      <c r="WYD190" s="5"/>
      <c r="WYE190" s="5"/>
      <c r="WYF190" s="5"/>
      <c r="WYG190" s="5"/>
      <c r="WYH190" s="5"/>
      <c r="WYI190" s="5"/>
      <c r="WYJ190" s="5"/>
      <c r="WYK190" s="5"/>
      <c r="WYL190" s="5"/>
      <c r="WYM190" s="5"/>
      <c r="WYN190" s="5"/>
      <c r="WYO190" s="5"/>
      <c r="WYP190" s="5"/>
      <c r="WYQ190" s="5"/>
      <c r="WYR190" s="5"/>
      <c r="WYS190" s="5"/>
      <c r="WYT190" s="5"/>
      <c r="WYU190" s="5"/>
      <c r="WYV190" s="5"/>
      <c r="WYW190" s="5"/>
      <c r="WYX190" s="5"/>
      <c r="WYY190" s="5"/>
      <c r="WYZ190" s="5"/>
      <c r="WZA190" s="5"/>
      <c r="WZB190" s="5"/>
      <c r="WZC190" s="5"/>
      <c r="WZD190" s="5"/>
      <c r="WZE190" s="5"/>
      <c r="WZF190" s="5"/>
      <c r="WZG190" s="5"/>
      <c r="WZH190" s="5"/>
      <c r="WZI190" s="5"/>
      <c r="WZJ190" s="5"/>
      <c r="WZK190" s="5"/>
      <c r="WZL190" s="5"/>
      <c r="WZM190" s="5"/>
      <c r="WZN190" s="5"/>
      <c r="WZO190" s="5"/>
      <c r="WZP190" s="5"/>
      <c r="WZQ190" s="5"/>
      <c r="WZR190" s="5"/>
      <c r="WZS190" s="5"/>
      <c r="WZT190" s="5"/>
      <c r="WZU190" s="5"/>
      <c r="WZV190" s="5"/>
      <c r="WZW190" s="5"/>
      <c r="WZX190" s="5"/>
      <c r="WZY190" s="5"/>
      <c r="WZZ190" s="5"/>
      <c r="XAA190" s="5"/>
      <c r="XAB190" s="5"/>
      <c r="XAC190" s="5"/>
      <c r="XAD190" s="5"/>
      <c r="XAE190" s="5"/>
      <c r="XAF190" s="5"/>
      <c r="XAG190" s="5"/>
      <c r="XAH190" s="5"/>
      <c r="XAI190" s="5"/>
      <c r="XAJ190" s="5"/>
      <c r="XAK190" s="5"/>
      <c r="XAL190" s="5"/>
      <c r="XAM190" s="5"/>
      <c r="XAN190" s="5"/>
      <c r="XAO190" s="5"/>
      <c r="XAP190" s="5"/>
      <c r="XAQ190" s="5"/>
      <c r="XAR190" s="5"/>
      <c r="XAS190" s="5"/>
      <c r="XAT190" s="5"/>
      <c r="XAU190" s="5"/>
      <c r="XAV190" s="5"/>
      <c r="XAW190" s="5"/>
      <c r="XAX190" s="5"/>
      <c r="XAY190" s="5"/>
      <c r="XAZ190" s="5"/>
      <c r="XBA190" s="5"/>
      <c r="XBB190" s="5"/>
      <c r="XBC190" s="5"/>
      <c r="XBD190" s="5"/>
      <c r="XBE190" s="5"/>
      <c r="XBF190" s="5"/>
      <c r="XBG190" s="5"/>
      <c r="XBH190" s="5"/>
      <c r="XBI190" s="5"/>
      <c r="XBJ190" s="5"/>
      <c r="XBK190" s="5"/>
      <c r="XBL190" s="5"/>
      <c r="XBM190" s="5"/>
      <c r="XBN190" s="5"/>
      <c r="XBO190" s="5"/>
      <c r="XBP190" s="5"/>
      <c r="XBQ190" s="5"/>
      <c r="XBR190" s="5"/>
      <c r="XBS190" s="5"/>
      <c r="XBT190" s="5"/>
      <c r="XBU190" s="5"/>
      <c r="XBV190" s="5"/>
      <c r="XBW190" s="5"/>
      <c r="XBX190" s="5"/>
      <c r="XBY190" s="5"/>
      <c r="XBZ190" s="5"/>
      <c r="XCA190" s="5"/>
      <c r="XCB190" s="5"/>
      <c r="XCC190" s="5"/>
      <c r="XCD190" s="5"/>
      <c r="XCE190" s="5"/>
      <c r="XCF190" s="5"/>
      <c r="XCG190" s="5"/>
      <c r="XCH190" s="5"/>
      <c r="XCI190" s="5"/>
      <c r="XCJ190" s="5"/>
      <c r="XCK190" s="5"/>
      <c r="XCL190" s="5"/>
      <c r="XCM190" s="5"/>
      <c r="XCN190" s="5"/>
      <c r="XCO190" s="5"/>
      <c r="XCP190" s="5"/>
      <c r="XCQ190" s="5"/>
      <c r="XCR190" s="5"/>
      <c r="XCS190" s="5"/>
      <c r="XCT190" s="5"/>
      <c r="XCU190" s="5"/>
      <c r="XCV190" s="5"/>
      <c r="XCW190" s="5"/>
      <c r="XCX190" s="5"/>
      <c r="XCY190" s="5"/>
      <c r="XCZ190" s="5"/>
      <c r="XDA190" s="5"/>
      <c r="XDB190" s="5"/>
      <c r="XDC190" s="5"/>
      <c r="XDD190" s="5"/>
      <c r="XDE190" s="5"/>
      <c r="XDF190" s="5"/>
      <c r="XDG190" s="5"/>
      <c r="XDH190" s="5"/>
      <c r="XDI190" s="5"/>
      <c r="XDJ190" s="5"/>
      <c r="XDK190" s="5"/>
      <c r="XDL190" s="5"/>
      <c r="XDM190" s="5"/>
      <c r="XDN190" s="5"/>
      <c r="XDO190" s="5"/>
      <c r="XDP190" s="5"/>
      <c r="XDQ190" s="5"/>
      <c r="XDR190" s="5"/>
      <c r="XDS190" s="5"/>
      <c r="XDT190" s="5"/>
      <c r="XDU190" s="5"/>
      <c r="XDV190" s="5"/>
      <c r="XDW190" s="5"/>
      <c r="XDX190" s="5"/>
      <c r="XDY190" s="5"/>
      <c r="XDZ190" s="5"/>
      <c r="XEA190" s="5"/>
      <c r="XEB190" s="5"/>
      <c r="XEC190" s="5"/>
      <c r="XED190" s="5"/>
      <c r="XEE190" s="5"/>
      <c r="XEF190" s="5"/>
      <c r="XEG190" s="5"/>
      <c r="XEH190" s="5"/>
      <c r="XEI190" s="5"/>
      <c r="XEJ190" s="5"/>
      <c r="XEK190" s="5"/>
      <c r="XEL190" s="5"/>
      <c r="XEM190" s="5"/>
      <c r="XEN190" s="5"/>
      <c r="XEO190" s="5"/>
      <c r="XEP190" s="5"/>
    </row>
    <row r="191" spans="2:16370" ht="15.75" hidden="1" x14ac:dyDescent="0.25">
      <c r="B191" s="383" t="s">
        <v>270</v>
      </c>
      <c r="C191" s="386"/>
      <c r="D191" s="383" t="s">
        <v>1493</v>
      </c>
      <c r="E191" s="383"/>
      <c r="F191" s="381"/>
      <c r="G191" s="381"/>
      <c r="H191" s="381"/>
      <c r="I191" s="381"/>
      <c r="J191" s="381"/>
      <c r="K191" s="381"/>
      <c r="L191" s="382"/>
      <c r="M191" s="5"/>
      <c r="N191" s="5"/>
      <c r="O191" s="5"/>
      <c r="P191" s="5"/>
      <c r="Q191" s="5"/>
      <c r="R191" s="5"/>
      <c r="S191" s="5"/>
      <c r="T191" s="5"/>
      <c r="U191" s="5"/>
      <c r="V191" s="5"/>
      <c r="W191" s="5"/>
      <c r="X191" s="5"/>
      <c r="Y191" s="5"/>
      <c r="Z191" s="5"/>
      <c r="AA191" s="5"/>
      <c r="AB191" s="5"/>
      <c r="AC191" s="5"/>
      <c r="AD191" s="5"/>
      <c r="AE191" s="358">
        <v>6</v>
      </c>
      <c r="AF191" s="553" t="s">
        <v>1017</v>
      </c>
      <c r="AG191" s="360">
        <v>81.86</v>
      </c>
      <c r="AH191" s="360">
        <v>10.35</v>
      </c>
      <c r="AI191" s="360">
        <v>2.5299999999999998</v>
      </c>
      <c r="AJ191" s="360">
        <v>1.54</v>
      </c>
      <c r="AK191" s="360"/>
      <c r="AL191" s="360">
        <v>3.72</v>
      </c>
      <c r="AM191" s="360"/>
      <c r="AN191" s="1960">
        <v>8.9453499999999995</v>
      </c>
      <c r="AO191" s="1857"/>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c r="BOW191" s="5"/>
      <c r="BOX191" s="5"/>
      <c r="BOY191" s="5"/>
      <c r="BOZ191" s="5"/>
      <c r="BPA191" s="5"/>
      <c r="BPB191" s="5"/>
      <c r="BPC191" s="5"/>
      <c r="BPD191" s="5"/>
      <c r="BPE191" s="5"/>
      <c r="BPF191" s="5"/>
      <c r="BPG191" s="5"/>
      <c r="BPH191" s="5"/>
      <c r="BPI191" s="5"/>
      <c r="BPJ191" s="5"/>
      <c r="BPK191" s="5"/>
      <c r="BPL191" s="5"/>
      <c r="BPM191" s="5"/>
      <c r="BPN191" s="5"/>
      <c r="BPO191" s="5"/>
      <c r="BPP191" s="5"/>
      <c r="BPQ191" s="5"/>
      <c r="BPR191" s="5"/>
      <c r="BPS191" s="5"/>
      <c r="BPT191" s="5"/>
      <c r="BPU191" s="5"/>
      <c r="BPV191" s="5"/>
      <c r="BPW191" s="5"/>
      <c r="BPX191" s="5"/>
      <c r="BPY191" s="5"/>
      <c r="BPZ191" s="5"/>
      <c r="BQA191" s="5"/>
      <c r="BQB191" s="5"/>
      <c r="BQC191" s="5"/>
      <c r="BQD191" s="5"/>
      <c r="BQE191" s="5"/>
      <c r="BQF191" s="5"/>
      <c r="BQG191" s="5"/>
      <c r="BQH191" s="5"/>
      <c r="BQI191" s="5"/>
      <c r="BQJ191" s="5"/>
      <c r="BQK191" s="5"/>
      <c r="BQL191" s="5"/>
      <c r="BQM191" s="5"/>
      <c r="BQN191" s="5"/>
      <c r="BQO191" s="5"/>
      <c r="BQP191" s="5"/>
      <c r="BQQ191" s="5"/>
      <c r="BQR191" s="5"/>
      <c r="BQS191" s="5"/>
      <c r="BQT191" s="5"/>
      <c r="BQU191" s="5"/>
      <c r="BQV191" s="5"/>
      <c r="BQW191" s="5"/>
      <c r="BQX191" s="5"/>
      <c r="BQY191" s="5"/>
      <c r="BQZ191" s="5"/>
      <c r="BRA191" s="5"/>
      <c r="BRB191" s="5"/>
      <c r="BRC191" s="5"/>
      <c r="BRD191" s="5"/>
      <c r="BRE191" s="5"/>
      <c r="BRF191" s="5"/>
      <c r="BRG191" s="5"/>
      <c r="BRH191" s="5"/>
      <c r="BRI191" s="5"/>
      <c r="BRJ191" s="5"/>
      <c r="BRK191" s="5"/>
      <c r="BRL191" s="5"/>
      <c r="BRM191" s="5"/>
      <c r="BRN191" s="5"/>
      <c r="BRO191" s="5"/>
      <c r="BRP191" s="5"/>
      <c r="BRQ191" s="5"/>
      <c r="BRR191" s="5"/>
      <c r="BRS191" s="5"/>
      <c r="BRT191" s="5"/>
      <c r="BRU191" s="5"/>
      <c r="BRV191" s="5"/>
      <c r="BRW191" s="5"/>
      <c r="BRX191" s="5"/>
      <c r="BRY191" s="5"/>
      <c r="BRZ191" s="5"/>
      <c r="BSA191" s="5"/>
      <c r="BSB191" s="5"/>
      <c r="BSC191" s="5"/>
      <c r="BSD191" s="5"/>
      <c r="BSE191" s="5"/>
      <c r="BSF191" s="5"/>
      <c r="BSG191" s="5"/>
      <c r="BSH191" s="5"/>
      <c r="BSI191" s="5"/>
      <c r="BSJ191" s="5"/>
      <c r="BSK191" s="5"/>
      <c r="BSL191" s="5"/>
      <c r="BSM191" s="5"/>
      <c r="BSN191" s="5"/>
      <c r="BSO191" s="5"/>
      <c r="BSP191" s="5"/>
      <c r="BSQ191" s="5"/>
      <c r="BSR191" s="5"/>
      <c r="BSS191" s="5"/>
      <c r="BST191" s="5"/>
      <c r="BSU191" s="5"/>
      <c r="BSV191" s="5"/>
      <c r="BSW191" s="5"/>
      <c r="BSX191" s="5"/>
      <c r="BSY191" s="5"/>
      <c r="BSZ191" s="5"/>
      <c r="BTA191" s="5"/>
      <c r="BTB191" s="5"/>
      <c r="BTC191" s="5"/>
      <c r="BTD191" s="5"/>
      <c r="BTE191" s="5"/>
      <c r="BTF191" s="5"/>
      <c r="BTG191" s="5"/>
      <c r="BTH191" s="5"/>
      <c r="BTI191" s="5"/>
      <c r="BTJ191" s="5"/>
      <c r="BTK191" s="5"/>
      <c r="BTL191" s="5"/>
      <c r="BTM191" s="5"/>
      <c r="BTN191" s="5"/>
      <c r="BTO191" s="5"/>
      <c r="BTP191" s="5"/>
      <c r="BTQ191" s="5"/>
      <c r="BTR191" s="5"/>
      <c r="BTS191" s="5"/>
      <c r="BTT191" s="5"/>
      <c r="BTU191" s="5"/>
      <c r="BTV191" s="5"/>
      <c r="BTW191" s="5"/>
      <c r="BTX191" s="5"/>
      <c r="BTY191" s="5"/>
      <c r="BTZ191" s="5"/>
      <c r="BUA191" s="5"/>
      <c r="BUB191" s="5"/>
      <c r="BUC191" s="5"/>
      <c r="BUD191" s="5"/>
      <c r="BUE191" s="5"/>
      <c r="BUF191" s="5"/>
      <c r="BUG191" s="5"/>
      <c r="BUH191" s="5"/>
      <c r="BUI191" s="5"/>
      <c r="BUJ191" s="5"/>
      <c r="BUK191" s="5"/>
      <c r="BUL191" s="5"/>
      <c r="BUM191" s="5"/>
      <c r="BUN191" s="5"/>
      <c r="BUO191" s="5"/>
      <c r="BUP191" s="5"/>
      <c r="BUQ191" s="5"/>
      <c r="BUR191" s="5"/>
      <c r="BUS191" s="5"/>
      <c r="BUT191" s="5"/>
      <c r="BUU191" s="5"/>
      <c r="BUV191" s="5"/>
      <c r="BUW191" s="5"/>
      <c r="BUX191" s="5"/>
      <c r="BUY191" s="5"/>
      <c r="BUZ191" s="5"/>
      <c r="BVA191" s="5"/>
      <c r="BVB191" s="5"/>
      <c r="BVC191" s="5"/>
      <c r="BVD191" s="5"/>
      <c r="BVE191" s="5"/>
      <c r="BVF191" s="5"/>
      <c r="BVG191" s="5"/>
      <c r="BVH191" s="5"/>
      <c r="BVI191" s="5"/>
      <c r="BVJ191" s="5"/>
      <c r="BVK191" s="5"/>
      <c r="BVL191" s="5"/>
      <c r="BVM191" s="5"/>
      <c r="BVN191" s="5"/>
      <c r="BVO191" s="5"/>
      <c r="BVP191" s="5"/>
      <c r="BVQ191" s="5"/>
      <c r="BVR191" s="5"/>
      <c r="BVS191" s="5"/>
      <c r="BVT191" s="5"/>
      <c r="BVU191" s="5"/>
      <c r="BVV191" s="5"/>
      <c r="BVW191" s="5"/>
      <c r="BVX191" s="5"/>
      <c r="BVY191" s="5"/>
      <c r="BVZ191" s="5"/>
      <c r="BWA191" s="5"/>
      <c r="BWB191" s="5"/>
      <c r="BWC191" s="5"/>
      <c r="BWD191" s="5"/>
      <c r="BWE191" s="5"/>
      <c r="BWF191" s="5"/>
      <c r="BWG191" s="5"/>
      <c r="BWH191" s="5"/>
      <c r="BWI191" s="5"/>
      <c r="BWJ191" s="5"/>
      <c r="BWK191" s="5"/>
      <c r="BWL191" s="5"/>
      <c r="BWM191" s="5"/>
      <c r="BWN191" s="5"/>
      <c r="BWO191" s="5"/>
      <c r="BWP191" s="5"/>
      <c r="BWQ191" s="5"/>
      <c r="BWR191" s="5"/>
      <c r="BWS191" s="5"/>
      <c r="BWT191" s="5"/>
      <c r="BWU191" s="5"/>
      <c r="BWV191" s="5"/>
      <c r="BWW191" s="5"/>
      <c r="BWX191" s="5"/>
      <c r="BWY191" s="5"/>
      <c r="BWZ191" s="5"/>
      <c r="BXA191" s="5"/>
      <c r="BXB191" s="5"/>
      <c r="BXC191" s="5"/>
      <c r="BXD191" s="5"/>
      <c r="BXE191" s="5"/>
      <c r="BXF191" s="5"/>
      <c r="BXG191" s="5"/>
      <c r="BXH191" s="5"/>
      <c r="BXI191" s="5"/>
      <c r="BXJ191" s="5"/>
      <c r="BXK191" s="5"/>
      <c r="BXL191" s="5"/>
      <c r="BXM191" s="5"/>
      <c r="BXN191" s="5"/>
      <c r="BXO191" s="5"/>
      <c r="BXP191" s="5"/>
      <c r="BXQ191" s="5"/>
      <c r="BXR191" s="5"/>
      <c r="BXS191" s="5"/>
      <c r="BXT191" s="5"/>
      <c r="BXU191" s="5"/>
      <c r="BXV191" s="5"/>
      <c r="BXW191" s="5"/>
      <c r="BXX191" s="5"/>
      <c r="BXY191" s="5"/>
      <c r="BXZ191" s="5"/>
      <c r="BYA191" s="5"/>
      <c r="BYB191" s="5"/>
      <c r="BYC191" s="5"/>
      <c r="BYD191" s="5"/>
      <c r="BYE191" s="5"/>
      <c r="BYF191" s="5"/>
      <c r="BYG191" s="5"/>
      <c r="BYH191" s="5"/>
      <c r="BYI191" s="5"/>
      <c r="BYJ191" s="5"/>
      <c r="BYK191" s="5"/>
      <c r="BYL191" s="5"/>
      <c r="BYM191" s="5"/>
      <c r="BYN191" s="5"/>
      <c r="BYO191" s="5"/>
      <c r="BYP191" s="5"/>
      <c r="BYQ191" s="5"/>
      <c r="BYR191" s="5"/>
      <c r="BYS191" s="5"/>
      <c r="BYT191" s="5"/>
      <c r="BYU191" s="5"/>
      <c r="BYV191" s="5"/>
      <c r="BYW191" s="5"/>
      <c r="BYX191" s="5"/>
      <c r="BYY191" s="5"/>
      <c r="BYZ191" s="5"/>
      <c r="BZA191" s="5"/>
      <c r="BZB191" s="5"/>
      <c r="BZC191" s="5"/>
      <c r="BZD191" s="5"/>
      <c r="BZE191" s="5"/>
      <c r="BZF191" s="5"/>
      <c r="BZG191" s="5"/>
      <c r="BZH191" s="5"/>
      <c r="BZI191" s="5"/>
      <c r="BZJ191" s="5"/>
      <c r="BZK191" s="5"/>
      <c r="BZL191" s="5"/>
      <c r="BZM191" s="5"/>
      <c r="BZN191" s="5"/>
      <c r="BZO191" s="5"/>
      <c r="BZP191" s="5"/>
      <c r="BZQ191" s="5"/>
      <c r="BZR191" s="5"/>
      <c r="BZS191" s="5"/>
      <c r="BZT191" s="5"/>
      <c r="BZU191" s="5"/>
      <c r="BZV191" s="5"/>
      <c r="BZW191" s="5"/>
      <c r="BZX191" s="5"/>
      <c r="BZY191" s="5"/>
      <c r="BZZ191" s="5"/>
      <c r="CAA191" s="5"/>
      <c r="CAB191" s="5"/>
      <c r="CAC191" s="5"/>
      <c r="CAD191" s="5"/>
      <c r="CAE191" s="5"/>
      <c r="CAF191" s="5"/>
      <c r="CAG191" s="5"/>
      <c r="CAH191" s="5"/>
      <c r="CAI191" s="5"/>
      <c r="CAJ191" s="5"/>
      <c r="CAK191" s="5"/>
      <c r="CAL191" s="5"/>
      <c r="CAM191" s="5"/>
      <c r="CAN191" s="5"/>
      <c r="CAO191" s="5"/>
      <c r="CAP191" s="5"/>
      <c r="CAQ191" s="5"/>
      <c r="CAR191" s="5"/>
      <c r="CAS191" s="5"/>
      <c r="CAT191" s="5"/>
      <c r="CAU191" s="5"/>
      <c r="CAV191" s="5"/>
      <c r="CAW191" s="5"/>
      <c r="CAX191" s="5"/>
      <c r="CAY191" s="5"/>
      <c r="CAZ191" s="5"/>
      <c r="CBA191" s="5"/>
      <c r="CBB191" s="5"/>
      <c r="CBC191" s="5"/>
      <c r="CBD191" s="5"/>
      <c r="CBE191" s="5"/>
      <c r="CBF191" s="5"/>
      <c r="CBG191" s="5"/>
      <c r="CBH191" s="5"/>
      <c r="CBI191" s="5"/>
      <c r="CBJ191" s="5"/>
      <c r="CBK191" s="5"/>
      <c r="CBL191" s="5"/>
      <c r="CBM191" s="5"/>
      <c r="CBN191" s="5"/>
      <c r="CBO191" s="5"/>
      <c r="CBP191" s="5"/>
      <c r="CBQ191" s="5"/>
      <c r="CBR191" s="5"/>
      <c r="CBS191" s="5"/>
      <c r="CBT191" s="5"/>
      <c r="CBU191" s="5"/>
      <c r="CBV191" s="5"/>
      <c r="CBW191" s="5"/>
      <c r="CBX191" s="5"/>
      <c r="CBY191" s="5"/>
      <c r="CBZ191" s="5"/>
      <c r="CCA191" s="5"/>
      <c r="CCB191" s="5"/>
      <c r="CCC191" s="5"/>
      <c r="CCD191" s="5"/>
      <c r="CCE191" s="5"/>
      <c r="CCF191" s="5"/>
      <c r="CCG191" s="5"/>
      <c r="CCH191" s="5"/>
      <c r="CCI191" s="5"/>
      <c r="CCJ191" s="5"/>
      <c r="CCK191" s="5"/>
      <c r="CCL191" s="5"/>
      <c r="CCM191" s="5"/>
      <c r="CCN191" s="5"/>
      <c r="CCO191" s="5"/>
      <c r="CCP191" s="5"/>
      <c r="CCQ191" s="5"/>
      <c r="CCR191" s="5"/>
      <c r="CCS191" s="5"/>
      <c r="CCT191" s="5"/>
      <c r="CCU191" s="5"/>
      <c r="CCV191" s="5"/>
      <c r="CCW191" s="5"/>
      <c r="CCX191" s="5"/>
      <c r="CCY191" s="5"/>
      <c r="CCZ191" s="5"/>
      <c r="CDA191" s="5"/>
      <c r="CDB191" s="5"/>
      <c r="CDC191" s="5"/>
      <c r="CDD191" s="5"/>
      <c r="CDE191" s="5"/>
      <c r="CDF191" s="5"/>
      <c r="CDG191" s="5"/>
      <c r="CDH191" s="5"/>
      <c r="CDI191" s="5"/>
      <c r="CDJ191" s="5"/>
      <c r="CDK191" s="5"/>
      <c r="CDL191" s="5"/>
      <c r="CDM191" s="5"/>
      <c r="CDN191" s="5"/>
      <c r="CDO191" s="5"/>
      <c r="CDP191" s="5"/>
      <c r="CDQ191" s="5"/>
      <c r="CDR191" s="5"/>
      <c r="CDS191" s="5"/>
      <c r="CDT191" s="5"/>
      <c r="CDU191" s="5"/>
      <c r="CDV191" s="5"/>
      <c r="CDW191" s="5"/>
      <c r="CDX191" s="5"/>
      <c r="CDY191" s="5"/>
      <c r="CDZ191" s="5"/>
      <c r="CEA191" s="5"/>
      <c r="CEB191" s="5"/>
      <c r="CEC191" s="5"/>
      <c r="CED191" s="5"/>
      <c r="CEE191" s="5"/>
      <c r="CEF191" s="5"/>
      <c r="CEG191" s="5"/>
      <c r="CEH191" s="5"/>
      <c r="CEI191" s="5"/>
      <c r="CEJ191" s="5"/>
      <c r="CEK191" s="5"/>
      <c r="CEL191" s="5"/>
      <c r="CEM191" s="5"/>
      <c r="CEN191" s="5"/>
      <c r="CEO191" s="5"/>
      <c r="CEP191" s="5"/>
      <c r="CEQ191" s="5"/>
      <c r="CER191" s="5"/>
      <c r="CES191" s="5"/>
      <c r="CET191" s="5"/>
      <c r="CEU191" s="5"/>
      <c r="CEV191" s="5"/>
      <c r="CEW191" s="5"/>
      <c r="CEX191" s="5"/>
      <c r="CEY191" s="5"/>
      <c r="CEZ191" s="5"/>
      <c r="CFA191" s="5"/>
      <c r="CFB191" s="5"/>
      <c r="CFC191" s="5"/>
      <c r="CFD191" s="5"/>
      <c r="CFE191" s="5"/>
      <c r="CFF191" s="5"/>
      <c r="CFG191" s="5"/>
      <c r="CFH191" s="5"/>
      <c r="CFI191" s="5"/>
      <c r="CFJ191" s="5"/>
      <c r="CFK191" s="5"/>
      <c r="CFL191" s="5"/>
      <c r="CFM191" s="5"/>
      <c r="CFN191" s="5"/>
      <c r="CFO191" s="5"/>
      <c r="CFP191" s="5"/>
      <c r="CFQ191" s="5"/>
      <c r="CFR191" s="5"/>
      <c r="CFS191" s="5"/>
      <c r="CFT191" s="5"/>
      <c r="CFU191" s="5"/>
      <c r="CFV191" s="5"/>
      <c r="CFW191" s="5"/>
      <c r="CFX191" s="5"/>
      <c r="CFY191" s="5"/>
      <c r="CFZ191" s="5"/>
      <c r="CGA191" s="5"/>
      <c r="CGB191" s="5"/>
      <c r="CGC191" s="5"/>
      <c r="CGD191" s="5"/>
      <c r="CGE191" s="5"/>
      <c r="CGF191" s="5"/>
      <c r="CGG191" s="5"/>
      <c r="CGH191" s="5"/>
      <c r="CGI191" s="5"/>
      <c r="CGJ191" s="5"/>
      <c r="CGK191" s="5"/>
      <c r="CGL191" s="5"/>
      <c r="CGM191" s="5"/>
      <c r="CGN191" s="5"/>
      <c r="CGO191" s="5"/>
      <c r="CGP191" s="5"/>
      <c r="CGQ191" s="5"/>
      <c r="CGR191" s="5"/>
      <c r="CGS191" s="5"/>
      <c r="CGT191" s="5"/>
      <c r="CGU191" s="5"/>
      <c r="CGV191" s="5"/>
      <c r="CGW191" s="5"/>
      <c r="CGX191" s="5"/>
      <c r="CGY191" s="5"/>
      <c r="CGZ191" s="5"/>
      <c r="CHA191" s="5"/>
      <c r="CHB191" s="5"/>
      <c r="CHC191" s="5"/>
      <c r="CHD191" s="5"/>
      <c r="CHE191" s="5"/>
      <c r="CHF191" s="5"/>
      <c r="CHG191" s="5"/>
      <c r="CHH191" s="5"/>
      <c r="CHI191" s="5"/>
      <c r="CHJ191" s="5"/>
      <c r="CHK191" s="5"/>
      <c r="CHL191" s="5"/>
      <c r="CHM191" s="5"/>
      <c r="CHN191" s="5"/>
      <c r="CHO191" s="5"/>
      <c r="CHP191" s="5"/>
      <c r="CHQ191" s="5"/>
      <c r="CHR191" s="5"/>
      <c r="CHS191" s="5"/>
      <c r="CHT191" s="5"/>
      <c r="CHU191" s="5"/>
      <c r="CHV191" s="5"/>
      <c r="CHW191" s="5"/>
      <c r="CHX191" s="5"/>
      <c r="CHY191" s="5"/>
      <c r="CHZ191" s="5"/>
      <c r="CIA191" s="5"/>
      <c r="CIB191" s="5"/>
      <c r="CIC191" s="5"/>
      <c r="CID191" s="5"/>
      <c r="CIE191" s="5"/>
      <c r="CIF191" s="5"/>
      <c r="CIG191" s="5"/>
      <c r="CIH191" s="5"/>
      <c r="CII191" s="5"/>
      <c r="CIJ191" s="5"/>
      <c r="CIK191" s="5"/>
      <c r="CIL191" s="5"/>
      <c r="CIM191" s="5"/>
      <c r="CIN191" s="5"/>
      <c r="CIO191" s="5"/>
      <c r="CIP191" s="5"/>
      <c r="CIQ191" s="5"/>
      <c r="CIR191" s="5"/>
      <c r="CIS191" s="5"/>
      <c r="CIT191" s="5"/>
      <c r="CIU191" s="5"/>
      <c r="CIV191" s="5"/>
      <c r="CIW191" s="5"/>
      <c r="CIX191" s="5"/>
      <c r="CIY191" s="5"/>
      <c r="CIZ191" s="5"/>
      <c r="CJA191" s="5"/>
      <c r="CJB191" s="5"/>
      <c r="CJC191" s="5"/>
      <c r="CJD191" s="5"/>
      <c r="CJE191" s="5"/>
      <c r="CJF191" s="5"/>
      <c r="CJG191" s="5"/>
      <c r="CJH191" s="5"/>
      <c r="CJI191" s="5"/>
      <c r="CJJ191" s="5"/>
      <c r="CJK191" s="5"/>
      <c r="CJL191" s="5"/>
      <c r="CJM191" s="5"/>
      <c r="CJN191" s="5"/>
      <c r="CJO191" s="5"/>
      <c r="CJP191" s="5"/>
      <c r="CJQ191" s="5"/>
      <c r="CJR191" s="5"/>
      <c r="CJS191" s="5"/>
      <c r="CJT191" s="5"/>
      <c r="CJU191" s="5"/>
      <c r="CJV191" s="5"/>
      <c r="CJW191" s="5"/>
      <c r="CJX191" s="5"/>
      <c r="CJY191" s="5"/>
      <c r="CJZ191" s="5"/>
      <c r="CKA191" s="5"/>
      <c r="CKB191" s="5"/>
      <c r="CKC191" s="5"/>
      <c r="CKD191" s="5"/>
      <c r="CKE191" s="5"/>
      <c r="CKF191" s="5"/>
      <c r="CKG191" s="5"/>
      <c r="CKH191" s="5"/>
      <c r="CKI191" s="5"/>
      <c r="CKJ191" s="5"/>
      <c r="CKK191" s="5"/>
      <c r="CKL191" s="5"/>
      <c r="CKM191" s="5"/>
      <c r="CKN191" s="5"/>
      <c r="CKO191" s="5"/>
      <c r="CKP191" s="5"/>
      <c r="CKQ191" s="5"/>
      <c r="CKR191" s="5"/>
      <c r="CKS191" s="5"/>
      <c r="CKT191" s="5"/>
      <c r="CKU191" s="5"/>
      <c r="CKV191" s="5"/>
      <c r="CKW191" s="5"/>
      <c r="CKX191" s="5"/>
      <c r="CKY191" s="5"/>
      <c r="CKZ191" s="5"/>
      <c r="CLA191" s="5"/>
      <c r="CLB191" s="5"/>
      <c r="CLC191" s="5"/>
      <c r="CLD191" s="5"/>
      <c r="CLE191" s="5"/>
      <c r="CLF191" s="5"/>
      <c r="CLG191" s="5"/>
      <c r="CLH191" s="5"/>
      <c r="CLI191" s="5"/>
      <c r="CLJ191" s="5"/>
      <c r="CLK191" s="5"/>
      <c r="CLL191" s="5"/>
      <c r="CLM191" s="5"/>
      <c r="CLN191" s="5"/>
      <c r="CLO191" s="5"/>
      <c r="CLP191" s="5"/>
      <c r="CLQ191" s="5"/>
      <c r="CLR191" s="5"/>
      <c r="CLS191" s="5"/>
      <c r="CLT191" s="5"/>
      <c r="CLU191" s="5"/>
      <c r="CLV191" s="5"/>
      <c r="CLW191" s="5"/>
      <c r="CLX191" s="5"/>
      <c r="CLY191" s="5"/>
      <c r="CLZ191" s="5"/>
      <c r="CMA191" s="5"/>
      <c r="CMB191" s="5"/>
      <c r="CMC191" s="5"/>
      <c r="CMD191" s="5"/>
      <c r="CME191" s="5"/>
      <c r="CMF191" s="5"/>
      <c r="CMG191" s="5"/>
      <c r="CMH191" s="5"/>
      <c r="CMI191" s="5"/>
      <c r="CMJ191" s="5"/>
      <c r="CMK191" s="5"/>
      <c r="CML191" s="5"/>
      <c r="CMM191" s="5"/>
      <c r="CMN191" s="5"/>
      <c r="CMO191" s="5"/>
      <c r="CMP191" s="5"/>
      <c r="CMQ191" s="5"/>
      <c r="CMR191" s="5"/>
      <c r="CMS191" s="5"/>
      <c r="CMT191" s="5"/>
      <c r="CMU191" s="5"/>
      <c r="CMV191" s="5"/>
      <c r="CMW191" s="5"/>
      <c r="CMX191" s="5"/>
      <c r="CMY191" s="5"/>
      <c r="CMZ191" s="5"/>
      <c r="CNA191" s="5"/>
      <c r="CNB191" s="5"/>
      <c r="CNC191" s="5"/>
      <c r="CND191" s="5"/>
      <c r="CNE191" s="5"/>
      <c r="CNF191" s="5"/>
      <c r="CNG191" s="5"/>
      <c r="CNH191" s="5"/>
      <c r="CNI191" s="5"/>
      <c r="CNJ191" s="5"/>
      <c r="CNK191" s="5"/>
      <c r="CNL191" s="5"/>
      <c r="CNM191" s="5"/>
      <c r="CNN191" s="5"/>
      <c r="CNO191" s="5"/>
      <c r="CNP191" s="5"/>
      <c r="CNQ191" s="5"/>
      <c r="CNR191" s="5"/>
      <c r="CNS191" s="5"/>
      <c r="CNT191" s="5"/>
      <c r="CNU191" s="5"/>
      <c r="CNV191" s="5"/>
      <c r="CNW191" s="5"/>
      <c r="CNX191" s="5"/>
      <c r="CNY191" s="5"/>
      <c r="CNZ191" s="5"/>
      <c r="COA191" s="5"/>
      <c r="COB191" s="5"/>
      <c r="COC191" s="5"/>
      <c r="COD191" s="5"/>
      <c r="COE191" s="5"/>
      <c r="COF191" s="5"/>
      <c r="COG191" s="5"/>
      <c r="COH191" s="5"/>
      <c r="COI191" s="5"/>
      <c r="COJ191" s="5"/>
      <c r="COK191" s="5"/>
      <c r="COL191" s="5"/>
      <c r="COM191" s="5"/>
      <c r="CON191" s="5"/>
      <c r="COO191" s="5"/>
      <c r="COP191" s="5"/>
      <c r="COQ191" s="5"/>
      <c r="COR191" s="5"/>
      <c r="COS191" s="5"/>
      <c r="COT191" s="5"/>
      <c r="COU191" s="5"/>
      <c r="COV191" s="5"/>
      <c r="COW191" s="5"/>
      <c r="COX191" s="5"/>
      <c r="COY191" s="5"/>
      <c r="COZ191" s="5"/>
      <c r="CPA191" s="5"/>
      <c r="CPB191" s="5"/>
      <c r="CPC191" s="5"/>
      <c r="CPD191" s="5"/>
      <c r="CPE191" s="5"/>
      <c r="CPF191" s="5"/>
      <c r="CPG191" s="5"/>
      <c r="CPH191" s="5"/>
      <c r="CPI191" s="5"/>
      <c r="CPJ191" s="5"/>
      <c r="CPK191" s="5"/>
      <c r="CPL191" s="5"/>
      <c r="CPM191" s="5"/>
      <c r="CPN191" s="5"/>
      <c r="CPO191" s="5"/>
      <c r="CPP191" s="5"/>
      <c r="CPQ191" s="5"/>
      <c r="CPR191" s="5"/>
      <c r="CPS191" s="5"/>
      <c r="CPT191" s="5"/>
      <c r="CPU191" s="5"/>
      <c r="CPV191" s="5"/>
      <c r="CPW191" s="5"/>
      <c r="CPX191" s="5"/>
      <c r="CPY191" s="5"/>
      <c r="CPZ191" s="5"/>
      <c r="CQA191" s="5"/>
      <c r="CQB191" s="5"/>
      <c r="CQC191" s="5"/>
      <c r="CQD191" s="5"/>
      <c r="CQE191" s="5"/>
      <c r="CQF191" s="5"/>
      <c r="CQG191" s="5"/>
      <c r="CQH191" s="5"/>
      <c r="CQI191" s="5"/>
      <c r="CQJ191" s="5"/>
      <c r="CQK191" s="5"/>
      <c r="CQL191" s="5"/>
      <c r="CQM191" s="5"/>
      <c r="CQN191" s="5"/>
      <c r="CQO191" s="5"/>
      <c r="CQP191" s="5"/>
      <c r="CQQ191" s="5"/>
      <c r="CQR191" s="5"/>
      <c r="CQS191" s="5"/>
      <c r="CQT191" s="5"/>
      <c r="CQU191" s="5"/>
      <c r="CQV191" s="5"/>
      <c r="CQW191" s="5"/>
      <c r="CQX191" s="5"/>
      <c r="CQY191" s="5"/>
      <c r="CQZ191" s="5"/>
      <c r="CRA191" s="5"/>
      <c r="CRB191" s="5"/>
      <c r="CRC191" s="5"/>
      <c r="CRD191" s="5"/>
      <c r="CRE191" s="5"/>
      <c r="CRF191" s="5"/>
      <c r="CRG191" s="5"/>
      <c r="CRH191" s="5"/>
      <c r="CRI191" s="5"/>
      <c r="CRJ191" s="5"/>
      <c r="CRK191" s="5"/>
      <c r="CRL191" s="5"/>
      <c r="CRM191" s="5"/>
      <c r="CRN191" s="5"/>
      <c r="CRO191" s="5"/>
      <c r="CRP191" s="5"/>
      <c r="CRQ191" s="5"/>
      <c r="CRR191" s="5"/>
      <c r="CRS191" s="5"/>
      <c r="CRT191" s="5"/>
      <c r="CRU191" s="5"/>
      <c r="CRV191" s="5"/>
      <c r="CRW191" s="5"/>
      <c r="CRX191" s="5"/>
      <c r="CRY191" s="5"/>
      <c r="CRZ191" s="5"/>
      <c r="CSA191" s="5"/>
      <c r="CSB191" s="5"/>
      <c r="CSC191" s="5"/>
      <c r="CSD191" s="5"/>
      <c r="CSE191" s="5"/>
      <c r="CSF191" s="5"/>
      <c r="CSG191" s="5"/>
      <c r="CSH191" s="5"/>
      <c r="CSI191" s="5"/>
      <c r="CSJ191" s="5"/>
      <c r="CSK191" s="5"/>
      <c r="CSL191" s="5"/>
      <c r="CSM191" s="5"/>
      <c r="CSN191" s="5"/>
      <c r="CSO191" s="5"/>
      <c r="CSP191" s="5"/>
      <c r="CSQ191" s="5"/>
      <c r="CSR191" s="5"/>
      <c r="CSS191" s="5"/>
      <c r="CST191" s="5"/>
      <c r="CSU191" s="5"/>
      <c r="CSV191" s="5"/>
      <c r="CSW191" s="5"/>
      <c r="CSX191" s="5"/>
      <c r="CSY191" s="5"/>
      <c r="CSZ191" s="5"/>
      <c r="CTA191" s="5"/>
      <c r="CTB191" s="5"/>
      <c r="CTC191" s="5"/>
      <c r="CTD191" s="5"/>
      <c r="CTE191" s="5"/>
      <c r="CTF191" s="5"/>
      <c r="CTG191" s="5"/>
      <c r="CTH191" s="5"/>
      <c r="CTI191" s="5"/>
      <c r="CTJ191" s="5"/>
      <c r="CTK191" s="5"/>
      <c r="CTL191" s="5"/>
      <c r="CTM191" s="5"/>
      <c r="CTN191" s="5"/>
      <c r="CTO191" s="5"/>
      <c r="CTP191" s="5"/>
      <c r="CTQ191" s="5"/>
      <c r="CTR191" s="5"/>
      <c r="CTS191" s="5"/>
      <c r="CTT191" s="5"/>
      <c r="CTU191" s="5"/>
      <c r="CTV191" s="5"/>
      <c r="CTW191" s="5"/>
      <c r="CTX191" s="5"/>
      <c r="CTY191" s="5"/>
      <c r="CTZ191" s="5"/>
      <c r="CUA191" s="5"/>
      <c r="CUB191" s="5"/>
      <c r="CUC191" s="5"/>
      <c r="CUD191" s="5"/>
      <c r="CUE191" s="5"/>
      <c r="CUF191" s="5"/>
      <c r="CUG191" s="5"/>
      <c r="CUH191" s="5"/>
      <c r="CUI191" s="5"/>
      <c r="CUJ191" s="5"/>
      <c r="CUK191" s="5"/>
      <c r="CUL191" s="5"/>
      <c r="CUM191" s="5"/>
      <c r="CUN191" s="5"/>
      <c r="CUO191" s="5"/>
      <c r="CUP191" s="5"/>
      <c r="CUQ191" s="5"/>
      <c r="CUR191" s="5"/>
      <c r="CUS191" s="5"/>
      <c r="CUT191" s="5"/>
      <c r="CUU191" s="5"/>
      <c r="CUV191" s="5"/>
      <c r="CUW191" s="5"/>
      <c r="CUX191" s="5"/>
      <c r="CUY191" s="5"/>
      <c r="CUZ191" s="5"/>
      <c r="CVA191" s="5"/>
      <c r="CVB191" s="5"/>
      <c r="CVC191" s="5"/>
      <c r="CVD191" s="5"/>
      <c r="CVE191" s="5"/>
      <c r="CVF191" s="5"/>
      <c r="CVG191" s="5"/>
      <c r="CVH191" s="5"/>
      <c r="CVI191" s="5"/>
      <c r="CVJ191" s="5"/>
      <c r="CVK191" s="5"/>
      <c r="CVL191" s="5"/>
      <c r="CVM191" s="5"/>
      <c r="CVN191" s="5"/>
      <c r="CVO191" s="5"/>
      <c r="CVP191" s="5"/>
      <c r="CVQ191" s="5"/>
      <c r="CVR191" s="5"/>
      <c r="CVS191" s="5"/>
      <c r="CVT191" s="5"/>
      <c r="CVU191" s="5"/>
      <c r="CVV191" s="5"/>
      <c r="CVW191" s="5"/>
      <c r="CVX191" s="5"/>
      <c r="CVY191" s="5"/>
      <c r="CVZ191" s="5"/>
      <c r="CWA191" s="5"/>
      <c r="CWB191" s="5"/>
      <c r="CWC191" s="5"/>
      <c r="CWD191" s="5"/>
      <c r="CWE191" s="5"/>
      <c r="CWF191" s="5"/>
      <c r="CWG191" s="5"/>
      <c r="CWH191" s="5"/>
      <c r="CWI191" s="5"/>
      <c r="CWJ191" s="5"/>
      <c r="CWK191" s="5"/>
      <c r="CWL191" s="5"/>
      <c r="CWM191" s="5"/>
      <c r="CWN191" s="5"/>
      <c r="CWO191" s="5"/>
      <c r="CWP191" s="5"/>
      <c r="CWQ191" s="5"/>
      <c r="CWR191" s="5"/>
      <c r="CWS191" s="5"/>
      <c r="CWT191" s="5"/>
      <c r="CWU191" s="5"/>
      <c r="CWV191" s="5"/>
      <c r="CWW191" s="5"/>
      <c r="CWX191" s="5"/>
      <c r="CWY191" s="5"/>
      <c r="CWZ191" s="5"/>
      <c r="CXA191" s="5"/>
      <c r="CXB191" s="5"/>
      <c r="CXC191" s="5"/>
      <c r="CXD191" s="5"/>
      <c r="CXE191" s="5"/>
      <c r="CXF191" s="5"/>
      <c r="CXG191" s="5"/>
      <c r="CXH191" s="5"/>
      <c r="CXI191" s="5"/>
      <c r="CXJ191" s="5"/>
      <c r="CXK191" s="5"/>
      <c r="CXL191" s="5"/>
      <c r="CXM191" s="5"/>
      <c r="CXN191" s="5"/>
      <c r="CXO191" s="5"/>
      <c r="CXP191" s="5"/>
      <c r="CXQ191" s="5"/>
      <c r="CXR191" s="5"/>
      <c r="CXS191" s="5"/>
      <c r="CXT191" s="5"/>
      <c r="CXU191" s="5"/>
      <c r="CXV191" s="5"/>
      <c r="CXW191" s="5"/>
      <c r="CXX191" s="5"/>
      <c r="CXY191" s="5"/>
      <c r="CXZ191" s="5"/>
      <c r="CYA191" s="5"/>
      <c r="CYB191" s="5"/>
      <c r="CYC191" s="5"/>
      <c r="CYD191" s="5"/>
      <c r="CYE191" s="5"/>
      <c r="CYF191" s="5"/>
      <c r="CYG191" s="5"/>
      <c r="CYH191" s="5"/>
      <c r="CYI191" s="5"/>
      <c r="CYJ191" s="5"/>
      <c r="CYK191" s="5"/>
      <c r="CYL191" s="5"/>
      <c r="CYM191" s="5"/>
      <c r="CYN191" s="5"/>
      <c r="CYO191" s="5"/>
      <c r="CYP191" s="5"/>
      <c r="CYQ191" s="5"/>
      <c r="CYR191" s="5"/>
      <c r="CYS191" s="5"/>
      <c r="CYT191" s="5"/>
      <c r="CYU191" s="5"/>
      <c r="CYV191" s="5"/>
      <c r="CYW191" s="5"/>
      <c r="CYX191" s="5"/>
      <c r="CYY191" s="5"/>
      <c r="CYZ191" s="5"/>
      <c r="CZA191" s="5"/>
      <c r="CZB191" s="5"/>
      <c r="CZC191" s="5"/>
      <c r="CZD191" s="5"/>
      <c r="CZE191" s="5"/>
      <c r="CZF191" s="5"/>
      <c r="CZG191" s="5"/>
      <c r="CZH191" s="5"/>
      <c r="CZI191" s="5"/>
      <c r="CZJ191" s="5"/>
      <c r="CZK191" s="5"/>
      <c r="CZL191" s="5"/>
      <c r="CZM191" s="5"/>
      <c r="CZN191" s="5"/>
      <c r="CZO191" s="5"/>
      <c r="CZP191" s="5"/>
      <c r="CZQ191" s="5"/>
      <c r="CZR191" s="5"/>
      <c r="CZS191" s="5"/>
      <c r="CZT191" s="5"/>
      <c r="CZU191" s="5"/>
      <c r="CZV191" s="5"/>
      <c r="CZW191" s="5"/>
      <c r="CZX191" s="5"/>
      <c r="CZY191" s="5"/>
      <c r="CZZ191" s="5"/>
      <c r="DAA191" s="5"/>
      <c r="DAB191" s="5"/>
      <c r="DAC191" s="5"/>
      <c r="DAD191" s="5"/>
      <c r="DAE191" s="5"/>
      <c r="DAF191" s="5"/>
      <c r="DAG191" s="5"/>
      <c r="DAH191" s="5"/>
      <c r="DAI191" s="5"/>
      <c r="DAJ191" s="5"/>
      <c r="DAK191" s="5"/>
      <c r="DAL191" s="5"/>
      <c r="DAM191" s="5"/>
      <c r="DAN191" s="5"/>
      <c r="DAO191" s="5"/>
      <c r="DAP191" s="5"/>
      <c r="DAQ191" s="5"/>
      <c r="DAR191" s="5"/>
      <c r="DAS191" s="5"/>
      <c r="DAT191" s="5"/>
      <c r="DAU191" s="5"/>
      <c r="DAV191" s="5"/>
      <c r="DAW191" s="5"/>
      <c r="DAX191" s="5"/>
      <c r="DAY191" s="5"/>
      <c r="DAZ191" s="5"/>
      <c r="DBA191" s="5"/>
      <c r="DBB191" s="5"/>
      <c r="DBC191" s="5"/>
      <c r="DBD191" s="5"/>
      <c r="DBE191" s="5"/>
      <c r="DBF191" s="5"/>
      <c r="DBG191" s="5"/>
      <c r="DBH191" s="5"/>
      <c r="DBI191" s="5"/>
      <c r="DBJ191" s="5"/>
      <c r="DBK191" s="5"/>
      <c r="DBL191" s="5"/>
      <c r="DBM191" s="5"/>
      <c r="DBN191" s="5"/>
      <c r="DBO191" s="5"/>
      <c r="DBP191" s="5"/>
      <c r="DBQ191" s="5"/>
      <c r="DBR191" s="5"/>
      <c r="DBS191" s="5"/>
      <c r="DBT191" s="5"/>
      <c r="DBU191" s="5"/>
      <c r="DBV191" s="5"/>
      <c r="DBW191" s="5"/>
      <c r="DBX191" s="5"/>
      <c r="DBY191" s="5"/>
      <c r="DBZ191" s="5"/>
      <c r="DCA191" s="5"/>
      <c r="DCB191" s="5"/>
      <c r="DCC191" s="5"/>
      <c r="DCD191" s="5"/>
      <c r="DCE191" s="5"/>
      <c r="DCF191" s="5"/>
      <c r="DCG191" s="5"/>
      <c r="DCH191" s="5"/>
      <c r="DCI191" s="5"/>
      <c r="DCJ191" s="5"/>
      <c r="DCK191" s="5"/>
      <c r="DCL191" s="5"/>
      <c r="DCM191" s="5"/>
      <c r="DCN191" s="5"/>
      <c r="DCO191" s="5"/>
      <c r="DCP191" s="5"/>
      <c r="DCQ191" s="5"/>
      <c r="DCR191" s="5"/>
      <c r="DCS191" s="5"/>
      <c r="DCT191" s="5"/>
      <c r="DCU191" s="5"/>
      <c r="DCV191" s="5"/>
      <c r="DCW191" s="5"/>
      <c r="DCX191" s="5"/>
      <c r="DCY191" s="5"/>
      <c r="DCZ191" s="5"/>
      <c r="DDA191" s="5"/>
      <c r="DDB191" s="5"/>
      <c r="DDC191" s="5"/>
      <c r="DDD191" s="5"/>
      <c r="DDE191" s="5"/>
      <c r="DDF191" s="5"/>
      <c r="DDG191" s="5"/>
      <c r="DDH191" s="5"/>
      <c r="DDI191" s="5"/>
      <c r="DDJ191" s="5"/>
      <c r="DDK191" s="5"/>
      <c r="DDL191" s="5"/>
      <c r="DDM191" s="5"/>
      <c r="DDN191" s="5"/>
      <c r="DDO191" s="5"/>
      <c r="DDP191" s="5"/>
      <c r="DDQ191" s="5"/>
      <c r="DDR191" s="5"/>
      <c r="DDS191" s="5"/>
      <c r="DDT191" s="5"/>
      <c r="DDU191" s="5"/>
      <c r="DDV191" s="5"/>
      <c r="DDW191" s="5"/>
      <c r="DDX191" s="5"/>
      <c r="DDY191" s="5"/>
      <c r="DDZ191" s="5"/>
      <c r="DEA191" s="5"/>
      <c r="DEB191" s="5"/>
      <c r="DEC191" s="5"/>
      <c r="DED191" s="5"/>
      <c r="DEE191" s="5"/>
      <c r="DEF191" s="5"/>
      <c r="DEG191" s="5"/>
      <c r="DEH191" s="5"/>
      <c r="DEI191" s="5"/>
      <c r="DEJ191" s="5"/>
      <c r="DEK191" s="5"/>
      <c r="DEL191" s="5"/>
      <c r="DEM191" s="5"/>
      <c r="DEN191" s="5"/>
      <c r="DEO191" s="5"/>
      <c r="DEP191" s="5"/>
      <c r="DEQ191" s="5"/>
      <c r="DER191" s="5"/>
      <c r="DES191" s="5"/>
      <c r="DET191" s="5"/>
      <c r="DEU191" s="5"/>
      <c r="DEV191" s="5"/>
      <c r="DEW191" s="5"/>
      <c r="DEX191" s="5"/>
      <c r="DEY191" s="5"/>
      <c r="DEZ191" s="5"/>
      <c r="DFA191" s="5"/>
      <c r="DFB191" s="5"/>
      <c r="DFC191" s="5"/>
      <c r="DFD191" s="5"/>
      <c r="DFE191" s="5"/>
      <c r="DFF191" s="5"/>
      <c r="DFG191" s="5"/>
      <c r="DFH191" s="5"/>
      <c r="DFI191" s="5"/>
      <c r="DFJ191" s="5"/>
      <c r="DFK191" s="5"/>
      <c r="DFL191" s="5"/>
      <c r="DFM191" s="5"/>
      <c r="DFN191" s="5"/>
      <c r="DFO191" s="5"/>
      <c r="DFP191" s="5"/>
      <c r="DFQ191" s="5"/>
      <c r="DFR191" s="5"/>
      <c r="DFS191" s="5"/>
      <c r="DFT191" s="5"/>
      <c r="DFU191" s="5"/>
      <c r="DFV191" s="5"/>
      <c r="DFW191" s="5"/>
      <c r="DFX191" s="5"/>
      <c r="DFY191" s="5"/>
      <c r="DFZ191" s="5"/>
      <c r="DGA191" s="5"/>
      <c r="DGB191" s="5"/>
      <c r="DGC191" s="5"/>
      <c r="DGD191" s="5"/>
      <c r="DGE191" s="5"/>
      <c r="DGF191" s="5"/>
      <c r="DGG191" s="5"/>
      <c r="DGH191" s="5"/>
      <c r="DGI191" s="5"/>
      <c r="DGJ191" s="5"/>
      <c r="DGK191" s="5"/>
      <c r="DGL191" s="5"/>
      <c r="DGM191" s="5"/>
      <c r="DGN191" s="5"/>
      <c r="DGO191" s="5"/>
      <c r="DGP191" s="5"/>
      <c r="DGQ191" s="5"/>
      <c r="DGR191" s="5"/>
      <c r="DGS191" s="5"/>
      <c r="DGT191" s="5"/>
      <c r="DGU191" s="5"/>
      <c r="DGV191" s="5"/>
      <c r="DGW191" s="5"/>
      <c r="DGX191" s="5"/>
      <c r="DGY191" s="5"/>
      <c r="DGZ191" s="5"/>
      <c r="DHA191" s="5"/>
      <c r="DHB191" s="5"/>
      <c r="DHC191" s="5"/>
      <c r="DHD191" s="5"/>
      <c r="DHE191" s="5"/>
      <c r="DHF191" s="5"/>
      <c r="DHG191" s="5"/>
      <c r="DHH191" s="5"/>
      <c r="DHI191" s="5"/>
      <c r="DHJ191" s="5"/>
      <c r="DHK191" s="5"/>
      <c r="DHL191" s="5"/>
      <c r="DHM191" s="5"/>
      <c r="DHN191" s="5"/>
      <c r="DHO191" s="5"/>
      <c r="DHP191" s="5"/>
      <c r="DHQ191" s="5"/>
      <c r="DHR191" s="5"/>
      <c r="DHS191" s="5"/>
      <c r="DHT191" s="5"/>
      <c r="DHU191" s="5"/>
      <c r="DHV191" s="5"/>
      <c r="DHW191" s="5"/>
      <c r="DHX191" s="5"/>
      <c r="DHY191" s="5"/>
      <c r="DHZ191" s="5"/>
      <c r="DIA191" s="5"/>
      <c r="DIB191" s="5"/>
      <c r="DIC191" s="5"/>
      <c r="DID191" s="5"/>
      <c r="DIE191" s="5"/>
      <c r="DIF191" s="5"/>
      <c r="DIG191" s="5"/>
      <c r="DIH191" s="5"/>
      <c r="DII191" s="5"/>
      <c r="DIJ191" s="5"/>
      <c r="DIK191" s="5"/>
      <c r="DIL191" s="5"/>
      <c r="DIM191" s="5"/>
      <c r="DIN191" s="5"/>
      <c r="DIO191" s="5"/>
      <c r="DIP191" s="5"/>
      <c r="DIQ191" s="5"/>
      <c r="DIR191" s="5"/>
      <c r="DIS191" s="5"/>
      <c r="DIT191" s="5"/>
      <c r="DIU191" s="5"/>
      <c r="DIV191" s="5"/>
      <c r="DIW191" s="5"/>
      <c r="DIX191" s="5"/>
      <c r="DIY191" s="5"/>
      <c r="DIZ191" s="5"/>
      <c r="DJA191" s="5"/>
      <c r="DJB191" s="5"/>
      <c r="DJC191" s="5"/>
      <c r="DJD191" s="5"/>
      <c r="DJE191" s="5"/>
      <c r="DJF191" s="5"/>
      <c r="DJG191" s="5"/>
      <c r="DJH191" s="5"/>
      <c r="DJI191" s="5"/>
      <c r="DJJ191" s="5"/>
      <c r="DJK191" s="5"/>
      <c r="DJL191" s="5"/>
      <c r="DJM191" s="5"/>
      <c r="DJN191" s="5"/>
      <c r="DJO191" s="5"/>
      <c r="DJP191" s="5"/>
      <c r="DJQ191" s="5"/>
      <c r="DJR191" s="5"/>
      <c r="DJS191" s="5"/>
      <c r="DJT191" s="5"/>
      <c r="DJU191" s="5"/>
      <c r="DJV191" s="5"/>
      <c r="DJW191" s="5"/>
      <c r="DJX191" s="5"/>
      <c r="DJY191" s="5"/>
      <c r="DJZ191" s="5"/>
      <c r="DKA191" s="5"/>
      <c r="DKB191" s="5"/>
      <c r="DKC191" s="5"/>
      <c r="DKD191" s="5"/>
      <c r="DKE191" s="5"/>
      <c r="DKF191" s="5"/>
      <c r="DKG191" s="5"/>
      <c r="DKH191" s="5"/>
      <c r="DKI191" s="5"/>
      <c r="DKJ191" s="5"/>
      <c r="DKK191" s="5"/>
      <c r="DKL191" s="5"/>
      <c r="DKM191" s="5"/>
      <c r="DKN191" s="5"/>
      <c r="DKO191" s="5"/>
      <c r="DKP191" s="5"/>
      <c r="DKQ191" s="5"/>
      <c r="DKR191" s="5"/>
      <c r="DKS191" s="5"/>
      <c r="DKT191" s="5"/>
      <c r="DKU191" s="5"/>
      <c r="DKV191" s="5"/>
      <c r="DKW191" s="5"/>
      <c r="DKX191" s="5"/>
      <c r="DKY191" s="5"/>
      <c r="DKZ191" s="5"/>
      <c r="DLA191" s="5"/>
      <c r="DLB191" s="5"/>
      <c r="DLC191" s="5"/>
      <c r="DLD191" s="5"/>
      <c r="DLE191" s="5"/>
      <c r="DLF191" s="5"/>
      <c r="DLG191" s="5"/>
      <c r="DLH191" s="5"/>
      <c r="DLI191" s="5"/>
      <c r="DLJ191" s="5"/>
      <c r="DLK191" s="5"/>
      <c r="DLL191" s="5"/>
      <c r="DLM191" s="5"/>
      <c r="DLN191" s="5"/>
      <c r="DLO191" s="5"/>
      <c r="DLP191" s="5"/>
      <c r="DLQ191" s="5"/>
      <c r="DLR191" s="5"/>
      <c r="DLS191" s="5"/>
      <c r="DLT191" s="5"/>
      <c r="DLU191" s="5"/>
      <c r="DLV191" s="5"/>
      <c r="DLW191" s="5"/>
      <c r="DLX191" s="5"/>
      <c r="DLY191" s="5"/>
      <c r="DLZ191" s="5"/>
      <c r="DMA191" s="5"/>
      <c r="DMB191" s="5"/>
      <c r="DMC191" s="5"/>
      <c r="DMD191" s="5"/>
      <c r="DME191" s="5"/>
      <c r="DMF191" s="5"/>
      <c r="DMG191" s="5"/>
      <c r="DMH191" s="5"/>
      <c r="DMI191" s="5"/>
      <c r="DMJ191" s="5"/>
      <c r="DMK191" s="5"/>
      <c r="DML191" s="5"/>
      <c r="DMM191" s="5"/>
      <c r="DMN191" s="5"/>
      <c r="DMO191" s="5"/>
      <c r="DMP191" s="5"/>
      <c r="DMQ191" s="5"/>
      <c r="DMR191" s="5"/>
      <c r="DMS191" s="5"/>
      <c r="DMT191" s="5"/>
      <c r="DMU191" s="5"/>
      <c r="DMV191" s="5"/>
      <c r="DMW191" s="5"/>
      <c r="DMX191" s="5"/>
      <c r="DMY191" s="5"/>
      <c r="DMZ191" s="5"/>
      <c r="DNA191" s="5"/>
      <c r="DNB191" s="5"/>
      <c r="DNC191" s="5"/>
      <c r="DND191" s="5"/>
      <c r="DNE191" s="5"/>
      <c r="DNF191" s="5"/>
      <c r="DNG191" s="5"/>
      <c r="DNH191" s="5"/>
      <c r="DNI191" s="5"/>
      <c r="DNJ191" s="5"/>
      <c r="DNK191" s="5"/>
      <c r="DNL191" s="5"/>
      <c r="DNM191" s="5"/>
      <c r="DNN191" s="5"/>
      <c r="DNO191" s="5"/>
      <c r="DNP191" s="5"/>
      <c r="DNQ191" s="5"/>
      <c r="DNR191" s="5"/>
      <c r="DNS191" s="5"/>
      <c r="DNT191" s="5"/>
      <c r="DNU191" s="5"/>
      <c r="DNV191" s="5"/>
      <c r="DNW191" s="5"/>
      <c r="DNX191" s="5"/>
      <c r="DNY191" s="5"/>
      <c r="DNZ191" s="5"/>
      <c r="DOA191" s="5"/>
      <c r="DOB191" s="5"/>
      <c r="DOC191" s="5"/>
      <c r="DOD191" s="5"/>
      <c r="DOE191" s="5"/>
      <c r="DOF191" s="5"/>
      <c r="DOG191" s="5"/>
      <c r="DOH191" s="5"/>
      <c r="DOI191" s="5"/>
      <c r="DOJ191" s="5"/>
      <c r="DOK191" s="5"/>
      <c r="DOL191" s="5"/>
      <c r="DOM191" s="5"/>
      <c r="DON191" s="5"/>
      <c r="DOO191" s="5"/>
      <c r="DOP191" s="5"/>
      <c r="DOQ191" s="5"/>
      <c r="DOR191" s="5"/>
      <c r="DOS191" s="5"/>
      <c r="DOT191" s="5"/>
      <c r="DOU191" s="5"/>
      <c r="DOV191" s="5"/>
      <c r="DOW191" s="5"/>
      <c r="DOX191" s="5"/>
      <c r="DOY191" s="5"/>
      <c r="DOZ191" s="5"/>
      <c r="DPA191" s="5"/>
      <c r="DPB191" s="5"/>
      <c r="DPC191" s="5"/>
      <c r="DPD191" s="5"/>
      <c r="DPE191" s="5"/>
      <c r="DPF191" s="5"/>
      <c r="DPG191" s="5"/>
      <c r="DPH191" s="5"/>
      <c r="DPI191" s="5"/>
      <c r="DPJ191" s="5"/>
      <c r="DPK191" s="5"/>
      <c r="DPL191" s="5"/>
      <c r="DPM191" s="5"/>
      <c r="DPN191" s="5"/>
      <c r="DPO191" s="5"/>
      <c r="DPP191" s="5"/>
      <c r="DPQ191" s="5"/>
      <c r="DPR191" s="5"/>
      <c r="DPS191" s="5"/>
      <c r="DPT191" s="5"/>
      <c r="DPU191" s="5"/>
      <c r="DPV191" s="5"/>
      <c r="DPW191" s="5"/>
      <c r="DPX191" s="5"/>
      <c r="DPY191" s="5"/>
      <c r="DPZ191" s="5"/>
      <c r="DQA191" s="5"/>
      <c r="DQB191" s="5"/>
      <c r="DQC191" s="5"/>
      <c r="DQD191" s="5"/>
      <c r="DQE191" s="5"/>
      <c r="DQF191" s="5"/>
      <c r="DQG191" s="5"/>
      <c r="DQH191" s="5"/>
      <c r="DQI191" s="5"/>
      <c r="DQJ191" s="5"/>
      <c r="DQK191" s="5"/>
      <c r="DQL191" s="5"/>
      <c r="DQM191" s="5"/>
      <c r="DQN191" s="5"/>
      <c r="DQO191" s="5"/>
      <c r="DQP191" s="5"/>
      <c r="DQQ191" s="5"/>
      <c r="DQR191" s="5"/>
      <c r="DQS191" s="5"/>
      <c r="DQT191" s="5"/>
      <c r="DQU191" s="5"/>
      <c r="DQV191" s="5"/>
      <c r="DQW191" s="5"/>
      <c r="DQX191" s="5"/>
      <c r="DQY191" s="5"/>
      <c r="DQZ191" s="5"/>
      <c r="DRA191" s="5"/>
      <c r="DRB191" s="5"/>
      <c r="DRC191" s="5"/>
      <c r="DRD191" s="5"/>
      <c r="DRE191" s="5"/>
      <c r="DRF191" s="5"/>
      <c r="DRG191" s="5"/>
      <c r="DRH191" s="5"/>
      <c r="DRI191" s="5"/>
      <c r="DRJ191" s="5"/>
      <c r="DRK191" s="5"/>
      <c r="DRL191" s="5"/>
      <c r="DRM191" s="5"/>
      <c r="DRN191" s="5"/>
      <c r="DRO191" s="5"/>
      <c r="DRP191" s="5"/>
      <c r="DRQ191" s="5"/>
      <c r="DRR191" s="5"/>
      <c r="DRS191" s="5"/>
      <c r="DRT191" s="5"/>
      <c r="DRU191" s="5"/>
      <c r="DRV191" s="5"/>
      <c r="DRW191" s="5"/>
      <c r="DRX191" s="5"/>
      <c r="DRY191" s="5"/>
      <c r="DRZ191" s="5"/>
      <c r="DSA191" s="5"/>
      <c r="DSB191" s="5"/>
      <c r="DSC191" s="5"/>
      <c r="DSD191" s="5"/>
      <c r="DSE191" s="5"/>
      <c r="DSF191" s="5"/>
      <c r="DSG191" s="5"/>
      <c r="DSH191" s="5"/>
      <c r="DSI191" s="5"/>
      <c r="DSJ191" s="5"/>
      <c r="DSK191" s="5"/>
      <c r="DSL191" s="5"/>
      <c r="DSM191" s="5"/>
      <c r="DSN191" s="5"/>
      <c r="DSO191" s="5"/>
      <c r="DSP191" s="5"/>
      <c r="DSQ191" s="5"/>
      <c r="DSR191" s="5"/>
      <c r="DSS191" s="5"/>
      <c r="DST191" s="5"/>
      <c r="DSU191" s="5"/>
      <c r="DSV191" s="5"/>
      <c r="DSW191" s="5"/>
      <c r="DSX191" s="5"/>
      <c r="DSY191" s="5"/>
      <c r="DSZ191" s="5"/>
      <c r="DTA191" s="5"/>
      <c r="DTB191" s="5"/>
      <c r="DTC191" s="5"/>
      <c r="DTD191" s="5"/>
      <c r="DTE191" s="5"/>
      <c r="DTF191" s="5"/>
      <c r="DTG191" s="5"/>
      <c r="DTH191" s="5"/>
      <c r="DTI191" s="5"/>
      <c r="DTJ191" s="5"/>
      <c r="DTK191" s="5"/>
      <c r="DTL191" s="5"/>
      <c r="DTM191" s="5"/>
      <c r="DTN191" s="5"/>
      <c r="DTO191" s="5"/>
      <c r="DTP191" s="5"/>
      <c r="DTQ191" s="5"/>
      <c r="DTR191" s="5"/>
      <c r="DTS191" s="5"/>
      <c r="DTT191" s="5"/>
      <c r="DTU191" s="5"/>
      <c r="DTV191" s="5"/>
      <c r="DTW191" s="5"/>
      <c r="DTX191" s="5"/>
      <c r="DTY191" s="5"/>
      <c r="DTZ191" s="5"/>
      <c r="DUA191" s="5"/>
      <c r="DUB191" s="5"/>
      <c r="DUC191" s="5"/>
      <c r="DUD191" s="5"/>
      <c r="DUE191" s="5"/>
      <c r="DUF191" s="5"/>
      <c r="DUG191" s="5"/>
      <c r="DUH191" s="5"/>
      <c r="DUI191" s="5"/>
      <c r="DUJ191" s="5"/>
      <c r="DUK191" s="5"/>
      <c r="DUL191" s="5"/>
      <c r="DUM191" s="5"/>
      <c r="DUN191" s="5"/>
      <c r="DUO191" s="5"/>
      <c r="DUP191" s="5"/>
      <c r="DUQ191" s="5"/>
      <c r="DUR191" s="5"/>
      <c r="DUS191" s="5"/>
      <c r="DUT191" s="5"/>
      <c r="DUU191" s="5"/>
      <c r="DUV191" s="5"/>
      <c r="DUW191" s="5"/>
      <c r="DUX191" s="5"/>
      <c r="DUY191" s="5"/>
      <c r="DUZ191" s="5"/>
      <c r="DVA191" s="5"/>
      <c r="DVB191" s="5"/>
      <c r="DVC191" s="5"/>
      <c r="DVD191" s="5"/>
      <c r="DVE191" s="5"/>
      <c r="DVF191" s="5"/>
      <c r="DVG191" s="5"/>
      <c r="DVH191" s="5"/>
      <c r="DVI191" s="5"/>
      <c r="DVJ191" s="5"/>
      <c r="DVK191" s="5"/>
      <c r="DVL191" s="5"/>
      <c r="DVM191" s="5"/>
      <c r="DVN191" s="5"/>
      <c r="DVO191" s="5"/>
      <c r="DVP191" s="5"/>
      <c r="DVQ191" s="5"/>
      <c r="DVR191" s="5"/>
      <c r="DVS191" s="5"/>
      <c r="DVT191" s="5"/>
      <c r="DVU191" s="5"/>
      <c r="DVV191" s="5"/>
      <c r="DVW191" s="5"/>
      <c r="DVX191" s="5"/>
      <c r="DVY191" s="5"/>
      <c r="DVZ191" s="5"/>
      <c r="DWA191" s="5"/>
      <c r="DWB191" s="5"/>
      <c r="DWC191" s="5"/>
      <c r="DWD191" s="5"/>
      <c r="DWE191" s="5"/>
      <c r="DWF191" s="5"/>
      <c r="DWG191" s="5"/>
      <c r="DWH191" s="5"/>
      <c r="DWI191" s="5"/>
      <c r="DWJ191" s="5"/>
      <c r="DWK191" s="5"/>
      <c r="DWL191" s="5"/>
      <c r="DWM191" s="5"/>
      <c r="DWN191" s="5"/>
      <c r="DWO191" s="5"/>
      <c r="DWP191" s="5"/>
      <c r="DWQ191" s="5"/>
      <c r="DWR191" s="5"/>
      <c r="DWS191" s="5"/>
      <c r="DWT191" s="5"/>
      <c r="DWU191" s="5"/>
      <c r="DWV191" s="5"/>
      <c r="DWW191" s="5"/>
      <c r="DWX191" s="5"/>
      <c r="DWY191" s="5"/>
      <c r="DWZ191" s="5"/>
      <c r="DXA191" s="5"/>
      <c r="DXB191" s="5"/>
      <c r="DXC191" s="5"/>
      <c r="DXD191" s="5"/>
      <c r="DXE191" s="5"/>
      <c r="DXF191" s="5"/>
      <c r="DXG191" s="5"/>
      <c r="DXH191" s="5"/>
      <c r="DXI191" s="5"/>
      <c r="DXJ191" s="5"/>
      <c r="DXK191" s="5"/>
      <c r="DXL191" s="5"/>
      <c r="DXM191" s="5"/>
      <c r="DXN191" s="5"/>
      <c r="DXO191" s="5"/>
      <c r="DXP191" s="5"/>
      <c r="DXQ191" s="5"/>
      <c r="DXR191" s="5"/>
      <c r="DXS191" s="5"/>
      <c r="DXT191" s="5"/>
      <c r="DXU191" s="5"/>
      <c r="DXV191" s="5"/>
      <c r="DXW191" s="5"/>
      <c r="DXX191" s="5"/>
      <c r="DXY191" s="5"/>
      <c r="DXZ191" s="5"/>
      <c r="DYA191" s="5"/>
      <c r="DYB191" s="5"/>
      <c r="DYC191" s="5"/>
      <c r="DYD191" s="5"/>
      <c r="DYE191" s="5"/>
      <c r="DYF191" s="5"/>
      <c r="DYG191" s="5"/>
      <c r="DYH191" s="5"/>
      <c r="DYI191" s="5"/>
      <c r="DYJ191" s="5"/>
      <c r="DYK191" s="5"/>
      <c r="DYL191" s="5"/>
      <c r="DYM191" s="5"/>
      <c r="DYN191" s="5"/>
      <c r="DYO191" s="5"/>
      <c r="DYP191" s="5"/>
      <c r="DYQ191" s="5"/>
      <c r="DYR191" s="5"/>
      <c r="DYS191" s="5"/>
      <c r="DYT191" s="5"/>
      <c r="DYU191" s="5"/>
      <c r="DYV191" s="5"/>
      <c r="DYW191" s="5"/>
      <c r="DYX191" s="5"/>
      <c r="DYY191" s="5"/>
      <c r="DYZ191" s="5"/>
      <c r="DZA191" s="5"/>
      <c r="DZB191" s="5"/>
      <c r="DZC191" s="5"/>
      <c r="DZD191" s="5"/>
      <c r="DZE191" s="5"/>
      <c r="DZF191" s="5"/>
      <c r="DZG191" s="5"/>
      <c r="DZH191" s="5"/>
      <c r="DZI191" s="5"/>
      <c r="DZJ191" s="5"/>
      <c r="DZK191" s="5"/>
      <c r="DZL191" s="5"/>
      <c r="DZM191" s="5"/>
      <c r="DZN191" s="5"/>
      <c r="DZO191" s="5"/>
      <c r="DZP191" s="5"/>
      <c r="DZQ191" s="5"/>
      <c r="DZR191" s="5"/>
      <c r="DZS191" s="5"/>
      <c r="DZT191" s="5"/>
      <c r="DZU191" s="5"/>
      <c r="DZV191" s="5"/>
      <c r="DZW191" s="5"/>
      <c r="DZX191" s="5"/>
      <c r="DZY191" s="5"/>
      <c r="DZZ191" s="5"/>
      <c r="EAA191" s="5"/>
      <c r="EAB191" s="5"/>
      <c r="EAC191" s="5"/>
      <c r="EAD191" s="5"/>
      <c r="EAE191" s="5"/>
      <c r="EAF191" s="5"/>
      <c r="EAG191" s="5"/>
      <c r="EAH191" s="5"/>
      <c r="EAI191" s="5"/>
      <c r="EAJ191" s="5"/>
      <c r="EAK191" s="5"/>
      <c r="EAL191" s="5"/>
      <c r="EAM191" s="5"/>
      <c r="EAN191" s="5"/>
      <c r="EAO191" s="5"/>
      <c r="EAP191" s="5"/>
      <c r="EAQ191" s="5"/>
      <c r="EAR191" s="5"/>
      <c r="EAS191" s="5"/>
      <c r="EAT191" s="5"/>
      <c r="EAU191" s="5"/>
      <c r="EAV191" s="5"/>
      <c r="EAW191" s="5"/>
      <c r="EAX191" s="5"/>
      <c r="EAY191" s="5"/>
      <c r="EAZ191" s="5"/>
      <c r="EBA191" s="5"/>
      <c r="EBB191" s="5"/>
      <c r="EBC191" s="5"/>
      <c r="EBD191" s="5"/>
      <c r="EBE191" s="5"/>
      <c r="EBF191" s="5"/>
      <c r="EBG191" s="5"/>
      <c r="EBH191" s="5"/>
      <c r="EBI191" s="5"/>
      <c r="EBJ191" s="5"/>
      <c r="EBK191" s="5"/>
      <c r="EBL191" s="5"/>
      <c r="EBM191" s="5"/>
      <c r="EBN191" s="5"/>
      <c r="EBO191" s="5"/>
      <c r="EBP191" s="5"/>
      <c r="EBQ191" s="5"/>
      <c r="EBR191" s="5"/>
      <c r="EBS191" s="5"/>
      <c r="EBT191" s="5"/>
      <c r="EBU191" s="5"/>
      <c r="EBV191" s="5"/>
      <c r="EBW191" s="5"/>
      <c r="EBX191" s="5"/>
      <c r="EBY191" s="5"/>
      <c r="EBZ191" s="5"/>
      <c r="ECA191" s="5"/>
      <c r="ECB191" s="5"/>
      <c r="ECC191" s="5"/>
      <c r="ECD191" s="5"/>
      <c r="ECE191" s="5"/>
      <c r="ECF191" s="5"/>
      <c r="ECG191" s="5"/>
      <c r="ECH191" s="5"/>
      <c r="ECI191" s="5"/>
      <c r="ECJ191" s="5"/>
      <c r="ECK191" s="5"/>
      <c r="ECL191" s="5"/>
      <c r="ECM191" s="5"/>
      <c r="ECN191" s="5"/>
      <c r="ECO191" s="5"/>
      <c r="ECP191" s="5"/>
      <c r="ECQ191" s="5"/>
      <c r="ECR191" s="5"/>
      <c r="ECS191" s="5"/>
      <c r="ECT191" s="5"/>
      <c r="ECU191" s="5"/>
      <c r="ECV191" s="5"/>
      <c r="ECW191" s="5"/>
      <c r="ECX191" s="5"/>
      <c r="ECY191" s="5"/>
      <c r="ECZ191" s="5"/>
      <c r="EDA191" s="5"/>
      <c r="EDB191" s="5"/>
      <c r="EDC191" s="5"/>
      <c r="EDD191" s="5"/>
      <c r="EDE191" s="5"/>
      <c r="EDF191" s="5"/>
      <c r="EDG191" s="5"/>
      <c r="EDH191" s="5"/>
      <c r="EDI191" s="5"/>
      <c r="EDJ191" s="5"/>
      <c r="EDK191" s="5"/>
      <c r="EDL191" s="5"/>
      <c r="EDM191" s="5"/>
      <c r="EDN191" s="5"/>
      <c r="EDO191" s="5"/>
      <c r="EDP191" s="5"/>
      <c r="EDQ191" s="5"/>
      <c r="EDR191" s="5"/>
      <c r="EDS191" s="5"/>
      <c r="EDT191" s="5"/>
      <c r="EDU191" s="5"/>
      <c r="EDV191" s="5"/>
      <c r="EDW191" s="5"/>
      <c r="EDX191" s="5"/>
      <c r="EDY191" s="5"/>
      <c r="EDZ191" s="5"/>
      <c r="EEA191" s="5"/>
      <c r="EEB191" s="5"/>
      <c r="EEC191" s="5"/>
      <c r="EED191" s="5"/>
      <c r="EEE191" s="5"/>
      <c r="EEF191" s="5"/>
      <c r="EEG191" s="5"/>
      <c r="EEH191" s="5"/>
      <c r="EEI191" s="5"/>
      <c r="EEJ191" s="5"/>
      <c r="EEK191" s="5"/>
      <c r="EEL191" s="5"/>
      <c r="EEM191" s="5"/>
      <c r="EEN191" s="5"/>
      <c r="EEO191" s="5"/>
      <c r="EEP191" s="5"/>
      <c r="EEQ191" s="5"/>
      <c r="EER191" s="5"/>
      <c r="EES191" s="5"/>
      <c r="EET191" s="5"/>
      <c r="EEU191" s="5"/>
      <c r="EEV191" s="5"/>
      <c r="EEW191" s="5"/>
      <c r="EEX191" s="5"/>
      <c r="EEY191" s="5"/>
      <c r="EEZ191" s="5"/>
      <c r="EFA191" s="5"/>
      <c r="EFB191" s="5"/>
      <c r="EFC191" s="5"/>
      <c r="EFD191" s="5"/>
      <c r="EFE191" s="5"/>
      <c r="EFF191" s="5"/>
      <c r="EFG191" s="5"/>
      <c r="EFH191" s="5"/>
      <c r="EFI191" s="5"/>
      <c r="EFJ191" s="5"/>
      <c r="EFK191" s="5"/>
      <c r="EFL191" s="5"/>
      <c r="EFM191" s="5"/>
      <c r="EFN191" s="5"/>
      <c r="EFO191" s="5"/>
      <c r="EFP191" s="5"/>
      <c r="EFQ191" s="5"/>
      <c r="EFR191" s="5"/>
      <c r="EFS191" s="5"/>
      <c r="EFT191" s="5"/>
      <c r="EFU191" s="5"/>
      <c r="EFV191" s="5"/>
      <c r="EFW191" s="5"/>
      <c r="EFX191" s="5"/>
      <c r="EFY191" s="5"/>
      <c r="EFZ191" s="5"/>
      <c r="EGA191" s="5"/>
      <c r="EGB191" s="5"/>
      <c r="EGC191" s="5"/>
      <c r="EGD191" s="5"/>
      <c r="EGE191" s="5"/>
      <c r="EGF191" s="5"/>
      <c r="EGG191" s="5"/>
      <c r="EGH191" s="5"/>
      <c r="EGI191" s="5"/>
      <c r="EGJ191" s="5"/>
      <c r="EGK191" s="5"/>
      <c r="EGL191" s="5"/>
      <c r="EGM191" s="5"/>
      <c r="EGN191" s="5"/>
      <c r="EGO191" s="5"/>
      <c r="EGP191" s="5"/>
      <c r="EGQ191" s="5"/>
      <c r="EGR191" s="5"/>
      <c r="EGS191" s="5"/>
      <c r="EGT191" s="5"/>
      <c r="EGU191" s="5"/>
      <c r="EGV191" s="5"/>
      <c r="EGW191" s="5"/>
      <c r="EGX191" s="5"/>
      <c r="EGY191" s="5"/>
      <c r="EGZ191" s="5"/>
      <c r="EHA191" s="5"/>
      <c r="EHB191" s="5"/>
      <c r="EHC191" s="5"/>
      <c r="EHD191" s="5"/>
      <c r="EHE191" s="5"/>
      <c r="EHF191" s="5"/>
      <c r="EHG191" s="5"/>
      <c r="EHH191" s="5"/>
      <c r="EHI191" s="5"/>
      <c r="EHJ191" s="5"/>
      <c r="EHK191" s="5"/>
      <c r="EHL191" s="5"/>
      <c r="EHM191" s="5"/>
      <c r="EHN191" s="5"/>
      <c r="EHO191" s="5"/>
      <c r="EHP191" s="5"/>
      <c r="EHQ191" s="5"/>
      <c r="EHR191" s="5"/>
      <c r="EHS191" s="5"/>
      <c r="EHT191" s="5"/>
      <c r="EHU191" s="5"/>
      <c r="EHV191" s="5"/>
      <c r="EHW191" s="5"/>
      <c r="EHX191" s="5"/>
      <c r="EHY191" s="5"/>
      <c r="EHZ191" s="5"/>
      <c r="EIA191" s="5"/>
      <c r="EIB191" s="5"/>
      <c r="EIC191" s="5"/>
      <c r="EID191" s="5"/>
      <c r="EIE191" s="5"/>
      <c r="EIF191" s="5"/>
      <c r="EIG191" s="5"/>
      <c r="EIH191" s="5"/>
      <c r="EII191" s="5"/>
      <c r="EIJ191" s="5"/>
      <c r="EIK191" s="5"/>
      <c r="EIL191" s="5"/>
      <c r="EIM191" s="5"/>
      <c r="EIN191" s="5"/>
      <c r="EIO191" s="5"/>
      <c r="EIP191" s="5"/>
      <c r="EIQ191" s="5"/>
      <c r="EIR191" s="5"/>
      <c r="EIS191" s="5"/>
      <c r="EIT191" s="5"/>
      <c r="EIU191" s="5"/>
      <c r="EIV191" s="5"/>
      <c r="EIW191" s="5"/>
      <c r="EIX191" s="5"/>
      <c r="EIY191" s="5"/>
      <c r="EIZ191" s="5"/>
      <c r="EJA191" s="5"/>
      <c r="EJB191" s="5"/>
      <c r="EJC191" s="5"/>
      <c r="EJD191" s="5"/>
      <c r="EJE191" s="5"/>
      <c r="EJF191" s="5"/>
      <c r="EJG191" s="5"/>
      <c r="EJH191" s="5"/>
      <c r="EJI191" s="5"/>
      <c r="EJJ191" s="5"/>
      <c r="EJK191" s="5"/>
      <c r="EJL191" s="5"/>
      <c r="EJM191" s="5"/>
      <c r="EJN191" s="5"/>
      <c r="EJO191" s="5"/>
      <c r="EJP191" s="5"/>
      <c r="EJQ191" s="5"/>
      <c r="EJR191" s="5"/>
      <c r="EJS191" s="5"/>
      <c r="EJT191" s="5"/>
      <c r="EJU191" s="5"/>
      <c r="EJV191" s="5"/>
      <c r="EJW191" s="5"/>
      <c r="EJX191" s="5"/>
      <c r="EJY191" s="5"/>
      <c r="EJZ191" s="5"/>
      <c r="EKA191" s="5"/>
      <c r="EKB191" s="5"/>
      <c r="EKC191" s="5"/>
      <c r="EKD191" s="5"/>
      <c r="EKE191" s="5"/>
      <c r="EKF191" s="5"/>
      <c r="EKG191" s="5"/>
      <c r="EKH191" s="5"/>
      <c r="EKI191" s="5"/>
      <c r="EKJ191" s="5"/>
      <c r="EKK191" s="5"/>
      <c r="EKL191" s="5"/>
      <c r="EKM191" s="5"/>
      <c r="EKN191" s="5"/>
      <c r="EKO191" s="5"/>
      <c r="EKP191" s="5"/>
      <c r="EKQ191" s="5"/>
      <c r="EKR191" s="5"/>
      <c r="EKS191" s="5"/>
      <c r="EKT191" s="5"/>
      <c r="EKU191" s="5"/>
      <c r="EKV191" s="5"/>
      <c r="EKW191" s="5"/>
      <c r="EKX191" s="5"/>
      <c r="EKY191" s="5"/>
      <c r="EKZ191" s="5"/>
      <c r="ELA191" s="5"/>
      <c r="ELB191" s="5"/>
      <c r="ELC191" s="5"/>
      <c r="ELD191" s="5"/>
      <c r="ELE191" s="5"/>
      <c r="ELF191" s="5"/>
      <c r="ELG191" s="5"/>
      <c r="ELH191" s="5"/>
      <c r="ELI191" s="5"/>
      <c r="ELJ191" s="5"/>
      <c r="ELK191" s="5"/>
      <c r="ELL191" s="5"/>
      <c r="ELM191" s="5"/>
      <c r="ELN191" s="5"/>
      <c r="ELO191" s="5"/>
      <c r="ELP191" s="5"/>
      <c r="ELQ191" s="5"/>
      <c r="ELR191" s="5"/>
      <c r="ELS191" s="5"/>
      <c r="ELT191" s="5"/>
      <c r="ELU191" s="5"/>
      <c r="ELV191" s="5"/>
      <c r="ELW191" s="5"/>
      <c r="ELX191" s="5"/>
      <c r="ELY191" s="5"/>
      <c r="ELZ191" s="5"/>
      <c r="EMA191" s="5"/>
      <c r="EMB191" s="5"/>
      <c r="EMC191" s="5"/>
      <c r="EMD191" s="5"/>
      <c r="EME191" s="5"/>
      <c r="EMF191" s="5"/>
      <c r="EMG191" s="5"/>
      <c r="EMH191" s="5"/>
      <c r="EMI191" s="5"/>
      <c r="EMJ191" s="5"/>
      <c r="EMK191" s="5"/>
      <c r="EML191" s="5"/>
      <c r="EMM191" s="5"/>
      <c r="EMN191" s="5"/>
      <c r="EMO191" s="5"/>
      <c r="EMP191" s="5"/>
      <c r="EMQ191" s="5"/>
      <c r="EMR191" s="5"/>
      <c r="EMS191" s="5"/>
      <c r="EMT191" s="5"/>
      <c r="EMU191" s="5"/>
      <c r="EMV191" s="5"/>
      <c r="EMW191" s="5"/>
      <c r="EMX191" s="5"/>
      <c r="EMY191" s="5"/>
      <c r="EMZ191" s="5"/>
      <c r="ENA191" s="5"/>
      <c r="ENB191" s="5"/>
      <c r="ENC191" s="5"/>
      <c r="END191" s="5"/>
      <c r="ENE191" s="5"/>
      <c r="ENF191" s="5"/>
      <c r="ENG191" s="5"/>
      <c r="ENH191" s="5"/>
      <c r="ENI191" s="5"/>
      <c r="ENJ191" s="5"/>
      <c r="ENK191" s="5"/>
      <c r="ENL191" s="5"/>
      <c r="ENM191" s="5"/>
      <c r="ENN191" s="5"/>
      <c r="ENO191" s="5"/>
      <c r="ENP191" s="5"/>
      <c r="ENQ191" s="5"/>
      <c r="ENR191" s="5"/>
      <c r="ENS191" s="5"/>
      <c r="ENT191" s="5"/>
      <c r="ENU191" s="5"/>
      <c r="ENV191" s="5"/>
      <c r="ENW191" s="5"/>
      <c r="ENX191" s="5"/>
      <c r="ENY191" s="5"/>
      <c r="ENZ191" s="5"/>
      <c r="EOA191" s="5"/>
      <c r="EOB191" s="5"/>
      <c r="EOC191" s="5"/>
      <c r="EOD191" s="5"/>
      <c r="EOE191" s="5"/>
      <c r="EOF191" s="5"/>
      <c r="EOG191" s="5"/>
      <c r="EOH191" s="5"/>
      <c r="EOI191" s="5"/>
      <c r="EOJ191" s="5"/>
      <c r="EOK191" s="5"/>
      <c r="EOL191" s="5"/>
      <c r="EOM191" s="5"/>
      <c r="EON191" s="5"/>
      <c r="EOO191" s="5"/>
      <c r="EOP191" s="5"/>
      <c r="EOQ191" s="5"/>
      <c r="EOR191" s="5"/>
      <c r="EOS191" s="5"/>
      <c r="EOT191" s="5"/>
      <c r="EOU191" s="5"/>
      <c r="EOV191" s="5"/>
      <c r="EOW191" s="5"/>
      <c r="EOX191" s="5"/>
      <c r="EOY191" s="5"/>
      <c r="EOZ191" s="5"/>
      <c r="EPA191" s="5"/>
      <c r="EPB191" s="5"/>
      <c r="EPC191" s="5"/>
      <c r="EPD191" s="5"/>
      <c r="EPE191" s="5"/>
      <c r="EPF191" s="5"/>
      <c r="EPG191" s="5"/>
      <c r="EPH191" s="5"/>
      <c r="EPI191" s="5"/>
      <c r="EPJ191" s="5"/>
      <c r="EPK191" s="5"/>
      <c r="EPL191" s="5"/>
      <c r="EPM191" s="5"/>
      <c r="EPN191" s="5"/>
      <c r="EPO191" s="5"/>
      <c r="EPP191" s="5"/>
      <c r="EPQ191" s="5"/>
      <c r="EPR191" s="5"/>
      <c r="EPS191" s="5"/>
      <c r="EPT191" s="5"/>
      <c r="EPU191" s="5"/>
      <c r="EPV191" s="5"/>
      <c r="EPW191" s="5"/>
      <c r="EPX191" s="5"/>
      <c r="EPY191" s="5"/>
      <c r="EPZ191" s="5"/>
      <c r="EQA191" s="5"/>
      <c r="EQB191" s="5"/>
      <c r="EQC191" s="5"/>
      <c r="EQD191" s="5"/>
      <c r="EQE191" s="5"/>
      <c r="EQF191" s="5"/>
      <c r="EQG191" s="5"/>
      <c r="EQH191" s="5"/>
      <c r="EQI191" s="5"/>
      <c r="EQJ191" s="5"/>
      <c r="EQK191" s="5"/>
      <c r="EQL191" s="5"/>
      <c r="EQM191" s="5"/>
      <c r="EQN191" s="5"/>
      <c r="EQO191" s="5"/>
      <c r="EQP191" s="5"/>
      <c r="EQQ191" s="5"/>
      <c r="EQR191" s="5"/>
      <c r="EQS191" s="5"/>
      <c r="EQT191" s="5"/>
      <c r="EQU191" s="5"/>
      <c r="EQV191" s="5"/>
      <c r="EQW191" s="5"/>
      <c r="EQX191" s="5"/>
      <c r="EQY191" s="5"/>
      <c r="EQZ191" s="5"/>
      <c r="ERA191" s="5"/>
      <c r="ERB191" s="5"/>
      <c r="ERC191" s="5"/>
      <c r="ERD191" s="5"/>
      <c r="ERE191" s="5"/>
      <c r="ERF191" s="5"/>
      <c r="ERG191" s="5"/>
      <c r="ERH191" s="5"/>
      <c r="ERI191" s="5"/>
      <c r="ERJ191" s="5"/>
      <c r="ERK191" s="5"/>
      <c r="ERL191" s="5"/>
      <c r="ERM191" s="5"/>
      <c r="ERN191" s="5"/>
      <c r="ERO191" s="5"/>
      <c r="ERP191" s="5"/>
      <c r="ERQ191" s="5"/>
      <c r="ERR191" s="5"/>
      <c r="ERS191" s="5"/>
      <c r="ERT191" s="5"/>
      <c r="ERU191" s="5"/>
      <c r="ERV191" s="5"/>
      <c r="ERW191" s="5"/>
      <c r="ERX191" s="5"/>
      <c r="ERY191" s="5"/>
      <c r="ERZ191" s="5"/>
      <c r="ESA191" s="5"/>
      <c r="ESB191" s="5"/>
      <c r="ESC191" s="5"/>
      <c r="ESD191" s="5"/>
      <c r="ESE191" s="5"/>
      <c r="ESF191" s="5"/>
      <c r="ESG191" s="5"/>
      <c r="ESH191" s="5"/>
      <c r="ESI191" s="5"/>
      <c r="ESJ191" s="5"/>
      <c r="ESK191" s="5"/>
      <c r="ESL191" s="5"/>
      <c r="ESM191" s="5"/>
      <c r="ESN191" s="5"/>
      <c r="ESO191" s="5"/>
      <c r="ESP191" s="5"/>
      <c r="ESQ191" s="5"/>
      <c r="ESR191" s="5"/>
      <c r="ESS191" s="5"/>
      <c r="EST191" s="5"/>
      <c r="ESU191" s="5"/>
      <c r="ESV191" s="5"/>
      <c r="ESW191" s="5"/>
      <c r="ESX191" s="5"/>
      <c r="ESY191" s="5"/>
      <c r="ESZ191" s="5"/>
      <c r="ETA191" s="5"/>
      <c r="ETB191" s="5"/>
      <c r="ETC191" s="5"/>
      <c r="ETD191" s="5"/>
      <c r="ETE191" s="5"/>
      <c r="ETF191" s="5"/>
      <c r="ETG191" s="5"/>
      <c r="ETH191" s="5"/>
      <c r="ETI191" s="5"/>
      <c r="ETJ191" s="5"/>
      <c r="ETK191" s="5"/>
      <c r="ETL191" s="5"/>
      <c r="ETM191" s="5"/>
      <c r="ETN191" s="5"/>
      <c r="ETO191" s="5"/>
      <c r="ETP191" s="5"/>
      <c r="ETQ191" s="5"/>
      <c r="ETR191" s="5"/>
      <c r="ETS191" s="5"/>
      <c r="ETT191" s="5"/>
      <c r="ETU191" s="5"/>
      <c r="ETV191" s="5"/>
      <c r="ETW191" s="5"/>
      <c r="ETX191" s="5"/>
      <c r="ETY191" s="5"/>
      <c r="ETZ191" s="5"/>
      <c r="EUA191" s="5"/>
      <c r="EUB191" s="5"/>
      <c r="EUC191" s="5"/>
      <c r="EUD191" s="5"/>
      <c r="EUE191" s="5"/>
      <c r="EUF191" s="5"/>
      <c r="EUG191" s="5"/>
      <c r="EUH191" s="5"/>
      <c r="EUI191" s="5"/>
      <c r="EUJ191" s="5"/>
      <c r="EUK191" s="5"/>
      <c r="EUL191" s="5"/>
      <c r="EUM191" s="5"/>
      <c r="EUN191" s="5"/>
      <c r="EUO191" s="5"/>
      <c r="EUP191" s="5"/>
      <c r="EUQ191" s="5"/>
      <c r="EUR191" s="5"/>
      <c r="EUS191" s="5"/>
      <c r="EUT191" s="5"/>
      <c r="EUU191" s="5"/>
      <c r="EUV191" s="5"/>
      <c r="EUW191" s="5"/>
      <c r="EUX191" s="5"/>
      <c r="EUY191" s="5"/>
      <c r="EUZ191" s="5"/>
      <c r="EVA191" s="5"/>
      <c r="EVB191" s="5"/>
      <c r="EVC191" s="5"/>
      <c r="EVD191" s="5"/>
      <c r="EVE191" s="5"/>
      <c r="EVF191" s="5"/>
      <c r="EVG191" s="5"/>
      <c r="EVH191" s="5"/>
      <c r="EVI191" s="5"/>
      <c r="EVJ191" s="5"/>
      <c r="EVK191" s="5"/>
      <c r="EVL191" s="5"/>
      <c r="EVM191" s="5"/>
      <c r="EVN191" s="5"/>
      <c r="EVO191" s="5"/>
      <c r="EVP191" s="5"/>
      <c r="EVQ191" s="5"/>
      <c r="EVR191" s="5"/>
      <c r="EVS191" s="5"/>
      <c r="EVT191" s="5"/>
      <c r="EVU191" s="5"/>
      <c r="EVV191" s="5"/>
      <c r="EVW191" s="5"/>
      <c r="EVX191" s="5"/>
      <c r="EVY191" s="5"/>
      <c r="EVZ191" s="5"/>
      <c r="EWA191" s="5"/>
      <c r="EWB191" s="5"/>
      <c r="EWC191" s="5"/>
      <c r="EWD191" s="5"/>
      <c r="EWE191" s="5"/>
      <c r="EWF191" s="5"/>
      <c r="EWG191" s="5"/>
      <c r="EWH191" s="5"/>
      <c r="EWI191" s="5"/>
      <c r="EWJ191" s="5"/>
      <c r="EWK191" s="5"/>
      <c r="EWL191" s="5"/>
      <c r="EWM191" s="5"/>
      <c r="EWN191" s="5"/>
      <c r="EWO191" s="5"/>
      <c r="EWP191" s="5"/>
      <c r="EWQ191" s="5"/>
      <c r="EWR191" s="5"/>
      <c r="EWS191" s="5"/>
      <c r="EWT191" s="5"/>
      <c r="EWU191" s="5"/>
      <c r="EWV191" s="5"/>
      <c r="EWW191" s="5"/>
      <c r="EWX191" s="5"/>
      <c r="EWY191" s="5"/>
      <c r="EWZ191" s="5"/>
      <c r="EXA191" s="5"/>
      <c r="EXB191" s="5"/>
      <c r="EXC191" s="5"/>
      <c r="EXD191" s="5"/>
      <c r="EXE191" s="5"/>
      <c r="EXF191" s="5"/>
      <c r="EXG191" s="5"/>
      <c r="EXH191" s="5"/>
      <c r="EXI191" s="5"/>
      <c r="EXJ191" s="5"/>
      <c r="EXK191" s="5"/>
      <c r="EXL191" s="5"/>
      <c r="EXM191" s="5"/>
      <c r="EXN191" s="5"/>
      <c r="EXO191" s="5"/>
      <c r="EXP191" s="5"/>
      <c r="EXQ191" s="5"/>
      <c r="EXR191" s="5"/>
      <c r="EXS191" s="5"/>
      <c r="EXT191" s="5"/>
      <c r="EXU191" s="5"/>
      <c r="EXV191" s="5"/>
      <c r="EXW191" s="5"/>
      <c r="EXX191" s="5"/>
      <c r="EXY191" s="5"/>
      <c r="EXZ191" s="5"/>
      <c r="EYA191" s="5"/>
      <c r="EYB191" s="5"/>
      <c r="EYC191" s="5"/>
      <c r="EYD191" s="5"/>
      <c r="EYE191" s="5"/>
      <c r="EYF191" s="5"/>
      <c r="EYG191" s="5"/>
      <c r="EYH191" s="5"/>
      <c r="EYI191" s="5"/>
      <c r="EYJ191" s="5"/>
      <c r="EYK191" s="5"/>
      <c r="EYL191" s="5"/>
      <c r="EYM191" s="5"/>
      <c r="EYN191" s="5"/>
      <c r="EYO191" s="5"/>
      <c r="EYP191" s="5"/>
      <c r="EYQ191" s="5"/>
      <c r="EYR191" s="5"/>
      <c r="EYS191" s="5"/>
      <c r="EYT191" s="5"/>
      <c r="EYU191" s="5"/>
      <c r="EYV191" s="5"/>
      <c r="EYW191" s="5"/>
      <c r="EYX191" s="5"/>
      <c r="EYY191" s="5"/>
      <c r="EYZ191" s="5"/>
      <c r="EZA191" s="5"/>
      <c r="EZB191" s="5"/>
      <c r="EZC191" s="5"/>
      <c r="EZD191" s="5"/>
      <c r="EZE191" s="5"/>
      <c r="EZF191" s="5"/>
      <c r="EZG191" s="5"/>
      <c r="EZH191" s="5"/>
      <c r="EZI191" s="5"/>
      <c r="EZJ191" s="5"/>
      <c r="EZK191" s="5"/>
      <c r="EZL191" s="5"/>
      <c r="EZM191" s="5"/>
      <c r="EZN191" s="5"/>
      <c r="EZO191" s="5"/>
      <c r="EZP191" s="5"/>
      <c r="EZQ191" s="5"/>
      <c r="EZR191" s="5"/>
      <c r="EZS191" s="5"/>
      <c r="EZT191" s="5"/>
      <c r="EZU191" s="5"/>
      <c r="EZV191" s="5"/>
      <c r="EZW191" s="5"/>
      <c r="EZX191" s="5"/>
      <c r="EZY191" s="5"/>
      <c r="EZZ191" s="5"/>
      <c r="FAA191" s="5"/>
      <c r="FAB191" s="5"/>
      <c r="FAC191" s="5"/>
      <c r="FAD191" s="5"/>
      <c r="FAE191" s="5"/>
      <c r="FAF191" s="5"/>
      <c r="FAG191" s="5"/>
      <c r="FAH191" s="5"/>
      <c r="FAI191" s="5"/>
      <c r="FAJ191" s="5"/>
      <c r="FAK191" s="5"/>
      <c r="FAL191" s="5"/>
      <c r="FAM191" s="5"/>
      <c r="FAN191" s="5"/>
      <c r="FAO191" s="5"/>
      <c r="FAP191" s="5"/>
      <c r="FAQ191" s="5"/>
      <c r="FAR191" s="5"/>
      <c r="FAS191" s="5"/>
      <c r="FAT191" s="5"/>
      <c r="FAU191" s="5"/>
      <c r="FAV191" s="5"/>
      <c r="FAW191" s="5"/>
      <c r="FAX191" s="5"/>
      <c r="FAY191" s="5"/>
      <c r="FAZ191" s="5"/>
      <c r="FBA191" s="5"/>
      <c r="FBB191" s="5"/>
      <c r="FBC191" s="5"/>
      <c r="FBD191" s="5"/>
      <c r="FBE191" s="5"/>
      <c r="FBF191" s="5"/>
      <c r="FBG191" s="5"/>
      <c r="FBH191" s="5"/>
      <c r="FBI191" s="5"/>
      <c r="FBJ191" s="5"/>
      <c r="FBK191" s="5"/>
      <c r="FBL191" s="5"/>
      <c r="FBM191" s="5"/>
      <c r="FBN191" s="5"/>
      <c r="FBO191" s="5"/>
      <c r="FBP191" s="5"/>
      <c r="FBQ191" s="5"/>
      <c r="FBR191" s="5"/>
      <c r="FBS191" s="5"/>
      <c r="FBT191" s="5"/>
      <c r="FBU191" s="5"/>
      <c r="FBV191" s="5"/>
      <c r="FBW191" s="5"/>
      <c r="FBX191" s="5"/>
      <c r="FBY191" s="5"/>
      <c r="FBZ191" s="5"/>
      <c r="FCA191" s="5"/>
      <c r="FCB191" s="5"/>
      <c r="FCC191" s="5"/>
      <c r="FCD191" s="5"/>
      <c r="FCE191" s="5"/>
      <c r="FCF191" s="5"/>
      <c r="FCG191" s="5"/>
      <c r="FCH191" s="5"/>
      <c r="FCI191" s="5"/>
      <c r="FCJ191" s="5"/>
      <c r="FCK191" s="5"/>
      <c r="FCL191" s="5"/>
      <c r="FCM191" s="5"/>
      <c r="FCN191" s="5"/>
      <c r="FCO191" s="5"/>
      <c r="FCP191" s="5"/>
      <c r="FCQ191" s="5"/>
      <c r="FCR191" s="5"/>
      <c r="FCS191" s="5"/>
      <c r="FCT191" s="5"/>
      <c r="FCU191" s="5"/>
      <c r="FCV191" s="5"/>
      <c r="FCW191" s="5"/>
      <c r="FCX191" s="5"/>
      <c r="FCY191" s="5"/>
      <c r="FCZ191" s="5"/>
      <c r="FDA191" s="5"/>
      <c r="FDB191" s="5"/>
      <c r="FDC191" s="5"/>
      <c r="FDD191" s="5"/>
      <c r="FDE191" s="5"/>
      <c r="FDF191" s="5"/>
      <c r="FDG191" s="5"/>
      <c r="FDH191" s="5"/>
      <c r="FDI191" s="5"/>
      <c r="FDJ191" s="5"/>
      <c r="FDK191" s="5"/>
      <c r="FDL191" s="5"/>
      <c r="FDM191" s="5"/>
      <c r="FDN191" s="5"/>
      <c r="FDO191" s="5"/>
      <c r="FDP191" s="5"/>
      <c r="FDQ191" s="5"/>
      <c r="FDR191" s="5"/>
      <c r="FDS191" s="5"/>
      <c r="FDT191" s="5"/>
      <c r="FDU191" s="5"/>
      <c r="FDV191" s="5"/>
      <c r="FDW191" s="5"/>
      <c r="FDX191" s="5"/>
      <c r="FDY191" s="5"/>
      <c r="FDZ191" s="5"/>
      <c r="FEA191" s="5"/>
      <c r="FEB191" s="5"/>
      <c r="FEC191" s="5"/>
      <c r="FED191" s="5"/>
      <c r="FEE191" s="5"/>
      <c r="FEF191" s="5"/>
      <c r="FEG191" s="5"/>
      <c r="FEH191" s="5"/>
      <c r="FEI191" s="5"/>
      <c r="FEJ191" s="5"/>
      <c r="FEK191" s="5"/>
      <c r="FEL191" s="5"/>
      <c r="FEM191" s="5"/>
      <c r="FEN191" s="5"/>
      <c r="FEO191" s="5"/>
      <c r="FEP191" s="5"/>
      <c r="FEQ191" s="5"/>
      <c r="FER191" s="5"/>
      <c r="FES191" s="5"/>
      <c r="FET191" s="5"/>
      <c r="FEU191" s="5"/>
      <c r="FEV191" s="5"/>
      <c r="FEW191" s="5"/>
      <c r="FEX191" s="5"/>
      <c r="FEY191" s="5"/>
      <c r="FEZ191" s="5"/>
      <c r="FFA191" s="5"/>
      <c r="FFB191" s="5"/>
      <c r="FFC191" s="5"/>
      <c r="FFD191" s="5"/>
      <c r="FFE191" s="5"/>
      <c r="FFF191" s="5"/>
      <c r="FFG191" s="5"/>
      <c r="FFH191" s="5"/>
      <c r="FFI191" s="5"/>
      <c r="FFJ191" s="5"/>
      <c r="FFK191" s="5"/>
      <c r="FFL191" s="5"/>
      <c r="FFM191" s="5"/>
      <c r="FFN191" s="5"/>
      <c r="FFO191" s="5"/>
      <c r="FFP191" s="5"/>
      <c r="FFQ191" s="5"/>
      <c r="FFR191" s="5"/>
      <c r="FFS191" s="5"/>
      <c r="FFT191" s="5"/>
      <c r="FFU191" s="5"/>
      <c r="FFV191" s="5"/>
      <c r="FFW191" s="5"/>
      <c r="FFX191" s="5"/>
      <c r="FFY191" s="5"/>
      <c r="FFZ191" s="5"/>
      <c r="FGA191" s="5"/>
      <c r="FGB191" s="5"/>
      <c r="FGC191" s="5"/>
      <c r="FGD191" s="5"/>
      <c r="FGE191" s="5"/>
      <c r="FGF191" s="5"/>
      <c r="FGG191" s="5"/>
      <c r="FGH191" s="5"/>
      <c r="FGI191" s="5"/>
      <c r="FGJ191" s="5"/>
      <c r="FGK191" s="5"/>
      <c r="FGL191" s="5"/>
      <c r="FGM191" s="5"/>
      <c r="FGN191" s="5"/>
      <c r="FGO191" s="5"/>
      <c r="FGP191" s="5"/>
      <c r="FGQ191" s="5"/>
      <c r="FGR191" s="5"/>
      <c r="FGS191" s="5"/>
      <c r="FGT191" s="5"/>
      <c r="FGU191" s="5"/>
      <c r="FGV191" s="5"/>
      <c r="FGW191" s="5"/>
      <c r="FGX191" s="5"/>
      <c r="FGY191" s="5"/>
      <c r="FGZ191" s="5"/>
      <c r="FHA191" s="5"/>
      <c r="FHB191" s="5"/>
      <c r="FHC191" s="5"/>
      <c r="FHD191" s="5"/>
      <c r="FHE191" s="5"/>
      <c r="FHF191" s="5"/>
      <c r="FHG191" s="5"/>
      <c r="FHH191" s="5"/>
      <c r="FHI191" s="5"/>
      <c r="FHJ191" s="5"/>
      <c r="FHK191" s="5"/>
      <c r="FHL191" s="5"/>
      <c r="FHM191" s="5"/>
      <c r="FHN191" s="5"/>
      <c r="FHO191" s="5"/>
      <c r="FHP191" s="5"/>
      <c r="FHQ191" s="5"/>
      <c r="FHR191" s="5"/>
      <c r="FHS191" s="5"/>
      <c r="FHT191" s="5"/>
      <c r="FHU191" s="5"/>
      <c r="FHV191" s="5"/>
      <c r="FHW191" s="5"/>
      <c r="FHX191" s="5"/>
      <c r="FHY191" s="5"/>
      <c r="FHZ191" s="5"/>
      <c r="FIA191" s="5"/>
      <c r="FIB191" s="5"/>
      <c r="FIC191" s="5"/>
      <c r="FID191" s="5"/>
      <c r="FIE191" s="5"/>
      <c r="FIF191" s="5"/>
      <c r="FIG191" s="5"/>
      <c r="FIH191" s="5"/>
      <c r="FII191" s="5"/>
      <c r="FIJ191" s="5"/>
      <c r="FIK191" s="5"/>
      <c r="FIL191" s="5"/>
      <c r="FIM191" s="5"/>
      <c r="FIN191" s="5"/>
      <c r="FIO191" s="5"/>
      <c r="FIP191" s="5"/>
      <c r="FIQ191" s="5"/>
      <c r="FIR191" s="5"/>
      <c r="FIS191" s="5"/>
      <c r="FIT191" s="5"/>
      <c r="FIU191" s="5"/>
      <c r="FIV191" s="5"/>
      <c r="FIW191" s="5"/>
      <c r="FIX191" s="5"/>
      <c r="FIY191" s="5"/>
      <c r="FIZ191" s="5"/>
      <c r="FJA191" s="5"/>
      <c r="FJB191" s="5"/>
      <c r="FJC191" s="5"/>
      <c r="FJD191" s="5"/>
      <c r="FJE191" s="5"/>
      <c r="FJF191" s="5"/>
      <c r="FJG191" s="5"/>
      <c r="FJH191" s="5"/>
      <c r="FJI191" s="5"/>
      <c r="FJJ191" s="5"/>
      <c r="FJK191" s="5"/>
      <c r="FJL191" s="5"/>
      <c r="FJM191" s="5"/>
      <c r="FJN191" s="5"/>
      <c r="FJO191" s="5"/>
      <c r="FJP191" s="5"/>
      <c r="FJQ191" s="5"/>
      <c r="FJR191" s="5"/>
      <c r="FJS191" s="5"/>
      <c r="FJT191" s="5"/>
      <c r="FJU191" s="5"/>
      <c r="FJV191" s="5"/>
      <c r="FJW191" s="5"/>
      <c r="FJX191" s="5"/>
      <c r="FJY191" s="5"/>
      <c r="FJZ191" s="5"/>
      <c r="FKA191" s="5"/>
      <c r="FKB191" s="5"/>
      <c r="FKC191" s="5"/>
      <c r="FKD191" s="5"/>
      <c r="FKE191" s="5"/>
      <c r="FKF191" s="5"/>
      <c r="FKG191" s="5"/>
      <c r="FKH191" s="5"/>
      <c r="FKI191" s="5"/>
      <c r="FKJ191" s="5"/>
      <c r="FKK191" s="5"/>
      <c r="FKL191" s="5"/>
      <c r="FKM191" s="5"/>
      <c r="FKN191" s="5"/>
      <c r="FKO191" s="5"/>
      <c r="FKP191" s="5"/>
      <c r="FKQ191" s="5"/>
      <c r="FKR191" s="5"/>
      <c r="FKS191" s="5"/>
      <c r="FKT191" s="5"/>
      <c r="FKU191" s="5"/>
      <c r="FKV191" s="5"/>
      <c r="FKW191" s="5"/>
      <c r="FKX191" s="5"/>
      <c r="FKY191" s="5"/>
      <c r="FKZ191" s="5"/>
      <c r="FLA191" s="5"/>
      <c r="FLB191" s="5"/>
      <c r="FLC191" s="5"/>
      <c r="FLD191" s="5"/>
      <c r="FLE191" s="5"/>
      <c r="FLF191" s="5"/>
      <c r="FLG191" s="5"/>
      <c r="FLH191" s="5"/>
      <c r="FLI191" s="5"/>
      <c r="FLJ191" s="5"/>
      <c r="FLK191" s="5"/>
      <c r="FLL191" s="5"/>
      <c r="FLM191" s="5"/>
      <c r="FLN191" s="5"/>
      <c r="FLO191" s="5"/>
      <c r="FLP191" s="5"/>
      <c r="FLQ191" s="5"/>
      <c r="FLR191" s="5"/>
      <c r="FLS191" s="5"/>
      <c r="FLT191" s="5"/>
      <c r="FLU191" s="5"/>
      <c r="FLV191" s="5"/>
      <c r="FLW191" s="5"/>
      <c r="FLX191" s="5"/>
      <c r="FLY191" s="5"/>
      <c r="FLZ191" s="5"/>
      <c r="FMA191" s="5"/>
      <c r="FMB191" s="5"/>
      <c r="FMC191" s="5"/>
      <c r="FMD191" s="5"/>
      <c r="FME191" s="5"/>
      <c r="FMF191" s="5"/>
      <c r="FMG191" s="5"/>
      <c r="FMH191" s="5"/>
      <c r="FMI191" s="5"/>
      <c r="FMJ191" s="5"/>
      <c r="FMK191" s="5"/>
      <c r="FML191" s="5"/>
      <c r="FMM191" s="5"/>
      <c r="FMN191" s="5"/>
      <c r="FMO191" s="5"/>
      <c r="FMP191" s="5"/>
      <c r="FMQ191" s="5"/>
      <c r="FMR191" s="5"/>
      <c r="FMS191" s="5"/>
      <c r="FMT191" s="5"/>
      <c r="FMU191" s="5"/>
      <c r="FMV191" s="5"/>
      <c r="FMW191" s="5"/>
      <c r="FMX191" s="5"/>
      <c r="FMY191" s="5"/>
      <c r="FMZ191" s="5"/>
      <c r="FNA191" s="5"/>
      <c r="FNB191" s="5"/>
      <c r="FNC191" s="5"/>
      <c r="FND191" s="5"/>
      <c r="FNE191" s="5"/>
      <c r="FNF191" s="5"/>
      <c r="FNG191" s="5"/>
      <c r="FNH191" s="5"/>
      <c r="FNI191" s="5"/>
      <c r="FNJ191" s="5"/>
      <c r="FNK191" s="5"/>
      <c r="FNL191" s="5"/>
      <c r="FNM191" s="5"/>
      <c r="FNN191" s="5"/>
      <c r="FNO191" s="5"/>
      <c r="FNP191" s="5"/>
      <c r="FNQ191" s="5"/>
      <c r="FNR191" s="5"/>
      <c r="FNS191" s="5"/>
      <c r="FNT191" s="5"/>
      <c r="FNU191" s="5"/>
      <c r="FNV191" s="5"/>
      <c r="FNW191" s="5"/>
      <c r="FNX191" s="5"/>
      <c r="FNY191" s="5"/>
      <c r="FNZ191" s="5"/>
      <c r="FOA191" s="5"/>
      <c r="FOB191" s="5"/>
      <c r="FOC191" s="5"/>
      <c r="FOD191" s="5"/>
      <c r="FOE191" s="5"/>
      <c r="FOF191" s="5"/>
      <c r="FOG191" s="5"/>
      <c r="FOH191" s="5"/>
      <c r="FOI191" s="5"/>
      <c r="FOJ191" s="5"/>
      <c r="FOK191" s="5"/>
      <c r="FOL191" s="5"/>
      <c r="FOM191" s="5"/>
      <c r="FON191" s="5"/>
      <c r="FOO191" s="5"/>
      <c r="FOP191" s="5"/>
      <c r="FOQ191" s="5"/>
      <c r="FOR191" s="5"/>
      <c r="FOS191" s="5"/>
      <c r="FOT191" s="5"/>
      <c r="FOU191" s="5"/>
      <c r="FOV191" s="5"/>
      <c r="FOW191" s="5"/>
      <c r="FOX191" s="5"/>
      <c r="FOY191" s="5"/>
      <c r="FOZ191" s="5"/>
      <c r="FPA191" s="5"/>
      <c r="FPB191" s="5"/>
      <c r="FPC191" s="5"/>
      <c r="FPD191" s="5"/>
      <c r="FPE191" s="5"/>
      <c r="FPF191" s="5"/>
      <c r="FPG191" s="5"/>
      <c r="FPH191" s="5"/>
      <c r="FPI191" s="5"/>
      <c r="FPJ191" s="5"/>
      <c r="FPK191" s="5"/>
      <c r="FPL191" s="5"/>
      <c r="FPM191" s="5"/>
      <c r="FPN191" s="5"/>
      <c r="FPO191" s="5"/>
      <c r="FPP191" s="5"/>
      <c r="FPQ191" s="5"/>
      <c r="FPR191" s="5"/>
      <c r="FPS191" s="5"/>
      <c r="FPT191" s="5"/>
      <c r="FPU191" s="5"/>
      <c r="FPV191" s="5"/>
      <c r="FPW191" s="5"/>
      <c r="FPX191" s="5"/>
      <c r="FPY191" s="5"/>
      <c r="FPZ191" s="5"/>
      <c r="FQA191" s="5"/>
      <c r="FQB191" s="5"/>
      <c r="FQC191" s="5"/>
      <c r="FQD191" s="5"/>
      <c r="FQE191" s="5"/>
      <c r="FQF191" s="5"/>
      <c r="FQG191" s="5"/>
      <c r="FQH191" s="5"/>
      <c r="FQI191" s="5"/>
      <c r="FQJ191" s="5"/>
      <c r="FQK191" s="5"/>
      <c r="FQL191" s="5"/>
      <c r="FQM191" s="5"/>
      <c r="FQN191" s="5"/>
      <c r="FQO191" s="5"/>
      <c r="FQP191" s="5"/>
      <c r="FQQ191" s="5"/>
      <c r="FQR191" s="5"/>
      <c r="FQS191" s="5"/>
      <c r="FQT191" s="5"/>
      <c r="FQU191" s="5"/>
      <c r="FQV191" s="5"/>
      <c r="FQW191" s="5"/>
      <c r="FQX191" s="5"/>
      <c r="FQY191" s="5"/>
      <c r="FQZ191" s="5"/>
      <c r="FRA191" s="5"/>
      <c r="FRB191" s="5"/>
      <c r="FRC191" s="5"/>
      <c r="FRD191" s="5"/>
      <c r="FRE191" s="5"/>
      <c r="FRF191" s="5"/>
      <c r="FRG191" s="5"/>
      <c r="FRH191" s="5"/>
      <c r="FRI191" s="5"/>
      <c r="FRJ191" s="5"/>
      <c r="FRK191" s="5"/>
      <c r="FRL191" s="5"/>
      <c r="FRM191" s="5"/>
      <c r="FRN191" s="5"/>
      <c r="FRO191" s="5"/>
      <c r="FRP191" s="5"/>
      <c r="FRQ191" s="5"/>
      <c r="FRR191" s="5"/>
      <c r="FRS191" s="5"/>
      <c r="FRT191" s="5"/>
      <c r="FRU191" s="5"/>
      <c r="FRV191" s="5"/>
      <c r="FRW191" s="5"/>
      <c r="FRX191" s="5"/>
      <c r="FRY191" s="5"/>
      <c r="FRZ191" s="5"/>
      <c r="FSA191" s="5"/>
      <c r="FSB191" s="5"/>
      <c r="FSC191" s="5"/>
      <c r="FSD191" s="5"/>
      <c r="FSE191" s="5"/>
      <c r="FSF191" s="5"/>
      <c r="FSG191" s="5"/>
      <c r="FSH191" s="5"/>
      <c r="FSI191" s="5"/>
      <c r="FSJ191" s="5"/>
      <c r="FSK191" s="5"/>
      <c r="FSL191" s="5"/>
      <c r="FSM191" s="5"/>
      <c r="FSN191" s="5"/>
      <c r="FSO191" s="5"/>
      <c r="FSP191" s="5"/>
      <c r="FSQ191" s="5"/>
      <c r="FSR191" s="5"/>
      <c r="FSS191" s="5"/>
      <c r="FST191" s="5"/>
      <c r="FSU191" s="5"/>
      <c r="FSV191" s="5"/>
      <c r="FSW191" s="5"/>
      <c r="FSX191" s="5"/>
      <c r="FSY191" s="5"/>
      <c r="FSZ191" s="5"/>
      <c r="FTA191" s="5"/>
      <c r="FTB191" s="5"/>
      <c r="FTC191" s="5"/>
      <c r="FTD191" s="5"/>
      <c r="FTE191" s="5"/>
      <c r="FTF191" s="5"/>
      <c r="FTG191" s="5"/>
      <c r="FTH191" s="5"/>
      <c r="FTI191" s="5"/>
      <c r="FTJ191" s="5"/>
      <c r="FTK191" s="5"/>
      <c r="FTL191" s="5"/>
      <c r="FTM191" s="5"/>
      <c r="FTN191" s="5"/>
      <c r="FTO191" s="5"/>
      <c r="FTP191" s="5"/>
      <c r="FTQ191" s="5"/>
      <c r="FTR191" s="5"/>
      <c r="FTS191" s="5"/>
      <c r="FTT191" s="5"/>
      <c r="FTU191" s="5"/>
      <c r="FTV191" s="5"/>
      <c r="FTW191" s="5"/>
      <c r="FTX191" s="5"/>
      <c r="FTY191" s="5"/>
      <c r="FTZ191" s="5"/>
      <c r="FUA191" s="5"/>
      <c r="FUB191" s="5"/>
      <c r="FUC191" s="5"/>
      <c r="FUD191" s="5"/>
      <c r="FUE191" s="5"/>
      <c r="FUF191" s="5"/>
      <c r="FUG191" s="5"/>
      <c r="FUH191" s="5"/>
      <c r="FUI191" s="5"/>
      <c r="FUJ191" s="5"/>
      <c r="FUK191" s="5"/>
      <c r="FUL191" s="5"/>
      <c r="FUM191" s="5"/>
      <c r="FUN191" s="5"/>
      <c r="FUO191" s="5"/>
      <c r="FUP191" s="5"/>
      <c r="FUQ191" s="5"/>
      <c r="FUR191" s="5"/>
      <c r="FUS191" s="5"/>
      <c r="FUT191" s="5"/>
      <c r="FUU191" s="5"/>
      <c r="FUV191" s="5"/>
      <c r="FUW191" s="5"/>
      <c r="FUX191" s="5"/>
      <c r="FUY191" s="5"/>
      <c r="FUZ191" s="5"/>
      <c r="FVA191" s="5"/>
      <c r="FVB191" s="5"/>
      <c r="FVC191" s="5"/>
      <c r="FVD191" s="5"/>
      <c r="FVE191" s="5"/>
      <c r="FVF191" s="5"/>
      <c r="FVG191" s="5"/>
      <c r="FVH191" s="5"/>
      <c r="FVI191" s="5"/>
      <c r="FVJ191" s="5"/>
      <c r="FVK191" s="5"/>
      <c r="FVL191" s="5"/>
      <c r="FVM191" s="5"/>
      <c r="FVN191" s="5"/>
      <c r="FVO191" s="5"/>
      <c r="FVP191" s="5"/>
      <c r="FVQ191" s="5"/>
      <c r="FVR191" s="5"/>
      <c r="FVS191" s="5"/>
      <c r="FVT191" s="5"/>
      <c r="FVU191" s="5"/>
      <c r="FVV191" s="5"/>
      <c r="FVW191" s="5"/>
      <c r="FVX191" s="5"/>
      <c r="FVY191" s="5"/>
      <c r="FVZ191" s="5"/>
      <c r="FWA191" s="5"/>
      <c r="FWB191" s="5"/>
      <c r="FWC191" s="5"/>
      <c r="FWD191" s="5"/>
      <c r="FWE191" s="5"/>
      <c r="FWF191" s="5"/>
      <c r="FWG191" s="5"/>
      <c r="FWH191" s="5"/>
      <c r="FWI191" s="5"/>
      <c r="FWJ191" s="5"/>
      <c r="FWK191" s="5"/>
      <c r="FWL191" s="5"/>
      <c r="FWM191" s="5"/>
      <c r="FWN191" s="5"/>
      <c r="FWO191" s="5"/>
      <c r="FWP191" s="5"/>
      <c r="FWQ191" s="5"/>
      <c r="FWR191" s="5"/>
      <c r="FWS191" s="5"/>
      <c r="FWT191" s="5"/>
      <c r="FWU191" s="5"/>
      <c r="FWV191" s="5"/>
      <c r="FWW191" s="5"/>
      <c r="FWX191" s="5"/>
      <c r="FWY191" s="5"/>
      <c r="FWZ191" s="5"/>
      <c r="FXA191" s="5"/>
      <c r="FXB191" s="5"/>
      <c r="FXC191" s="5"/>
      <c r="FXD191" s="5"/>
      <c r="FXE191" s="5"/>
      <c r="FXF191" s="5"/>
      <c r="FXG191" s="5"/>
      <c r="FXH191" s="5"/>
      <c r="FXI191" s="5"/>
      <c r="FXJ191" s="5"/>
      <c r="FXK191" s="5"/>
      <c r="FXL191" s="5"/>
      <c r="FXM191" s="5"/>
      <c r="FXN191" s="5"/>
      <c r="FXO191" s="5"/>
      <c r="FXP191" s="5"/>
      <c r="FXQ191" s="5"/>
      <c r="FXR191" s="5"/>
      <c r="FXS191" s="5"/>
      <c r="FXT191" s="5"/>
      <c r="FXU191" s="5"/>
      <c r="FXV191" s="5"/>
      <c r="FXW191" s="5"/>
      <c r="FXX191" s="5"/>
      <c r="FXY191" s="5"/>
      <c r="FXZ191" s="5"/>
      <c r="FYA191" s="5"/>
      <c r="FYB191" s="5"/>
      <c r="FYC191" s="5"/>
      <c r="FYD191" s="5"/>
      <c r="FYE191" s="5"/>
      <c r="FYF191" s="5"/>
      <c r="FYG191" s="5"/>
      <c r="FYH191" s="5"/>
      <c r="FYI191" s="5"/>
      <c r="FYJ191" s="5"/>
      <c r="FYK191" s="5"/>
      <c r="FYL191" s="5"/>
      <c r="FYM191" s="5"/>
      <c r="FYN191" s="5"/>
      <c r="FYO191" s="5"/>
      <c r="FYP191" s="5"/>
      <c r="FYQ191" s="5"/>
      <c r="FYR191" s="5"/>
      <c r="FYS191" s="5"/>
      <c r="FYT191" s="5"/>
      <c r="FYU191" s="5"/>
      <c r="FYV191" s="5"/>
      <c r="FYW191" s="5"/>
      <c r="FYX191" s="5"/>
      <c r="FYY191" s="5"/>
      <c r="FYZ191" s="5"/>
      <c r="FZA191" s="5"/>
      <c r="FZB191" s="5"/>
      <c r="FZC191" s="5"/>
      <c r="FZD191" s="5"/>
      <c r="FZE191" s="5"/>
      <c r="FZF191" s="5"/>
      <c r="FZG191" s="5"/>
      <c r="FZH191" s="5"/>
      <c r="FZI191" s="5"/>
      <c r="FZJ191" s="5"/>
      <c r="FZK191" s="5"/>
      <c r="FZL191" s="5"/>
      <c r="FZM191" s="5"/>
      <c r="FZN191" s="5"/>
      <c r="FZO191" s="5"/>
      <c r="FZP191" s="5"/>
      <c r="FZQ191" s="5"/>
      <c r="FZR191" s="5"/>
      <c r="FZS191" s="5"/>
      <c r="FZT191" s="5"/>
      <c r="FZU191" s="5"/>
      <c r="FZV191" s="5"/>
      <c r="FZW191" s="5"/>
      <c r="FZX191" s="5"/>
      <c r="FZY191" s="5"/>
      <c r="FZZ191" s="5"/>
      <c r="GAA191" s="5"/>
      <c r="GAB191" s="5"/>
      <c r="GAC191" s="5"/>
      <c r="GAD191" s="5"/>
      <c r="GAE191" s="5"/>
      <c r="GAF191" s="5"/>
      <c r="GAG191" s="5"/>
      <c r="GAH191" s="5"/>
      <c r="GAI191" s="5"/>
      <c r="GAJ191" s="5"/>
      <c r="GAK191" s="5"/>
      <c r="GAL191" s="5"/>
      <c r="GAM191" s="5"/>
      <c r="GAN191" s="5"/>
      <c r="GAO191" s="5"/>
      <c r="GAP191" s="5"/>
      <c r="GAQ191" s="5"/>
      <c r="GAR191" s="5"/>
      <c r="GAS191" s="5"/>
      <c r="GAT191" s="5"/>
      <c r="GAU191" s="5"/>
      <c r="GAV191" s="5"/>
      <c r="GAW191" s="5"/>
      <c r="GAX191" s="5"/>
      <c r="GAY191" s="5"/>
      <c r="GAZ191" s="5"/>
      <c r="GBA191" s="5"/>
      <c r="GBB191" s="5"/>
      <c r="GBC191" s="5"/>
      <c r="GBD191" s="5"/>
      <c r="GBE191" s="5"/>
      <c r="GBF191" s="5"/>
      <c r="GBG191" s="5"/>
      <c r="GBH191" s="5"/>
      <c r="GBI191" s="5"/>
      <c r="GBJ191" s="5"/>
      <c r="GBK191" s="5"/>
      <c r="GBL191" s="5"/>
      <c r="GBM191" s="5"/>
      <c r="GBN191" s="5"/>
      <c r="GBO191" s="5"/>
      <c r="GBP191" s="5"/>
      <c r="GBQ191" s="5"/>
      <c r="GBR191" s="5"/>
      <c r="GBS191" s="5"/>
      <c r="GBT191" s="5"/>
      <c r="GBU191" s="5"/>
      <c r="GBV191" s="5"/>
      <c r="GBW191" s="5"/>
      <c r="GBX191" s="5"/>
      <c r="GBY191" s="5"/>
      <c r="GBZ191" s="5"/>
      <c r="GCA191" s="5"/>
      <c r="GCB191" s="5"/>
      <c r="GCC191" s="5"/>
      <c r="GCD191" s="5"/>
      <c r="GCE191" s="5"/>
      <c r="GCF191" s="5"/>
      <c r="GCG191" s="5"/>
      <c r="GCH191" s="5"/>
      <c r="GCI191" s="5"/>
      <c r="GCJ191" s="5"/>
      <c r="GCK191" s="5"/>
      <c r="GCL191" s="5"/>
      <c r="GCM191" s="5"/>
      <c r="GCN191" s="5"/>
      <c r="GCO191" s="5"/>
      <c r="GCP191" s="5"/>
      <c r="GCQ191" s="5"/>
      <c r="GCR191" s="5"/>
      <c r="GCS191" s="5"/>
      <c r="GCT191" s="5"/>
      <c r="GCU191" s="5"/>
      <c r="GCV191" s="5"/>
      <c r="GCW191" s="5"/>
      <c r="GCX191" s="5"/>
      <c r="GCY191" s="5"/>
      <c r="GCZ191" s="5"/>
      <c r="GDA191" s="5"/>
      <c r="GDB191" s="5"/>
      <c r="GDC191" s="5"/>
      <c r="GDD191" s="5"/>
      <c r="GDE191" s="5"/>
      <c r="GDF191" s="5"/>
      <c r="GDG191" s="5"/>
      <c r="GDH191" s="5"/>
      <c r="GDI191" s="5"/>
      <c r="GDJ191" s="5"/>
      <c r="GDK191" s="5"/>
      <c r="GDL191" s="5"/>
      <c r="GDM191" s="5"/>
      <c r="GDN191" s="5"/>
      <c r="GDO191" s="5"/>
      <c r="GDP191" s="5"/>
      <c r="GDQ191" s="5"/>
      <c r="GDR191" s="5"/>
      <c r="GDS191" s="5"/>
      <c r="GDT191" s="5"/>
      <c r="GDU191" s="5"/>
      <c r="GDV191" s="5"/>
      <c r="GDW191" s="5"/>
      <c r="GDX191" s="5"/>
      <c r="GDY191" s="5"/>
      <c r="GDZ191" s="5"/>
      <c r="GEA191" s="5"/>
      <c r="GEB191" s="5"/>
      <c r="GEC191" s="5"/>
      <c r="GED191" s="5"/>
      <c r="GEE191" s="5"/>
      <c r="GEF191" s="5"/>
      <c r="GEG191" s="5"/>
      <c r="GEH191" s="5"/>
      <c r="GEI191" s="5"/>
      <c r="GEJ191" s="5"/>
      <c r="GEK191" s="5"/>
      <c r="GEL191" s="5"/>
      <c r="GEM191" s="5"/>
      <c r="GEN191" s="5"/>
      <c r="GEO191" s="5"/>
      <c r="GEP191" s="5"/>
      <c r="GEQ191" s="5"/>
      <c r="GER191" s="5"/>
      <c r="GES191" s="5"/>
      <c r="GET191" s="5"/>
      <c r="GEU191" s="5"/>
      <c r="GEV191" s="5"/>
      <c r="GEW191" s="5"/>
      <c r="GEX191" s="5"/>
      <c r="GEY191" s="5"/>
      <c r="GEZ191" s="5"/>
      <c r="GFA191" s="5"/>
      <c r="GFB191" s="5"/>
      <c r="GFC191" s="5"/>
      <c r="GFD191" s="5"/>
      <c r="GFE191" s="5"/>
      <c r="GFF191" s="5"/>
      <c r="GFG191" s="5"/>
      <c r="GFH191" s="5"/>
      <c r="GFI191" s="5"/>
      <c r="GFJ191" s="5"/>
      <c r="GFK191" s="5"/>
      <c r="GFL191" s="5"/>
      <c r="GFM191" s="5"/>
      <c r="GFN191" s="5"/>
      <c r="GFO191" s="5"/>
      <c r="GFP191" s="5"/>
      <c r="GFQ191" s="5"/>
      <c r="GFR191" s="5"/>
      <c r="GFS191" s="5"/>
      <c r="GFT191" s="5"/>
      <c r="GFU191" s="5"/>
      <c r="GFV191" s="5"/>
      <c r="GFW191" s="5"/>
      <c r="GFX191" s="5"/>
      <c r="GFY191" s="5"/>
      <c r="GFZ191" s="5"/>
      <c r="GGA191" s="5"/>
      <c r="GGB191" s="5"/>
      <c r="GGC191" s="5"/>
      <c r="GGD191" s="5"/>
      <c r="GGE191" s="5"/>
      <c r="GGF191" s="5"/>
      <c r="GGG191" s="5"/>
      <c r="GGH191" s="5"/>
      <c r="GGI191" s="5"/>
      <c r="GGJ191" s="5"/>
      <c r="GGK191" s="5"/>
      <c r="GGL191" s="5"/>
      <c r="GGM191" s="5"/>
      <c r="GGN191" s="5"/>
      <c r="GGO191" s="5"/>
      <c r="GGP191" s="5"/>
      <c r="GGQ191" s="5"/>
      <c r="GGR191" s="5"/>
      <c r="GGS191" s="5"/>
      <c r="GGT191" s="5"/>
      <c r="GGU191" s="5"/>
      <c r="GGV191" s="5"/>
      <c r="GGW191" s="5"/>
      <c r="GGX191" s="5"/>
      <c r="GGY191" s="5"/>
      <c r="GGZ191" s="5"/>
      <c r="GHA191" s="5"/>
      <c r="GHB191" s="5"/>
      <c r="GHC191" s="5"/>
      <c r="GHD191" s="5"/>
      <c r="GHE191" s="5"/>
      <c r="GHF191" s="5"/>
      <c r="GHG191" s="5"/>
      <c r="GHH191" s="5"/>
      <c r="GHI191" s="5"/>
      <c r="GHJ191" s="5"/>
      <c r="GHK191" s="5"/>
      <c r="GHL191" s="5"/>
      <c r="GHM191" s="5"/>
      <c r="GHN191" s="5"/>
      <c r="GHO191" s="5"/>
      <c r="GHP191" s="5"/>
      <c r="GHQ191" s="5"/>
      <c r="GHR191" s="5"/>
      <c r="GHS191" s="5"/>
      <c r="GHT191" s="5"/>
      <c r="GHU191" s="5"/>
      <c r="GHV191" s="5"/>
      <c r="GHW191" s="5"/>
      <c r="GHX191" s="5"/>
      <c r="GHY191" s="5"/>
      <c r="GHZ191" s="5"/>
      <c r="GIA191" s="5"/>
      <c r="GIB191" s="5"/>
      <c r="GIC191" s="5"/>
      <c r="GID191" s="5"/>
      <c r="GIE191" s="5"/>
      <c r="GIF191" s="5"/>
      <c r="GIG191" s="5"/>
      <c r="GIH191" s="5"/>
      <c r="GII191" s="5"/>
      <c r="GIJ191" s="5"/>
      <c r="GIK191" s="5"/>
      <c r="GIL191" s="5"/>
      <c r="GIM191" s="5"/>
      <c r="GIN191" s="5"/>
      <c r="GIO191" s="5"/>
      <c r="GIP191" s="5"/>
      <c r="GIQ191" s="5"/>
      <c r="GIR191" s="5"/>
      <c r="GIS191" s="5"/>
      <c r="GIT191" s="5"/>
      <c r="GIU191" s="5"/>
      <c r="GIV191" s="5"/>
      <c r="GIW191" s="5"/>
      <c r="GIX191" s="5"/>
      <c r="GIY191" s="5"/>
      <c r="GIZ191" s="5"/>
      <c r="GJA191" s="5"/>
      <c r="GJB191" s="5"/>
      <c r="GJC191" s="5"/>
      <c r="GJD191" s="5"/>
      <c r="GJE191" s="5"/>
      <c r="GJF191" s="5"/>
      <c r="GJG191" s="5"/>
      <c r="GJH191" s="5"/>
      <c r="GJI191" s="5"/>
      <c r="GJJ191" s="5"/>
      <c r="GJK191" s="5"/>
      <c r="GJL191" s="5"/>
      <c r="GJM191" s="5"/>
      <c r="GJN191" s="5"/>
      <c r="GJO191" s="5"/>
      <c r="GJP191" s="5"/>
      <c r="GJQ191" s="5"/>
      <c r="GJR191" s="5"/>
      <c r="GJS191" s="5"/>
      <c r="GJT191" s="5"/>
      <c r="GJU191" s="5"/>
      <c r="GJV191" s="5"/>
      <c r="GJW191" s="5"/>
      <c r="GJX191" s="5"/>
      <c r="GJY191" s="5"/>
      <c r="GJZ191" s="5"/>
      <c r="GKA191" s="5"/>
      <c r="GKB191" s="5"/>
      <c r="GKC191" s="5"/>
      <c r="GKD191" s="5"/>
      <c r="GKE191" s="5"/>
      <c r="GKF191" s="5"/>
      <c r="GKG191" s="5"/>
      <c r="GKH191" s="5"/>
      <c r="GKI191" s="5"/>
      <c r="GKJ191" s="5"/>
      <c r="GKK191" s="5"/>
      <c r="GKL191" s="5"/>
      <c r="GKM191" s="5"/>
      <c r="GKN191" s="5"/>
      <c r="GKO191" s="5"/>
      <c r="GKP191" s="5"/>
      <c r="GKQ191" s="5"/>
      <c r="GKR191" s="5"/>
      <c r="GKS191" s="5"/>
      <c r="GKT191" s="5"/>
      <c r="GKU191" s="5"/>
      <c r="GKV191" s="5"/>
      <c r="GKW191" s="5"/>
      <c r="GKX191" s="5"/>
      <c r="GKY191" s="5"/>
      <c r="GKZ191" s="5"/>
      <c r="GLA191" s="5"/>
      <c r="GLB191" s="5"/>
      <c r="GLC191" s="5"/>
      <c r="GLD191" s="5"/>
      <c r="GLE191" s="5"/>
      <c r="GLF191" s="5"/>
      <c r="GLG191" s="5"/>
      <c r="GLH191" s="5"/>
      <c r="GLI191" s="5"/>
      <c r="GLJ191" s="5"/>
      <c r="GLK191" s="5"/>
      <c r="GLL191" s="5"/>
      <c r="GLM191" s="5"/>
      <c r="GLN191" s="5"/>
      <c r="GLO191" s="5"/>
      <c r="GLP191" s="5"/>
      <c r="GLQ191" s="5"/>
      <c r="GLR191" s="5"/>
      <c r="GLS191" s="5"/>
      <c r="GLT191" s="5"/>
      <c r="GLU191" s="5"/>
      <c r="GLV191" s="5"/>
      <c r="GLW191" s="5"/>
      <c r="GLX191" s="5"/>
      <c r="GLY191" s="5"/>
      <c r="GLZ191" s="5"/>
      <c r="GMA191" s="5"/>
      <c r="GMB191" s="5"/>
      <c r="GMC191" s="5"/>
      <c r="GMD191" s="5"/>
      <c r="GME191" s="5"/>
      <c r="GMF191" s="5"/>
      <c r="GMG191" s="5"/>
      <c r="GMH191" s="5"/>
      <c r="GMI191" s="5"/>
      <c r="GMJ191" s="5"/>
      <c r="GMK191" s="5"/>
      <c r="GML191" s="5"/>
      <c r="GMM191" s="5"/>
      <c r="GMN191" s="5"/>
      <c r="GMO191" s="5"/>
      <c r="GMP191" s="5"/>
      <c r="GMQ191" s="5"/>
      <c r="GMR191" s="5"/>
      <c r="GMS191" s="5"/>
      <c r="GMT191" s="5"/>
      <c r="GMU191" s="5"/>
      <c r="GMV191" s="5"/>
      <c r="GMW191" s="5"/>
      <c r="GMX191" s="5"/>
      <c r="GMY191" s="5"/>
      <c r="GMZ191" s="5"/>
      <c r="GNA191" s="5"/>
      <c r="GNB191" s="5"/>
      <c r="GNC191" s="5"/>
      <c r="GND191" s="5"/>
      <c r="GNE191" s="5"/>
      <c r="GNF191" s="5"/>
      <c r="GNG191" s="5"/>
      <c r="GNH191" s="5"/>
      <c r="GNI191" s="5"/>
      <c r="GNJ191" s="5"/>
      <c r="GNK191" s="5"/>
      <c r="GNL191" s="5"/>
      <c r="GNM191" s="5"/>
      <c r="GNN191" s="5"/>
      <c r="GNO191" s="5"/>
      <c r="GNP191" s="5"/>
      <c r="GNQ191" s="5"/>
      <c r="GNR191" s="5"/>
      <c r="GNS191" s="5"/>
      <c r="GNT191" s="5"/>
      <c r="GNU191" s="5"/>
      <c r="GNV191" s="5"/>
      <c r="GNW191" s="5"/>
      <c r="GNX191" s="5"/>
      <c r="GNY191" s="5"/>
      <c r="GNZ191" s="5"/>
      <c r="GOA191" s="5"/>
      <c r="GOB191" s="5"/>
      <c r="GOC191" s="5"/>
      <c r="GOD191" s="5"/>
      <c r="GOE191" s="5"/>
      <c r="GOF191" s="5"/>
      <c r="GOG191" s="5"/>
      <c r="GOH191" s="5"/>
      <c r="GOI191" s="5"/>
      <c r="GOJ191" s="5"/>
      <c r="GOK191" s="5"/>
      <c r="GOL191" s="5"/>
      <c r="GOM191" s="5"/>
      <c r="GON191" s="5"/>
      <c r="GOO191" s="5"/>
      <c r="GOP191" s="5"/>
      <c r="GOQ191" s="5"/>
      <c r="GOR191" s="5"/>
      <c r="GOS191" s="5"/>
      <c r="GOT191" s="5"/>
      <c r="GOU191" s="5"/>
      <c r="GOV191" s="5"/>
      <c r="GOW191" s="5"/>
      <c r="GOX191" s="5"/>
      <c r="GOY191" s="5"/>
      <c r="GOZ191" s="5"/>
      <c r="GPA191" s="5"/>
      <c r="GPB191" s="5"/>
      <c r="GPC191" s="5"/>
      <c r="GPD191" s="5"/>
      <c r="GPE191" s="5"/>
      <c r="GPF191" s="5"/>
      <c r="GPG191" s="5"/>
      <c r="GPH191" s="5"/>
      <c r="GPI191" s="5"/>
      <c r="GPJ191" s="5"/>
      <c r="GPK191" s="5"/>
      <c r="GPL191" s="5"/>
      <c r="GPM191" s="5"/>
      <c r="GPN191" s="5"/>
      <c r="GPO191" s="5"/>
      <c r="GPP191" s="5"/>
      <c r="GPQ191" s="5"/>
      <c r="GPR191" s="5"/>
      <c r="GPS191" s="5"/>
      <c r="GPT191" s="5"/>
      <c r="GPU191" s="5"/>
      <c r="GPV191" s="5"/>
      <c r="GPW191" s="5"/>
      <c r="GPX191" s="5"/>
      <c r="GPY191" s="5"/>
      <c r="GPZ191" s="5"/>
      <c r="GQA191" s="5"/>
      <c r="GQB191" s="5"/>
      <c r="GQC191" s="5"/>
      <c r="GQD191" s="5"/>
      <c r="GQE191" s="5"/>
      <c r="GQF191" s="5"/>
      <c r="GQG191" s="5"/>
      <c r="GQH191" s="5"/>
      <c r="GQI191" s="5"/>
      <c r="GQJ191" s="5"/>
      <c r="GQK191" s="5"/>
      <c r="GQL191" s="5"/>
      <c r="GQM191" s="5"/>
      <c r="GQN191" s="5"/>
      <c r="GQO191" s="5"/>
      <c r="GQP191" s="5"/>
      <c r="GQQ191" s="5"/>
      <c r="GQR191" s="5"/>
      <c r="GQS191" s="5"/>
      <c r="GQT191" s="5"/>
      <c r="GQU191" s="5"/>
      <c r="GQV191" s="5"/>
      <c r="GQW191" s="5"/>
      <c r="GQX191" s="5"/>
      <c r="GQY191" s="5"/>
      <c r="GQZ191" s="5"/>
      <c r="GRA191" s="5"/>
      <c r="GRB191" s="5"/>
      <c r="GRC191" s="5"/>
      <c r="GRD191" s="5"/>
      <c r="GRE191" s="5"/>
      <c r="GRF191" s="5"/>
      <c r="GRG191" s="5"/>
      <c r="GRH191" s="5"/>
      <c r="GRI191" s="5"/>
      <c r="GRJ191" s="5"/>
      <c r="GRK191" s="5"/>
      <c r="GRL191" s="5"/>
      <c r="GRM191" s="5"/>
      <c r="GRN191" s="5"/>
      <c r="GRO191" s="5"/>
      <c r="GRP191" s="5"/>
      <c r="GRQ191" s="5"/>
      <c r="GRR191" s="5"/>
      <c r="GRS191" s="5"/>
      <c r="GRT191" s="5"/>
      <c r="GRU191" s="5"/>
      <c r="GRV191" s="5"/>
      <c r="GRW191" s="5"/>
      <c r="GRX191" s="5"/>
      <c r="GRY191" s="5"/>
      <c r="GRZ191" s="5"/>
      <c r="GSA191" s="5"/>
      <c r="GSB191" s="5"/>
      <c r="GSC191" s="5"/>
      <c r="GSD191" s="5"/>
      <c r="GSE191" s="5"/>
      <c r="GSF191" s="5"/>
      <c r="GSG191" s="5"/>
      <c r="GSH191" s="5"/>
      <c r="GSI191" s="5"/>
      <c r="GSJ191" s="5"/>
      <c r="GSK191" s="5"/>
      <c r="GSL191" s="5"/>
      <c r="GSM191" s="5"/>
      <c r="GSN191" s="5"/>
      <c r="GSO191" s="5"/>
      <c r="GSP191" s="5"/>
      <c r="GSQ191" s="5"/>
      <c r="GSR191" s="5"/>
      <c r="GSS191" s="5"/>
      <c r="GST191" s="5"/>
      <c r="GSU191" s="5"/>
      <c r="GSV191" s="5"/>
      <c r="GSW191" s="5"/>
      <c r="GSX191" s="5"/>
      <c r="GSY191" s="5"/>
      <c r="GSZ191" s="5"/>
      <c r="GTA191" s="5"/>
      <c r="GTB191" s="5"/>
      <c r="GTC191" s="5"/>
      <c r="GTD191" s="5"/>
      <c r="GTE191" s="5"/>
      <c r="GTF191" s="5"/>
      <c r="GTG191" s="5"/>
      <c r="GTH191" s="5"/>
      <c r="GTI191" s="5"/>
      <c r="GTJ191" s="5"/>
      <c r="GTK191" s="5"/>
      <c r="GTL191" s="5"/>
      <c r="GTM191" s="5"/>
      <c r="GTN191" s="5"/>
      <c r="GTO191" s="5"/>
      <c r="GTP191" s="5"/>
      <c r="GTQ191" s="5"/>
      <c r="GTR191" s="5"/>
      <c r="GTS191" s="5"/>
      <c r="GTT191" s="5"/>
      <c r="GTU191" s="5"/>
      <c r="GTV191" s="5"/>
      <c r="GTW191" s="5"/>
      <c r="GTX191" s="5"/>
      <c r="GTY191" s="5"/>
      <c r="GTZ191" s="5"/>
      <c r="GUA191" s="5"/>
      <c r="GUB191" s="5"/>
      <c r="GUC191" s="5"/>
      <c r="GUD191" s="5"/>
      <c r="GUE191" s="5"/>
      <c r="GUF191" s="5"/>
      <c r="GUG191" s="5"/>
      <c r="GUH191" s="5"/>
      <c r="GUI191" s="5"/>
      <c r="GUJ191" s="5"/>
      <c r="GUK191" s="5"/>
      <c r="GUL191" s="5"/>
      <c r="GUM191" s="5"/>
      <c r="GUN191" s="5"/>
      <c r="GUO191" s="5"/>
      <c r="GUP191" s="5"/>
      <c r="GUQ191" s="5"/>
      <c r="GUR191" s="5"/>
      <c r="GUS191" s="5"/>
      <c r="GUT191" s="5"/>
      <c r="GUU191" s="5"/>
      <c r="GUV191" s="5"/>
      <c r="GUW191" s="5"/>
      <c r="GUX191" s="5"/>
      <c r="GUY191" s="5"/>
      <c r="GUZ191" s="5"/>
      <c r="GVA191" s="5"/>
      <c r="GVB191" s="5"/>
      <c r="GVC191" s="5"/>
      <c r="GVD191" s="5"/>
      <c r="GVE191" s="5"/>
      <c r="GVF191" s="5"/>
      <c r="GVG191" s="5"/>
      <c r="GVH191" s="5"/>
      <c r="GVI191" s="5"/>
      <c r="GVJ191" s="5"/>
      <c r="GVK191" s="5"/>
      <c r="GVL191" s="5"/>
      <c r="GVM191" s="5"/>
      <c r="GVN191" s="5"/>
      <c r="GVO191" s="5"/>
      <c r="GVP191" s="5"/>
      <c r="GVQ191" s="5"/>
      <c r="GVR191" s="5"/>
      <c r="GVS191" s="5"/>
      <c r="GVT191" s="5"/>
      <c r="GVU191" s="5"/>
      <c r="GVV191" s="5"/>
      <c r="GVW191" s="5"/>
      <c r="GVX191" s="5"/>
      <c r="GVY191" s="5"/>
      <c r="GVZ191" s="5"/>
      <c r="GWA191" s="5"/>
      <c r="GWB191" s="5"/>
      <c r="GWC191" s="5"/>
      <c r="GWD191" s="5"/>
      <c r="GWE191" s="5"/>
      <c r="GWF191" s="5"/>
      <c r="GWG191" s="5"/>
      <c r="GWH191" s="5"/>
      <c r="GWI191" s="5"/>
      <c r="GWJ191" s="5"/>
      <c r="GWK191" s="5"/>
      <c r="GWL191" s="5"/>
      <c r="GWM191" s="5"/>
      <c r="GWN191" s="5"/>
      <c r="GWO191" s="5"/>
      <c r="GWP191" s="5"/>
      <c r="GWQ191" s="5"/>
      <c r="GWR191" s="5"/>
      <c r="GWS191" s="5"/>
      <c r="GWT191" s="5"/>
      <c r="GWU191" s="5"/>
      <c r="GWV191" s="5"/>
      <c r="GWW191" s="5"/>
      <c r="GWX191" s="5"/>
      <c r="GWY191" s="5"/>
      <c r="GWZ191" s="5"/>
      <c r="GXA191" s="5"/>
      <c r="GXB191" s="5"/>
      <c r="GXC191" s="5"/>
      <c r="GXD191" s="5"/>
      <c r="GXE191" s="5"/>
      <c r="GXF191" s="5"/>
      <c r="GXG191" s="5"/>
      <c r="GXH191" s="5"/>
      <c r="GXI191" s="5"/>
      <c r="GXJ191" s="5"/>
      <c r="GXK191" s="5"/>
      <c r="GXL191" s="5"/>
      <c r="GXM191" s="5"/>
      <c r="GXN191" s="5"/>
      <c r="GXO191" s="5"/>
      <c r="GXP191" s="5"/>
      <c r="GXQ191" s="5"/>
      <c r="GXR191" s="5"/>
      <c r="GXS191" s="5"/>
      <c r="GXT191" s="5"/>
      <c r="GXU191" s="5"/>
      <c r="GXV191" s="5"/>
      <c r="GXW191" s="5"/>
      <c r="GXX191" s="5"/>
      <c r="GXY191" s="5"/>
      <c r="GXZ191" s="5"/>
      <c r="GYA191" s="5"/>
      <c r="GYB191" s="5"/>
      <c r="GYC191" s="5"/>
      <c r="GYD191" s="5"/>
      <c r="GYE191" s="5"/>
      <c r="GYF191" s="5"/>
      <c r="GYG191" s="5"/>
      <c r="GYH191" s="5"/>
      <c r="GYI191" s="5"/>
      <c r="GYJ191" s="5"/>
      <c r="GYK191" s="5"/>
      <c r="GYL191" s="5"/>
      <c r="GYM191" s="5"/>
      <c r="GYN191" s="5"/>
      <c r="GYO191" s="5"/>
      <c r="GYP191" s="5"/>
      <c r="GYQ191" s="5"/>
      <c r="GYR191" s="5"/>
      <c r="GYS191" s="5"/>
      <c r="GYT191" s="5"/>
      <c r="GYU191" s="5"/>
      <c r="GYV191" s="5"/>
      <c r="GYW191" s="5"/>
      <c r="GYX191" s="5"/>
      <c r="GYY191" s="5"/>
      <c r="GYZ191" s="5"/>
      <c r="GZA191" s="5"/>
      <c r="GZB191" s="5"/>
      <c r="GZC191" s="5"/>
      <c r="GZD191" s="5"/>
      <c r="GZE191" s="5"/>
      <c r="GZF191" s="5"/>
      <c r="GZG191" s="5"/>
      <c r="GZH191" s="5"/>
      <c r="GZI191" s="5"/>
      <c r="GZJ191" s="5"/>
      <c r="GZK191" s="5"/>
      <c r="GZL191" s="5"/>
      <c r="GZM191" s="5"/>
      <c r="GZN191" s="5"/>
      <c r="GZO191" s="5"/>
      <c r="GZP191" s="5"/>
      <c r="GZQ191" s="5"/>
      <c r="GZR191" s="5"/>
      <c r="GZS191" s="5"/>
      <c r="GZT191" s="5"/>
      <c r="GZU191" s="5"/>
      <c r="GZV191" s="5"/>
      <c r="GZW191" s="5"/>
      <c r="GZX191" s="5"/>
      <c r="GZY191" s="5"/>
      <c r="GZZ191" s="5"/>
      <c r="HAA191" s="5"/>
      <c r="HAB191" s="5"/>
      <c r="HAC191" s="5"/>
      <c r="HAD191" s="5"/>
      <c r="HAE191" s="5"/>
      <c r="HAF191" s="5"/>
      <c r="HAG191" s="5"/>
      <c r="HAH191" s="5"/>
      <c r="HAI191" s="5"/>
      <c r="HAJ191" s="5"/>
      <c r="HAK191" s="5"/>
      <c r="HAL191" s="5"/>
      <c r="HAM191" s="5"/>
      <c r="HAN191" s="5"/>
      <c r="HAO191" s="5"/>
      <c r="HAP191" s="5"/>
      <c r="HAQ191" s="5"/>
      <c r="HAR191" s="5"/>
      <c r="HAS191" s="5"/>
      <c r="HAT191" s="5"/>
      <c r="HAU191" s="5"/>
      <c r="HAV191" s="5"/>
      <c r="HAW191" s="5"/>
      <c r="HAX191" s="5"/>
      <c r="HAY191" s="5"/>
      <c r="HAZ191" s="5"/>
      <c r="HBA191" s="5"/>
      <c r="HBB191" s="5"/>
      <c r="HBC191" s="5"/>
      <c r="HBD191" s="5"/>
      <c r="HBE191" s="5"/>
      <c r="HBF191" s="5"/>
      <c r="HBG191" s="5"/>
      <c r="HBH191" s="5"/>
      <c r="HBI191" s="5"/>
      <c r="HBJ191" s="5"/>
      <c r="HBK191" s="5"/>
      <c r="HBL191" s="5"/>
      <c r="HBM191" s="5"/>
      <c r="HBN191" s="5"/>
      <c r="HBO191" s="5"/>
      <c r="HBP191" s="5"/>
      <c r="HBQ191" s="5"/>
      <c r="HBR191" s="5"/>
      <c r="HBS191" s="5"/>
      <c r="HBT191" s="5"/>
      <c r="HBU191" s="5"/>
      <c r="HBV191" s="5"/>
      <c r="HBW191" s="5"/>
      <c r="HBX191" s="5"/>
      <c r="HBY191" s="5"/>
      <c r="HBZ191" s="5"/>
      <c r="HCA191" s="5"/>
      <c r="HCB191" s="5"/>
      <c r="HCC191" s="5"/>
      <c r="HCD191" s="5"/>
      <c r="HCE191" s="5"/>
      <c r="HCF191" s="5"/>
      <c r="HCG191" s="5"/>
      <c r="HCH191" s="5"/>
      <c r="HCI191" s="5"/>
      <c r="HCJ191" s="5"/>
      <c r="HCK191" s="5"/>
      <c r="HCL191" s="5"/>
      <c r="HCM191" s="5"/>
      <c r="HCN191" s="5"/>
      <c r="HCO191" s="5"/>
      <c r="HCP191" s="5"/>
      <c r="HCQ191" s="5"/>
      <c r="HCR191" s="5"/>
      <c r="HCS191" s="5"/>
      <c r="HCT191" s="5"/>
      <c r="HCU191" s="5"/>
      <c r="HCV191" s="5"/>
      <c r="HCW191" s="5"/>
      <c r="HCX191" s="5"/>
      <c r="HCY191" s="5"/>
      <c r="HCZ191" s="5"/>
      <c r="HDA191" s="5"/>
      <c r="HDB191" s="5"/>
      <c r="HDC191" s="5"/>
      <c r="HDD191" s="5"/>
      <c r="HDE191" s="5"/>
      <c r="HDF191" s="5"/>
      <c r="HDG191" s="5"/>
      <c r="HDH191" s="5"/>
      <c r="HDI191" s="5"/>
      <c r="HDJ191" s="5"/>
      <c r="HDK191" s="5"/>
      <c r="HDL191" s="5"/>
      <c r="HDM191" s="5"/>
      <c r="HDN191" s="5"/>
      <c r="HDO191" s="5"/>
      <c r="HDP191" s="5"/>
      <c r="HDQ191" s="5"/>
      <c r="HDR191" s="5"/>
      <c r="HDS191" s="5"/>
      <c r="HDT191" s="5"/>
      <c r="HDU191" s="5"/>
      <c r="HDV191" s="5"/>
      <c r="HDW191" s="5"/>
      <c r="HDX191" s="5"/>
      <c r="HDY191" s="5"/>
      <c r="HDZ191" s="5"/>
      <c r="HEA191" s="5"/>
      <c r="HEB191" s="5"/>
      <c r="HEC191" s="5"/>
      <c r="HED191" s="5"/>
      <c r="HEE191" s="5"/>
      <c r="HEF191" s="5"/>
      <c r="HEG191" s="5"/>
      <c r="HEH191" s="5"/>
      <c r="HEI191" s="5"/>
      <c r="HEJ191" s="5"/>
      <c r="HEK191" s="5"/>
      <c r="HEL191" s="5"/>
      <c r="HEM191" s="5"/>
      <c r="HEN191" s="5"/>
      <c r="HEO191" s="5"/>
      <c r="HEP191" s="5"/>
      <c r="HEQ191" s="5"/>
      <c r="HER191" s="5"/>
      <c r="HES191" s="5"/>
      <c r="HET191" s="5"/>
      <c r="HEU191" s="5"/>
      <c r="HEV191" s="5"/>
      <c r="HEW191" s="5"/>
      <c r="HEX191" s="5"/>
      <c r="HEY191" s="5"/>
      <c r="HEZ191" s="5"/>
      <c r="HFA191" s="5"/>
      <c r="HFB191" s="5"/>
      <c r="HFC191" s="5"/>
      <c r="HFD191" s="5"/>
      <c r="HFE191" s="5"/>
      <c r="HFF191" s="5"/>
      <c r="HFG191" s="5"/>
      <c r="HFH191" s="5"/>
      <c r="HFI191" s="5"/>
      <c r="HFJ191" s="5"/>
      <c r="HFK191" s="5"/>
      <c r="HFL191" s="5"/>
      <c r="HFM191" s="5"/>
      <c r="HFN191" s="5"/>
      <c r="HFO191" s="5"/>
      <c r="HFP191" s="5"/>
      <c r="HFQ191" s="5"/>
      <c r="HFR191" s="5"/>
      <c r="HFS191" s="5"/>
      <c r="HFT191" s="5"/>
      <c r="HFU191" s="5"/>
      <c r="HFV191" s="5"/>
      <c r="HFW191" s="5"/>
      <c r="HFX191" s="5"/>
      <c r="HFY191" s="5"/>
      <c r="HFZ191" s="5"/>
      <c r="HGA191" s="5"/>
      <c r="HGB191" s="5"/>
      <c r="HGC191" s="5"/>
      <c r="HGD191" s="5"/>
      <c r="HGE191" s="5"/>
      <c r="HGF191" s="5"/>
      <c r="HGG191" s="5"/>
      <c r="HGH191" s="5"/>
      <c r="HGI191" s="5"/>
      <c r="HGJ191" s="5"/>
      <c r="HGK191" s="5"/>
      <c r="HGL191" s="5"/>
      <c r="HGM191" s="5"/>
      <c r="HGN191" s="5"/>
      <c r="HGO191" s="5"/>
      <c r="HGP191" s="5"/>
      <c r="HGQ191" s="5"/>
      <c r="HGR191" s="5"/>
      <c r="HGS191" s="5"/>
      <c r="HGT191" s="5"/>
      <c r="HGU191" s="5"/>
      <c r="HGV191" s="5"/>
      <c r="HGW191" s="5"/>
      <c r="HGX191" s="5"/>
      <c r="HGY191" s="5"/>
      <c r="HGZ191" s="5"/>
      <c r="HHA191" s="5"/>
      <c r="HHB191" s="5"/>
      <c r="HHC191" s="5"/>
      <c r="HHD191" s="5"/>
      <c r="HHE191" s="5"/>
      <c r="HHF191" s="5"/>
      <c r="HHG191" s="5"/>
      <c r="HHH191" s="5"/>
      <c r="HHI191" s="5"/>
      <c r="HHJ191" s="5"/>
      <c r="HHK191" s="5"/>
      <c r="HHL191" s="5"/>
      <c r="HHM191" s="5"/>
      <c r="HHN191" s="5"/>
      <c r="HHO191" s="5"/>
      <c r="HHP191" s="5"/>
      <c r="HHQ191" s="5"/>
      <c r="HHR191" s="5"/>
      <c r="HHS191" s="5"/>
      <c r="HHT191" s="5"/>
      <c r="HHU191" s="5"/>
      <c r="HHV191" s="5"/>
      <c r="HHW191" s="5"/>
      <c r="HHX191" s="5"/>
      <c r="HHY191" s="5"/>
      <c r="HHZ191" s="5"/>
      <c r="HIA191" s="5"/>
      <c r="HIB191" s="5"/>
      <c r="HIC191" s="5"/>
      <c r="HID191" s="5"/>
      <c r="HIE191" s="5"/>
      <c r="HIF191" s="5"/>
      <c r="HIG191" s="5"/>
      <c r="HIH191" s="5"/>
      <c r="HII191" s="5"/>
      <c r="HIJ191" s="5"/>
      <c r="HIK191" s="5"/>
      <c r="HIL191" s="5"/>
      <c r="HIM191" s="5"/>
      <c r="HIN191" s="5"/>
      <c r="HIO191" s="5"/>
      <c r="HIP191" s="5"/>
      <c r="HIQ191" s="5"/>
      <c r="HIR191" s="5"/>
      <c r="HIS191" s="5"/>
      <c r="HIT191" s="5"/>
      <c r="HIU191" s="5"/>
      <c r="HIV191" s="5"/>
      <c r="HIW191" s="5"/>
      <c r="HIX191" s="5"/>
      <c r="HIY191" s="5"/>
      <c r="HIZ191" s="5"/>
      <c r="HJA191" s="5"/>
      <c r="HJB191" s="5"/>
      <c r="HJC191" s="5"/>
      <c r="HJD191" s="5"/>
      <c r="HJE191" s="5"/>
      <c r="HJF191" s="5"/>
      <c r="HJG191" s="5"/>
      <c r="HJH191" s="5"/>
      <c r="HJI191" s="5"/>
      <c r="HJJ191" s="5"/>
      <c r="HJK191" s="5"/>
      <c r="HJL191" s="5"/>
      <c r="HJM191" s="5"/>
      <c r="HJN191" s="5"/>
      <c r="HJO191" s="5"/>
      <c r="HJP191" s="5"/>
      <c r="HJQ191" s="5"/>
      <c r="HJR191" s="5"/>
      <c r="HJS191" s="5"/>
      <c r="HJT191" s="5"/>
      <c r="HJU191" s="5"/>
      <c r="HJV191" s="5"/>
      <c r="HJW191" s="5"/>
      <c r="HJX191" s="5"/>
      <c r="HJY191" s="5"/>
      <c r="HJZ191" s="5"/>
      <c r="HKA191" s="5"/>
      <c r="HKB191" s="5"/>
      <c r="HKC191" s="5"/>
      <c r="HKD191" s="5"/>
      <c r="HKE191" s="5"/>
      <c r="HKF191" s="5"/>
      <c r="HKG191" s="5"/>
      <c r="HKH191" s="5"/>
      <c r="HKI191" s="5"/>
      <c r="HKJ191" s="5"/>
      <c r="HKK191" s="5"/>
      <c r="HKL191" s="5"/>
      <c r="HKM191" s="5"/>
      <c r="HKN191" s="5"/>
      <c r="HKO191" s="5"/>
      <c r="HKP191" s="5"/>
      <c r="HKQ191" s="5"/>
      <c r="HKR191" s="5"/>
      <c r="HKS191" s="5"/>
      <c r="HKT191" s="5"/>
      <c r="HKU191" s="5"/>
      <c r="HKV191" s="5"/>
      <c r="HKW191" s="5"/>
      <c r="HKX191" s="5"/>
      <c r="HKY191" s="5"/>
      <c r="HKZ191" s="5"/>
      <c r="HLA191" s="5"/>
      <c r="HLB191" s="5"/>
      <c r="HLC191" s="5"/>
      <c r="HLD191" s="5"/>
      <c r="HLE191" s="5"/>
      <c r="HLF191" s="5"/>
      <c r="HLG191" s="5"/>
      <c r="HLH191" s="5"/>
      <c r="HLI191" s="5"/>
      <c r="HLJ191" s="5"/>
      <c r="HLK191" s="5"/>
      <c r="HLL191" s="5"/>
      <c r="HLM191" s="5"/>
      <c r="HLN191" s="5"/>
      <c r="HLO191" s="5"/>
      <c r="HLP191" s="5"/>
      <c r="HLQ191" s="5"/>
      <c r="HLR191" s="5"/>
      <c r="HLS191" s="5"/>
      <c r="HLT191" s="5"/>
      <c r="HLU191" s="5"/>
      <c r="HLV191" s="5"/>
      <c r="HLW191" s="5"/>
      <c r="HLX191" s="5"/>
      <c r="HLY191" s="5"/>
      <c r="HLZ191" s="5"/>
      <c r="HMA191" s="5"/>
      <c r="HMB191" s="5"/>
      <c r="HMC191" s="5"/>
      <c r="HMD191" s="5"/>
      <c r="HME191" s="5"/>
      <c r="HMF191" s="5"/>
      <c r="HMG191" s="5"/>
      <c r="HMH191" s="5"/>
      <c r="HMI191" s="5"/>
      <c r="HMJ191" s="5"/>
      <c r="HMK191" s="5"/>
      <c r="HML191" s="5"/>
      <c r="HMM191" s="5"/>
      <c r="HMN191" s="5"/>
      <c r="HMO191" s="5"/>
      <c r="HMP191" s="5"/>
      <c r="HMQ191" s="5"/>
      <c r="HMR191" s="5"/>
      <c r="HMS191" s="5"/>
      <c r="HMT191" s="5"/>
      <c r="HMU191" s="5"/>
      <c r="HMV191" s="5"/>
      <c r="HMW191" s="5"/>
      <c r="HMX191" s="5"/>
      <c r="HMY191" s="5"/>
      <c r="HMZ191" s="5"/>
      <c r="HNA191" s="5"/>
      <c r="HNB191" s="5"/>
      <c r="HNC191" s="5"/>
      <c r="HND191" s="5"/>
      <c r="HNE191" s="5"/>
      <c r="HNF191" s="5"/>
      <c r="HNG191" s="5"/>
      <c r="HNH191" s="5"/>
      <c r="HNI191" s="5"/>
      <c r="HNJ191" s="5"/>
      <c r="HNK191" s="5"/>
      <c r="HNL191" s="5"/>
      <c r="HNM191" s="5"/>
      <c r="HNN191" s="5"/>
      <c r="HNO191" s="5"/>
      <c r="HNP191" s="5"/>
      <c r="HNQ191" s="5"/>
      <c r="HNR191" s="5"/>
      <c r="HNS191" s="5"/>
      <c r="HNT191" s="5"/>
      <c r="HNU191" s="5"/>
      <c r="HNV191" s="5"/>
      <c r="HNW191" s="5"/>
      <c r="HNX191" s="5"/>
      <c r="HNY191" s="5"/>
      <c r="HNZ191" s="5"/>
      <c r="HOA191" s="5"/>
      <c r="HOB191" s="5"/>
      <c r="HOC191" s="5"/>
      <c r="HOD191" s="5"/>
      <c r="HOE191" s="5"/>
      <c r="HOF191" s="5"/>
      <c r="HOG191" s="5"/>
      <c r="HOH191" s="5"/>
      <c r="HOI191" s="5"/>
      <c r="HOJ191" s="5"/>
      <c r="HOK191" s="5"/>
      <c r="HOL191" s="5"/>
      <c r="HOM191" s="5"/>
      <c r="HON191" s="5"/>
      <c r="HOO191" s="5"/>
      <c r="HOP191" s="5"/>
      <c r="HOQ191" s="5"/>
      <c r="HOR191" s="5"/>
      <c r="HOS191" s="5"/>
      <c r="HOT191" s="5"/>
      <c r="HOU191" s="5"/>
      <c r="HOV191" s="5"/>
      <c r="HOW191" s="5"/>
      <c r="HOX191" s="5"/>
      <c r="HOY191" s="5"/>
      <c r="HOZ191" s="5"/>
      <c r="HPA191" s="5"/>
      <c r="HPB191" s="5"/>
      <c r="HPC191" s="5"/>
      <c r="HPD191" s="5"/>
      <c r="HPE191" s="5"/>
      <c r="HPF191" s="5"/>
      <c r="HPG191" s="5"/>
      <c r="HPH191" s="5"/>
      <c r="HPI191" s="5"/>
      <c r="HPJ191" s="5"/>
      <c r="HPK191" s="5"/>
      <c r="HPL191" s="5"/>
      <c r="HPM191" s="5"/>
      <c r="HPN191" s="5"/>
      <c r="HPO191" s="5"/>
      <c r="HPP191" s="5"/>
      <c r="HPQ191" s="5"/>
      <c r="HPR191" s="5"/>
      <c r="HPS191" s="5"/>
      <c r="HPT191" s="5"/>
      <c r="HPU191" s="5"/>
      <c r="HPV191" s="5"/>
      <c r="HPW191" s="5"/>
      <c r="HPX191" s="5"/>
      <c r="HPY191" s="5"/>
      <c r="HPZ191" s="5"/>
      <c r="HQA191" s="5"/>
      <c r="HQB191" s="5"/>
      <c r="HQC191" s="5"/>
      <c r="HQD191" s="5"/>
      <c r="HQE191" s="5"/>
      <c r="HQF191" s="5"/>
      <c r="HQG191" s="5"/>
      <c r="HQH191" s="5"/>
      <c r="HQI191" s="5"/>
      <c r="HQJ191" s="5"/>
      <c r="HQK191" s="5"/>
      <c r="HQL191" s="5"/>
      <c r="HQM191" s="5"/>
      <c r="HQN191" s="5"/>
      <c r="HQO191" s="5"/>
      <c r="HQP191" s="5"/>
      <c r="HQQ191" s="5"/>
      <c r="HQR191" s="5"/>
      <c r="HQS191" s="5"/>
      <c r="HQT191" s="5"/>
      <c r="HQU191" s="5"/>
      <c r="HQV191" s="5"/>
      <c r="HQW191" s="5"/>
      <c r="HQX191" s="5"/>
      <c r="HQY191" s="5"/>
      <c r="HQZ191" s="5"/>
      <c r="HRA191" s="5"/>
      <c r="HRB191" s="5"/>
      <c r="HRC191" s="5"/>
      <c r="HRD191" s="5"/>
      <c r="HRE191" s="5"/>
      <c r="HRF191" s="5"/>
      <c r="HRG191" s="5"/>
      <c r="HRH191" s="5"/>
      <c r="HRI191" s="5"/>
      <c r="HRJ191" s="5"/>
      <c r="HRK191" s="5"/>
      <c r="HRL191" s="5"/>
      <c r="HRM191" s="5"/>
      <c r="HRN191" s="5"/>
      <c r="HRO191" s="5"/>
      <c r="HRP191" s="5"/>
      <c r="HRQ191" s="5"/>
      <c r="HRR191" s="5"/>
      <c r="HRS191" s="5"/>
      <c r="HRT191" s="5"/>
      <c r="HRU191" s="5"/>
      <c r="HRV191" s="5"/>
      <c r="HRW191" s="5"/>
      <c r="HRX191" s="5"/>
      <c r="HRY191" s="5"/>
      <c r="HRZ191" s="5"/>
      <c r="HSA191" s="5"/>
      <c r="HSB191" s="5"/>
      <c r="HSC191" s="5"/>
      <c r="HSD191" s="5"/>
      <c r="HSE191" s="5"/>
      <c r="HSF191" s="5"/>
      <c r="HSG191" s="5"/>
      <c r="HSH191" s="5"/>
      <c r="HSI191" s="5"/>
      <c r="HSJ191" s="5"/>
      <c r="HSK191" s="5"/>
      <c r="HSL191" s="5"/>
      <c r="HSM191" s="5"/>
      <c r="HSN191" s="5"/>
      <c r="HSO191" s="5"/>
      <c r="HSP191" s="5"/>
      <c r="HSQ191" s="5"/>
      <c r="HSR191" s="5"/>
      <c r="HSS191" s="5"/>
      <c r="HST191" s="5"/>
      <c r="HSU191" s="5"/>
      <c r="HSV191" s="5"/>
      <c r="HSW191" s="5"/>
      <c r="HSX191" s="5"/>
      <c r="HSY191" s="5"/>
      <c r="HSZ191" s="5"/>
      <c r="HTA191" s="5"/>
      <c r="HTB191" s="5"/>
      <c r="HTC191" s="5"/>
      <c r="HTD191" s="5"/>
      <c r="HTE191" s="5"/>
      <c r="HTF191" s="5"/>
      <c r="HTG191" s="5"/>
      <c r="HTH191" s="5"/>
      <c r="HTI191" s="5"/>
      <c r="HTJ191" s="5"/>
      <c r="HTK191" s="5"/>
      <c r="HTL191" s="5"/>
      <c r="HTM191" s="5"/>
      <c r="HTN191" s="5"/>
      <c r="HTO191" s="5"/>
      <c r="HTP191" s="5"/>
      <c r="HTQ191" s="5"/>
      <c r="HTR191" s="5"/>
      <c r="HTS191" s="5"/>
      <c r="HTT191" s="5"/>
      <c r="HTU191" s="5"/>
      <c r="HTV191" s="5"/>
      <c r="HTW191" s="5"/>
      <c r="HTX191" s="5"/>
      <c r="HTY191" s="5"/>
      <c r="HTZ191" s="5"/>
      <c r="HUA191" s="5"/>
      <c r="HUB191" s="5"/>
      <c r="HUC191" s="5"/>
      <c r="HUD191" s="5"/>
      <c r="HUE191" s="5"/>
      <c r="HUF191" s="5"/>
      <c r="HUG191" s="5"/>
      <c r="HUH191" s="5"/>
      <c r="HUI191" s="5"/>
      <c r="HUJ191" s="5"/>
      <c r="HUK191" s="5"/>
      <c r="HUL191" s="5"/>
      <c r="HUM191" s="5"/>
      <c r="HUN191" s="5"/>
      <c r="HUO191" s="5"/>
      <c r="HUP191" s="5"/>
      <c r="HUQ191" s="5"/>
      <c r="HUR191" s="5"/>
      <c r="HUS191" s="5"/>
      <c r="HUT191" s="5"/>
      <c r="HUU191" s="5"/>
      <c r="HUV191" s="5"/>
      <c r="HUW191" s="5"/>
      <c r="HUX191" s="5"/>
      <c r="HUY191" s="5"/>
      <c r="HUZ191" s="5"/>
      <c r="HVA191" s="5"/>
      <c r="HVB191" s="5"/>
      <c r="HVC191" s="5"/>
      <c r="HVD191" s="5"/>
      <c r="HVE191" s="5"/>
      <c r="HVF191" s="5"/>
      <c r="HVG191" s="5"/>
      <c r="HVH191" s="5"/>
      <c r="HVI191" s="5"/>
      <c r="HVJ191" s="5"/>
      <c r="HVK191" s="5"/>
      <c r="HVL191" s="5"/>
      <c r="HVM191" s="5"/>
      <c r="HVN191" s="5"/>
      <c r="HVO191" s="5"/>
      <c r="HVP191" s="5"/>
      <c r="HVQ191" s="5"/>
      <c r="HVR191" s="5"/>
      <c r="HVS191" s="5"/>
      <c r="HVT191" s="5"/>
      <c r="HVU191" s="5"/>
      <c r="HVV191" s="5"/>
      <c r="HVW191" s="5"/>
      <c r="HVX191" s="5"/>
      <c r="HVY191" s="5"/>
      <c r="HVZ191" s="5"/>
      <c r="HWA191" s="5"/>
      <c r="HWB191" s="5"/>
      <c r="HWC191" s="5"/>
      <c r="HWD191" s="5"/>
      <c r="HWE191" s="5"/>
      <c r="HWF191" s="5"/>
      <c r="HWG191" s="5"/>
      <c r="HWH191" s="5"/>
      <c r="HWI191" s="5"/>
      <c r="HWJ191" s="5"/>
      <c r="HWK191" s="5"/>
      <c r="HWL191" s="5"/>
      <c r="HWM191" s="5"/>
      <c r="HWN191" s="5"/>
      <c r="HWO191" s="5"/>
      <c r="HWP191" s="5"/>
      <c r="HWQ191" s="5"/>
      <c r="HWR191" s="5"/>
      <c r="HWS191" s="5"/>
      <c r="HWT191" s="5"/>
      <c r="HWU191" s="5"/>
      <c r="HWV191" s="5"/>
      <c r="HWW191" s="5"/>
      <c r="HWX191" s="5"/>
      <c r="HWY191" s="5"/>
      <c r="HWZ191" s="5"/>
      <c r="HXA191" s="5"/>
      <c r="HXB191" s="5"/>
      <c r="HXC191" s="5"/>
      <c r="HXD191" s="5"/>
      <c r="HXE191" s="5"/>
      <c r="HXF191" s="5"/>
      <c r="HXG191" s="5"/>
      <c r="HXH191" s="5"/>
      <c r="HXI191" s="5"/>
      <c r="HXJ191" s="5"/>
      <c r="HXK191" s="5"/>
      <c r="HXL191" s="5"/>
      <c r="HXM191" s="5"/>
      <c r="HXN191" s="5"/>
      <c r="HXO191" s="5"/>
      <c r="HXP191" s="5"/>
      <c r="HXQ191" s="5"/>
      <c r="HXR191" s="5"/>
      <c r="HXS191" s="5"/>
      <c r="HXT191" s="5"/>
      <c r="HXU191" s="5"/>
      <c r="HXV191" s="5"/>
      <c r="HXW191" s="5"/>
      <c r="HXX191" s="5"/>
      <c r="HXY191" s="5"/>
      <c r="HXZ191" s="5"/>
      <c r="HYA191" s="5"/>
      <c r="HYB191" s="5"/>
      <c r="HYC191" s="5"/>
      <c r="HYD191" s="5"/>
      <c r="HYE191" s="5"/>
      <c r="HYF191" s="5"/>
      <c r="HYG191" s="5"/>
      <c r="HYH191" s="5"/>
      <c r="HYI191" s="5"/>
      <c r="HYJ191" s="5"/>
      <c r="HYK191" s="5"/>
      <c r="HYL191" s="5"/>
      <c r="HYM191" s="5"/>
      <c r="HYN191" s="5"/>
      <c r="HYO191" s="5"/>
      <c r="HYP191" s="5"/>
      <c r="HYQ191" s="5"/>
      <c r="HYR191" s="5"/>
      <c r="HYS191" s="5"/>
      <c r="HYT191" s="5"/>
      <c r="HYU191" s="5"/>
      <c r="HYV191" s="5"/>
      <c r="HYW191" s="5"/>
      <c r="HYX191" s="5"/>
      <c r="HYY191" s="5"/>
      <c r="HYZ191" s="5"/>
      <c r="HZA191" s="5"/>
      <c r="HZB191" s="5"/>
      <c r="HZC191" s="5"/>
      <c r="HZD191" s="5"/>
      <c r="HZE191" s="5"/>
      <c r="HZF191" s="5"/>
      <c r="HZG191" s="5"/>
      <c r="HZH191" s="5"/>
      <c r="HZI191" s="5"/>
      <c r="HZJ191" s="5"/>
      <c r="HZK191" s="5"/>
      <c r="HZL191" s="5"/>
      <c r="HZM191" s="5"/>
      <c r="HZN191" s="5"/>
      <c r="HZO191" s="5"/>
      <c r="HZP191" s="5"/>
      <c r="HZQ191" s="5"/>
      <c r="HZR191" s="5"/>
      <c r="HZS191" s="5"/>
      <c r="HZT191" s="5"/>
      <c r="HZU191" s="5"/>
      <c r="HZV191" s="5"/>
      <c r="HZW191" s="5"/>
      <c r="HZX191" s="5"/>
      <c r="HZY191" s="5"/>
      <c r="HZZ191" s="5"/>
      <c r="IAA191" s="5"/>
      <c r="IAB191" s="5"/>
      <c r="IAC191" s="5"/>
      <c r="IAD191" s="5"/>
      <c r="IAE191" s="5"/>
      <c r="IAF191" s="5"/>
      <c r="IAG191" s="5"/>
      <c r="IAH191" s="5"/>
      <c r="IAI191" s="5"/>
      <c r="IAJ191" s="5"/>
      <c r="IAK191" s="5"/>
      <c r="IAL191" s="5"/>
      <c r="IAM191" s="5"/>
      <c r="IAN191" s="5"/>
      <c r="IAO191" s="5"/>
      <c r="IAP191" s="5"/>
      <c r="IAQ191" s="5"/>
      <c r="IAR191" s="5"/>
      <c r="IAS191" s="5"/>
      <c r="IAT191" s="5"/>
      <c r="IAU191" s="5"/>
      <c r="IAV191" s="5"/>
      <c r="IAW191" s="5"/>
      <c r="IAX191" s="5"/>
      <c r="IAY191" s="5"/>
      <c r="IAZ191" s="5"/>
      <c r="IBA191" s="5"/>
      <c r="IBB191" s="5"/>
      <c r="IBC191" s="5"/>
      <c r="IBD191" s="5"/>
      <c r="IBE191" s="5"/>
      <c r="IBF191" s="5"/>
      <c r="IBG191" s="5"/>
      <c r="IBH191" s="5"/>
      <c r="IBI191" s="5"/>
      <c r="IBJ191" s="5"/>
      <c r="IBK191" s="5"/>
      <c r="IBL191" s="5"/>
      <c r="IBM191" s="5"/>
      <c r="IBN191" s="5"/>
      <c r="IBO191" s="5"/>
      <c r="IBP191" s="5"/>
      <c r="IBQ191" s="5"/>
      <c r="IBR191" s="5"/>
      <c r="IBS191" s="5"/>
      <c r="IBT191" s="5"/>
      <c r="IBU191" s="5"/>
      <c r="IBV191" s="5"/>
      <c r="IBW191" s="5"/>
      <c r="IBX191" s="5"/>
      <c r="IBY191" s="5"/>
      <c r="IBZ191" s="5"/>
      <c r="ICA191" s="5"/>
      <c r="ICB191" s="5"/>
      <c r="ICC191" s="5"/>
      <c r="ICD191" s="5"/>
      <c r="ICE191" s="5"/>
      <c r="ICF191" s="5"/>
      <c r="ICG191" s="5"/>
      <c r="ICH191" s="5"/>
      <c r="ICI191" s="5"/>
      <c r="ICJ191" s="5"/>
      <c r="ICK191" s="5"/>
      <c r="ICL191" s="5"/>
      <c r="ICM191" s="5"/>
      <c r="ICN191" s="5"/>
      <c r="ICO191" s="5"/>
      <c r="ICP191" s="5"/>
      <c r="ICQ191" s="5"/>
      <c r="ICR191" s="5"/>
      <c r="ICS191" s="5"/>
      <c r="ICT191" s="5"/>
      <c r="ICU191" s="5"/>
      <c r="ICV191" s="5"/>
      <c r="ICW191" s="5"/>
      <c r="ICX191" s="5"/>
      <c r="ICY191" s="5"/>
      <c r="ICZ191" s="5"/>
      <c r="IDA191" s="5"/>
      <c r="IDB191" s="5"/>
      <c r="IDC191" s="5"/>
      <c r="IDD191" s="5"/>
      <c r="IDE191" s="5"/>
      <c r="IDF191" s="5"/>
      <c r="IDG191" s="5"/>
      <c r="IDH191" s="5"/>
      <c r="IDI191" s="5"/>
      <c r="IDJ191" s="5"/>
      <c r="IDK191" s="5"/>
      <c r="IDL191" s="5"/>
      <c r="IDM191" s="5"/>
      <c r="IDN191" s="5"/>
      <c r="IDO191" s="5"/>
      <c r="IDP191" s="5"/>
      <c r="IDQ191" s="5"/>
      <c r="IDR191" s="5"/>
      <c r="IDS191" s="5"/>
      <c r="IDT191" s="5"/>
      <c r="IDU191" s="5"/>
      <c r="IDV191" s="5"/>
      <c r="IDW191" s="5"/>
      <c r="IDX191" s="5"/>
      <c r="IDY191" s="5"/>
      <c r="IDZ191" s="5"/>
      <c r="IEA191" s="5"/>
      <c r="IEB191" s="5"/>
      <c r="IEC191" s="5"/>
      <c r="IED191" s="5"/>
      <c r="IEE191" s="5"/>
      <c r="IEF191" s="5"/>
      <c r="IEG191" s="5"/>
      <c r="IEH191" s="5"/>
      <c r="IEI191" s="5"/>
      <c r="IEJ191" s="5"/>
      <c r="IEK191" s="5"/>
      <c r="IEL191" s="5"/>
      <c r="IEM191" s="5"/>
      <c r="IEN191" s="5"/>
      <c r="IEO191" s="5"/>
      <c r="IEP191" s="5"/>
      <c r="IEQ191" s="5"/>
      <c r="IER191" s="5"/>
      <c r="IES191" s="5"/>
      <c r="IET191" s="5"/>
      <c r="IEU191" s="5"/>
      <c r="IEV191" s="5"/>
      <c r="IEW191" s="5"/>
      <c r="IEX191" s="5"/>
      <c r="IEY191" s="5"/>
      <c r="IEZ191" s="5"/>
      <c r="IFA191" s="5"/>
      <c r="IFB191" s="5"/>
      <c r="IFC191" s="5"/>
      <c r="IFD191" s="5"/>
      <c r="IFE191" s="5"/>
      <c r="IFF191" s="5"/>
      <c r="IFG191" s="5"/>
      <c r="IFH191" s="5"/>
      <c r="IFI191" s="5"/>
      <c r="IFJ191" s="5"/>
      <c r="IFK191" s="5"/>
      <c r="IFL191" s="5"/>
      <c r="IFM191" s="5"/>
      <c r="IFN191" s="5"/>
      <c r="IFO191" s="5"/>
      <c r="IFP191" s="5"/>
      <c r="IFQ191" s="5"/>
      <c r="IFR191" s="5"/>
      <c r="IFS191" s="5"/>
      <c r="IFT191" s="5"/>
      <c r="IFU191" s="5"/>
      <c r="IFV191" s="5"/>
      <c r="IFW191" s="5"/>
      <c r="IFX191" s="5"/>
      <c r="IFY191" s="5"/>
      <c r="IFZ191" s="5"/>
      <c r="IGA191" s="5"/>
      <c r="IGB191" s="5"/>
      <c r="IGC191" s="5"/>
      <c r="IGD191" s="5"/>
      <c r="IGE191" s="5"/>
      <c r="IGF191" s="5"/>
      <c r="IGG191" s="5"/>
      <c r="IGH191" s="5"/>
      <c r="IGI191" s="5"/>
      <c r="IGJ191" s="5"/>
      <c r="IGK191" s="5"/>
      <c r="IGL191" s="5"/>
      <c r="IGM191" s="5"/>
      <c r="IGN191" s="5"/>
      <c r="IGO191" s="5"/>
      <c r="IGP191" s="5"/>
      <c r="IGQ191" s="5"/>
      <c r="IGR191" s="5"/>
      <c r="IGS191" s="5"/>
      <c r="IGT191" s="5"/>
      <c r="IGU191" s="5"/>
      <c r="IGV191" s="5"/>
      <c r="IGW191" s="5"/>
      <c r="IGX191" s="5"/>
      <c r="IGY191" s="5"/>
      <c r="IGZ191" s="5"/>
      <c r="IHA191" s="5"/>
      <c r="IHB191" s="5"/>
      <c r="IHC191" s="5"/>
      <c r="IHD191" s="5"/>
      <c r="IHE191" s="5"/>
      <c r="IHF191" s="5"/>
      <c r="IHG191" s="5"/>
      <c r="IHH191" s="5"/>
      <c r="IHI191" s="5"/>
      <c r="IHJ191" s="5"/>
      <c r="IHK191" s="5"/>
      <c r="IHL191" s="5"/>
      <c r="IHM191" s="5"/>
      <c r="IHN191" s="5"/>
      <c r="IHO191" s="5"/>
      <c r="IHP191" s="5"/>
      <c r="IHQ191" s="5"/>
      <c r="IHR191" s="5"/>
      <c r="IHS191" s="5"/>
      <c r="IHT191" s="5"/>
      <c r="IHU191" s="5"/>
      <c r="IHV191" s="5"/>
      <c r="IHW191" s="5"/>
      <c r="IHX191" s="5"/>
      <c r="IHY191" s="5"/>
      <c r="IHZ191" s="5"/>
      <c r="IIA191" s="5"/>
      <c r="IIB191" s="5"/>
      <c r="IIC191" s="5"/>
      <c r="IID191" s="5"/>
      <c r="IIE191" s="5"/>
      <c r="IIF191" s="5"/>
      <c r="IIG191" s="5"/>
      <c r="IIH191" s="5"/>
      <c r="III191" s="5"/>
      <c r="IIJ191" s="5"/>
      <c r="IIK191" s="5"/>
      <c r="IIL191" s="5"/>
      <c r="IIM191" s="5"/>
      <c r="IIN191" s="5"/>
      <c r="IIO191" s="5"/>
      <c r="IIP191" s="5"/>
      <c r="IIQ191" s="5"/>
      <c r="IIR191" s="5"/>
      <c r="IIS191" s="5"/>
      <c r="IIT191" s="5"/>
      <c r="IIU191" s="5"/>
      <c r="IIV191" s="5"/>
      <c r="IIW191" s="5"/>
      <c r="IIX191" s="5"/>
      <c r="IIY191" s="5"/>
      <c r="IIZ191" s="5"/>
      <c r="IJA191" s="5"/>
      <c r="IJB191" s="5"/>
      <c r="IJC191" s="5"/>
      <c r="IJD191" s="5"/>
      <c r="IJE191" s="5"/>
      <c r="IJF191" s="5"/>
      <c r="IJG191" s="5"/>
      <c r="IJH191" s="5"/>
      <c r="IJI191" s="5"/>
      <c r="IJJ191" s="5"/>
      <c r="IJK191" s="5"/>
      <c r="IJL191" s="5"/>
      <c r="IJM191" s="5"/>
      <c r="IJN191" s="5"/>
      <c r="IJO191" s="5"/>
      <c r="IJP191" s="5"/>
      <c r="IJQ191" s="5"/>
      <c r="IJR191" s="5"/>
      <c r="IJS191" s="5"/>
      <c r="IJT191" s="5"/>
      <c r="IJU191" s="5"/>
      <c r="IJV191" s="5"/>
      <c r="IJW191" s="5"/>
      <c r="IJX191" s="5"/>
      <c r="IJY191" s="5"/>
      <c r="IJZ191" s="5"/>
      <c r="IKA191" s="5"/>
      <c r="IKB191" s="5"/>
      <c r="IKC191" s="5"/>
      <c r="IKD191" s="5"/>
      <c r="IKE191" s="5"/>
      <c r="IKF191" s="5"/>
      <c r="IKG191" s="5"/>
      <c r="IKH191" s="5"/>
      <c r="IKI191" s="5"/>
      <c r="IKJ191" s="5"/>
      <c r="IKK191" s="5"/>
      <c r="IKL191" s="5"/>
      <c r="IKM191" s="5"/>
      <c r="IKN191" s="5"/>
      <c r="IKO191" s="5"/>
      <c r="IKP191" s="5"/>
      <c r="IKQ191" s="5"/>
      <c r="IKR191" s="5"/>
      <c r="IKS191" s="5"/>
      <c r="IKT191" s="5"/>
      <c r="IKU191" s="5"/>
      <c r="IKV191" s="5"/>
      <c r="IKW191" s="5"/>
      <c r="IKX191" s="5"/>
      <c r="IKY191" s="5"/>
      <c r="IKZ191" s="5"/>
      <c r="ILA191" s="5"/>
      <c r="ILB191" s="5"/>
      <c r="ILC191" s="5"/>
      <c r="ILD191" s="5"/>
      <c r="ILE191" s="5"/>
      <c r="ILF191" s="5"/>
      <c r="ILG191" s="5"/>
      <c r="ILH191" s="5"/>
      <c r="ILI191" s="5"/>
      <c r="ILJ191" s="5"/>
      <c r="ILK191" s="5"/>
      <c r="ILL191" s="5"/>
      <c r="ILM191" s="5"/>
      <c r="ILN191" s="5"/>
      <c r="ILO191" s="5"/>
      <c r="ILP191" s="5"/>
      <c r="ILQ191" s="5"/>
      <c r="ILR191" s="5"/>
      <c r="ILS191" s="5"/>
      <c r="ILT191" s="5"/>
      <c r="ILU191" s="5"/>
      <c r="ILV191" s="5"/>
      <c r="ILW191" s="5"/>
      <c r="ILX191" s="5"/>
      <c r="ILY191" s="5"/>
      <c r="ILZ191" s="5"/>
      <c r="IMA191" s="5"/>
      <c r="IMB191" s="5"/>
      <c r="IMC191" s="5"/>
      <c r="IMD191" s="5"/>
      <c r="IME191" s="5"/>
      <c r="IMF191" s="5"/>
      <c r="IMG191" s="5"/>
      <c r="IMH191" s="5"/>
      <c r="IMI191" s="5"/>
      <c r="IMJ191" s="5"/>
      <c r="IMK191" s="5"/>
      <c r="IML191" s="5"/>
      <c r="IMM191" s="5"/>
      <c r="IMN191" s="5"/>
      <c r="IMO191" s="5"/>
      <c r="IMP191" s="5"/>
      <c r="IMQ191" s="5"/>
      <c r="IMR191" s="5"/>
      <c r="IMS191" s="5"/>
      <c r="IMT191" s="5"/>
      <c r="IMU191" s="5"/>
      <c r="IMV191" s="5"/>
      <c r="IMW191" s="5"/>
      <c r="IMX191" s="5"/>
      <c r="IMY191" s="5"/>
      <c r="IMZ191" s="5"/>
      <c r="INA191" s="5"/>
      <c r="INB191" s="5"/>
      <c r="INC191" s="5"/>
      <c r="IND191" s="5"/>
      <c r="INE191" s="5"/>
      <c r="INF191" s="5"/>
      <c r="ING191" s="5"/>
      <c r="INH191" s="5"/>
      <c r="INI191" s="5"/>
      <c r="INJ191" s="5"/>
      <c r="INK191" s="5"/>
      <c r="INL191" s="5"/>
      <c r="INM191" s="5"/>
      <c r="INN191" s="5"/>
      <c r="INO191" s="5"/>
      <c r="INP191" s="5"/>
      <c r="INQ191" s="5"/>
      <c r="INR191" s="5"/>
      <c r="INS191" s="5"/>
      <c r="INT191" s="5"/>
      <c r="INU191" s="5"/>
      <c r="INV191" s="5"/>
      <c r="INW191" s="5"/>
      <c r="INX191" s="5"/>
      <c r="INY191" s="5"/>
      <c r="INZ191" s="5"/>
      <c r="IOA191" s="5"/>
      <c r="IOB191" s="5"/>
      <c r="IOC191" s="5"/>
      <c r="IOD191" s="5"/>
      <c r="IOE191" s="5"/>
      <c r="IOF191" s="5"/>
      <c r="IOG191" s="5"/>
      <c r="IOH191" s="5"/>
      <c r="IOI191" s="5"/>
      <c r="IOJ191" s="5"/>
      <c r="IOK191" s="5"/>
      <c r="IOL191" s="5"/>
      <c r="IOM191" s="5"/>
      <c r="ION191" s="5"/>
      <c r="IOO191" s="5"/>
      <c r="IOP191" s="5"/>
      <c r="IOQ191" s="5"/>
      <c r="IOR191" s="5"/>
      <c r="IOS191" s="5"/>
      <c r="IOT191" s="5"/>
      <c r="IOU191" s="5"/>
      <c r="IOV191" s="5"/>
      <c r="IOW191" s="5"/>
      <c r="IOX191" s="5"/>
      <c r="IOY191" s="5"/>
      <c r="IOZ191" s="5"/>
      <c r="IPA191" s="5"/>
      <c r="IPB191" s="5"/>
      <c r="IPC191" s="5"/>
      <c r="IPD191" s="5"/>
      <c r="IPE191" s="5"/>
      <c r="IPF191" s="5"/>
      <c r="IPG191" s="5"/>
      <c r="IPH191" s="5"/>
      <c r="IPI191" s="5"/>
      <c r="IPJ191" s="5"/>
      <c r="IPK191" s="5"/>
      <c r="IPL191" s="5"/>
      <c r="IPM191" s="5"/>
      <c r="IPN191" s="5"/>
      <c r="IPO191" s="5"/>
      <c r="IPP191" s="5"/>
      <c r="IPQ191" s="5"/>
      <c r="IPR191" s="5"/>
      <c r="IPS191" s="5"/>
      <c r="IPT191" s="5"/>
      <c r="IPU191" s="5"/>
      <c r="IPV191" s="5"/>
      <c r="IPW191" s="5"/>
      <c r="IPX191" s="5"/>
      <c r="IPY191" s="5"/>
      <c r="IPZ191" s="5"/>
      <c r="IQA191" s="5"/>
      <c r="IQB191" s="5"/>
      <c r="IQC191" s="5"/>
      <c r="IQD191" s="5"/>
      <c r="IQE191" s="5"/>
      <c r="IQF191" s="5"/>
      <c r="IQG191" s="5"/>
      <c r="IQH191" s="5"/>
      <c r="IQI191" s="5"/>
      <c r="IQJ191" s="5"/>
      <c r="IQK191" s="5"/>
      <c r="IQL191" s="5"/>
      <c r="IQM191" s="5"/>
      <c r="IQN191" s="5"/>
      <c r="IQO191" s="5"/>
      <c r="IQP191" s="5"/>
      <c r="IQQ191" s="5"/>
      <c r="IQR191" s="5"/>
      <c r="IQS191" s="5"/>
      <c r="IQT191" s="5"/>
      <c r="IQU191" s="5"/>
      <c r="IQV191" s="5"/>
      <c r="IQW191" s="5"/>
      <c r="IQX191" s="5"/>
      <c r="IQY191" s="5"/>
      <c r="IQZ191" s="5"/>
      <c r="IRA191" s="5"/>
      <c r="IRB191" s="5"/>
      <c r="IRC191" s="5"/>
      <c r="IRD191" s="5"/>
      <c r="IRE191" s="5"/>
      <c r="IRF191" s="5"/>
      <c r="IRG191" s="5"/>
      <c r="IRH191" s="5"/>
      <c r="IRI191" s="5"/>
      <c r="IRJ191" s="5"/>
      <c r="IRK191" s="5"/>
      <c r="IRL191" s="5"/>
      <c r="IRM191" s="5"/>
      <c r="IRN191" s="5"/>
      <c r="IRO191" s="5"/>
      <c r="IRP191" s="5"/>
      <c r="IRQ191" s="5"/>
      <c r="IRR191" s="5"/>
      <c r="IRS191" s="5"/>
      <c r="IRT191" s="5"/>
      <c r="IRU191" s="5"/>
      <c r="IRV191" s="5"/>
      <c r="IRW191" s="5"/>
      <c r="IRX191" s="5"/>
      <c r="IRY191" s="5"/>
      <c r="IRZ191" s="5"/>
      <c r="ISA191" s="5"/>
      <c r="ISB191" s="5"/>
      <c r="ISC191" s="5"/>
      <c r="ISD191" s="5"/>
      <c r="ISE191" s="5"/>
      <c r="ISF191" s="5"/>
      <c r="ISG191" s="5"/>
      <c r="ISH191" s="5"/>
      <c r="ISI191" s="5"/>
      <c r="ISJ191" s="5"/>
      <c r="ISK191" s="5"/>
      <c r="ISL191" s="5"/>
      <c r="ISM191" s="5"/>
      <c r="ISN191" s="5"/>
      <c r="ISO191" s="5"/>
      <c r="ISP191" s="5"/>
      <c r="ISQ191" s="5"/>
      <c r="ISR191" s="5"/>
      <c r="ISS191" s="5"/>
      <c r="IST191" s="5"/>
      <c r="ISU191" s="5"/>
      <c r="ISV191" s="5"/>
      <c r="ISW191" s="5"/>
      <c r="ISX191" s="5"/>
      <c r="ISY191" s="5"/>
      <c r="ISZ191" s="5"/>
      <c r="ITA191" s="5"/>
      <c r="ITB191" s="5"/>
      <c r="ITC191" s="5"/>
      <c r="ITD191" s="5"/>
      <c r="ITE191" s="5"/>
      <c r="ITF191" s="5"/>
      <c r="ITG191" s="5"/>
      <c r="ITH191" s="5"/>
      <c r="ITI191" s="5"/>
      <c r="ITJ191" s="5"/>
      <c r="ITK191" s="5"/>
      <c r="ITL191" s="5"/>
      <c r="ITM191" s="5"/>
      <c r="ITN191" s="5"/>
      <c r="ITO191" s="5"/>
      <c r="ITP191" s="5"/>
      <c r="ITQ191" s="5"/>
      <c r="ITR191" s="5"/>
      <c r="ITS191" s="5"/>
      <c r="ITT191" s="5"/>
      <c r="ITU191" s="5"/>
      <c r="ITV191" s="5"/>
      <c r="ITW191" s="5"/>
      <c r="ITX191" s="5"/>
      <c r="ITY191" s="5"/>
      <c r="ITZ191" s="5"/>
      <c r="IUA191" s="5"/>
      <c r="IUB191" s="5"/>
      <c r="IUC191" s="5"/>
      <c r="IUD191" s="5"/>
      <c r="IUE191" s="5"/>
      <c r="IUF191" s="5"/>
      <c r="IUG191" s="5"/>
      <c r="IUH191" s="5"/>
      <c r="IUI191" s="5"/>
      <c r="IUJ191" s="5"/>
      <c r="IUK191" s="5"/>
      <c r="IUL191" s="5"/>
      <c r="IUM191" s="5"/>
      <c r="IUN191" s="5"/>
      <c r="IUO191" s="5"/>
      <c r="IUP191" s="5"/>
      <c r="IUQ191" s="5"/>
      <c r="IUR191" s="5"/>
      <c r="IUS191" s="5"/>
      <c r="IUT191" s="5"/>
      <c r="IUU191" s="5"/>
      <c r="IUV191" s="5"/>
      <c r="IUW191" s="5"/>
      <c r="IUX191" s="5"/>
      <c r="IUY191" s="5"/>
      <c r="IUZ191" s="5"/>
      <c r="IVA191" s="5"/>
      <c r="IVB191" s="5"/>
      <c r="IVC191" s="5"/>
      <c r="IVD191" s="5"/>
      <c r="IVE191" s="5"/>
      <c r="IVF191" s="5"/>
      <c r="IVG191" s="5"/>
      <c r="IVH191" s="5"/>
      <c r="IVI191" s="5"/>
      <c r="IVJ191" s="5"/>
      <c r="IVK191" s="5"/>
      <c r="IVL191" s="5"/>
      <c r="IVM191" s="5"/>
      <c r="IVN191" s="5"/>
      <c r="IVO191" s="5"/>
      <c r="IVP191" s="5"/>
      <c r="IVQ191" s="5"/>
      <c r="IVR191" s="5"/>
      <c r="IVS191" s="5"/>
      <c r="IVT191" s="5"/>
      <c r="IVU191" s="5"/>
      <c r="IVV191" s="5"/>
      <c r="IVW191" s="5"/>
      <c r="IVX191" s="5"/>
      <c r="IVY191" s="5"/>
      <c r="IVZ191" s="5"/>
      <c r="IWA191" s="5"/>
      <c r="IWB191" s="5"/>
      <c r="IWC191" s="5"/>
      <c r="IWD191" s="5"/>
      <c r="IWE191" s="5"/>
      <c r="IWF191" s="5"/>
      <c r="IWG191" s="5"/>
      <c r="IWH191" s="5"/>
      <c r="IWI191" s="5"/>
      <c r="IWJ191" s="5"/>
      <c r="IWK191" s="5"/>
      <c r="IWL191" s="5"/>
      <c r="IWM191" s="5"/>
      <c r="IWN191" s="5"/>
      <c r="IWO191" s="5"/>
      <c r="IWP191" s="5"/>
      <c r="IWQ191" s="5"/>
      <c r="IWR191" s="5"/>
      <c r="IWS191" s="5"/>
      <c r="IWT191" s="5"/>
      <c r="IWU191" s="5"/>
      <c r="IWV191" s="5"/>
      <c r="IWW191" s="5"/>
      <c r="IWX191" s="5"/>
      <c r="IWY191" s="5"/>
      <c r="IWZ191" s="5"/>
      <c r="IXA191" s="5"/>
      <c r="IXB191" s="5"/>
      <c r="IXC191" s="5"/>
      <c r="IXD191" s="5"/>
      <c r="IXE191" s="5"/>
      <c r="IXF191" s="5"/>
      <c r="IXG191" s="5"/>
      <c r="IXH191" s="5"/>
      <c r="IXI191" s="5"/>
      <c r="IXJ191" s="5"/>
      <c r="IXK191" s="5"/>
      <c r="IXL191" s="5"/>
      <c r="IXM191" s="5"/>
      <c r="IXN191" s="5"/>
      <c r="IXO191" s="5"/>
      <c r="IXP191" s="5"/>
      <c r="IXQ191" s="5"/>
      <c r="IXR191" s="5"/>
      <c r="IXS191" s="5"/>
      <c r="IXT191" s="5"/>
      <c r="IXU191" s="5"/>
      <c r="IXV191" s="5"/>
      <c r="IXW191" s="5"/>
      <c r="IXX191" s="5"/>
      <c r="IXY191" s="5"/>
      <c r="IXZ191" s="5"/>
      <c r="IYA191" s="5"/>
      <c r="IYB191" s="5"/>
      <c r="IYC191" s="5"/>
      <c r="IYD191" s="5"/>
      <c r="IYE191" s="5"/>
      <c r="IYF191" s="5"/>
      <c r="IYG191" s="5"/>
      <c r="IYH191" s="5"/>
      <c r="IYI191" s="5"/>
      <c r="IYJ191" s="5"/>
      <c r="IYK191" s="5"/>
      <c r="IYL191" s="5"/>
      <c r="IYM191" s="5"/>
      <c r="IYN191" s="5"/>
      <c r="IYO191" s="5"/>
      <c r="IYP191" s="5"/>
      <c r="IYQ191" s="5"/>
      <c r="IYR191" s="5"/>
      <c r="IYS191" s="5"/>
      <c r="IYT191" s="5"/>
      <c r="IYU191" s="5"/>
      <c r="IYV191" s="5"/>
      <c r="IYW191" s="5"/>
      <c r="IYX191" s="5"/>
      <c r="IYY191" s="5"/>
      <c r="IYZ191" s="5"/>
      <c r="IZA191" s="5"/>
      <c r="IZB191" s="5"/>
      <c r="IZC191" s="5"/>
      <c r="IZD191" s="5"/>
      <c r="IZE191" s="5"/>
      <c r="IZF191" s="5"/>
      <c r="IZG191" s="5"/>
      <c r="IZH191" s="5"/>
      <c r="IZI191" s="5"/>
      <c r="IZJ191" s="5"/>
      <c r="IZK191" s="5"/>
      <c r="IZL191" s="5"/>
      <c r="IZM191" s="5"/>
      <c r="IZN191" s="5"/>
      <c r="IZO191" s="5"/>
      <c r="IZP191" s="5"/>
      <c r="IZQ191" s="5"/>
      <c r="IZR191" s="5"/>
      <c r="IZS191" s="5"/>
      <c r="IZT191" s="5"/>
      <c r="IZU191" s="5"/>
      <c r="IZV191" s="5"/>
      <c r="IZW191" s="5"/>
      <c r="IZX191" s="5"/>
      <c r="IZY191" s="5"/>
      <c r="IZZ191" s="5"/>
      <c r="JAA191" s="5"/>
      <c r="JAB191" s="5"/>
      <c r="JAC191" s="5"/>
      <c r="JAD191" s="5"/>
      <c r="JAE191" s="5"/>
      <c r="JAF191" s="5"/>
      <c r="JAG191" s="5"/>
      <c r="JAH191" s="5"/>
      <c r="JAI191" s="5"/>
      <c r="JAJ191" s="5"/>
      <c r="JAK191" s="5"/>
      <c r="JAL191" s="5"/>
      <c r="JAM191" s="5"/>
      <c r="JAN191" s="5"/>
      <c r="JAO191" s="5"/>
      <c r="JAP191" s="5"/>
      <c r="JAQ191" s="5"/>
      <c r="JAR191" s="5"/>
      <c r="JAS191" s="5"/>
      <c r="JAT191" s="5"/>
      <c r="JAU191" s="5"/>
      <c r="JAV191" s="5"/>
      <c r="JAW191" s="5"/>
      <c r="JAX191" s="5"/>
      <c r="JAY191" s="5"/>
      <c r="JAZ191" s="5"/>
      <c r="JBA191" s="5"/>
      <c r="JBB191" s="5"/>
      <c r="JBC191" s="5"/>
      <c r="JBD191" s="5"/>
      <c r="JBE191" s="5"/>
      <c r="JBF191" s="5"/>
      <c r="JBG191" s="5"/>
      <c r="JBH191" s="5"/>
      <c r="JBI191" s="5"/>
      <c r="JBJ191" s="5"/>
      <c r="JBK191" s="5"/>
      <c r="JBL191" s="5"/>
      <c r="JBM191" s="5"/>
      <c r="JBN191" s="5"/>
      <c r="JBO191" s="5"/>
      <c r="JBP191" s="5"/>
      <c r="JBQ191" s="5"/>
      <c r="JBR191" s="5"/>
      <c r="JBS191" s="5"/>
      <c r="JBT191" s="5"/>
      <c r="JBU191" s="5"/>
      <c r="JBV191" s="5"/>
      <c r="JBW191" s="5"/>
      <c r="JBX191" s="5"/>
      <c r="JBY191" s="5"/>
      <c r="JBZ191" s="5"/>
      <c r="JCA191" s="5"/>
      <c r="JCB191" s="5"/>
      <c r="JCC191" s="5"/>
      <c r="JCD191" s="5"/>
      <c r="JCE191" s="5"/>
      <c r="JCF191" s="5"/>
      <c r="JCG191" s="5"/>
      <c r="JCH191" s="5"/>
      <c r="JCI191" s="5"/>
      <c r="JCJ191" s="5"/>
      <c r="JCK191" s="5"/>
      <c r="JCL191" s="5"/>
      <c r="JCM191" s="5"/>
      <c r="JCN191" s="5"/>
      <c r="JCO191" s="5"/>
      <c r="JCP191" s="5"/>
      <c r="JCQ191" s="5"/>
      <c r="JCR191" s="5"/>
      <c r="JCS191" s="5"/>
      <c r="JCT191" s="5"/>
      <c r="JCU191" s="5"/>
      <c r="JCV191" s="5"/>
      <c r="JCW191" s="5"/>
      <c r="JCX191" s="5"/>
      <c r="JCY191" s="5"/>
      <c r="JCZ191" s="5"/>
      <c r="JDA191" s="5"/>
      <c r="JDB191" s="5"/>
      <c r="JDC191" s="5"/>
      <c r="JDD191" s="5"/>
      <c r="JDE191" s="5"/>
      <c r="JDF191" s="5"/>
      <c r="JDG191" s="5"/>
      <c r="JDH191" s="5"/>
      <c r="JDI191" s="5"/>
      <c r="JDJ191" s="5"/>
      <c r="JDK191" s="5"/>
      <c r="JDL191" s="5"/>
      <c r="JDM191" s="5"/>
      <c r="JDN191" s="5"/>
      <c r="JDO191" s="5"/>
      <c r="JDP191" s="5"/>
      <c r="JDQ191" s="5"/>
      <c r="JDR191" s="5"/>
      <c r="JDS191" s="5"/>
      <c r="JDT191" s="5"/>
      <c r="JDU191" s="5"/>
      <c r="JDV191" s="5"/>
      <c r="JDW191" s="5"/>
      <c r="JDX191" s="5"/>
      <c r="JDY191" s="5"/>
      <c r="JDZ191" s="5"/>
      <c r="JEA191" s="5"/>
      <c r="JEB191" s="5"/>
      <c r="JEC191" s="5"/>
      <c r="JED191" s="5"/>
      <c r="JEE191" s="5"/>
      <c r="JEF191" s="5"/>
      <c r="JEG191" s="5"/>
      <c r="JEH191" s="5"/>
      <c r="JEI191" s="5"/>
      <c r="JEJ191" s="5"/>
      <c r="JEK191" s="5"/>
      <c r="JEL191" s="5"/>
      <c r="JEM191" s="5"/>
      <c r="JEN191" s="5"/>
      <c r="JEO191" s="5"/>
      <c r="JEP191" s="5"/>
      <c r="JEQ191" s="5"/>
      <c r="JER191" s="5"/>
      <c r="JES191" s="5"/>
      <c r="JET191" s="5"/>
      <c r="JEU191" s="5"/>
      <c r="JEV191" s="5"/>
      <c r="JEW191" s="5"/>
      <c r="JEX191" s="5"/>
      <c r="JEY191" s="5"/>
      <c r="JEZ191" s="5"/>
      <c r="JFA191" s="5"/>
      <c r="JFB191" s="5"/>
      <c r="JFC191" s="5"/>
      <c r="JFD191" s="5"/>
      <c r="JFE191" s="5"/>
      <c r="JFF191" s="5"/>
      <c r="JFG191" s="5"/>
      <c r="JFH191" s="5"/>
      <c r="JFI191" s="5"/>
      <c r="JFJ191" s="5"/>
      <c r="JFK191" s="5"/>
      <c r="JFL191" s="5"/>
      <c r="JFM191" s="5"/>
      <c r="JFN191" s="5"/>
      <c r="JFO191" s="5"/>
      <c r="JFP191" s="5"/>
      <c r="JFQ191" s="5"/>
      <c r="JFR191" s="5"/>
      <c r="JFS191" s="5"/>
      <c r="JFT191" s="5"/>
      <c r="JFU191" s="5"/>
      <c r="JFV191" s="5"/>
      <c r="JFW191" s="5"/>
      <c r="JFX191" s="5"/>
      <c r="JFY191" s="5"/>
      <c r="JFZ191" s="5"/>
      <c r="JGA191" s="5"/>
      <c r="JGB191" s="5"/>
      <c r="JGC191" s="5"/>
      <c r="JGD191" s="5"/>
      <c r="JGE191" s="5"/>
      <c r="JGF191" s="5"/>
      <c r="JGG191" s="5"/>
      <c r="JGH191" s="5"/>
      <c r="JGI191" s="5"/>
      <c r="JGJ191" s="5"/>
      <c r="JGK191" s="5"/>
      <c r="JGL191" s="5"/>
      <c r="JGM191" s="5"/>
      <c r="JGN191" s="5"/>
      <c r="JGO191" s="5"/>
      <c r="JGP191" s="5"/>
      <c r="JGQ191" s="5"/>
      <c r="JGR191" s="5"/>
      <c r="JGS191" s="5"/>
      <c r="JGT191" s="5"/>
      <c r="JGU191" s="5"/>
      <c r="JGV191" s="5"/>
      <c r="JGW191" s="5"/>
      <c r="JGX191" s="5"/>
      <c r="JGY191" s="5"/>
      <c r="JGZ191" s="5"/>
      <c r="JHA191" s="5"/>
      <c r="JHB191" s="5"/>
      <c r="JHC191" s="5"/>
      <c r="JHD191" s="5"/>
      <c r="JHE191" s="5"/>
      <c r="JHF191" s="5"/>
      <c r="JHG191" s="5"/>
      <c r="JHH191" s="5"/>
      <c r="JHI191" s="5"/>
      <c r="JHJ191" s="5"/>
      <c r="JHK191" s="5"/>
      <c r="JHL191" s="5"/>
      <c r="JHM191" s="5"/>
      <c r="JHN191" s="5"/>
      <c r="JHO191" s="5"/>
      <c r="JHP191" s="5"/>
      <c r="JHQ191" s="5"/>
      <c r="JHR191" s="5"/>
      <c r="JHS191" s="5"/>
      <c r="JHT191" s="5"/>
      <c r="JHU191" s="5"/>
      <c r="JHV191" s="5"/>
      <c r="JHW191" s="5"/>
      <c r="JHX191" s="5"/>
      <c r="JHY191" s="5"/>
      <c r="JHZ191" s="5"/>
      <c r="JIA191" s="5"/>
      <c r="JIB191" s="5"/>
      <c r="JIC191" s="5"/>
      <c r="JID191" s="5"/>
      <c r="JIE191" s="5"/>
      <c r="JIF191" s="5"/>
      <c r="JIG191" s="5"/>
      <c r="JIH191" s="5"/>
      <c r="JII191" s="5"/>
      <c r="JIJ191" s="5"/>
      <c r="JIK191" s="5"/>
      <c r="JIL191" s="5"/>
      <c r="JIM191" s="5"/>
      <c r="JIN191" s="5"/>
      <c r="JIO191" s="5"/>
      <c r="JIP191" s="5"/>
      <c r="JIQ191" s="5"/>
      <c r="JIR191" s="5"/>
      <c r="JIS191" s="5"/>
      <c r="JIT191" s="5"/>
      <c r="JIU191" s="5"/>
      <c r="JIV191" s="5"/>
      <c r="JIW191" s="5"/>
      <c r="JIX191" s="5"/>
      <c r="JIY191" s="5"/>
      <c r="JIZ191" s="5"/>
      <c r="JJA191" s="5"/>
      <c r="JJB191" s="5"/>
      <c r="JJC191" s="5"/>
      <c r="JJD191" s="5"/>
      <c r="JJE191" s="5"/>
      <c r="JJF191" s="5"/>
      <c r="JJG191" s="5"/>
      <c r="JJH191" s="5"/>
      <c r="JJI191" s="5"/>
      <c r="JJJ191" s="5"/>
      <c r="JJK191" s="5"/>
      <c r="JJL191" s="5"/>
      <c r="JJM191" s="5"/>
      <c r="JJN191" s="5"/>
      <c r="JJO191" s="5"/>
      <c r="JJP191" s="5"/>
      <c r="JJQ191" s="5"/>
      <c r="JJR191" s="5"/>
      <c r="JJS191" s="5"/>
      <c r="JJT191" s="5"/>
      <c r="JJU191" s="5"/>
      <c r="JJV191" s="5"/>
      <c r="JJW191" s="5"/>
      <c r="JJX191" s="5"/>
      <c r="JJY191" s="5"/>
      <c r="JJZ191" s="5"/>
      <c r="JKA191" s="5"/>
      <c r="JKB191" s="5"/>
      <c r="JKC191" s="5"/>
      <c r="JKD191" s="5"/>
      <c r="JKE191" s="5"/>
      <c r="JKF191" s="5"/>
      <c r="JKG191" s="5"/>
      <c r="JKH191" s="5"/>
      <c r="JKI191" s="5"/>
      <c r="JKJ191" s="5"/>
      <c r="JKK191" s="5"/>
      <c r="JKL191" s="5"/>
      <c r="JKM191" s="5"/>
      <c r="JKN191" s="5"/>
      <c r="JKO191" s="5"/>
      <c r="JKP191" s="5"/>
      <c r="JKQ191" s="5"/>
      <c r="JKR191" s="5"/>
      <c r="JKS191" s="5"/>
      <c r="JKT191" s="5"/>
      <c r="JKU191" s="5"/>
      <c r="JKV191" s="5"/>
      <c r="JKW191" s="5"/>
      <c r="JKX191" s="5"/>
      <c r="JKY191" s="5"/>
      <c r="JKZ191" s="5"/>
      <c r="JLA191" s="5"/>
      <c r="JLB191" s="5"/>
      <c r="JLC191" s="5"/>
      <c r="JLD191" s="5"/>
      <c r="JLE191" s="5"/>
      <c r="JLF191" s="5"/>
      <c r="JLG191" s="5"/>
      <c r="JLH191" s="5"/>
      <c r="JLI191" s="5"/>
      <c r="JLJ191" s="5"/>
      <c r="JLK191" s="5"/>
      <c r="JLL191" s="5"/>
      <c r="JLM191" s="5"/>
      <c r="JLN191" s="5"/>
      <c r="JLO191" s="5"/>
      <c r="JLP191" s="5"/>
      <c r="JLQ191" s="5"/>
      <c r="JLR191" s="5"/>
      <c r="JLS191" s="5"/>
      <c r="JLT191" s="5"/>
      <c r="JLU191" s="5"/>
      <c r="JLV191" s="5"/>
      <c r="JLW191" s="5"/>
      <c r="JLX191" s="5"/>
      <c r="JLY191" s="5"/>
      <c r="JLZ191" s="5"/>
      <c r="JMA191" s="5"/>
      <c r="JMB191" s="5"/>
      <c r="JMC191" s="5"/>
      <c r="JMD191" s="5"/>
      <c r="JME191" s="5"/>
      <c r="JMF191" s="5"/>
      <c r="JMG191" s="5"/>
      <c r="JMH191" s="5"/>
      <c r="JMI191" s="5"/>
      <c r="JMJ191" s="5"/>
      <c r="JMK191" s="5"/>
      <c r="JML191" s="5"/>
      <c r="JMM191" s="5"/>
      <c r="JMN191" s="5"/>
      <c r="JMO191" s="5"/>
      <c r="JMP191" s="5"/>
      <c r="JMQ191" s="5"/>
      <c r="JMR191" s="5"/>
      <c r="JMS191" s="5"/>
      <c r="JMT191" s="5"/>
      <c r="JMU191" s="5"/>
      <c r="JMV191" s="5"/>
      <c r="JMW191" s="5"/>
      <c r="JMX191" s="5"/>
      <c r="JMY191" s="5"/>
      <c r="JMZ191" s="5"/>
      <c r="JNA191" s="5"/>
      <c r="JNB191" s="5"/>
      <c r="JNC191" s="5"/>
      <c r="JND191" s="5"/>
      <c r="JNE191" s="5"/>
      <c r="JNF191" s="5"/>
      <c r="JNG191" s="5"/>
      <c r="JNH191" s="5"/>
      <c r="JNI191" s="5"/>
      <c r="JNJ191" s="5"/>
      <c r="JNK191" s="5"/>
      <c r="JNL191" s="5"/>
      <c r="JNM191" s="5"/>
      <c r="JNN191" s="5"/>
      <c r="JNO191" s="5"/>
      <c r="JNP191" s="5"/>
      <c r="JNQ191" s="5"/>
      <c r="JNR191" s="5"/>
      <c r="JNS191" s="5"/>
      <c r="JNT191" s="5"/>
      <c r="JNU191" s="5"/>
      <c r="JNV191" s="5"/>
      <c r="JNW191" s="5"/>
      <c r="JNX191" s="5"/>
      <c r="JNY191" s="5"/>
      <c r="JNZ191" s="5"/>
      <c r="JOA191" s="5"/>
      <c r="JOB191" s="5"/>
      <c r="JOC191" s="5"/>
      <c r="JOD191" s="5"/>
      <c r="JOE191" s="5"/>
      <c r="JOF191" s="5"/>
      <c r="JOG191" s="5"/>
      <c r="JOH191" s="5"/>
      <c r="JOI191" s="5"/>
      <c r="JOJ191" s="5"/>
      <c r="JOK191" s="5"/>
      <c r="JOL191" s="5"/>
      <c r="JOM191" s="5"/>
      <c r="JON191" s="5"/>
      <c r="JOO191" s="5"/>
      <c r="JOP191" s="5"/>
      <c r="JOQ191" s="5"/>
      <c r="JOR191" s="5"/>
      <c r="JOS191" s="5"/>
      <c r="JOT191" s="5"/>
      <c r="JOU191" s="5"/>
      <c r="JOV191" s="5"/>
      <c r="JOW191" s="5"/>
      <c r="JOX191" s="5"/>
      <c r="JOY191" s="5"/>
      <c r="JOZ191" s="5"/>
      <c r="JPA191" s="5"/>
      <c r="JPB191" s="5"/>
      <c r="JPC191" s="5"/>
      <c r="JPD191" s="5"/>
      <c r="JPE191" s="5"/>
      <c r="JPF191" s="5"/>
      <c r="JPG191" s="5"/>
      <c r="JPH191" s="5"/>
      <c r="JPI191" s="5"/>
      <c r="JPJ191" s="5"/>
      <c r="JPK191" s="5"/>
      <c r="JPL191" s="5"/>
      <c r="JPM191" s="5"/>
      <c r="JPN191" s="5"/>
      <c r="JPO191" s="5"/>
      <c r="JPP191" s="5"/>
      <c r="JPQ191" s="5"/>
      <c r="JPR191" s="5"/>
      <c r="JPS191" s="5"/>
      <c r="JPT191" s="5"/>
      <c r="JPU191" s="5"/>
      <c r="JPV191" s="5"/>
      <c r="JPW191" s="5"/>
      <c r="JPX191" s="5"/>
      <c r="JPY191" s="5"/>
      <c r="JPZ191" s="5"/>
      <c r="JQA191" s="5"/>
      <c r="JQB191" s="5"/>
      <c r="JQC191" s="5"/>
      <c r="JQD191" s="5"/>
      <c r="JQE191" s="5"/>
      <c r="JQF191" s="5"/>
      <c r="JQG191" s="5"/>
      <c r="JQH191" s="5"/>
      <c r="JQI191" s="5"/>
      <c r="JQJ191" s="5"/>
      <c r="JQK191" s="5"/>
      <c r="JQL191" s="5"/>
      <c r="JQM191" s="5"/>
      <c r="JQN191" s="5"/>
      <c r="JQO191" s="5"/>
      <c r="JQP191" s="5"/>
      <c r="JQQ191" s="5"/>
      <c r="JQR191" s="5"/>
      <c r="JQS191" s="5"/>
      <c r="JQT191" s="5"/>
      <c r="JQU191" s="5"/>
      <c r="JQV191" s="5"/>
      <c r="JQW191" s="5"/>
      <c r="JQX191" s="5"/>
      <c r="JQY191" s="5"/>
      <c r="JQZ191" s="5"/>
      <c r="JRA191" s="5"/>
      <c r="JRB191" s="5"/>
      <c r="JRC191" s="5"/>
      <c r="JRD191" s="5"/>
      <c r="JRE191" s="5"/>
      <c r="JRF191" s="5"/>
      <c r="JRG191" s="5"/>
      <c r="JRH191" s="5"/>
      <c r="JRI191" s="5"/>
      <c r="JRJ191" s="5"/>
      <c r="JRK191" s="5"/>
      <c r="JRL191" s="5"/>
      <c r="JRM191" s="5"/>
      <c r="JRN191" s="5"/>
      <c r="JRO191" s="5"/>
      <c r="JRP191" s="5"/>
      <c r="JRQ191" s="5"/>
      <c r="JRR191" s="5"/>
      <c r="JRS191" s="5"/>
      <c r="JRT191" s="5"/>
      <c r="JRU191" s="5"/>
      <c r="JRV191" s="5"/>
      <c r="JRW191" s="5"/>
      <c r="JRX191" s="5"/>
      <c r="JRY191" s="5"/>
      <c r="JRZ191" s="5"/>
      <c r="JSA191" s="5"/>
      <c r="JSB191" s="5"/>
      <c r="JSC191" s="5"/>
      <c r="JSD191" s="5"/>
      <c r="JSE191" s="5"/>
      <c r="JSF191" s="5"/>
      <c r="JSG191" s="5"/>
      <c r="JSH191" s="5"/>
      <c r="JSI191" s="5"/>
      <c r="JSJ191" s="5"/>
      <c r="JSK191" s="5"/>
      <c r="JSL191" s="5"/>
      <c r="JSM191" s="5"/>
      <c r="JSN191" s="5"/>
      <c r="JSO191" s="5"/>
      <c r="JSP191" s="5"/>
      <c r="JSQ191" s="5"/>
      <c r="JSR191" s="5"/>
      <c r="JSS191" s="5"/>
      <c r="JST191" s="5"/>
      <c r="JSU191" s="5"/>
      <c r="JSV191" s="5"/>
      <c r="JSW191" s="5"/>
      <c r="JSX191" s="5"/>
      <c r="JSY191" s="5"/>
      <c r="JSZ191" s="5"/>
      <c r="JTA191" s="5"/>
      <c r="JTB191" s="5"/>
      <c r="JTC191" s="5"/>
      <c r="JTD191" s="5"/>
      <c r="JTE191" s="5"/>
      <c r="JTF191" s="5"/>
      <c r="JTG191" s="5"/>
      <c r="JTH191" s="5"/>
      <c r="JTI191" s="5"/>
      <c r="JTJ191" s="5"/>
      <c r="JTK191" s="5"/>
      <c r="JTL191" s="5"/>
      <c r="JTM191" s="5"/>
      <c r="JTN191" s="5"/>
      <c r="JTO191" s="5"/>
      <c r="JTP191" s="5"/>
      <c r="JTQ191" s="5"/>
      <c r="JTR191" s="5"/>
      <c r="JTS191" s="5"/>
      <c r="JTT191" s="5"/>
      <c r="JTU191" s="5"/>
      <c r="JTV191" s="5"/>
      <c r="JTW191" s="5"/>
      <c r="JTX191" s="5"/>
      <c r="JTY191" s="5"/>
      <c r="JTZ191" s="5"/>
      <c r="JUA191" s="5"/>
      <c r="JUB191" s="5"/>
      <c r="JUC191" s="5"/>
      <c r="JUD191" s="5"/>
      <c r="JUE191" s="5"/>
      <c r="JUF191" s="5"/>
      <c r="JUG191" s="5"/>
      <c r="JUH191" s="5"/>
      <c r="JUI191" s="5"/>
      <c r="JUJ191" s="5"/>
      <c r="JUK191" s="5"/>
      <c r="JUL191" s="5"/>
      <c r="JUM191" s="5"/>
      <c r="JUN191" s="5"/>
      <c r="JUO191" s="5"/>
      <c r="JUP191" s="5"/>
      <c r="JUQ191" s="5"/>
      <c r="JUR191" s="5"/>
      <c r="JUS191" s="5"/>
      <c r="JUT191" s="5"/>
      <c r="JUU191" s="5"/>
      <c r="JUV191" s="5"/>
      <c r="JUW191" s="5"/>
      <c r="JUX191" s="5"/>
      <c r="JUY191" s="5"/>
      <c r="JUZ191" s="5"/>
      <c r="JVA191" s="5"/>
      <c r="JVB191" s="5"/>
      <c r="JVC191" s="5"/>
      <c r="JVD191" s="5"/>
      <c r="JVE191" s="5"/>
      <c r="JVF191" s="5"/>
      <c r="JVG191" s="5"/>
      <c r="JVH191" s="5"/>
      <c r="JVI191" s="5"/>
      <c r="JVJ191" s="5"/>
      <c r="JVK191" s="5"/>
      <c r="JVL191" s="5"/>
      <c r="JVM191" s="5"/>
      <c r="JVN191" s="5"/>
      <c r="JVO191" s="5"/>
      <c r="JVP191" s="5"/>
      <c r="JVQ191" s="5"/>
      <c r="JVR191" s="5"/>
      <c r="JVS191" s="5"/>
      <c r="JVT191" s="5"/>
      <c r="JVU191" s="5"/>
      <c r="JVV191" s="5"/>
      <c r="JVW191" s="5"/>
      <c r="JVX191" s="5"/>
      <c r="JVY191" s="5"/>
      <c r="JVZ191" s="5"/>
      <c r="JWA191" s="5"/>
      <c r="JWB191" s="5"/>
      <c r="JWC191" s="5"/>
      <c r="JWD191" s="5"/>
      <c r="JWE191" s="5"/>
      <c r="JWF191" s="5"/>
      <c r="JWG191" s="5"/>
      <c r="JWH191" s="5"/>
      <c r="JWI191" s="5"/>
      <c r="JWJ191" s="5"/>
      <c r="JWK191" s="5"/>
      <c r="JWL191" s="5"/>
      <c r="JWM191" s="5"/>
      <c r="JWN191" s="5"/>
      <c r="JWO191" s="5"/>
      <c r="JWP191" s="5"/>
      <c r="JWQ191" s="5"/>
      <c r="JWR191" s="5"/>
      <c r="JWS191" s="5"/>
      <c r="JWT191" s="5"/>
      <c r="JWU191" s="5"/>
      <c r="JWV191" s="5"/>
      <c r="JWW191" s="5"/>
      <c r="JWX191" s="5"/>
      <c r="JWY191" s="5"/>
      <c r="JWZ191" s="5"/>
      <c r="JXA191" s="5"/>
      <c r="JXB191" s="5"/>
      <c r="JXC191" s="5"/>
      <c r="JXD191" s="5"/>
      <c r="JXE191" s="5"/>
      <c r="JXF191" s="5"/>
      <c r="JXG191" s="5"/>
      <c r="JXH191" s="5"/>
      <c r="JXI191" s="5"/>
      <c r="JXJ191" s="5"/>
      <c r="JXK191" s="5"/>
      <c r="JXL191" s="5"/>
      <c r="JXM191" s="5"/>
      <c r="JXN191" s="5"/>
      <c r="JXO191" s="5"/>
      <c r="JXP191" s="5"/>
      <c r="JXQ191" s="5"/>
      <c r="JXR191" s="5"/>
      <c r="JXS191" s="5"/>
      <c r="JXT191" s="5"/>
      <c r="JXU191" s="5"/>
      <c r="JXV191" s="5"/>
      <c r="JXW191" s="5"/>
      <c r="JXX191" s="5"/>
      <c r="JXY191" s="5"/>
      <c r="JXZ191" s="5"/>
      <c r="JYA191" s="5"/>
      <c r="JYB191" s="5"/>
      <c r="JYC191" s="5"/>
      <c r="JYD191" s="5"/>
      <c r="JYE191" s="5"/>
      <c r="JYF191" s="5"/>
      <c r="JYG191" s="5"/>
      <c r="JYH191" s="5"/>
      <c r="JYI191" s="5"/>
      <c r="JYJ191" s="5"/>
      <c r="JYK191" s="5"/>
      <c r="JYL191" s="5"/>
      <c r="JYM191" s="5"/>
      <c r="JYN191" s="5"/>
      <c r="JYO191" s="5"/>
      <c r="JYP191" s="5"/>
      <c r="JYQ191" s="5"/>
      <c r="JYR191" s="5"/>
      <c r="JYS191" s="5"/>
      <c r="JYT191" s="5"/>
      <c r="JYU191" s="5"/>
      <c r="JYV191" s="5"/>
      <c r="JYW191" s="5"/>
      <c r="JYX191" s="5"/>
      <c r="JYY191" s="5"/>
      <c r="JYZ191" s="5"/>
      <c r="JZA191" s="5"/>
      <c r="JZB191" s="5"/>
      <c r="JZC191" s="5"/>
      <c r="JZD191" s="5"/>
      <c r="JZE191" s="5"/>
      <c r="JZF191" s="5"/>
      <c r="JZG191" s="5"/>
      <c r="JZH191" s="5"/>
      <c r="JZI191" s="5"/>
      <c r="JZJ191" s="5"/>
      <c r="JZK191" s="5"/>
      <c r="JZL191" s="5"/>
      <c r="JZM191" s="5"/>
      <c r="JZN191" s="5"/>
      <c r="JZO191" s="5"/>
      <c r="JZP191" s="5"/>
      <c r="JZQ191" s="5"/>
      <c r="JZR191" s="5"/>
      <c r="JZS191" s="5"/>
      <c r="JZT191" s="5"/>
      <c r="JZU191" s="5"/>
      <c r="JZV191" s="5"/>
      <c r="JZW191" s="5"/>
      <c r="JZX191" s="5"/>
      <c r="JZY191" s="5"/>
      <c r="JZZ191" s="5"/>
      <c r="KAA191" s="5"/>
      <c r="KAB191" s="5"/>
      <c r="KAC191" s="5"/>
      <c r="KAD191" s="5"/>
      <c r="KAE191" s="5"/>
      <c r="KAF191" s="5"/>
      <c r="KAG191" s="5"/>
      <c r="KAH191" s="5"/>
      <c r="KAI191" s="5"/>
      <c r="KAJ191" s="5"/>
      <c r="KAK191" s="5"/>
      <c r="KAL191" s="5"/>
      <c r="KAM191" s="5"/>
      <c r="KAN191" s="5"/>
      <c r="KAO191" s="5"/>
      <c r="KAP191" s="5"/>
      <c r="KAQ191" s="5"/>
      <c r="KAR191" s="5"/>
      <c r="KAS191" s="5"/>
      <c r="KAT191" s="5"/>
      <c r="KAU191" s="5"/>
      <c r="KAV191" s="5"/>
      <c r="KAW191" s="5"/>
      <c r="KAX191" s="5"/>
      <c r="KAY191" s="5"/>
      <c r="KAZ191" s="5"/>
      <c r="KBA191" s="5"/>
      <c r="KBB191" s="5"/>
      <c r="KBC191" s="5"/>
      <c r="KBD191" s="5"/>
      <c r="KBE191" s="5"/>
      <c r="KBF191" s="5"/>
      <c r="KBG191" s="5"/>
      <c r="KBH191" s="5"/>
      <c r="KBI191" s="5"/>
      <c r="KBJ191" s="5"/>
      <c r="KBK191" s="5"/>
      <c r="KBL191" s="5"/>
      <c r="KBM191" s="5"/>
      <c r="KBN191" s="5"/>
      <c r="KBO191" s="5"/>
      <c r="KBP191" s="5"/>
      <c r="KBQ191" s="5"/>
      <c r="KBR191" s="5"/>
      <c r="KBS191" s="5"/>
      <c r="KBT191" s="5"/>
      <c r="KBU191" s="5"/>
      <c r="KBV191" s="5"/>
      <c r="KBW191" s="5"/>
      <c r="KBX191" s="5"/>
      <c r="KBY191" s="5"/>
      <c r="KBZ191" s="5"/>
      <c r="KCA191" s="5"/>
      <c r="KCB191" s="5"/>
      <c r="KCC191" s="5"/>
      <c r="KCD191" s="5"/>
      <c r="KCE191" s="5"/>
      <c r="KCF191" s="5"/>
      <c r="KCG191" s="5"/>
      <c r="KCH191" s="5"/>
      <c r="KCI191" s="5"/>
      <c r="KCJ191" s="5"/>
      <c r="KCK191" s="5"/>
      <c r="KCL191" s="5"/>
      <c r="KCM191" s="5"/>
      <c r="KCN191" s="5"/>
      <c r="KCO191" s="5"/>
      <c r="KCP191" s="5"/>
      <c r="KCQ191" s="5"/>
      <c r="KCR191" s="5"/>
      <c r="KCS191" s="5"/>
      <c r="KCT191" s="5"/>
      <c r="KCU191" s="5"/>
      <c r="KCV191" s="5"/>
      <c r="KCW191" s="5"/>
      <c r="KCX191" s="5"/>
      <c r="KCY191" s="5"/>
      <c r="KCZ191" s="5"/>
      <c r="KDA191" s="5"/>
      <c r="KDB191" s="5"/>
      <c r="KDC191" s="5"/>
      <c r="KDD191" s="5"/>
      <c r="KDE191" s="5"/>
      <c r="KDF191" s="5"/>
      <c r="KDG191" s="5"/>
      <c r="KDH191" s="5"/>
      <c r="KDI191" s="5"/>
      <c r="KDJ191" s="5"/>
      <c r="KDK191" s="5"/>
      <c r="KDL191" s="5"/>
      <c r="KDM191" s="5"/>
      <c r="KDN191" s="5"/>
      <c r="KDO191" s="5"/>
      <c r="KDP191" s="5"/>
      <c r="KDQ191" s="5"/>
      <c r="KDR191" s="5"/>
      <c r="KDS191" s="5"/>
      <c r="KDT191" s="5"/>
      <c r="KDU191" s="5"/>
      <c r="KDV191" s="5"/>
      <c r="KDW191" s="5"/>
      <c r="KDX191" s="5"/>
      <c r="KDY191" s="5"/>
      <c r="KDZ191" s="5"/>
      <c r="KEA191" s="5"/>
      <c r="KEB191" s="5"/>
      <c r="KEC191" s="5"/>
      <c r="KED191" s="5"/>
      <c r="KEE191" s="5"/>
      <c r="KEF191" s="5"/>
      <c r="KEG191" s="5"/>
      <c r="KEH191" s="5"/>
      <c r="KEI191" s="5"/>
      <c r="KEJ191" s="5"/>
      <c r="KEK191" s="5"/>
      <c r="KEL191" s="5"/>
      <c r="KEM191" s="5"/>
      <c r="KEN191" s="5"/>
      <c r="KEO191" s="5"/>
      <c r="KEP191" s="5"/>
      <c r="KEQ191" s="5"/>
      <c r="KER191" s="5"/>
      <c r="KES191" s="5"/>
      <c r="KET191" s="5"/>
      <c r="KEU191" s="5"/>
      <c r="KEV191" s="5"/>
      <c r="KEW191" s="5"/>
      <c r="KEX191" s="5"/>
      <c r="KEY191" s="5"/>
      <c r="KEZ191" s="5"/>
      <c r="KFA191" s="5"/>
      <c r="KFB191" s="5"/>
      <c r="KFC191" s="5"/>
      <c r="KFD191" s="5"/>
      <c r="KFE191" s="5"/>
      <c r="KFF191" s="5"/>
      <c r="KFG191" s="5"/>
      <c r="KFH191" s="5"/>
      <c r="KFI191" s="5"/>
      <c r="KFJ191" s="5"/>
      <c r="KFK191" s="5"/>
      <c r="KFL191" s="5"/>
      <c r="KFM191" s="5"/>
      <c r="KFN191" s="5"/>
      <c r="KFO191" s="5"/>
      <c r="KFP191" s="5"/>
      <c r="KFQ191" s="5"/>
      <c r="KFR191" s="5"/>
      <c r="KFS191" s="5"/>
      <c r="KFT191" s="5"/>
      <c r="KFU191" s="5"/>
      <c r="KFV191" s="5"/>
      <c r="KFW191" s="5"/>
      <c r="KFX191" s="5"/>
      <c r="KFY191" s="5"/>
      <c r="KFZ191" s="5"/>
      <c r="KGA191" s="5"/>
      <c r="KGB191" s="5"/>
      <c r="KGC191" s="5"/>
      <c r="KGD191" s="5"/>
      <c r="KGE191" s="5"/>
      <c r="KGF191" s="5"/>
      <c r="KGG191" s="5"/>
      <c r="KGH191" s="5"/>
      <c r="KGI191" s="5"/>
      <c r="KGJ191" s="5"/>
      <c r="KGK191" s="5"/>
      <c r="KGL191" s="5"/>
      <c r="KGM191" s="5"/>
      <c r="KGN191" s="5"/>
      <c r="KGO191" s="5"/>
      <c r="KGP191" s="5"/>
      <c r="KGQ191" s="5"/>
      <c r="KGR191" s="5"/>
      <c r="KGS191" s="5"/>
      <c r="KGT191" s="5"/>
      <c r="KGU191" s="5"/>
      <c r="KGV191" s="5"/>
      <c r="KGW191" s="5"/>
      <c r="KGX191" s="5"/>
      <c r="KGY191" s="5"/>
      <c r="KGZ191" s="5"/>
      <c r="KHA191" s="5"/>
      <c r="KHB191" s="5"/>
      <c r="KHC191" s="5"/>
      <c r="KHD191" s="5"/>
      <c r="KHE191" s="5"/>
      <c r="KHF191" s="5"/>
      <c r="KHG191" s="5"/>
      <c r="KHH191" s="5"/>
      <c r="KHI191" s="5"/>
      <c r="KHJ191" s="5"/>
      <c r="KHK191" s="5"/>
      <c r="KHL191" s="5"/>
      <c r="KHM191" s="5"/>
      <c r="KHN191" s="5"/>
      <c r="KHO191" s="5"/>
      <c r="KHP191" s="5"/>
      <c r="KHQ191" s="5"/>
      <c r="KHR191" s="5"/>
      <c r="KHS191" s="5"/>
      <c r="KHT191" s="5"/>
      <c r="KHU191" s="5"/>
      <c r="KHV191" s="5"/>
      <c r="KHW191" s="5"/>
      <c r="KHX191" s="5"/>
      <c r="KHY191" s="5"/>
      <c r="KHZ191" s="5"/>
      <c r="KIA191" s="5"/>
      <c r="KIB191" s="5"/>
      <c r="KIC191" s="5"/>
      <c r="KID191" s="5"/>
      <c r="KIE191" s="5"/>
      <c r="KIF191" s="5"/>
      <c r="KIG191" s="5"/>
      <c r="KIH191" s="5"/>
      <c r="KII191" s="5"/>
      <c r="KIJ191" s="5"/>
      <c r="KIK191" s="5"/>
      <c r="KIL191" s="5"/>
      <c r="KIM191" s="5"/>
      <c r="KIN191" s="5"/>
      <c r="KIO191" s="5"/>
      <c r="KIP191" s="5"/>
      <c r="KIQ191" s="5"/>
      <c r="KIR191" s="5"/>
      <c r="KIS191" s="5"/>
      <c r="KIT191" s="5"/>
      <c r="KIU191" s="5"/>
      <c r="KIV191" s="5"/>
      <c r="KIW191" s="5"/>
      <c r="KIX191" s="5"/>
      <c r="KIY191" s="5"/>
      <c r="KIZ191" s="5"/>
      <c r="KJA191" s="5"/>
      <c r="KJB191" s="5"/>
      <c r="KJC191" s="5"/>
      <c r="KJD191" s="5"/>
      <c r="KJE191" s="5"/>
      <c r="KJF191" s="5"/>
      <c r="KJG191" s="5"/>
      <c r="KJH191" s="5"/>
      <c r="KJI191" s="5"/>
      <c r="KJJ191" s="5"/>
      <c r="KJK191" s="5"/>
      <c r="KJL191" s="5"/>
      <c r="KJM191" s="5"/>
      <c r="KJN191" s="5"/>
      <c r="KJO191" s="5"/>
      <c r="KJP191" s="5"/>
      <c r="KJQ191" s="5"/>
      <c r="KJR191" s="5"/>
      <c r="KJS191" s="5"/>
      <c r="KJT191" s="5"/>
      <c r="KJU191" s="5"/>
      <c r="KJV191" s="5"/>
      <c r="KJW191" s="5"/>
      <c r="KJX191" s="5"/>
      <c r="KJY191" s="5"/>
      <c r="KJZ191" s="5"/>
      <c r="KKA191" s="5"/>
      <c r="KKB191" s="5"/>
      <c r="KKC191" s="5"/>
      <c r="KKD191" s="5"/>
      <c r="KKE191" s="5"/>
      <c r="KKF191" s="5"/>
      <c r="KKG191" s="5"/>
      <c r="KKH191" s="5"/>
      <c r="KKI191" s="5"/>
      <c r="KKJ191" s="5"/>
      <c r="KKK191" s="5"/>
      <c r="KKL191" s="5"/>
      <c r="KKM191" s="5"/>
      <c r="KKN191" s="5"/>
      <c r="KKO191" s="5"/>
      <c r="KKP191" s="5"/>
      <c r="KKQ191" s="5"/>
      <c r="KKR191" s="5"/>
      <c r="KKS191" s="5"/>
      <c r="KKT191" s="5"/>
      <c r="KKU191" s="5"/>
      <c r="KKV191" s="5"/>
      <c r="KKW191" s="5"/>
      <c r="KKX191" s="5"/>
      <c r="KKY191" s="5"/>
      <c r="KKZ191" s="5"/>
      <c r="KLA191" s="5"/>
      <c r="KLB191" s="5"/>
      <c r="KLC191" s="5"/>
      <c r="KLD191" s="5"/>
      <c r="KLE191" s="5"/>
      <c r="KLF191" s="5"/>
      <c r="KLG191" s="5"/>
      <c r="KLH191" s="5"/>
      <c r="KLI191" s="5"/>
      <c r="KLJ191" s="5"/>
      <c r="KLK191" s="5"/>
      <c r="KLL191" s="5"/>
      <c r="KLM191" s="5"/>
      <c r="KLN191" s="5"/>
      <c r="KLO191" s="5"/>
      <c r="KLP191" s="5"/>
      <c r="KLQ191" s="5"/>
      <c r="KLR191" s="5"/>
      <c r="KLS191" s="5"/>
      <c r="KLT191" s="5"/>
      <c r="KLU191" s="5"/>
      <c r="KLV191" s="5"/>
      <c r="KLW191" s="5"/>
      <c r="KLX191" s="5"/>
      <c r="KLY191" s="5"/>
      <c r="KLZ191" s="5"/>
      <c r="KMA191" s="5"/>
      <c r="KMB191" s="5"/>
      <c r="KMC191" s="5"/>
      <c r="KMD191" s="5"/>
      <c r="KME191" s="5"/>
      <c r="KMF191" s="5"/>
      <c r="KMG191" s="5"/>
      <c r="KMH191" s="5"/>
      <c r="KMI191" s="5"/>
      <c r="KMJ191" s="5"/>
      <c r="KMK191" s="5"/>
      <c r="KML191" s="5"/>
      <c r="KMM191" s="5"/>
      <c r="KMN191" s="5"/>
      <c r="KMO191" s="5"/>
      <c r="KMP191" s="5"/>
      <c r="KMQ191" s="5"/>
      <c r="KMR191" s="5"/>
      <c r="KMS191" s="5"/>
      <c r="KMT191" s="5"/>
      <c r="KMU191" s="5"/>
      <c r="KMV191" s="5"/>
      <c r="KMW191" s="5"/>
      <c r="KMX191" s="5"/>
      <c r="KMY191" s="5"/>
      <c r="KMZ191" s="5"/>
      <c r="KNA191" s="5"/>
      <c r="KNB191" s="5"/>
      <c r="KNC191" s="5"/>
      <c r="KND191" s="5"/>
      <c r="KNE191" s="5"/>
      <c r="KNF191" s="5"/>
      <c r="KNG191" s="5"/>
      <c r="KNH191" s="5"/>
      <c r="KNI191" s="5"/>
      <c r="KNJ191" s="5"/>
      <c r="KNK191" s="5"/>
      <c r="KNL191" s="5"/>
      <c r="KNM191" s="5"/>
      <c r="KNN191" s="5"/>
      <c r="KNO191" s="5"/>
      <c r="KNP191" s="5"/>
      <c r="KNQ191" s="5"/>
      <c r="KNR191" s="5"/>
      <c r="KNS191" s="5"/>
      <c r="KNT191" s="5"/>
      <c r="KNU191" s="5"/>
      <c r="KNV191" s="5"/>
      <c r="KNW191" s="5"/>
      <c r="KNX191" s="5"/>
      <c r="KNY191" s="5"/>
      <c r="KNZ191" s="5"/>
      <c r="KOA191" s="5"/>
      <c r="KOB191" s="5"/>
      <c r="KOC191" s="5"/>
      <c r="KOD191" s="5"/>
      <c r="KOE191" s="5"/>
      <c r="KOF191" s="5"/>
      <c r="KOG191" s="5"/>
      <c r="KOH191" s="5"/>
      <c r="KOI191" s="5"/>
      <c r="KOJ191" s="5"/>
      <c r="KOK191" s="5"/>
      <c r="KOL191" s="5"/>
      <c r="KOM191" s="5"/>
      <c r="KON191" s="5"/>
      <c r="KOO191" s="5"/>
      <c r="KOP191" s="5"/>
      <c r="KOQ191" s="5"/>
      <c r="KOR191" s="5"/>
      <c r="KOS191" s="5"/>
      <c r="KOT191" s="5"/>
      <c r="KOU191" s="5"/>
      <c r="KOV191" s="5"/>
      <c r="KOW191" s="5"/>
      <c r="KOX191" s="5"/>
      <c r="KOY191" s="5"/>
      <c r="KOZ191" s="5"/>
      <c r="KPA191" s="5"/>
      <c r="KPB191" s="5"/>
      <c r="KPC191" s="5"/>
      <c r="KPD191" s="5"/>
      <c r="KPE191" s="5"/>
      <c r="KPF191" s="5"/>
      <c r="KPG191" s="5"/>
      <c r="KPH191" s="5"/>
      <c r="KPI191" s="5"/>
      <c r="KPJ191" s="5"/>
      <c r="KPK191" s="5"/>
      <c r="KPL191" s="5"/>
      <c r="KPM191" s="5"/>
      <c r="KPN191" s="5"/>
      <c r="KPO191" s="5"/>
      <c r="KPP191" s="5"/>
      <c r="KPQ191" s="5"/>
      <c r="KPR191" s="5"/>
      <c r="KPS191" s="5"/>
      <c r="KPT191" s="5"/>
      <c r="KPU191" s="5"/>
      <c r="KPV191" s="5"/>
      <c r="KPW191" s="5"/>
      <c r="KPX191" s="5"/>
      <c r="KPY191" s="5"/>
      <c r="KPZ191" s="5"/>
      <c r="KQA191" s="5"/>
      <c r="KQB191" s="5"/>
      <c r="KQC191" s="5"/>
      <c r="KQD191" s="5"/>
      <c r="KQE191" s="5"/>
      <c r="KQF191" s="5"/>
      <c r="KQG191" s="5"/>
      <c r="KQH191" s="5"/>
      <c r="KQI191" s="5"/>
      <c r="KQJ191" s="5"/>
      <c r="KQK191" s="5"/>
      <c r="KQL191" s="5"/>
      <c r="KQM191" s="5"/>
      <c r="KQN191" s="5"/>
      <c r="KQO191" s="5"/>
      <c r="KQP191" s="5"/>
      <c r="KQQ191" s="5"/>
      <c r="KQR191" s="5"/>
      <c r="KQS191" s="5"/>
      <c r="KQT191" s="5"/>
      <c r="KQU191" s="5"/>
      <c r="KQV191" s="5"/>
      <c r="KQW191" s="5"/>
      <c r="KQX191" s="5"/>
      <c r="KQY191" s="5"/>
      <c r="KQZ191" s="5"/>
      <c r="KRA191" s="5"/>
      <c r="KRB191" s="5"/>
      <c r="KRC191" s="5"/>
      <c r="KRD191" s="5"/>
      <c r="KRE191" s="5"/>
      <c r="KRF191" s="5"/>
      <c r="KRG191" s="5"/>
      <c r="KRH191" s="5"/>
      <c r="KRI191" s="5"/>
      <c r="KRJ191" s="5"/>
      <c r="KRK191" s="5"/>
      <c r="KRL191" s="5"/>
      <c r="KRM191" s="5"/>
      <c r="KRN191" s="5"/>
      <c r="KRO191" s="5"/>
      <c r="KRP191" s="5"/>
      <c r="KRQ191" s="5"/>
      <c r="KRR191" s="5"/>
      <c r="KRS191" s="5"/>
      <c r="KRT191" s="5"/>
      <c r="KRU191" s="5"/>
      <c r="KRV191" s="5"/>
      <c r="KRW191" s="5"/>
      <c r="KRX191" s="5"/>
      <c r="KRY191" s="5"/>
      <c r="KRZ191" s="5"/>
      <c r="KSA191" s="5"/>
      <c r="KSB191" s="5"/>
      <c r="KSC191" s="5"/>
      <c r="KSD191" s="5"/>
      <c r="KSE191" s="5"/>
      <c r="KSF191" s="5"/>
      <c r="KSG191" s="5"/>
      <c r="KSH191" s="5"/>
      <c r="KSI191" s="5"/>
      <c r="KSJ191" s="5"/>
      <c r="KSK191" s="5"/>
      <c r="KSL191" s="5"/>
      <c r="KSM191" s="5"/>
      <c r="KSN191" s="5"/>
      <c r="KSO191" s="5"/>
      <c r="KSP191" s="5"/>
      <c r="KSQ191" s="5"/>
      <c r="KSR191" s="5"/>
      <c r="KSS191" s="5"/>
      <c r="KST191" s="5"/>
      <c r="KSU191" s="5"/>
      <c r="KSV191" s="5"/>
      <c r="KSW191" s="5"/>
      <c r="KSX191" s="5"/>
      <c r="KSY191" s="5"/>
      <c r="KSZ191" s="5"/>
      <c r="KTA191" s="5"/>
      <c r="KTB191" s="5"/>
      <c r="KTC191" s="5"/>
      <c r="KTD191" s="5"/>
      <c r="KTE191" s="5"/>
      <c r="KTF191" s="5"/>
      <c r="KTG191" s="5"/>
      <c r="KTH191" s="5"/>
      <c r="KTI191" s="5"/>
      <c r="KTJ191" s="5"/>
      <c r="KTK191" s="5"/>
      <c r="KTL191" s="5"/>
      <c r="KTM191" s="5"/>
      <c r="KTN191" s="5"/>
      <c r="KTO191" s="5"/>
      <c r="KTP191" s="5"/>
      <c r="KTQ191" s="5"/>
      <c r="KTR191" s="5"/>
      <c r="KTS191" s="5"/>
      <c r="KTT191" s="5"/>
      <c r="KTU191" s="5"/>
      <c r="KTV191" s="5"/>
      <c r="KTW191" s="5"/>
      <c r="KTX191" s="5"/>
      <c r="KTY191" s="5"/>
      <c r="KTZ191" s="5"/>
      <c r="KUA191" s="5"/>
      <c r="KUB191" s="5"/>
      <c r="KUC191" s="5"/>
      <c r="KUD191" s="5"/>
      <c r="KUE191" s="5"/>
      <c r="KUF191" s="5"/>
      <c r="KUG191" s="5"/>
      <c r="KUH191" s="5"/>
      <c r="KUI191" s="5"/>
      <c r="KUJ191" s="5"/>
      <c r="KUK191" s="5"/>
      <c r="KUL191" s="5"/>
      <c r="KUM191" s="5"/>
      <c r="KUN191" s="5"/>
      <c r="KUO191" s="5"/>
      <c r="KUP191" s="5"/>
      <c r="KUQ191" s="5"/>
      <c r="KUR191" s="5"/>
      <c r="KUS191" s="5"/>
      <c r="KUT191" s="5"/>
      <c r="KUU191" s="5"/>
      <c r="KUV191" s="5"/>
      <c r="KUW191" s="5"/>
      <c r="KUX191" s="5"/>
      <c r="KUY191" s="5"/>
      <c r="KUZ191" s="5"/>
      <c r="KVA191" s="5"/>
      <c r="KVB191" s="5"/>
      <c r="KVC191" s="5"/>
      <c r="KVD191" s="5"/>
      <c r="KVE191" s="5"/>
      <c r="KVF191" s="5"/>
      <c r="KVG191" s="5"/>
      <c r="KVH191" s="5"/>
      <c r="KVI191" s="5"/>
      <c r="KVJ191" s="5"/>
      <c r="KVK191" s="5"/>
      <c r="KVL191" s="5"/>
      <c r="KVM191" s="5"/>
      <c r="KVN191" s="5"/>
      <c r="KVO191" s="5"/>
      <c r="KVP191" s="5"/>
      <c r="KVQ191" s="5"/>
      <c r="KVR191" s="5"/>
      <c r="KVS191" s="5"/>
      <c r="KVT191" s="5"/>
      <c r="KVU191" s="5"/>
      <c r="KVV191" s="5"/>
      <c r="KVW191" s="5"/>
      <c r="KVX191" s="5"/>
      <c r="KVY191" s="5"/>
      <c r="KVZ191" s="5"/>
      <c r="KWA191" s="5"/>
      <c r="KWB191" s="5"/>
      <c r="KWC191" s="5"/>
      <c r="KWD191" s="5"/>
      <c r="KWE191" s="5"/>
      <c r="KWF191" s="5"/>
      <c r="KWG191" s="5"/>
      <c r="KWH191" s="5"/>
      <c r="KWI191" s="5"/>
      <c r="KWJ191" s="5"/>
      <c r="KWK191" s="5"/>
      <c r="KWL191" s="5"/>
      <c r="KWM191" s="5"/>
      <c r="KWN191" s="5"/>
      <c r="KWO191" s="5"/>
      <c r="KWP191" s="5"/>
      <c r="KWQ191" s="5"/>
      <c r="KWR191" s="5"/>
      <c r="KWS191" s="5"/>
      <c r="KWT191" s="5"/>
      <c r="KWU191" s="5"/>
      <c r="KWV191" s="5"/>
      <c r="KWW191" s="5"/>
      <c r="KWX191" s="5"/>
      <c r="KWY191" s="5"/>
      <c r="KWZ191" s="5"/>
      <c r="KXA191" s="5"/>
      <c r="KXB191" s="5"/>
      <c r="KXC191" s="5"/>
      <c r="KXD191" s="5"/>
      <c r="KXE191" s="5"/>
      <c r="KXF191" s="5"/>
      <c r="KXG191" s="5"/>
      <c r="KXH191" s="5"/>
      <c r="KXI191" s="5"/>
      <c r="KXJ191" s="5"/>
      <c r="KXK191" s="5"/>
      <c r="KXL191" s="5"/>
      <c r="KXM191" s="5"/>
      <c r="KXN191" s="5"/>
      <c r="KXO191" s="5"/>
      <c r="KXP191" s="5"/>
      <c r="KXQ191" s="5"/>
      <c r="KXR191" s="5"/>
      <c r="KXS191" s="5"/>
      <c r="KXT191" s="5"/>
      <c r="KXU191" s="5"/>
      <c r="KXV191" s="5"/>
      <c r="KXW191" s="5"/>
      <c r="KXX191" s="5"/>
      <c r="KXY191" s="5"/>
      <c r="KXZ191" s="5"/>
      <c r="KYA191" s="5"/>
      <c r="KYB191" s="5"/>
      <c r="KYC191" s="5"/>
      <c r="KYD191" s="5"/>
      <c r="KYE191" s="5"/>
      <c r="KYF191" s="5"/>
      <c r="KYG191" s="5"/>
      <c r="KYH191" s="5"/>
      <c r="KYI191" s="5"/>
      <c r="KYJ191" s="5"/>
      <c r="KYK191" s="5"/>
      <c r="KYL191" s="5"/>
      <c r="KYM191" s="5"/>
      <c r="KYN191" s="5"/>
      <c r="KYO191" s="5"/>
      <c r="KYP191" s="5"/>
      <c r="KYQ191" s="5"/>
      <c r="KYR191" s="5"/>
      <c r="KYS191" s="5"/>
      <c r="KYT191" s="5"/>
      <c r="KYU191" s="5"/>
      <c r="KYV191" s="5"/>
      <c r="KYW191" s="5"/>
      <c r="KYX191" s="5"/>
      <c r="KYY191" s="5"/>
      <c r="KYZ191" s="5"/>
      <c r="KZA191" s="5"/>
      <c r="KZB191" s="5"/>
      <c r="KZC191" s="5"/>
      <c r="KZD191" s="5"/>
      <c r="KZE191" s="5"/>
      <c r="KZF191" s="5"/>
      <c r="KZG191" s="5"/>
      <c r="KZH191" s="5"/>
      <c r="KZI191" s="5"/>
      <c r="KZJ191" s="5"/>
      <c r="KZK191" s="5"/>
      <c r="KZL191" s="5"/>
      <c r="KZM191" s="5"/>
      <c r="KZN191" s="5"/>
      <c r="KZO191" s="5"/>
      <c r="KZP191" s="5"/>
      <c r="KZQ191" s="5"/>
      <c r="KZR191" s="5"/>
      <c r="KZS191" s="5"/>
      <c r="KZT191" s="5"/>
      <c r="KZU191" s="5"/>
      <c r="KZV191" s="5"/>
      <c r="KZW191" s="5"/>
      <c r="KZX191" s="5"/>
      <c r="KZY191" s="5"/>
      <c r="KZZ191" s="5"/>
      <c r="LAA191" s="5"/>
      <c r="LAB191" s="5"/>
      <c r="LAC191" s="5"/>
      <c r="LAD191" s="5"/>
      <c r="LAE191" s="5"/>
      <c r="LAF191" s="5"/>
      <c r="LAG191" s="5"/>
      <c r="LAH191" s="5"/>
      <c r="LAI191" s="5"/>
      <c r="LAJ191" s="5"/>
      <c r="LAK191" s="5"/>
      <c r="LAL191" s="5"/>
      <c r="LAM191" s="5"/>
      <c r="LAN191" s="5"/>
      <c r="LAO191" s="5"/>
      <c r="LAP191" s="5"/>
      <c r="LAQ191" s="5"/>
      <c r="LAR191" s="5"/>
      <c r="LAS191" s="5"/>
      <c r="LAT191" s="5"/>
      <c r="LAU191" s="5"/>
      <c r="LAV191" s="5"/>
      <c r="LAW191" s="5"/>
      <c r="LAX191" s="5"/>
      <c r="LAY191" s="5"/>
      <c r="LAZ191" s="5"/>
      <c r="LBA191" s="5"/>
      <c r="LBB191" s="5"/>
      <c r="LBC191" s="5"/>
      <c r="LBD191" s="5"/>
      <c r="LBE191" s="5"/>
      <c r="LBF191" s="5"/>
      <c r="LBG191" s="5"/>
      <c r="LBH191" s="5"/>
      <c r="LBI191" s="5"/>
      <c r="LBJ191" s="5"/>
      <c r="LBK191" s="5"/>
      <c r="LBL191" s="5"/>
      <c r="LBM191" s="5"/>
      <c r="LBN191" s="5"/>
      <c r="LBO191" s="5"/>
      <c r="LBP191" s="5"/>
      <c r="LBQ191" s="5"/>
      <c r="LBR191" s="5"/>
      <c r="LBS191" s="5"/>
      <c r="LBT191" s="5"/>
      <c r="LBU191" s="5"/>
      <c r="LBV191" s="5"/>
      <c r="LBW191" s="5"/>
      <c r="LBX191" s="5"/>
      <c r="LBY191" s="5"/>
      <c r="LBZ191" s="5"/>
      <c r="LCA191" s="5"/>
      <c r="LCB191" s="5"/>
      <c r="LCC191" s="5"/>
      <c r="LCD191" s="5"/>
      <c r="LCE191" s="5"/>
      <c r="LCF191" s="5"/>
      <c r="LCG191" s="5"/>
      <c r="LCH191" s="5"/>
      <c r="LCI191" s="5"/>
      <c r="LCJ191" s="5"/>
      <c r="LCK191" s="5"/>
      <c r="LCL191" s="5"/>
      <c r="LCM191" s="5"/>
      <c r="LCN191" s="5"/>
      <c r="LCO191" s="5"/>
      <c r="LCP191" s="5"/>
      <c r="LCQ191" s="5"/>
      <c r="LCR191" s="5"/>
      <c r="LCS191" s="5"/>
      <c r="LCT191" s="5"/>
      <c r="LCU191" s="5"/>
      <c r="LCV191" s="5"/>
      <c r="LCW191" s="5"/>
      <c r="LCX191" s="5"/>
      <c r="LCY191" s="5"/>
      <c r="LCZ191" s="5"/>
      <c r="LDA191" s="5"/>
      <c r="LDB191" s="5"/>
      <c r="LDC191" s="5"/>
      <c r="LDD191" s="5"/>
      <c r="LDE191" s="5"/>
      <c r="LDF191" s="5"/>
      <c r="LDG191" s="5"/>
      <c r="LDH191" s="5"/>
      <c r="LDI191" s="5"/>
      <c r="LDJ191" s="5"/>
      <c r="LDK191" s="5"/>
      <c r="LDL191" s="5"/>
      <c r="LDM191" s="5"/>
      <c r="LDN191" s="5"/>
      <c r="LDO191" s="5"/>
      <c r="LDP191" s="5"/>
      <c r="LDQ191" s="5"/>
      <c r="LDR191" s="5"/>
      <c r="LDS191" s="5"/>
      <c r="LDT191" s="5"/>
      <c r="LDU191" s="5"/>
      <c r="LDV191" s="5"/>
      <c r="LDW191" s="5"/>
      <c r="LDX191" s="5"/>
      <c r="LDY191" s="5"/>
      <c r="LDZ191" s="5"/>
      <c r="LEA191" s="5"/>
      <c r="LEB191" s="5"/>
      <c r="LEC191" s="5"/>
      <c r="LED191" s="5"/>
      <c r="LEE191" s="5"/>
      <c r="LEF191" s="5"/>
      <c r="LEG191" s="5"/>
      <c r="LEH191" s="5"/>
      <c r="LEI191" s="5"/>
      <c r="LEJ191" s="5"/>
      <c r="LEK191" s="5"/>
      <c r="LEL191" s="5"/>
      <c r="LEM191" s="5"/>
      <c r="LEN191" s="5"/>
      <c r="LEO191" s="5"/>
      <c r="LEP191" s="5"/>
      <c r="LEQ191" s="5"/>
      <c r="LER191" s="5"/>
      <c r="LES191" s="5"/>
      <c r="LET191" s="5"/>
      <c r="LEU191" s="5"/>
      <c r="LEV191" s="5"/>
      <c r="LEW191" s="5"/>
      <c r="LEX191" s="5"/>
      <c r="LEY191" s="5"/>
      <c r="LEZ191" s="5"/>
      <c r="LFA191" s="5"/>
      <c r="LFB191" s="5"/>
      <c r="LFC191" s="5"/>
      <c r="LFD191" s="5"/>
      <c r="LFE191" s="5"/>
      <c r="LFF191" s="5"/>
      <c r="LFG191" s="5"/>
      <c r="LFH191" s="5"/>
      <c r="LFI191" s="5"/>
      <c r="LFJ191" s="5"/>
      <c r="LFK191" s="5"/>
      <c r="LFL191" s="5"/>
      <c r="LFM191" s="5"/>
      <c r="LFN191" s="5"/>
      <c r="LFO191" s="5"/>
      <c r="LFP191" s="5"/>
      <c r="LFQ191" s="5"/>
      <c r="LFR191" s="5"/>
      <c r="LFS191" s="5"/>
      <c r="LFT191" s="5"/>
      <c r="LFU191" s="5"/>
      <c r="LFV191" s="5"/>
      <c r="LFW191" s="5"/>
      <c r="LFX191" s="5"/>
      <c r="LFY191" s="5"/>
      <c r="LFZ191" s="5"/>
      <c r="LGA191" s="5"/>
      <c r="LGB191" s="5"/>
      <c r="LGC191" s="5"/>
      <c r="LGD191" s="5"/>
      <c r="LGE191" s="5"/>
      <c r="LGF191" s="5"/>
      <c r="LGG191" s="5"/>
      <c r="LGH191" s="5"/>
      <c r="LGI191" s="5"/>
      <c r="LGJ191" s="5"/>
      <c r="LGK191" s="5"/>
      <c r="LGL191" s="5"/>
      <c r="LGM191" s="5"/>
      <c r="LGN191" s="5"/>
      <c r="LGO191" s="5"/>
      <c r="LGP191" s="5"/>
      <c r="LGQ191" s="5"/>
      <c r="LGR191" s="5"/>
      <c r="LGS191" s="5"/>
      <c r="LGT191" s="5"/>
      <c r="LGU191" s="5"/>
      <c r="LGV191" s="5"/>
      <c r="LGW191" s="5"/>
      <c r="LGX191" s="5"/>
      <c r="LGY191" s="5"/>
      <c r="LGZ191" s="5"/>
      <c r="LHA191" s="5"/>
      <c r="LHB191" s="5"/>
      <c r="LHC191" s="5"/>
      <c r="LHD191" s="5"/>
      <c r="LHE191" s="5"/>
      <c r="LHF191" s="5"/>
      <c r="LHG191" s="5"/>
      <c r="LHH191" s="5"/>
      <c r="LHI191" s="5"/>
      <c r="LHJ191" s="5"/>
      <c r="LHK191" s="5"/>
      <c r="LHL191" s="5"/>
      <c r="LHM191" s="5"/>
      <c r="LHN191" s="5"/>
      <c r="LHO191" s="5"/>
      <c r="LHP191" s="5"/>
      <c r="LHQ191" s="5"/>
      <c r="LHR191" s="5"/>
      <c r="LHS191" s="5"/>
      <c r="LHT191" s="5"/>
      <c r="LHU191" s="5"/>
      <c r="LHV191" s="5"/>
      <c r="LHW191" s="5"/>
      <c r="LHX191" s="5"/>
      <c r="LHY191" s="5"/>
      <c r="LHZ191" s="5"/>
      <c r="LIA191" s="5"/>
      <c r="LIB191" s="5"/>
      <c r="LIC191" s="5"/>
      <c r="LID191" s="5"/>
      <c r="LIE191" s="5"/>
      <c r="LIF191" s="5"/>
      <c r="LIG191" s="5"/>
      <c r="LIH191" s="5"/>
      <c r="LII191" s="5"/>
      <c r="LIJ191" s="5"/>
      <c r="LIK191" s="5"/>
      <c r="LIL191" s="5"/>
      <c r="LIM191" s="5"/>
      <c r="LIN191" s="5"/>
      <c r="LIO191" s="5"/>
      <c r="LIP191" s="5"/>
      <c r="LIQ191" s="5"/>
      <c r="LIR191" s="5"/>
      <c r="LIS191" s="5"/>
      <c r="LIT191" s="5"/>
      <c r="LIU191" s="5"/>
      <c r="LIV191" s="5"/>
      <c r="LIW191" s="5"/>
      <c r="LIX191" s="5"/>
      <c r="LIY191" s="5"/>
      <c r="LIZ191" s="5"/>
      <c r="LJA191" s="5"/>
      <c r="LJB191" s="5"/>
      <c r="LJC191" s="5"/>
      <c r="LJD191" s="5"/>
      <c r="LJE191" s="5"/>
      <c r="LJF191" s="5"/>
      <c r="LJG191" s="5"/>
      <c r="LJH191" s="5"/>
      <c r="LJI191" s="5"/>
      <c r="LJJ191" s="5"/>
      <c r="LJK191" s="5"/>
      <c r="LJL191" s="5"/>
      <c r="LJM191" s="5"/>
      <c r="LJN191" s="5"/>
      <c r="LJO191" s="5"/>
      <c r="LJP191" s="5"/>
      <c r="LJQ191" s="5"/>
      <c r="LJR191" s="5"/>
      <c r="LJS191" s="5"/>
      <c r="LJT191" s="5"/>
      <c r="LJU191" s="5"/>
      <c r="LJV191" s="5"/>
      <c r="LJW191" s="5"/>
      <c r="LJX191" s="5"/>
      <c r="LJY191" s="5"/>
      <c r="LJZ191" s="5"/>
      <c r="LKA191" s="5"/>
      <c r="LKB191" s="5"/>
      <c r="LKC191" s="5"/>
      <c r="LKD191" s="5"/>
      <c r="LKE191" s="5"/>
      <c r="LKF191" s="5"/>
      <c r="LKG191" s="5"/>
      <c r="LKH191" s="5"/>
      <c r="LKI191" s="5"/>
      <c r="LKJ191" s="5"/>
      <c r="LKK191" s="5"/>
      <c r="LKL191" s="5"/>
      <c r="LKM191" s="5"/>
      <c r="LKN191" s="5"/>
      <c r="LKO191" s="5"/>
      <c r="LKP191" s="5"/>
      <c r="LKQ191" s="5"/>
      <c r="LKR191" s="5"/>
      <c r="LKS191" s="5"/>
      <c r="LKT191" s="5"/>
      <c r="LKU191" s="5"/>
      <c r="LKV191" s="5"/>
      <c r="LKW191" s="5"/>
      <c r="LKX191" s="5"/>
      <c r="LKY191" s="5"/>
      <c r="LKZ191" s="5"/>
      <c r="LLA191" s="5"/>
      <c r="LLB191" s="5"/>
      <c r="LLC191" s="5"/>
      <c r="LLD191" s="5"/>
      <c r="LLE191" s="5"/>
      <c r="LLF191" s="5"/>
      <c r="LLG191" s="5"/>
      <c r="LLH191" s="5"/>
      <c r="LLI191" s="5"/>
      <c r="LLJ191" s="5"/>
      <c r="LLK191" s="5"/>
      <c r="LLL191" s="5"/>
      <c r="LLM191" s="5"/>
      <c r="LLN191" s="5"/>
      <c r="LLO191" s="5"/>
      <c r="LLP191" s="5"/>
      <c r="LLQ191" s="5"/>
      <c r="LLR191" s="5"/>
      <c r="LLS191" s="5"/>
      <c r="LLT191" s="5"/>
      <c r="LLU191" s="5"/>
      <c r="LLV191" s="5"/>
      <c r="LLW191" s="5"/>
      <c r="LLX191" s="5"/>
      <c r="LLY191" s="5"/>
      <c r="LLZ191" s="5"/>
      <c r="LMA191" s="5"/>
      <c r="LMB191" s="5"/>
      <c r="LMC191" s="5"/>
      <c r="LMD191" s="5"/>
      <c r="LME191" s="5"/>
      <c r="LMF191" s="5"/>
      <c r="LMG191" s="5"/>
      <c r="LMH191" s="5"/>
      <c r="LMI191" s="5"/>
      <c r="LMJ191" s="5"/>
      <c r="LMK191" s="5"/>
      <c r="LML191" s="5"/>
      <c r="LMM191" s="5"/>
      <c r="LMN191" s="5"/>
      <c r="LMO191" s="5"/>
      <c r="LMP191" s="5"/>
      <c r="LMQ191" s="5"/>
      <c r="LMR191" s="5"/>
      <c r="LMS191" s="5"/>
      <c r="LMT191" s="5"/>
      <c r="LMU191" s="5"/>
      <c r="LMV191" s="5"/>
      <c r="LMW191" s="5"/>
      <c r="LMX191" s="5"/>
      <c r="LMY191" s="5"/>
      <c r="LMZ191" s="5"/>
      <c r="LNA191" s="5"/>
      <c r="LNB191" s="5"/>
      <c r="LNC191" s="5"/>
      <c r="LND191" s="5"/>
      <c r="LNE191" s="5"/>
      <c r="LNF191" s="5"/>
      <c r="LNG191" s="5"/>
      <c r="LNH191" s="5"/>
      <c r="LNI191" s="5"/>
      <c r="LNJ191" s="5"/>
      <c r="LNK191" s="5"/>
      <c r="LNL191" s="5"/>
      <c r="LNM191" s="5"/>
      <c r="LNN191" s="5"/>
      <c r="LNO191" s="5"/>
      <c r="LNP191" s="5"/>
      <c r="LNQ191" s="5"/>
      <c r="LNR191" s="5"/>
      <c r="LNS191" s="5"/>
      <c r="LNT191" s="5"/>
      <c r="LNU191" s="5"/>
      <c r="LNV191" s="5"/>
      <c r="LNW191" s="5"/>
      <c r="LNX191" s="5"/>
      <c r="LNY191" s="5"/>
      <c r="LNZ191" s="5"/>
      <c r="LOA191" s="5"/>
      <c r="LOB191" s="5"/>
      <c r="LOC191" s="5"/>
      <c r="LOD191" s="5"/>
      <c r="LOE191" s="5"/>
      <c r="LOF191" s="5"/>
      <c r="LOG191" s="5"/>
      <c r="LOH191" s="5"/>
      <c r="LOI191" s="5"/>
      <c r="LOJ191" s="5"/>
      <c r="LOK191" s="5"/>
      <c r="LOL191" s="5"/>
      <c r="LOM191" s="5"/>
      <c r="LON191" s="5"/>
      <c r="LOO191" s="5"/>
      <c r="LOP191" s="5"/>
      <c r="LOQ191" s="5"/>
      <c r="LOR191" s="5"/>
      <c r="LOS191" s="5"/>
      <c r="LOT191" s="5"/>
      <c r="LOU191" s="5"/>
      <c r="LOV191" s="5"/>
      <c r="LOW191" s="5"/>
      <c r="LOX191" s="5"/>
      <c r="LOY191" s="5"/>
      <c r="LOZ191" s="5"/>
      <c r="LPA191" s="5"/>
      <c r="LPB191" s="5"/>
      <c r="LPC191" s="5"/>
      <c r="LPD191" s="5"/>
      <c r="LPE191" s="5"/>
      <c r="LPF191" s="5"/>
      <c r="LPG191" s="5"/>
      <c r="LPH191" s="5"/>
      <c r="LPI191" s="5"/>
      <c r="LPJ191" s="5"/>
      <c r="LPK191" s="5"/>
      <c r="LPL191" s="5"/>
      <c r="LPM191" s="5"/>
      <c r="LPN191" s="5"/>
      <c r="LPO191" s="5"/>
      <c r="LPP191" s="5"/>
      <c r="LPQ191" s="5"/>
      <c r="LPR191" s="5"/>
      <c r="LPS191" s="5"/>
      <c r="LPT191" s="5"/>
      <c r="LPU191" s="5"/>
      <c r="LPV191" s="5"/>
      <c r="LPW191" s="5"/>
      <c r="LPX191" s="5"/>
      <c r="LPY191" s="5"/>
      <c r="LPZ191" s="5"/>
      <c r="LQA191" s="5"/>
      <c r="LQB191" s="5"/>
      <c r="LQC191" s="5"/>
      <c r="LQD191" s="5"/>
      <c r="LQE191" s="5"/>
      <c r="LQF191" s="5"/>
      <c r="LQG191" s="5"/>
      <c r="LQH191" s="5"/>
      <c r="LQI191" s="5"/>
      <c r="LQJ191" s="5"/>
      <c r="LQK191" s="5"/>
      <c r="LQL191" s="5"/>
      <c r="LQM191" s="5"/>
      <c r="LQN191" s="5"/>
      <c r="LQO191" s="5"/>
      <c r="LQP191" s="5"/>
      <c r="LQQ191" s="5"/>
      <c r="LQR191" s="5"/>
      <c r="LQS191" s="5"/>
      <c r="LQT191" s="5"/>
      <c r="LQU191" s="5"/>
      <c r="LQV191" s="5"/>
      <c r="LQW191" s="5"/>
      <c r="LQX191" s="5"/>
      <c r="LQY191" s="5"/>
      <c r="LQZ191" s="5"/>
      <c r="LRA191" s="5"/>
      <c r="LRB191" s="5"/>
      <c r="LRC191" s="5"/>
      <c r="LRD191" s="5"/>
      <c r="LRE191" s="5"/>
      <c r="LRF191" s="5"/>
      <c r="LRG191" s="5"/>
      <c r="LRH191" s="5"/>
      <c r="LRI191" s="5"/>
      <c r="LRJ191" s="5"/>
      <c r="LRK191" s="5"/>
      <c r="LRL191" s="5"/>
      <c r="LRM191" s="5"/>
      <c r="LRN191" s="5"/>
      <c r="LRO191" s="5"/>
      <c r="LRP191" s="5"/>
      <c r="LRQ191" s="5"/>
      <c r="LRR191" s="5"/>
      <c r="LRS191" s="5"/>
      <c r="LRT191" s="5"/>
      <c r="LRU191" s="5"/>
      <c r="LRV191" s="5"/>
      <c r="LRW191" s="5"/>
      <c r="LRX191" s="5"/>
      <c r="LRY191" s="5"/>
      <c r="LRZ191" s="5"/>
      <c r="LSA191" s="5"/>
      <c r="LSB191" s="5"/>
      <c r="LSC191" s="5"/>
      <c r="LSD191" s="5"/>
      <c r="LSE191" s="5"/>
      <c r="LSF191" s="5"/>
      <c r="LSG191" s="5"/>
      <c r="LSH191" s="5"/>
      <c r="LSI191" s="5"/>
      <c r="LSJ191" s="5"/>
      <c r="LSK191" s="5"/>
      <c r="LSL191" s="5"/>
      <c r="LSM191" s="5"/>
      <c r="LSN191" s="5"/>
      <c r="LSO191" s="5"/>
      <c r="LSP191" s="5"/>
      <c r="LSQ191" s="5"/>
      <c r="LSR191" s="5"/>
      <c r="LSS191" s="5"/>
      <c r="LST191" s="5"/>
      <c r="LSU191" s="5"/>
      <c r="LSV191" s="5"/>
      <c r="LSW191" s="5"/>
      <c r="LSX191" s="5"/>
      <c r="LSY191" s="5"/>
      <c r="LSZ191" s="5"/>
      <c r="LTA191" s="5"/>
      <c r="LTB191" s="5"/>
      <c r="LTC191" s="5"/>
      <c r="LTD191" s="5"/>
      <c r="LTE191" s="5"/>
      <c r="LTF191" s="5"/>
      <c r="LTG191" s="5"/>
      <c r="LTH191" s="5"/>
      <c r="LTI191" s="5"/>
      <c r="LTJ191" s="5"/>
      <c r="LTK191" s="5"/>
      <c r="LTL191" s="5"/>
      <c r="LTM191" s="5"/>
      <c r="LTN191" s="5"/>
      <c r="LTO191" s="5"/>
      <c r="LTP191" s="5"/>
      <c r="LTQ191" s="5"/>
      <c r="LTR191" s="5"/>
      <c r="LTS191" s="5"/>
      <c r="LTT191" s="5"/>
      <c r="LTU191" s="5"/>
      <c r="LTV191" s="5"/>
      <c r="LTW191" s="5"/>
      <c r="LTX191" s="5"/>
      <c r="LTY191" s="5"/>
      <c r="LTZ191" s="5"/>
      <c r="LUA191" s="5"/>
      <c r="LUB191" s="5"/>
      <c r="LUC191" s="5"/>
      <c r="LUD191" s="5"/>
      <c r="LUE191" s="5"/>
      <c r="LUF191" s="5"/>
      <c r="LUG191" s="5"/>
      <c r="LUH191" s="5"/>
      <c r="LUI191" s="5"/>
      <c r="LUJ191" s="5"/>
      <c r="LUK191" s="5"/>
      <c r="LUL191" s="5"/>
      <c r="LUM191" s="5"/>
      <c r="LUN191" s="5"/>
      <c r="LUO191" s="5"/>
      <c r="LUP191" s="5"/>
      <c r="LUQ191" s="5"/>
      <c r="LUR191" s="5"/>
      <c r="LUS191" s="5"/>
      <c r="LUT191" s="5"/>
      <c r="LUU191" s="5"/>
      <c r="LUV191" s="5"/>
      <c r="LUW191" s="5"/>
      <c r="LUX191" s="5"/>
      <c r="LUY191" s="5"/>
      <c r="LUZ191" s="5"/>
      <c r="LVA191" s="5"/>
      <c r="LVB191" s="5"/>
      <c r="LVC191" s="5"/>
      <c r="LVD191" s="5"/>
      <c r="LVE191" s="5"/>
      <c r="LVF191" s="5"/>
      <c r="LVG191" s="5"/>
      <c r="LVH191" s="5"/>
      <c r="LVI191" s="5"/>
      <c r="LVJ191" s="5"/>
      <c r="LVK191" s="5"/>
      <c r="LVL191" s="5"/>
      <c r="LVM191" s="5"/>
      <c r="LVN191" s="5"/>
      <c r="LVO191" s="5"/>
      <c r="LVP191" s="5"/>
      <c r="LVQ191" s="5"/>
      <c r="LVR191" s="5"/>
      <c r="LVS191" s="5"/>
      <c r="LVT191" s="5"/>
      <c r="LVU191" s="5"/>
      <c r="LVV191" s="5"/>
      <c r="LVW191" s="5"/>
      <c r="LVX191" s="5"/>
      <c r="LVY191" s="5"/>
      <c r="LVZ191" s="5"/>
      <c r="LWA191" s="5"/>
      <c r="LWB191" s="5"/>
      <c r="LWC191" s="5"/>
      <c r="LWD191" s="5"/>
      <c r="LWE191" s="5"/>
      <c r="LWF191" s="5"/>
      <c r="LWG191" s="5"/>
      <c r="LWH191" s="5"/>
      <c r="LWI191" s="5"/>
      <c r="LWJ191" s="5"/>
      <c r="LWK191" s="5"/>
      <c r="LWL191" s="5"/>
      <c r="LWM191" s="5"/>
      <c r="LWN191" s="5"/>
      <c r="LWO191" s="5"/>
      <c r="LWP191" s="5"/>
      <c r="LWQ191" s="5"/>
      <c r="LWR191" s="5"/>
      <c r="LWS191" s="5"/>
      <c r="LWT191" s="5"/>
      <c r="LWU191" s="5"/>
      <c r="LWV191" s="5"/>
      <c r="LWW191" s="5"/>
      <c r="LWX191" s="5"/>
      <c r="LWY191" s="5"/>
      <c r="LWZ191" s="5"/>
      <c r="LXA191" s="5"/>
      <c r="LXB191" s="5"/>
      <c r="LXC191" s="5"/>
      <c r="LXD191" s="5"/>
      <c r="LXE191" s="5"/>
      <c r="LXF191" s="5"/>
      <c r="LXG191" s="5"/>
      <c r="LXH191" s="5"/>
      <c r="LXI191" s="5"/>
      <c r="LXJ191" s="5"/>
      <c r="LXK191" s="5"/>
      <c r="LXL191" s="5"/>
      <c r="LXM191" s="5"/>
      <c r="LXN191" s="5"/>
      <c r="LXO191" s="5"/>
      <c r="LXP191" s="5"/>
      <c r="LXQ191" s="5"/>
      <c r="LXR191" s="5"/>
      <c r="LXS191" s="5"/>
      <c r="LXT191" s="5"/>
      <c r="LXU191" s="5"/>
      <c r="LXV191" s="5"/>
      <c r="LXW191" s="5"/>
      <c r="LXX191" s="5"/>
      <c r="LXY191" s="5"/>
      <c r="LXZ191" s="5"/>
      <c r="LYA191" s="5"/>
      <c r="LYB191" s="5"/>
      <c r="LYC191" s="5"/>
      <c r="LYD191" s="5"/>
      <c r="LYE191" s="5"/>
      <c r="LYF191" s="5"/>
      <c r="LYG191" s="5"/>
      <c r="LYH191" s="5"/>
      <c r="LYI191" s="5"/>
      <c r="LYJ191" s="5"/>
      <c r="LYK191" s="5"/>
      <c r="LYL191" s="5"/>
      <c r="LYM191" s="5"/>
      <c r="LYN191" s="5"/>
      <c r="LYO191" s="5"/>
      <c r="LYP191" s="5"/>
      <c r="LYQ191" s="5"/>
      <c r="LYR191" s="5"/>
      <c r="LYS191" s="5"/>
      <c r="LYT191" s="5"/>
      <c r="LYU191" s="5"/>
      <c r="LYV191" s="5"/>
      <c r="LYW191" s="5"/>
      <c r="LYX191" s="5"/>
      <c r="LYY191" s="5"/>
      <c r="LYZ191" s="5"/>
      <c r="LZA191" s="5"/>
      <c r="LZB191" s="5"/>
      <c r="LZC191" s="5"/>
      <c r="LZD191" s="5"/>
      <c r="LZE191" s="5"/>
      <c r="LZF191" s="5"/>
      <c r="LZG191" s="5"/>
      <c r="LZH191" s="5"/>
      <c r="LZI191" s="5"/>
      <c r="LZJ191" s="5"/>
      <c r="LZK191" s="5"/>
      <c r="LZL191" s="5"/>
      <c r="LZM191" s="5"/>
      <c r="LZN191" s="5"/>
      <c r="LZO191" s="5"/>
      <c r="LZP191" s="5"/>
      <c r="LZQ191" s="5"/>
      <c r="LZR191" s="5"/>
      <c r="LZS191" s="5"/>
      <c r="LZT191" s="5"/>
      <c r="LZU191" s="5"/>
      <c r="LZV191" s="5"/>
      <c r="LZW191" s="5"/>
      <c r="LZX191" s="5"/>
      <c r="LZY191" s="5"/>
      <c r="LZZ191" s="5"/>
      <c r="MAA191" s="5"/>
      <c r="MAB191" s="5"/>
      <c r="MAC191" s="5"/>
      <c r="MAD191" s="5"/>
      <c r="MAE191" s="5"/>
      <c r="MAF191" s="5"/>
      <c r="MAG191" s="5"/>
      <c r="MAH191" s="5"/>
      <c r="MAI191" s="5"/>
      <c r="MAJ191" s="5"/>
      <c r="MAK191" s="5"/>
      <c r="MAL191" s="5"/>
      <c r="MAM191" s="5"/>
      <c r="MAN191" s="5"/>
      <c r="MAO191" s="5"/>
      <c r="MAP191" s="5"/>
      <c r="MAQ191" s="5"/>
      <c r="MAR191" s="5"/>
      <c r="MAS191" s="5"/>
      <c r="MAT191" s="5"/>
      <c r="MAU191" s="5"/>
      <c r="MAV191" s="5"/>
      <c r="MAW191" s="5"/>
      <c r="MAX191" s="5"/>
      <c r="MAY191" s="5"/>
      <c r="MAZ191" s="5"/>
      <c r="MBA191" s="5"/>
      <c r="MBB191" s="5"/>
      <c r="MBC191" s="5"/>
      <c r="MBD191" s="5"/>
      <c r="MBE191" s="5"/>
      <c r="MBF191" s="5"/>
      <c r="MBG191" s="5"/>
      <c r="MBH191" s="5"/>
      <c r="MBI191" s="5"/>
      <c r="MBJ191" s="5"/>
      <c r="MBK191" s="5"/>
      <c r="MBL191" s="5"/>
      <c r="MBM191" s="5"/>
      <c r="MBN191" s="5"/>
      <c r="MBO191" s="5"/>
      <c r="MBP191" s="5"/>
      <c r="MBQ191" s="5"/>
      <c r="MBR191" s="5"/>
      <c r="MBS191" s="5"/>
      <c r="MBT191" s="5"/>
      <c r="MBU191" s="5"/>
      <c r="MBV191" s="5"/>
      <c r="MBW191" s="5"/>
      <c r="MBX191" s="5"/>
      <c r="MBY191" s="5"/>
      <c r="MBZ191" s="5"/>
      <c r="MCA191" s="5"/>
      <c r="MCB191" s="5"/>
      <c r="MCC191" s="5"/>
      <c r="MCD191" s="5"/>
      <c r="MCE191" s="5"/>
      <c r="MCF191" s="5"/>
      <c r="MCG191" s="5"/>
      <c r="MCH191" s="5"/>
      <c r="MCI191" s="5"/>
      <c r="MCJ191" s="5"/>
      <c r="MCK191" s="5"/>
      <c r="MCL191" s="5"/>
      <c r="MCM191" s="5"/>
      <c r="MCN191" s="5"/>
      <c r="MCO191" s="5"/>
      <c r="MCP191" s="5"/>
      <c r="MCQ191" s="5"/>
      <c r="MCR191" s="5"/>
      <c r="MCS191" s="5"/>
      <c r="MCT191" s="5"/>
      <c r="MCU191" s="5"/>
      <c r="MCV191" s="5"/>
      <c r="MCW191" s="5"/>
      <c r="MCX191" s="5"/>
      <c r="MCY191" s="5"/>
      <c r="MCZ191" s="5"/>
      <c r="MDA191" s="5"/>
      <c r="MDB191" s="5"/>
      <c r="MDC191" s="5"/>
      <c r="MDD191" s="5"/>
      <c r="MDE191" s="5"/>
      <c r="MDF191" s="5"/>
      <c r="MDG191" s="5"/>
      <c r="MDH191" s="5"/>
      <c r="MDI191" s="5"/>
      <c r="MDJ191" s="5"/>
      <c r="MDK191" s="5"/>
      <c r="MDL191" s="5"/>
      <c r="MDM191" s="5"/>
      <c r="MDN191" s="5"/>
      <c r="MDO191" s="5"/>
      <c r="MDP191" s="5"/>
      <c r="MDQ191" s="5"/>
      <c r="MDR191" s="5"/>
      <c r="MDS191" s="5"/>
      <c r="MDT191" s="5"/>
      <c r="MDU191" s="5"/>
      <c r="MDV191" s="5"/>
      <c r="MDW191" s="5"/>
      <c r="MDX191" s="5"/>
      <c r="MDY191" s="5"/>
      <c r="MDZ191" s="5"/>
      <c r="MEA191" s="5"/>
      <c r="MEB191" s="5"/>
      <c r="MEC191" s="5"/>
      <c r="MED191" s="5"/>
      <c r="MEE191" s="5"/>
      <c r="MEF191" s="5"/>
      <c r="MEG191" s="5"/>
      <c r="MEH191" s="5"/>
      <c r="MEI191" s="5"/>
      <c r="MEJ191" s="5"/>
      <c r="MEK191" s="5"/>
      <c r="MEL191" s="5"/>
      <c r="MEM191" s="5"/>
      <c r="MEN191" s="5"/>
      <c r="MEO191" s="5"/>
      <c r="MEP191" s="5"/>
      <c r="MEQ191" s="5"/>
      <c r="MER191" s="5"/>
      <c r="MES191" s="5"/>
      <c r="MET191" s="5"/>
      <c r="MEU191" s="5"/>
      <c r="MEV191" s="5"/>
      <c r="MEW191" s="5"/>
      <c r="MEX191" s="5"/>
      <c r="MEY191" s="5"/>
      <c r="MEZ191" s="5"/>
      <c r="MFA191" s="5"/>
      <c r="MFB191" s="5"/>
      <c r="MFC191" s="5"/>
      <c r="MFD191" s="5"/>
      <c r="MFE191" s="5"/>
      <c r="MFF191" s="5"/>
      <c r="MFG191" s="5"/>
      <c r="MFH191" s="5"/>
      <c r="MFI191" s="5"/>
      <c r="MFJ191" s="5"/>
      <c r="MFK191" s="5"/>
      <c r="MFL191" s="5"/>
      <c r="MFM191" s="5"/>
      <c r="MFN191" s="5"/>
      <c r="MFO191" s="5"/>
      <c r="MFP191" s="5"/>
      <c r="MFQ191" s="5"/>
      <c r="MFR191" s="5"/>
      <c r="MFS191" s="5"/>
      <c r="MFT191" s="5"/>
      <c r="MFU191" s="5"/>
      <c r="MFV191" s="5"/>
      <c r="MFW191" s="5"/>
      <c r="MFX191" s="5"/>
      <c r="MFY191" s="5"/>
      <c r="MFZ191" s="5"/>
      <c r="MGA191" s="5"/>
      <c r="MGB191" s="5"/>
      <c r="MGC191" s="5"/>
      <c r="MGD191" s="5"/>
      <c r="MGE191" s="5"/>
      <c r="MGF191" s="5"/>
      <c r="MGG191" s="5"/>
      <c r="MGH191" s="5"/>
      <c r="MGI191" s="5"/>
      <c r="MGJ191" s="5"/>
      <c r="MGK191" s="5"/>
      <c r="MGL191" s="5"/>
      <c r="MGM191" s="5"/>
      <c r="MGN191" s="5"/>
      <c r="MGO191" s="5"/>
      <c r="MGP191" s="5"/>
      <c r="MGQ191" s="5"/>
      <c r="MGR191" s="5"/>
      <c r="MGS191" s="5"/>
      <c r="MGT191" s="5"/>
      <c r="MGU191" s="5"/>
      <c r="MGV191" s="5"/>
      <c r="MGW191" s="5"/>
      <c r="MGX191" s="5"/>
      <c r="MGY191" s="5"/>
      <c r="MGZ191" s="5"/>
      <c r="MHA191" s="5"/>
      <c r="MHB191" s="5"/>
      <c r="MHC191" s="5"/>
      <c r="MHD191" s="5"/>
      <c r="MHE191" s="5"/>
      <c r="MHF191" s="5"/>
      <c r="MHG191" s="5"/>
      <c r="MHH191" s="5"/>
      <c r="MHI191" s="5"/>
      <c r="MHJ191" s="5"/>
      <c r="MHK191" s="5"/>
      <c r="MHL191" s="5"/>
      <c r="MHM191" s="5"/>
      <c r="MHN191" s="5"/>
      <c r="MHO191" s="5"/>
      <c r="MHP191" s="5"/>
      <c r="MHQ191" s="5"/>
      <c r="MHR191" s="5"/>
      <c r="MHS191" s="5"/>
      <c r="MHT191" s="5"/>
      <c r="MHU191" s="5"/>
      <c r="MHV191" s="5"/>
      <c r="MHW191" s="5"/>
      <c r="MHX191" s="5"/>
      <c r="MHY191" s="5"/>
      <c r="MHZ191" s="5"/>
      <c r="MIA191" s="5"/>
      <c r="MIB191" s="5"/>
      <c r="MIC191" s="5"/>
      <c r="MID191" s="5"/>
      <c r="MIE191" s="5"/>
      <c r="MIF191" s="5"/>
      <c r="MIG191" s="5"/>
      <c r="MIH191" s="5"/>
      <c r="MII191" s="5"/>
      <c r="MIJ191" s="5"/>
      <c r="MIK191" s="5"/>
      <c r="MIL191" s="5"/>
      <c r="MIM191" s="5"/>
      <c r="MIN191" s="5"/>
      <c r="MIO191" s="5"/>
      <c r="MIP191" s="5"/>
      <c r="MIQ191" s="5"/>
      <c r="MIR191" s="5"/>
      <c r="MIS191" s="5"/>
      <c r="MIT191" s="5"/>
      <c r="MIU191" s="5"/>
      <c r="MIV191" s="5"/>
      <c r="MIW191" s="5"/>
      <c r="MIX191" s="5"/>
      <c r="MIY191" s="5"/>
      <c r="MIZ191" s="5"/>
      <c r="MJA191" s="5"/>
      <c r="MJB191" s="5"/>
      <c r="MJC191" s="5"/>
      <c r="MJD191" s="5"/>
      <c r="MJE191" s="5"/>
      <c r="MJF191" s="5"/>
      <c r="MJG191" s="5"/>
      <c r="MJH191" s="5"/>
      <c r="MJI191" s="5"/>
      <c r="MJJ191" s="5"/>
      <c r="MJK191" s="5"/>
      <c r="MJL191" s="5"/>
      <c r="MJM191" s="5"/>
      <c r="MJN191" s="5"/>
      <c r="MJO191" s="5"/>
      <c r="MJP191" s="5"/>
      <c r="MJQ191" s="5"/>
      <c r="MJR191" s="5"/>
      <c r="MJS191" s="5"/>
      <c r="MJT191" s="5"/>
      <c r="MJU191" s="5"/>
      <c r="MJV191" s="5"/>
      <c r="MJW191" s="5"/>
      <c r="MJX191" s="5"/>
      <c r="MJY191" s="5"/>
      <c r="MJZ191" s="5"/>
      <c r="MKA191" s="5"/>
      <c r="MKB191" s="5"/>
      <c r="MKC191" s="5"/>
      <c r="MKD191" s="5"/>
      <c r="MKE191" s="5"/>
      <c r="MKF191" s="5"/>
      <c r="MKG191" s="5"/>
      <c r="MKH191" s="5"/>
      <c r="MKI191" s="5"/>
      <c r="MKJ191" s="5"/>
      <c r="MKK191" s="5"/>
      <c r="MKL191" s="5"/>
      <c r="MKM191" s="5"/>
      <c r="MKN191" s="5"/>
      <c r="MKO191" s="5"/>
      <c r="MKP191" s="5"/>
      <c r="MKQ191" s="5"/>
      <c r="MKR191" s="5"/>
      <c r="MKS191" s="5"/>
      <c r="MKT191" s="5"/>
      <c r="MKU191" s="5"/>
      <c r="MKV191" s="5"/>
      <c r="MKW191" s="5"/>
      <c r="MKX191" s="5"/>
      <c r="MKY191" s="5"/>
      <c r="MKZ191" s="5"/>
      <c r="MLA191" s="5"/>
      <c r="MLB191" s="5"/>
      <c r="MLC191" s="5"/>
      <c r="MLD191" s="5"/>
      <c r="MLE191" s="5"/>
      <c r="MLF191" s="5"/>
      <c r="MLG191" s="5"/>
      <c r="MLH191" s="5"/>
      <c r="MLI191" s="5"/>
      <c r="MLJ191" s="5"/>
      <c r="MLK191" s="5"/>
      <c r="MLL191" s="5"/>
      <c r="MLM191" s="5"/>
      <c r="MLN191" s="5"/>
      <c r="MLO191" s="5"/>
      <c r="MLP191" s="5"/>
      <c r="MLQ191" s="5"/>
      <c r="MLR191" s="5"/>
      <c r="MLS191" s="5"/>
      <c r="MLT191" s="5"/>
      <c r="MLU191" s="5"/>
      <c r="MLV191" s="5"/>
      <c r="MLW191" s="5"/>
      <c r="MLX191" s="5"/>
      <c r="MLY191" s="5"/>
      <c r="MLZ191" s="5"/>
      <c r="MMA191" s="5"/>
      <c r="MMB191" s="5"/>
      <c r="MMC191" s="5"/>
      <c r="MMD191" s="5"/>
      <c r="MME191" s="5"/>
      <c r="MMF191" s="5"/>
      <c r="MMG191" s="5"/>
      <c r="MMH191" s="5"/>
      <c r="MMI191" s="5"/>
      <c r="MMJ191" s="5"/>
      <c r="MMK191" s="5"/>
      <c r="MML191" s="5"/>
      <c r="MMM191" s="5"/>
      <c r="MMN191" s="5"/>
      <c r="MMO191" s="5"/>
      <c r="MMP191" s="5"/>
      <c r="MMQ191" s="5"/>
      <c r="MMR191" s="5"/>
      <c r="MMS191" s="5"/>
      <c r="MMT191" s="5"/>
      <c r="MMU191" s="5"/>
      <c r="MMV191" s="5"/>
      <c r="MMW191" s="5"/>
      <c r="MMX191" s="5"/>
      <c r="MMY191" s="5"/>
      <c r="MMZ191" s="5"/>
      <c r="MNA191" s="5"/>
      <c r="MNB191" s="5"/>
      <c r="MNC191" s="5"/>
      <c r="MND191" s="5"/>
      <c r="MNE191" s="5"/>
      <c r="MNF191" s="5"/>
      <c r="MNG191" s="5"/>
      <c r="MNH191" s="5"/>
      <c r="MNI191" s="5"/>
      <c r="MNJ191" s="5"/>
      <c r="MNK191" s="5"/>
      <c r="MNL191" s="5"/>
      <c r="MNM191" s="5"/>
      <c r="MNN191" s="5"/>
      <c r="MNO191" s="5"/>
      <c r="MNP191" s="5"/>
      <c r="MNQ191" s="5"/>
      <c r="MNR191" s="5"/>
      <c r="MNS191" s="5"/>
      <c r="MNT191" s="5"/>
      <c r="MNU191" s="5"/>
      <c r="MNV191" s="5"/>
      <c r="MNW191" s="5"/>
      <c r="MNX191" s="5"/>
      <c r="MNY191" s="5"/>
      <c r="MNZ191" s="5"/>
      <c r="MOA191" s="5"/>
      <c r="MOB191" s="5"/>
      <c r="MOC191" s="5"/>
      <c r="MOD191" s="5"/>
      <c r="MOE191" s="5"/>
      <c r="MOF191" s="5"/>
      <c r="MOG191" s="5"/>
      <c r="MOH191" s="5"/>
      <c r="MOI191" s="5"/>
      <c r="MOJ191" s="5"/>
      <c r="MOK191" s="5"/>
      <c r="MOL191" s="5"/>
      <c r="MOM191" s="5"/>
      <c r="MON191" s="5"/>
      <c r="MOO191" s="5"/>
      <c r="MOP191" s="5"/>
      <c r="MOQ191" s="5"/>
      <c r="MOR191" s="5"/>
      <c r="MOS191" s="5"/>
      <c r="MOT191" s="5"/>
      <c r="MOU191" s="5"/>
      <c r="MOV191" s="5"/>
      <c r="MOW191" s="5"/>
      <c r="MOX191" s="5"/>
      <c r="MOY191" s="5"/>
      <c r="MOZ191" s="5"/>
      <c r="MPA191" s="5"/>
      <c r="MPB191" s="5"/>
      <c r="MPC191" s="5"/>
      <c r="MPD191" s="5"/>
      <c r="MPE191" s="5"/>
      <c r="MPF191" s="5"/>
      <c r="MPG191" s="5"/>
      <c r="MPH191" s="5"/>
      <c r="MPI191" s="5"/>
      <c r="MPJ191" s="5"/>
      <c r="MPK191" s="5"/>
      <c r="MPL191" s="5"/>
      <c r="MPM191" s="5"/>
      <c r="MPN191" s="5"/>
      <c r="MPO191" s="5"/>
      <c r="MPP191" s="5"/>
      <c r="MPQ191" s="5"/>
      <c r="MPR191" s="5"/>
      <c r="MPS191" s="5"/>
      <c r="MPT191" s="5"/>
      <c r="MPU191" s="5"/>
      <c r="MPV191" s="5"/>
      <c r="MPW191" s="5"/>
      <c r="MPX191" s="5"/>
      <c r="MPY191" s="5"/>
      <c r="MPZ191" s="5"/>
      <c r="MQA191" s="5"/>
      <c r="MQB191" s="5"/>
      <c r="MQC191" s="5"/>
      <c r="MQD191" s="5"/>
      <c r="MQE191" s="5"/>
      <c r="MQF191" s="5"/>
      <c r="MQG191" s="5"/>
      <c r="MQH191" s="5"/>
      <c r="MQI191" s="5"/>
      <c r="MQJ191" s="5"/>
      <c r="MQK191" s="5"/>
      <c r="MQL191" s="5"/>
      <c r="MQM191" s="5"/>
      <c r="MQN191" s="5"/>
      <c r="MQO191" s="5"/>
      <c r="MQP191" s="5"/>
      <c r="MQQ191" s="5"/>
      <c r="MQR191" s="5"/>
      <c r="MQS191" s="5"/>
      <c r="MQT191" s="5"/>
      <c r="MQU191" s="5"/>
      <c r="MQV191" s="5"/>
      <c r="MQW191" s="5"/>
      <c r="MQX191" s="5"/>
      <c r="MQY191" s="5"/>
      <c r="MQZ191" s="5"/>
      <c r="MRA191" s="5"/>
      <c r="MRB191" s="5"/>
      <c r="MRC191" s="5"/>
      <c r="MRD191" s="5"/>
      <c r="MRE191" s="5"/>
      <c r="MRF191" s="5"/>
      <c r="MRG191" s="5"/>
      <c r="MRH191" s="5"/>
      <c r="MRI191" s="5"/>
      <c r="MRJ191" s="5"/>
      <c r="MRK191" s="5"/>
      <c r="MRL191" s="5"/>
      <c r="MRM191" s="5"/>
      <c r="MRN191" s="5"/>
      <c r="MRO191" s="5"/>
      <c r="MRP191" s="5"/>
      <c r="MRQ191" s="5"/>
      <c r="MRR191" s="5"/>
      <c r="MRS191" s="5"/>
      <c r="MRT191" s="5"/>
      <c r="MRU191" s="5"/>
      <c r="MRV191" s="5"/>
      <c r="MRW191" s="5"/>
      <c r="MRX191" s="5"/>
      <c r="MRY191" s="5"/>
      <c r="MRZ191" s="5"/>
      <c r="MSA191" s="5"/>
      <c r="MSB191" s="5"/>
      <c r="MSC191" s="5"/>
      <c r="MSD191" s="5"/>
      <c r="MSE191" s="5"/>
      <c r="MSF191" s="5"/>
      <c r="MSG191" s="5"/>
      <c r="MSH191" s="5"/>
      <c r="MSI191" s="5"/>
      <c r="MSJ191" s="5"/>
      <c r="MSK191" s="5"/>
      <c r="MSL191" s="5"/>
      <c r="MSM191" s="5"/>
      <c r="MSN191" s="5"/>
      <c r="MSO191" s="5"/>
      <c r="MSP191" s="5"/>
      <c r="MSQ191" s="5"/>
      <c r="MSR191" s="5"/>
      <c r="MSS191" s="5"/>
      <c r="MST191" s="5"/>
      <c r="MSU191" s="5"/>
      <c r="MSV191" s="5"/>
      <c r="MSW191" s="5"/>
      <c r="MSX191" s="5"/>
      <c r="MSY191" s="5"/>
      <c r="MSZ191" s="5"/>
      <c r="MTA191" s="5"/>
      <c r="MTB191" s="5"/>
      <c r="MTC191" s="5"/>
      <c r="MTD191" s="5"/>
      <c r="MTE191" s="5"/>
      <c r="MTF191" s="5"/>
      <c r="MTG191" s="5"/>
      <c r="MTH191" s="5"/>
      <c r="MTI191" s="5"/>
      <c r="MTJ191" s="5"/>
      <c r="MTK191" s="5"/>
      <c r="MTL191" s="5"/>
      <c r="MTM191" s="5"/>
      <c r="MTN191" s="5"/>
      <c r="MTO191" s="5"/>
      <c r="MTP191" s="5"/>
      <c r="MTQ191" s="5"/>
      <c r="MTR191" s="5"/>
      <c r="MTS191" s="5"/>
      <c r="MTT191" s="5"/>
      <c r="MTU191" s="5"/>
      <c r="MTV191" s="5"/>
      <c r="MTW191" s="5"/>
      <c r="MTX191" s="5"/>
      <c r="MTY191" s="5"/>
      <c r="MTZ191" s="5"/>
      <c r="MUA191" s="5"/>
      <c r="MUB191" s="5"/>
      <c r="MUC191" s="5"/>
      <c r="MUD191" s="5"/>
      <c r="MUE191" s="5"/>
      <c r="MUF191" s="5"/>
      <c r="MUG191" s="5"/>
      <c r="MUH191" s="5"/>
      <c r="MUI191" s="5"/>
      <c r="MUJ191" s="5"/>
      <c r="MUK191" s="5"/>
      <c r="MUL191" s="5"/>
      <c r="MUM191" s="5"/>
      <c r="MUN191" s="5"/>
      <c r="MUO191" s="5"/>
      <c r="MUP191" s="5"/>
      <c r="MUQ191" s="5"/>
      <c r="MUR191" s="5"/>
      <c r="MUS191" s="5"/>
      <c r="MUT191" s="5"/>
      <c r="MUU191" s="5"/>
      <c r="MUV191" s="5"/>
      <c r="MUW191" s="5"/>
      <c r="MUX191" s="5"/>
      <c r="MUY191" s="5"/>
      <c r="MUZ191" s="5"/>
      <c r="MVA191" s="5"/>
      <c r="MVB191" s="5"/>
      <c r="MVC191" s="5"/>
      <c r="MVD191" s="5"/>
      <c r="MVE191" s="5"/>
      <c r="MVF191" s="5"/>
      <c r="MVG191" s="5"/>
      <c r="MVH191" s="5"/>
      <c r="MVI191" s="5"/>
      <c r="MVJ191" s="5"/>
      <c r="MVK191" s="5"/>
      <c r="MVL191" s="5"/>
      <c r="MVM191" s="5"/>
      <c r="MVN191" s="5"/>
      <c r="MVO191" s="5"/>
      <c r="MVP191" s="5"/>
      <c r="MVQ191" s="5"/>
      <c r="MVR191" s="5"/>
      <c r="MVS191" s="5"/>
      <c r="MVT191" s="5"/>
      <c r="MVU191" s="5"/>
      <c r="MVV191" s="5"/>
      <c r="MVW191" s="5"/>
      <c r="MVX191" s="5"/>
      <c r="MVY191" s="5"/>
      <c r="MVZ191" s="5"/>
      <c r="MWA191" s="5"/>
      <c r="MWB191" s="5"/>
      <c r="MWC191" s="5"/>
      <c r="MWD191" s="5"/>
      <c r="MWE191" s="5"/>
      <c r="MWF191" s="5"/>
      <c r="MWG191" s="5"/>
      <c r="MWH191" s="5"/>
      <c r="MWI191" s="5"/>
      <c r="MWJ191" s="5"/>
      <c r="MWK191" s="5"/>
      <c r="MWL191" s="5"/>
      <c r="MWM191" s="5"/>
      <c r="MWN191" s="5"/>
      <c r="MWO191" s="5"/>
      <c r="MWP191" s="5"/>
      <c r="MWQ191" s="5"/>
      <c r="MWR191" s="5"/>
      <c r="MWS191" s="5"/>
      <c r="MWT191" s="5"/>
      <c r="MWU191" s="5"/>
      <c r="MWV191" s="5"/>
      <c r="MWW191" s="5"/>
      <c r="MWX191" s="5"/>
      <c r="MWY191" s="5"/>
      <c r="MWZ191" s="5"/>
      <c r="MXA191" s="5"/>
      <c r="MXB191" s="5"/>
      <c r="MXC191" s="5"/>
      <c r="MXD191" s="5"/>
      <c r="MXE191" s="5"/>
      <c r="MXF191" s="5"/>
      <c r="MXG191" s="5"/>
      <c r="MXH191" s="5"/>
      <c r="MXI191" s="5"/>
      <c r="MXJ191" s="5"/>
      <c r="MXK191" s="5"/>
      <c r="MXL191" s="5"/>
      <c r="MXM191" s="5"/>
      <c r="MXN191" s="5"/>
      <c r="MXO191" s="5"/>
      <c r="MXP191" s="5"/>
      <c r="MXQ191" s="5"/>
      <c r="MXR191" s="5"/>
      <c r="MXS191" s="5"/>
      <c r="MXT191" s="5"/>
      <c r="MXU191" s="5"/>
      <c r="MXV191" s="5"/>
      <c r="MXW191" s="5"/>
      <c r="MXX191" s="5"/>
      <c r="MXY191" s="5"/>
      <c r="MXZ191" s="5"/>
      <c r="MYA191" s="5"/>
      <c r="MYB191" s="5"/>
      <c r="MYC191" s="5"/>
      <c r="MYD191" s="5"/>
      <c r="MYE191" s="5"/>
      <c r="MYF191" s="5"/>
      <c r="MYG191" s="5"/>
      <c r="MYH191" s="5"/>
      <c r="MYI191" s="5"/>
      <c r="MYJ191" s="5"/>
      <c r="MYK191" s="5"/>
      <c r="MYL191" s="5"/>
      <c r="MYM191" s="5"/>
      <c r="MYN191" s="5"/>
      <c r="MYO191" s="5"/>
      <c r="MYP191" s="5"/>
      <c r="MYQ191" s="5"/>
      <c r="MYR191" s="5"/>
      <c r="MYS191" s="5"/>
      <c r="MYT191" s="5"/>
      <c r="MYU191" s="5"/>
      <c r="MYV191" s="5"/>
      <c r="MYW191" s="5"/>
      <c r="MYX191" s="5"/>
      <c r="MYY191" s="5"/>
      <c r="MYZ191" s="5"/>
      <c r="MZA191" s="5"/>
      <c r="MZB191" s="5"/>
      <c r="MZC191" s="5"/>
      <c r="MZD191" s="5"/>
      <c r="MZE191" s="5"/>
      <c r="MZF191" s="5"/>
      <c r="MZG191" s="5"/>
      <c r="MZH191" s="5"/>
      <c r="MZI191" s="5"/>
      <c r="MZJ191" s="5"/>
      <c r="MZK191" s="5"/>
      <c r="MZL191" s="5"/>
      <c r="MZM191" s="5"/>
      <c r="MZN191" s="5"/>
      <c r="MZO191" s="5"/>
      <c r="MZP191" s="5"/>
      <c r="MZQ191" s="5"/>
      <c r="MZR191" s="5"/>
      <c r="MZS191" s="5"/>
      <c r="MZT191" s="5"/>
      <c r="MZU191" s="5"/>
      <c r="MZV191" s="5"/>
      <c r="MZW191" s="5"/>
      <c r="MZX191" s="5"/>
      <c r="MZY191" s="5"/>
      <c r="MZZ191" s="5"/>
      <c r="NAA191" s="5"/>
      <c r="NAB191" s="5"/>
      <c r="NAC191" s="5"/>
      <c r="NAD191" s="5"/>
      <c r="NAE191" s="5"/>
      <c r="NAF191" s="5"/>
      <c r="NAG191" s="5"/>
      <c r="NAH191" s="5"/>
      <c r="NAI191" s="5"/>
      <c r="NAJ191" s="5"/>
      <c r="NAK191" s="5"/>
      <c r="NAL191" s="5"/>
      <c r="NAM191" s="5"/>
      <c r="NAN191" s="5"/>
      <c r="NAO191" s="5"/>
      <c r="NAP191" s="5"/>
      <c r="NAQ191" s="5"/>
      <c r="NAR191" s="5"/>
      <c r="NAS191" s="5"/>
      <c r="NAT191" s="5"/>
      <c r="NAU191" s="5"/>
      <c r="NAV191" s="5"/>
      <c r="NAW191" s="5"/>
      <c r="NAX191" s="5"/>
      <c r="NAY191" s="5"/>
      <c r="NAZ191" s="5"/>
      <c r="NBA191" s="5"/>
      <c r="NBB191" s="5"/>
      <c r="NBC191" s="5"/>
      <c r="NBD191" s="5"/>
      <c r="NBE191" s="5"/>
      <c r="NBF191" s="5"/>
      <c r="NBG191" s="5"/>
      <c r="NBH191" s="5"/>
      <c r="NBI191" s="5"/>
      <c r="NBJ191" s="5"/>
      <c r="NBK191" s="5"/>
      <c r="NBL191" s="5"/>
      <c r="NBM191" s="5"/>
      <c r="NBN191" s="5"/>
      <c r="NBO191" s="5"/>
      <c r="NBP191" s="5"/>
      <c r="NBQ191" s="5"/>
      <c r="NBR191" s="5"/>
      <c r="NBS191" s="5"/>
      <c r="NBT191" s="5"/>
      <c r="NBU191" s="5"/>
      <c r="NBV191" s="5"/>
      <c r="NBW191" s="5"/>
      <c r="NBX191" s="5"/>
      <c r="NBY191" s="5"/>
      <c r="NBZ191" s="5"/>
      <c r="NCA191" s="5"/>
      <c r="NCB191" s="5"/>
      <c r="NCC191" s="5"/>
      <c r="NCD191" s="5"/>
      <c r="NCE191" s="5"/>
      <c r="NCF191" s="5"/>
      <c r="NCG191" s="5"/>
      <c r="NCH191" s="5"/>
      <c r="NCI191" s="5"/>
      <c r="NCJ191" s="5"/>
      <c r="NCK191" s="5"/>
      <c r="NCL191" s="5"/>
      <c r="NCM191" s="5"/>
      <c r="NCN191" s="5"/>
      <c r="NCO191" s="5"/>
      <c r="NCP191" s="5"/>
      <c r="NCQ191" s="5"/>
      <c r="NCR191" s="5"/>
      <c r="NCS191" s="5"/>
      <c r="NCT191" s="5"/>
      <c r="NCU191" s="5"/>
      <c r="NCV191" s="5"/>
      <c r="NCW191" s="5"/>
      <c r="NCX191" s="5"/>
      <c r="NCY191" s="5"/>
      <c r="NCZ191" s="5"/>
      <c r="NDA191" s="5"/>
      <c r="NDB191" s="5"/>
      <c r="NDC191" s="5"/>
      <c r="NDD191" s="5"/>
      <c r="NDE191" s="5"/>
      <c r="NDF191" s="5"/>
      <c r="NDG191" s="5"/>
      <c r="NDH191" s="5"/>
      <c r="NDI191" s="5"/>
      <c r="NDJ191" s="5"/>
      <c r="NDK191" s="5"/>
      <c r="NDL191" s="5"/>
      <c r="NDM191" s="5"/>
      <c r="NDN191" s="5"/>
      <c r="NDO191" s="5"/>
      <c r="NDP191" s="5"/>
      <c r="NDQ191" s="5"/>
      <c r="NDR191" s="5"/>
      <c r="NDS191" s="5"/>
      <c r="NDT191" s="5"/>
      <c r="NDU191" s="5"/>
      <c r="NDV191" s="5"/>
      <c r="NDW191" s="5"/>
      <c r="NDX191" s="5"/>
      <c r="NDY191" s="5"/>
      <c r="NDZ191" s="5"/>
      <c r="NEA191" s="5"/>
      <c r="NEB191" s="5"/>
      <c r="NEC191" s="5"/>
      <c r="NED191" s="5"/>
      <c r="NEE191" s="5"/>
      <c r="NEF191" s="5"/>
      <c r="NEG191" s="5"/>
      <c r="NEH191" s="5"/>
      <c r="NEI191" s="5"/>
      <c r="NEJ191" s="5"/>
      <c r="NEK191" s="5"/>
      <c r="NEL191" s="5"/>
      <c r="NEM191" s="5"/>
      <c r="NEN191" s="5"/>
      <c r="NEO191" s="5"/>
      <c r="NEP191" s="5"/>
      <c r="NEQ191" s="5"/>
      <c r="NER191" s="5"/>
      <c r="NES191" s="5"/>
      <c r="NET191" s="5"/>
      <c r="NEU191" s="5"/>
      <c r="NEV191" s="5"/>
      <c r="NEW191" s="5"/>
      <c r="NEX191" s="5"/>
      <c r="NEY191" s="5"/>
      <c r="NEZ191" s="5"/>
      <c r="NFA191" s="5"/>
      <c r="NFB191" s="5"/>
      <c r="NFC191" s="5"/>
      <c r="NFD191" s="5"/>
      <c r="NFE191" s="5"/>
      <c r="NFF191" s="5"/>
      <c r="NFG191" s="5"/>
      <c r="NFH191" s="5"/>
      <c r="NFI191" s="5"/>
      <c r="NFJ191" s="5"/>
      <c r="NFK191" s="5"/>
      <c r="NFL191" s="5"/>
      <c r="NFM191" s="5"/>
      <c r="NFN191" s="5"/>
      <c r="NFO191" s="5"/>
      <c r="NFP191" s="5"/>
      <c r="NFQ191" s="5"/>
      <c r="NFR191" s="5"/>
      <c r="NFS191" s="5"/>
      <c r="NFT191" s="5"/>
      <c r="NFU191" s="5"/>
      <c r="NFV191" s="5"/>
      <c r="NFW191" s="5"/>
      <c r="NFX191" s="5"/>
      <c r="NFY191" s="5"/>
      <c r="NFZ191" s="5"/>
      <c r="NGA191" s="5"/>
      <c r="NGB191" s="5"/>
      <c r="NGC191" s="5"/>
      <c r="NGD191" s="5"/>
      <c r="NGE191" s="5"/>
      <c r="NGF191" s="5"/>
      <c r="NGG191" s="5"/>
      <c r="NGH191" s="5"/>
      <c r="NGI191" s="5"/>
      <c r="NGJ191" s="5"/>
      <c r="NGK191" s="5"/>
      <c r="NGL191" s="5"/>
      <c r="NGM191" s="5"/>
      <c r="NGN191" s="5"/>
      <c r="NGO191" s="5"/>
      <c r="NGP191" s="5"/>
      <c r="NGQ191" s="5"/>
      <c r="NGR191" s="5"/>
      <c r="NGS191" s="5"/>
      <c r="NGT191" s="5"/>
      <c r="NGU191" s="5"/>
      <c r="NGV191" s="5"/>
      <c r="NGW191" s="5"/>
      <c r="NGX191" s="5"/>
      <c r="NGY191" s="5"/>
      <c r="NGZ191" s="5"/>
      <c r="NHA191" s="5"/>
      <c r="NHB191" s="5"/>
      <c r="NHC191" s="5"/>
      <c r="NHD191" s="5"/>
      <c r="NHE191" s="5"/>
      <c r="NHF191" s="5"/>
      <c r="NHG191" s="5"/>
      <c r="NHH191" s="5"/>
      <c r="NHI191" s="5"/>
      <c r="NHJ191" s="5"/>
      <c r="NHK191" s="5"/>
      <c r="NHL191" s="5"/>
      <c r="NHM191" s="5"/>
      <c r="NHN191" s="5"/>
      <c r="NHO191" s="5"/>
      <c r="NHP191" s="5"/>
      <c r="NHQ191" s="5"/>
      <c r="NHR191" s="5"/>
      <c r="NHS191" s="5"/>
      <c r="NHT191" s="5"/>
      <c r="NHU191" s="5"/>
      <c r="NHV191" s="5"/>
      <c r="NHW191" s="5"/>
      <c r="NHX191" s="5"/>
      <c r="NHY191" s="5"/>
      <c r="NHZ191" s="5"/>
      <c r="NIA191" s="5"/>
      <c r="NIB191" s="5"/>
      <c r="NIC191" s="5"/>
      <c r="NID191" s="5"/>
      <c r="NIE191" s="5"/>
      <c r="NIF191" s="5"/>
      <c r="NIG191" s="5"/>
      <c r="NIH191" s="5"/>
      <c r="NII191" s="5"/>
      <c r="NIJ191" s="5"/>
      <c r="NIK191" s="5"/>
      <c r="NIL191" s="5"/>
      <c r="NIM191" s="5"/>
      <c r="NIN191" s="5"/>
      <c r="NIO191" s="5"/>
      <c r="NIP191" s="5"/>
      <c r="NIQ191" s="5"/>
      <c r="NIR191" s="5"/>
      <c r="NIS191" s="5"/>
      <c r="NIT191" s="5"/>
      <c r="NIU191" s="5"/>
      <c r="NIV191" s="5"/>
      <c r="NIW191" s="5"/>
      <c r="NIX191" s="5"/>
      <c r="NIY191" s="5"/>
      <c r="NIZ191" s="5"/>
      <c r="NJA191" s="5"/>
      <c r="NJB191" s="5"/>
      <c r="NJC191" s="5"/>
      <c r="NJD191" s="5"/>
      <c r="NJE191" s="5"/>
      <c r="NJF191" s="5"/>
      <c r="NJG191" s="5"/>
      <c r="NJH191" s="5"/>
      <c r="NJI191" s="5"/>
      <c r="NJJ191" s="5"/>
      <c r="NJK191" s="5"/>
      <c r="NJL191" s="5"/>
      <c r="NJM191" s="5"/>
      <c r="NJN191" s="5"/>
      <c r="NJO191" s="5"/>
      <c r="NJP191" s="5"/>
      <c r="NJQ191" s="5"/>
      <c r="NJR191" s="5"/>
      <c r="NJS191" s="5"/>
      <c r="NJT191" s="5"/>
      <c r="NJU191" s="5"/>
      <c r="NJV191" s="5"/>
      <c r="NJW191" s="5"/>
      <c r="NJX191" s="5"/>
      <c r="NJY191" s="5"/>
      <c r="NJZ191" s="5"/>
      <c r="NKA191" s="5"/>
      <c r="NKB191" s="5"/>
      <c r="NKC191" s="5"/>
      <c r="NKD191" s="5"/>
      <c r="NKE191" s="5"/>
      <c r="NKF191" s="5"/>
      <c r="NKG191" s="5"/>
      <c r="NKH191" s="5"/>
      <c r="NKI191" s="5"/>
      <c r="NKJ191" s="5"/>
      <c r="NKK191" s="5"/>
      <c r="NKL191" s="5"/>
      <c r="NKM191" s="5"/>
      <c r="NKN191" s="5"/>
      <c r="NKO191" s="5"/>
      <c r="NKP191" s="5"/>
      <c r="NKQ191" s="5"/>
      <c r="NKR191" s="5"/>
      <c r="NKS191" s="5"/>
      <c r="NKT191" s="5"/>
      <c r="NKU191" s="5"/>
      <c r="NKV191" s="5"/>
      <c r="NKW191" s="5"/>
      <c r="NKX191" s="5"/>
      <c r="NKY191" s="5"/>
      <c r="NKZ191" s="5"/>
      <c r="NLA191" s="5"/>
      <c r="NLB191" s="5"/>
      <c r="NLC191" s="5"/>
      <c r="NLD191" s="5"/>
      <c r="NLE191" s="5"/>
      <c r="NLF191" s="5"/>
      <c r="NLG191" s="5"/>
      <c r="NLH191" s="5"/>
      <c r="NLI191" s="5"/>
      <c r="NLJ191" s="5"/>
      <c r="NLK191" s="5"/>
      <c r="NLL191" s="5"/>
      <c r="NLM191" s="5"/>
      <c r="NLN191" s="5"/>
      <c r="NLO191" s="5"/>
      <c r="NLP191" s="5"/>
      <c r="NLQ191" s="5"/>
      <c r="NLR191" s="5"/>
      <c r="NLS191" s="5"/>
      <c r="NLT191" s="5"/>
      <c r="NLU191" s="5"/>
      <c r="NLV191" s="5"/>
      <c r="NLW191" s="5"/>
      <c r="NLX191" s="5"/>
      <c r="NLY191" s="5"/>
      <c r="NLZ191" s="5"/>
      <c r="NMA191" s="5"/>
      <c r="NMB191" s="5"/>
      <c r="NMC191" s="5"/>
      <c r="NMD191" s="5"/>
      <c r="NME191" s="5"/>
      <c r="NMF191" s="5"/>
      <c r="NMG191" s="5"/>
      <c r="NMH191" s="5"/>
      <c r="NMI191" s="5"/>
      <c r="NMJ191" s="5"/>
      <c r="NMK191" s="5"/>
      <c r="NML191" s="5"/>
      <c r="NMM191" s="5"/>
      <c r="NMN191" s="5"/>
      <c r="NMO191" s="5"/>
      <c r="NMP191" s="5"/>
      <c r="NMQ191" s="5"/>
      <c r="NMR191" s="5"/>
      <c r="NMS191" s="5"/>
      <c r="NMT191" s="5"/>
      <c r="NMU191" s="5"/>
      <c r="NMV191" s="5"/>
      <c r="NMW191" s="5"/>
      <c r="NMX191" s="5"/>
      <c r="NMY191" s="5"/>
      <c r="NMZ191" s="5"/>
      <c r="NNA191" s="5"/>
      <c r="NNB191" s="5"/>
      <c r="NNC191" s="5"/>
      <c r="NND191" s="5"/>
      <c r="NNE191" s="5"/>
      <c r="NNF191" s="5"/>
      <c r="NNG191" s="5"/>
      <c r="NNH191" s="5"/>
      <c r="NNI191" s="5"/>
      <c r="NNJ191" s="5"/>
      <c r="NNK191" s="5"/>
      <c r="NNL191" s="5"/>
      <c r="NNM191" s="5"/>
      <c r="NNN191" s="5"/>
      <c r="NNO191" s="5"/>
      <c r="NNP191" s="5"/>
      <c r="NNQ191" s="5"/>
      <c r="NNR191" s="5"/>
      <c r="NNS191" s="5"/>
      <c r="NNT191" s="5"/>
      <c r="NNU191" s="5"/>
      <c r="NNV191" s="5"/>
      <c r="NNW191" s="5"/>
      <c r="NNX191" s="5"/>
      <c r="NNY191" s="5"/>
      <c r="NNZ191" s="5"/>
      <c r="NOA191" s="5"/>
      <c r="NOB191" s="5"/>
      <c r="NOC191" s="5"/>
      <c r="NOD191" s="5"/>
      <c r="NOE191" s="5"/>
      <c r="NOF191" s="5"/>
      <c r="NOG191" s="5"/>
      <c r="NOH191" s="5"/>
      <c r="NOI191" s="5"/>
      <c r="NOJ191" s="5"/>
      <c r="NOK191" s="5"/>
      <c r="NOL191" s="5"/>
      <c r="NOM191" s="5"/>
      <c r="NON191" s="5"/>
      <c r="NOO191" s="5"/>
      <c r="NOP191" s="5"/>
      <c r="NOQ191" s="5"/>
      <c r="NOR191" s="5"/>
      <c r="NOS191" s="5"/>
      <c r="NOT191" s="5"/>
      <c r="NOU191" s="5"/>
      <c r="NOV191" s="5"/>
      <c r="NOW191" s="5"/>
      <c r="NOX191" s="5"/>
      <c r="NOY191" s="5"/>
      <c r="NOZ191" s="5"/>
      <c r="NPA191" s="5"/>
      <c r="NPB191" s="5"/>
      <c r="NPC191" s="5"/>
      <c r="NPD191" s="5"/>
      <c r="NPE191" s="5"/>
      <c r="NPF191" s="5"/>
      <c r="NPG191" s="5"/>
      <c r="NPH191" s="5"/>
      <c r="NPI191" s="5"/>
      <c r="NPJ191" s="5"/>
      <c r="NPK191" s="5"/>
      <c r="NPL191" s="5"/>
      <c r="NPM191" s="5"/>
      <c r="NPN191" s="5"/>
      <c r="NPO191" s="5"/>
      <c r="NPP191" s="5"/>
      <c r="NPQ191" s="5"/>
      <c r="NPR191" s="5"/>
      <c r="NPS191" s="5"/>
      <c r="NPT191" s="5"/>
      <c r="NPU191" s="5"/>
      <c r="NPV191" s="5"/>
      <c r="NPW191" s="5"/>
      <c r="NPX191" s="5"/>
      <c r="NPY191" s="5"/>
      <c r="NPZ191" s="5"/>
      <c r="NQA191" s="5"/>
      <c r="NQB191" s="5"/>
      <c r="NQC191" s="5"/>
      <c r="NQD191" s="5"/>
      <c r="NQE191" s="5"/>
      <c r="NQF191" s="5"/>
      <c r="NQG191" s="5"/>
      <c r="NQH191" s="5"/>
      <c r="NQI191" s="5"/>
      <c r="NQJ191" s="5"/>
      <c r="NQK191" s="5"/>
      <c r="NQL191" s="5"/>
      <c r="NQM191" s="5"/>
      <c r="NQN191" s="5"/>
      <c r="NQO191" s="5"/>
      <c r="NQP191" s="5"/>
      <c r="NQQ191" s="5"/>
      <c r="NQR191" s="5"/>
      <c r="NQS191" s="5"/>
      <c r="NQT191" s="5"/>
      <c r="NQU191" s="5"/>
      <c r="NQV191" s="5"/>
      <c r="NQW191" s="5"/>
      <c r="NQX191" s="5"/>
      <c r="NQY191" s="5"/>
      <c r="NQZ191" s="5"/>
      <c r="NRA191" s="5"/>
      <c r="NRB191" s="5"/>
      <c r="NRC191" s="5"/>
      <c r="NRD191" s="5"/>
      <c r="NRE191" s="5"/>
      <c r="NRF191" s="5"/>
      <c r="NRG191" s="5"/>
      <c r="NRH191" s="5"/>
      <c r="NRI191" s="5"/>
      <c r="NRJ191" s="5"/>
      <c r="NRK191" s="5"/>
      <c r="NRL191" s="5"/>
      <c r="NRM191" s="5"/>
      <c r="NRN191" s="5"/>
      <c r="NRO191" s="5"/>
      <c r="NRP191" s="5"/>
      <c r="NRQ191" s="5"/>
      <c r="NRR191" s="5"/>
      <c r="NRS191" s="5"/>
      <c r="NRT191" s="5"/>
      <c r="NRU191" s="5"/>
      <c r="NRV191" s="5"/>
      <c r="NRW191" s="5"/>
      <c r="NRX191" s="5"/>
      <c r="NRY191" s="5"/>
      <c r="NRZ191" s="5"/>
      <c r="NSA191" s="5"/>
      <c r="NSB191" s="5"/>
      <c r="NSC191" s="5"/>
      <c r="NSD191" s="5"/>
      <c r="NSE191" s="5"/>
      <c r="NSF191" s="5"/>
      <c r="NSG191" s="5"/>
      <c r="NSH191" s="5"/>
      <c r="NSI191" s="5"/>
      <c r="NSJ191" s="5"/>
      <c r="NSK191" s="5"/>
      <c r="NSL191" s="5"/>
      <c r="NSM191" s="5"/>
      <c r="NSN191" s="5"/>
      <c r="NSO191" s="5"/>
      <c r="NSP191" s="5"/>
      <c r="NSQ191" s="5"/>
      <c r="NSR191" s="5"/>
      <c r="NSS191" s="5"/>
      <c r="NST191" s="5"/>
      <c r="NSU191" s="5"/>
      <c r="NSV191" s="5"/>
      <c r="NSW191" s="5"/>
      <c r="NSX191" s="5"/>
      <c r="NSY191" s="5"/>
      <c r="NSZ191" s="5"/>
      <c r="NTA191" s="5"/>
      <c r="NTB191" s="5"/>
      <c r="NTC191" s="5"/>
      <c r="NTD191" s="5"/>
      <c r="NTE191" s="5"/>
      <c r="NTF191" s="5"/>
      <c r="NTG191" s="5"/>
      <c r="NTH191" s="5"/>
      <c r="NTI191" s="5"/>
      <c r="NTJ191" s="5"/>
      <c r="NTK191" s="5"/>
      <c r="NTL191" s="5"/>
      <c r="NTM191" s="5"/>
      <c r="NTN191" s="5"/>
      <c r="NTO191" s="5"/>
      <c r="NTP191" s="5"/>
      <c r="NTQ191" s="5"/>
      <c r="NTR191" s="5"/>
      <c r="NTS191" s="5"/>
      <c r="NTT191" s="5"/>
      <c r="NTU191" s="5"/>
      <c r="NTV191" s="5"/>
      <c r="NTW191" s="5"/>
      <c r="NTX191" s="5"/>
      <c r="NTY191" s="5"/>
      <c r="NTZ191" s="5"/>
      <c r="NUA191" s="5"/>
      <c r="NUB191" s="5"/>
      <c r="NUC191" s="5"/>
      <c r="NUD191" s="5"/>
      <c r="NUE191" s="5"/>
      <c r="NUF191" s="5"/>
      <c r="NUG191" s="5"/>
      <c r="NUH191" s="5"/>
      <c r="NUI191" s="5"/>
      <c r="NUJ191" s="5"/>
      <c r="NUK191" s="5"/>
      <c r="NUL191" s="5"/>
      <c r="NUM191" s="5"/>
      <c r="NUN191" s="5"/>
      <c r="NUO191" s="5"/>
      <c r="NUP191" s="5"/>
      <c r="NUQ191" s="5"/>
      <c r="NUR191" s="5"/>
      <c r="NUS191" s="5"/>
      <c r="NUT191" s="5"/>
      <c r="NUU191" s="5"/>
      <c r="NUV191" s="5"/>
      <c r="NUW191" s="5"/>
      <c r="NUX191" s="5"/>
      <c r="NUY191" s="5"/>
      <c r="NUZ191" s="5"/>
      <c r="NVA191" s="5"/>
      <c r="NVB191" s="5"/>
      <c r="NVC191" s="5"/>
      <c r="NVD191" s="5"/>
      <c r="NVE191" s="5"/>
      <c r="NVF191" s="5"/>
      <c r="NVG191" s="5"/>
      <c r="NVH191" s="5"/>
      <c r="NVI191" s="5"/>
      <c r="NVJ191" s="5"/>
      <c r="NVK191" s="5"/>
      <c r="NVL191" s="5"/>
      <c r="NVM191" s="5"/>
      <c r="NVN191" s="5"/>
      <c r="NVO191" s="5"/>
      <c r="NVP191" s="5"/>
      <c r="NVQ191" s="5"/>
      <c r="NVR191" s="5"/>
      <c r="NVS191" s="5"/>
      <c r="NVT191" s="5"/>
      <c r="NVU191" s="5"/>
      <c r="NVV191" s="5"/>
      <c r="NVW191" s="5"/>
      <c r="NVX191" s="5"/>
      <c r="NVY191" s="5"/>
      <c r="NVZ191" s="5"/>
      <c r="NWA191" s="5"/>
      <c r="NWB191" s="5"/>
      <c r="NWC191" s="5"/>
      <c r="NWD191" s="5"/>
      <c r="NWE191" s="5"/>
      <c r="NWF191" s="5"/>
      <c r="NWG191" s="5"/>
      <c r="NWH191" s="5"/>
      <c r="NWI191" s="5"/>
      <c r="NWJ191" s="5"/>
      <c r="NWK191" s="5"/>
      <c r="NWL191" s="5"/>
      <c r="NWM191" s="5"/>
      <c r="NWN191" s="5"/>
      <c r="NWO191" s="5"/>
      <c r="NWP191" s="5"/>
      <c r="NWQ191" s="5"/>
      <c r="NWR191" s="5"/>
      <c r="NWS191" s="5"/>
      <c r="NWT191" s="5"/>
      <c r="NWU191" s="5"/>
      <c r="NWV191" s="5"/>
      <c r="NWW191" s="5"/>
      <c r="NWX191" s="5"/>
      <c r="NWY191" s="5"/>
      <c r="NWZ191" s="5"/>
      <c r="NXA191" s="5"/>
      <c r="NXB191" s="5"/>
      <c r="NXC191" s="5"/>
      <c r="NXD191" s="5"/>
      <c r="NXE191" s="5"/>
      <c r="NXF191" s="5"/>
      <c r="NXG191" s="5"/>
      <c r="NXH191" s="5"/>
      <c r="NXI191" s="5"/>
      <c r="NXJ191" s="5"/>
      <c r="NXK191" s="5"/>
      <c r="NXL191" s="5"/>
      <c r="NXM191" s="5"/>
      <c r="NXN191" s="5"/>
      <c r="NXO191" s="5"/>
      <c r="NXP191" s="5"/>
      <c r="NXQ191" s="5"/>
      <c r="NXR191" s="5"/>
      <c r="NXS191" s="5"/>
      <c r="NXT191" s="5"/>
      <c r="NXU191" s="5"/>
      <c r="NXV191" s="5"/>
      <c r="NXW191" s="5"/>
      <c r="NXX191" s="5"/>
      <c r="NXY191" s="5"/>
      <c r="NXZ191" s="5"/>
      <c r="NYA191" s="5"/>
      <c r="NYB191" s="5"/>
      <c r="NYC191" s="5"/>
      <c r="NYD191" s="5"/>
      <c r="NYE191" s="5"/>
      <c r="NYF191" s="5"/>
      <c r="NYG191" s="5"/>
      <c r="NYH191" s="5"/>
      <c r="NYI191" s="5"/>
      <c r="NYJ191" s="5"/>
      <c r="NYK191" s="5"/>
      <c r="NYL191" s="5"/>
      <c r="NYM191" s="5"/>
      <c r="NYN191" s="5"/>
      <c r="NYO191" s="5"/>
      <c r="NYP191" s="5"/>
      <c r="NYQ191" s="5"/>
      <c r="NYR191" s="5"/>
      <c r="NYS191" s="5"/>
      <c r="NYT191" s="5"/>
      <c r="NYU191" s="5"/>
      <c r="NYV191" s="5"/>
      <c r="NYW191" s="5"/>
      <c r="NYX191" s="5"/>
      <c r="NYY191" s="5"/>
      <c r="NYZ191" s="5"/>
      <c r="NZA191" s="5"/>
      <c r="NZB191" s="5"/>
      <c r="NZC191" s="5"/>
      <c r="NZD191" s="5"/>
      <c r="NZE191" s="5"/>
      <c r="NZF191" s="5"/>
      <c r="NZG191" s="5"/>
      <c r="NZH191" s="5"/>
      <c r="NZI191" s="5"/>
      <c r="NZJ191" s="5"/>
      <c r="NZK191" s="5"/>
      <c r="NZL191" s="5"/>
      <c r="NZM191" s="5"/>
      <c r="NZN191" s="5"/>
      <c r="NZO191" s="5"/>
      <c r="NZP191" s="5"/>
      <c r="NZQ191" s="5"/>
      <c r="NZR191" s="5"/>
      <c r="NZS191" s="5"/>
      <c r="NZT191" s="5"/>
      <c r="NZU191" s="5"/>
      <c r="NZV191" s="5"/>
      <c r="NZW191" s="5"/>
      <c r="NZX191" s="5"/>
      <c r="NZY191" s="5"/>
      <c r="NZZ191" s="5"/>
      <c r="OAA191" s="5"/>
      <c r="OAB191" s="5"/>
      <c r="OAC191" s="5"/>
      <c r="OAD191" s="5"/>
      <c r="OAE191" s="5"/>
      <c r="OAF191" s="5"/>
      <c r="OAG191" s="5"/>
      <c r="OAH191" s="5"/>
      <c r="OAI191" s="5"/>
      <c r="OAJ191" s="5"/>
      <c r="OAK191" s="5"/>
      <c r="OAL191" s="5"/>
      <c r="OAM191" s="5"/>
      <c r="OAN191" s="5"/>
      <c r="OAO191" s="5"/>
      <c r="OAP191" s="5"/>
      <c r="OAQ191" s="5"/>
      <c r="OAR191" s="5"/>
      <c r="OAS191" s="5"/>
      <c r="OAT191" s="5"/>
      <c r="OAU191" s="5"/>
      <c r="OAV191" s="5"/>
      <c r="OAW191" s="5"/>
      <c r="OAX191" s="5"/>
      <c r="OAY191" s="5"/>
      <c r="OAZ191" s="5"/>
      <c r="OBA191" s="5"/>
      <c r="OBB191" s="5"/>
      <c r="OBC191" s="5"/>
      <c r="OBD191" s="5"/>
      <c r="OBE191" s="5"/>
      <c r="OBF191" s="5"/>
      <c r="OBG191" s="5"/>
      <c r="OBH191" s="5"/>
      <c r="OBI191" s="5"/>
      <c r="OBJ191" s="5"/>
      <c r="OBK191" s="5"/>
      <c r="OBL191" s="5"/>
      <c r="OBM191" s="5"/>
      <c r="OBN191" s="5"/>
      <c r="OBO191" s="5"/>
      <c r="OBP191" s="5"/>
      <c r="OBQ191" s="5"/>
      <c r="OBR191" s="5"/>
      <c r="OBS191" s="5"/>
      <c r="OBT191" s="5"/>
      <c r="OBU191" s="5"/>
      <c r="OBV191" s="5"/>
      <c r="OBW191" s="5"/>
      <c r="OBX191" s="5"/>
      <c r="OBY191" s="5"/>
      <c r="OBZ191" s="5"/>
      <c r="OCA191" s="5"/>
      <c r="OCB191" s="5"/>
      <c r="OCC191" s="5"/>
      <c r="OCD191" s="5"/>
      <c r="OCE191" s="5"/>
      <c r="OCF191" s="5"/>
      <c r="OCG191" s="5"/>
      <c r="OCH191" s="5"/>
      <c r="OCI191" s="5"/>
      <c r="OCJ191" s="5"/>
      <c r="OCK191" s="5"/>
      <c r="OCL191" s="5"/>
      <c r="OCM191" s="5"/>
      <c r="OCN191" s="5"/>
      <c r="OCO191" s="5"/>
      <c r="OCP191" s="5"/>
      <c r="OCQ191" s="5"/>
      <c r="OCR191" s="5"/>
      <c r="OCS191" s="5"/>
      <c r="OCT191" s="5"/>
      <c r="OCU191" s="5"/>
      <c r="OCV191" s="5"/>
      <c r="OCW191" s="5"/>
      <c r="OCX191" s="5"/>
      <c r="OCY191" s="5"/>
      <c r="OCZ191" s="5"/>
      <c r="ODA191" s="5"/>
      <c r="ODB191" s="5"/>
      <c r="ODC191" s="5"/>
      <c r="ODD191" s="5"/>
      <c r="ODE191" s="5"/>
      <c r="ODF191" s="5"/>
      <c r="ODG191" s="5"/>
      <c r="ODH191" s="5"/>
      <c r="ODI191" s="5"/>
      <c r="ODJ191" s="5"/>
      <c r="ODK191" s="5"/>
      <c r="ODL191" s="5"/>
      <c r="ODM191" s="5"/>
      <c r="ODN191" s="5"/>
      <c r="ODO191" s="5"/>
      <c r="ODP191" s="5"/>
      <c r="ODQ191" s="5"/>
      <c r="ODR191" s="5"/>
      <c r="ODS191" s="5"/>
      <c r="ODT191" s="5"/>
      <c r="ODU191" s="5"/>
      <c r="ODV191" s="5"/>
      <c r="ODW191" s="5"/>
      <c r="ODX191" s="5"/>
      <c r="ODY191" s="5"/>
      <c r="ODZ191" s="5"/>
      <c r="OEA191" s="5"/>
      <c r="OEB191" s="5"/>
      <c r="OEC191" s="5"/>
      <c r="OED191" s="5"/>
      <c r="OEE191" s="5"/>
      <c r="OEF191" s="5"/>
      <c r="OEG191" s="5"/>
      <c r="OEH191" s="5"/>
      <c r="OEI191" s="5"/>
      <c r="OEJ191" s="5"/>
      <c r="OEK191" s="5"/>
      <c r="OEL191" s="5"/>
      <c r="OEM191" s="5"/>
      <c r="OEN191" s="5"/>
      <c r="OEO191" s="5"/>
      <c r="OEP191" s="5"/>
      <c r="OEQ191" s="5"/>
      <c r="OER191" s="5"/>
      <c r="OES191" s="5"/>
      <c r="OET191" s="5"/>
      <c r="OEU191" s="5"/>
      <c r="OEV191" s="5"/>
      <c r="OEW191" s="5"/>
      <c r="OEX191" s="5"/>
      <c r="OEY191" s="5"/>
      <c r="OEZ191" s="5"/>
      <c r="OFA191" s="5"/>
      <c r="OFB191" s="5"/>
      <c r="OFC191" s="5"/>
      <c r="OFD191" s="5"/>
      <c r="OFE191" s="5"/>
      <c r="OFF191" s="5"/>
      <c r="OFG191" s="5"/>
      <c r="OFH191" s="5"/>
      <c r="OFI191" s="5"/>
      <c r="OFJ191" s="5"/>
      <c r="OFK191" s="5"/>
      <c r="OFL191" s="5"/>
      <c r="OFM191" s="5"/>
      <c r="OFN191" s="5"/>
      <c r="OFO191" s="5"/>
      <c r="OFP191" s="5"/>
      <c r="OFQ191" s="5"/>
      <c r="OFR191" s="5"/>
      <c r="OFS191" s="5"/>
      <c r="OFT191" s="5"/>
      <c r="OFU191" s="5"/>
      <c r="OFV191" s="5"/>
      <c r="OFW191" s="5"/>
      <c r="OFX191" s="5"/>
      <c r="OFY191" s="5"/>
      <c r="OFZ191" s="5"/>
      <c r="OGA191" s="5"/>
      <c r="OGB191" s="5"/>
      <c r="OGC191" s="5"/>
      <c r="OGD191" s="5"/>
      <c r="OGE191" s="5"/>
      <c r="OGF191" s="5"/>
      <c r="OGG191" s="5"/>
      <c r="OGH191" s="5"/>
      <c r="OGI191" s="5"/>
      <c r="OGJ191" s="5"/>
      <c r="OGK191" s="5"/>
      <c r="OGL191" s="5"/>
      <c r="OGM191" s="5"/>
      <c r="OGN191" s="5"/>
      <c r="OGO191" s="5"/>
      <c r="OGP191" s="5"/>
      <c r="OGQ191" s="5"/>
      <c r="OGR191" s="5"/>
      <c r="OGS191" s="5"/>
      <c r="OGT191" s="5"/>
      <c r="OGU191" s="5"/>
      <c r="OGV191" s="5"/>
      <c r="OGW191" s="5"/>
      <c r="OGX191" s="5"/>
      <c r="OGY191" s="5"/>
      <c r="OGZ191" s="5"/>
      <c r="OHA191" s="5"/>
      <c r="OHB191" s="5"/>
      <c r="OHC191" s="5"/>
      <c r="OHD191" s="5"/>
      <c r="OHE191" s="5"/>
      <c r="OHF191" s="5"/>
      <c r="OHG191" s="5"/>
      <c r="OHH191" s="5"/>
      <c r="OHI191" s="5"/>
      <c r="OHJ191" s="5"/>
      <c r="OHK191" s="5"/>
      <c r="OHL191" s="5"/>
      <c r="OHM191" s="5"/>
      <c r="OHN191" s="5"/>
      <c r="OHO191" s="5"/>
      <c r="OHP191" s="5"/>
      <c r="OHQ191" s="5"/>
      <c r="OHR191" s="5"/>
      <c r="OHS191" s="5"/>
      <c r="OHT191" s="5"/>
      <c r="OHU191" s="5"/>
      <c r="OHV191" s="5"/>
      <c r="OHW191" s="5"/>
      <c r="OHX191" s="5"/>
      <c r="OHY191" s="5"/>
      <c r="OHZ191" s="5"/>
      <c r="OIA191" s="5"/>
      <c r="OIB191" s="5"/>
      <c r="OIC191" s="5"/>
      <c r="OID191" s="5"/>
      <c r="OIE191" s="5"/>
      <c r="OIF191" s="5"/>
      <c r="OIG191" s="5"/>
      <c r="OIH191" s="5"/>
      <c r="OII191" s="5"/>
      <c r="OIJ191" s="5"/>
      <c r="OIK191" s="5"/>
      <c r="OIL191" s="5"/>
      <c r="OIM191" s="5"/>
      <c r="OIN191" s="5"/>
      <c r="OIO191" s="5"/>
      <c r="OIP191" s="5"/>
      <c r="OIQ191" s="5"/>
      <c r="OIR191" s="5"/>
      <c r="OIS191" s="5"/>
      <c r="OIT191" s="5"/>
      <c r="OIU191" s="5"/>
      <c r="OIV191" s="5"/>
      <c r="OIW191" s="5"/>
      <c r="OIX191" s="5"/>
      <c r="OIY191" s="5"/>
      <c r="OIZ191" s="5"/>
      <c r="OJA191" s="5"/>
      <c r="OJB191" s="5"/>
      <c r="OJC191" s="5"/>
      <c r="OJD191" s="5"/>
      <c r="OJE191" s="5"/>
      <c r="OJF191" s="5"/>
      <c r="OJG191" s="5"/>
      <c r="OJH191" s="5"/>
      <c r="OJI191" s="5"/>
      <c r="OJJ191" s="5"/>
      <c r="OJK191" s="5"/>
      <c r="OJL191" s="5"/>
      <c r="OJM191" s="5"/>
      <c r="OJN191" s="5"/>
      <c r="OJO191" s="5"/>
      <c r="OJP191" s="5"/>
      <c r="OJQ191" s="5"/>
      <c r="OJR191" s="5"/>
      <c r="OJS191" s="5"/>
      <c r="OJT191" s="5"/>
      <c r="OJU191" s="5"/>
      <c r="OJV191" s="5"/>
      <c r="OJW191" s="5"/>
      <c r="OJX191" s="5"/>
      <c r="OJY191" s="5"/>
      <c r="OJZ191" s="5"/>
      <c r="OKA191" s="5"/>
      <c r="OKB191" s="5"/>
      <c r="OKC191" s="5"/>
      <c r="OKD191" s="5"/>
      <c r="OKE191" s="5"/>
      <c r="OKF191" s="5"/>
      <c r="OKG191" s="5"/>
      <c r="OKH191" s="5"/>
      <c r="OKI191" s="5"/>
      <c r="OKJ191" s="5"/>
      <c r="OKK191" s="5"/>
      <c r="OKL191" s="5"/>
      <c r="OKM191" s="5"/>
      <c r="OKN191" s="5"/>
      <c r="OKO191" s="5"/>
      <c r="OKP191" s="5"/>
      <c r="OKQ191" s="5"/>
      <c r="OKR191" s="5"/>
      <c r="OKS191" s="5"/>
      <c r="OKT191" s="5"/>
      <c r="OKU191" s="5"/>
      <c r="OKV191" s="5"/>
      <c r="OKW191" s="5"/>
      <c r="OKX191" s="5"/>
      <c r="OKY191" s="5"/>
      <c r="OKZ191" s="5"/>
      <c r="OLA191" s="5"/>
      <c r="OLB191" s="5"/>
      <c r="OLC191" s="5"/>
      <c r="OLD191" s="5"/>
      <c r="OLE191" s="5"/>
      <c r="OLF191" s="5"/>
      <c r="OLG191" s="5"/>
      <c r="OLH191" s="5"/>
      <c r="OLI191" s="5"/>
      <c r="OLJ191" s="5"/>
      <c r="OLK191" s="5"/>
      <c r="OLL191" s="5"/>
      <c r="OLM191" s="5"/>
      <c r="OLN191" s="5"/>
      <c r="OLO191" s="5"/>
      <c r="OLP191" s="5"/>
      <c r="OLQ191" s="5"/>
      <c r="OLR191" s="5"/>
      <c r="OLS191" s="5"/>
      <c r="OLT191" s="5"/>
      <c r="OLU191" s="5"/>
      <c r="OLV191" s="5"/>
      <c r="OLW191" s="5"/>
      <c r="OLX191" s="5"/>
      <c r="OLY191" s="5"/>
      <c r="OLZ191" s="5"/>
      <c r="OMA191" s="5"/>
      <c r="OMB191" s="5"/>
      <c r="OMC191" s="5"/>
      <c r="OMD191" s="5"/>
      <c r="OME191" s="5"/>
      <c r="OMF191" s="5"/>
      <c r="OMG191" s="5"/>
      <c r="OMH191" s="5"/>
      <c r="OMI191" s="5"/>
      <c r="OMJ191" s="5"/>
      <c r="OMK191" s="5"/>
      <c r="OML191" s="5"/>
      <c r="OMM191" s="5"/>
      <c r="OMN191" s="5"/>
      <c r="OMO191" s="5"/>
      <c r="OMP191" s="5"/>
      <c r="OMQ191" s="5"/>
      <c r="OMR191" s="5"/>
      <c r="OMS191" s="5"/>
      <c r="OMT191" s="5"/>
      <c r="OMU191" s="5"/>
      <c r="OMV191" s="5"/>
      <c r="OMW191" s="5"/>
      <c r="OMX191" s="5"/>
      <c r="OMY191" s="5"/>
      <c r="OMZ191" s="5"/>
      <c r="ONA191" s="5"/>
      <c r="ONB191" s="5"/>
      <c r="ONC191" s="5"/>
      <c r="OND191" s="5"/>
      <c r="ONE191" s="5"/>
      <c r="ONF191" s="5"/>
      <c r="ONG191" s="5"/>
      <c r="ONH191" s="5"/>
      <c r="ONI191" s="5"/>
      <c r="ONJ191" s="5"/>
      <c r="ONK191" s="5"/>
      <c r="ONL191" s="5"/>
      <c r="ONM191" s="5"/>
      <c r="ONN191" s="5"/>
      <c r="ONO191" s="5"/>
      <c r="ONP191" s="5"/>
      <c r="ONQ191" s="5"/>
      <c r="ONR191" s="5"/>
      <c r="ONS191" s="5"/>
      <c r="ONT191" s="5"/>
      <c r="ONU191" s="5"/>
      <c r="ONV191" s="5"/>
      <c r="ONW191" s="5"/>
      <c r="ONX191" s="5"/>
      <c r="ONY191" s="5"/>
      <c r="ONZ191" s="5"/>
      <c r="OOA191" s="5"/>
      <c r="OOB191" s="5"/>
      <c r="OOC191" s="5"/>
      <c r="OOD191" s="5"/>
      <c r="OOE191" s="5"/>
      <c r="OOF191" s="5"/>
      <c r="OOG191" s="5"/>
      <c r="OOH191" s="5"/>
      <c r="OOI191" s="5"/>
      <c r="OOJ191" s="5"/>
      <c r="OOK191" s="5"/>
      <c r="OOL191" s="5"/>
      <c r="OOM191" s="5"/>
      <c r="OON191" s="5"/>
      <c r="OOO191" s="5"/>
      <c r="OOP191" s="5"/>
      <c r="OOQ191" s="5"/>
      <c r="OOR191" s="5"/>
      <c r="OOS191" s="5"/>
      <c r="OOT191" s="5"/>
      <c r="OOU191" s="5"/>
      <c r="OOV191" s="5"/>
      <c r="OOW191" s="5"/>
      <c r="OOX191" s="5"/>
      <c r="OOY191" s="5"/>
      <c r="OOZ191" s="5"/>
      <c r="OPA191" s="5"/>
      <c r="OPB191" s="5"/>
      <c r="OPC191" s="5"/>
      <c r="OPD191" s="5"/>
      <c r="OPE191" s="5"/>
      <c r="OPF191" s="5"/>
      <c r="OPG191" s="5"/>
      <c r="OPH191" s="5"/>
      <c r="OPI191" s="5"/>
      <c r="OPJ191" s="5"/>
      <c r="OPK191" s="5"/>
      <c r="OPL191" s="5"/>
      <c r="OPM191" s="5"/>
      <c r="OPN191" s="5"/>
      <c r="OPO191" s="5"/>
      <c r="OPP191" s="5"/>
      <c r="OPQ191" s="5"/>
      <c r="OPR191" s="5"/>
      <c r="OPS191" s="5"/>
      <c r="OPT191" s="5"/>
      <c r="OPU191" s="5"/>
      <c r="OPV191" s="5"/>
      <c r="OPW191" s="5"/>
      <c r="OPX191" s="5"/>
      <c r="OPY191" s="5"/>
      <c r="OPZ191" s="5"/>
      <c r="OQA191" s="5"/>
      <c r="OQB191" s="5"/>
      <c r="OQC191" s="5"/>
      <c r="OQD191" s="5"/>
      <c r="OQE191" s="5"/>
      <c r="OQF191" s="5"/>
      <c r="OQG191" s="5"/>
      <c r="OQH191" s="5"/>
      <c r="OQI191" s="5"/>
      <c r="OQJ191" s="5"/>
      <c r="OQK191" s="5"/>
      <c r="OQL191" s="5"/>
      <c r="OQM191" s="5"/>
      <c r="OQN191" s="5"/>
      <c r="OQO191" s="5"/>
      <c r="OQP191" s="5"/>
      <c r="OQQ191" s="5"/>
      <c r="OQR191" s="5"/>
      <c r="OQS191" s="5"/>
      <c r="OQT191" s="5"/>
      <c r="OQU191" s="5"/>
      <c r="OQV191" s="5"/>
      <c r="OQW191" s="5"/>
      <c r="OQX191" s="5"/>
      <c r="OQY191" s="5"/>
      <c r="OQZ191" s="5"/>
      <c r="ORA191" s="5"/>
      <c r="ORB191" s="5"/>
      <c r="ORC191" s="5"/>
      <c r="ORD191" s="5"/>
      <c r="ORE191" s="5"/>
      <c r="ORF191" s="5"/>
      <c r="ORG191" s="5"/>
      <c r="ORH191" s="5"/>
      <c r="ORI191" s="5"/>
      <c r="ORJ191" s="5"/>
      <c r="ORK191" s="5"/>
      <c r="ORL191" s="5"/>
      <c r="ORM191" s="5"/>
      <c r="ORN191" s="5"/>
      <c r="ORO191" s="5"/>
      <c r="ORP191" s="5"/>
      <c r="ORQ191" s="5"/>
      <c r="ORR191" s="5"/>
      <c r="ORS191" s="5"/>
      <c r="ORT191" s="5"/>
      <c r="ORU191" s="5"/>
      <c r="ORV191" s="5"/>
      <c r="ORW191" s="5"/>
      <c r="ORX191" s="5"/>
      <c r="ORY191" s="5"/>
      <c r="ORZ191" s="5"/>
      <c r="OSA191" s="5"/>
      <c r="OSB191" s="5"/>
      <c r="OSC191" s="5"/>
      <c r="OSD191" s="5"/>
      <c r="OSE191" s="5"/>
      <c r="OSF191" s="5"/>
      <c r="OSG191" s="5"/>
      <c r="OSH191" s="5"/>
      <c r="OSI191" s="5"/>
      <c r="OSJ191" s="5"/>
      <c r="OSK191" s="5"/>
      <c r="OSL191" s="5"/>
      <c r="OSM191" s="5"/>
      <c r="OSN191" s="5"/>
      <c r="OSO191" s="5"/>
      <c r="OSP191" s="5"/>
      <c r="OSQ191" s="5"/>
      <c r="OSR191" s="5"/>
      <c r="OSS191" s="5"/>
      <c r="OST191" s="5"/>
      <c r="OSU191" s="5"/>
      <c r="OSV191" s="5"/>
      <c r="OSW191" s="5"/>
      <c r="OSX191" s="5"/>
      <c r="OSY191" s="5"/>
      <c r="OSZ191" s="5"/>
      <c r="OTA191" s="5"/>
      <c r="OTB191" s="5"/>
      <c r="OTC191" s="5"/>
      <c r="OTD191" s="5"/>
      <c r="OTE191" s="5"/>
      <c r="OTF191" s="5"/>
      <c r="OTG191" s="5"/>
      <c r="OTH191" s="5"/>
      <c r="OTI191" s="5"/>
      <c r="OTJ191" s="5"/>
      <c r="OTK191" s="5"/>
      <c r="OTL191" s="5"/>
      <c r="OTM191" s="5"/>
      <c r="OTN191" s="5"/>
      <c r="OTO191" s="5"/>
      <c r="OTP191" s="5"/>
      <c r="OTQ191" s="5"/>
      <c r="OTR191" s="5"/>
      <c r="OTS191" s="5"/>
      <c r="OTT191" s="5"/>
      <c r="OTU191" s="5"/>
      <c r="OTV191" s="5"/>
      <c r="OTW191" s="5"/>
      <c r="OTX191" s="5"/>
      <c r="OTY191" s="5"/>
      <c r="OTZ191" s="5"/>
      <c r="OUA191" s="5"/>
      <c r="OUB191" s="5"/>
      <c r="OUC191" s="5"/>
      <c r="OUD191" s="5"/>
      <c r="OUE191" s="5"/>
      <c r="OUF191" s="5"/>
      <c r="OUG191" s="5"/>
      <c r="OUH191" s="5"/>
      <c r="OUI191" s="5"/>
      <c r="OUJ191" s="5"/>
      <c r="OUK191" s="5"/>
      <c r="OUL191" s="5"/>
      <c r="OUM191" s="5"/>
      <c r="OUN191" s="5"/>
      <c r="OUO191" s="5"/>
      <c r="OUP191" s="5"/>
      <c r="OUQ191" s="5"/>
      <c r="OUR191" s="5"/>
      <c r="OUS191" s="5"/>
      <c r="OUT191" s="5"/>
      <c r="OUU191" s="5"/>
      <c r="OUV191" s="5"/>
      <c r="OUW191" s="5"/>
      <c r="OUX191" s="5"/>
      <c r="OUY191" s="5"/>
      <c r="OUZ191" s="5"/>
      <c r="OVA191" s="5"/>
      <c r="OVB191" s="5"/>
      <c r="OVC191" s="5"/>
      <c r="OVD191" s="5"/>
      <c r="OVE191" s="5"/>
      <c r="OVF191" s="5"/>
      <c r="OVG191" s="5"/>
      <c r="OVH191" s="5"/>
      <c r="OVI191" s="5"/>
      <c r="OVJ191" s="5"/>
      <c r="OVK191" s="5"/>
      <c r="OVL191" s="5"/>
      <c r="OVM191" s="5"/>
      <c r="OVN191" s="5"/>
      <c r="OVO191" s="5"/>
      <c r="OVP191" s="5"/>
      <c r="OVQ191" s="5"/>
      <c r="OVR191" s="5"/>
      <c r="OVS191" s="5"/>
      <c r="OVT191" s="5"/>
      <c r="OVU191" s="5"/>
      <c r="OVV191" s="5"/>
      <c r="OVW191" s="5"/>
      <c r="OVX191" s="5"/>
      <c r="OVY191" s="5"/>
      <c r="OVZ191" s="5"/>
      <c r="OWA191" s="5"/>
      <c r="OWB191" s="5"/>
      <c r="OWC191" s="5"/>
      <c r="OWD191" s="5"/>
      <c r="OWE191" s="5"/>
      <c r="OWF191" s="5"/>
      <c r="OWG191" s="5"/>
      <c r="OWH191" s="5"/>
      <c r="OWI191" s="5"/>
      <c r="OWJ191" s="5"/>
      <c r="OWK191" s="5"/>
      <c r="OWL191" s="5"/>
      <c r="OWM191" s="5"/>
      <c r="OWN191" s="5"/>
      <c r="OWO191" s="5"/>
      <c r="OWP191" s="5"/>
      <c r="OWQ191" s="5"/>
      <c r="OWR191" s="5"/>
      <c r="OWS191" s="5"/>
      <c r="OWT191" s="5"/>
      <c r="OWU191" s="5"/>
      <c r="OWV191" s="5"/>
      <c r="OWW191" s="5"/>
      <c r="OWX191" s="5"/>
      <c r="OWY191" s="5"/>
      <c r="OWZ191" s="5"/>
      <c r="OXA191" s="5"/>
      <c r="OXB191" s="5"/>
      <c r="OXC191" s="5"/>
      <c r="OXD191" s="5"/>
      <c r="OXE191" s="5"/>
      <c r="OXF191" s="5"/>
      <c r="OXG191" s="5"/>
      <c r="OXH191" s="5"/>
      <c r="OXI191" s="5"/>
      <c r="OXJ191" s="5"/>
      <c r="OXK191" s="5"/>
      <c r="OXL191" s="5"/>
      <c r="OXM191" s="5"/>
      <c r="OXN191" s="5"/>
      <c r="OXO191" s="5"/>
      <c r="OXP191" s="5"/>
      <c r="OXQ191" s="5"/>
      <c r="OXR191" s="5"/>
      <c r="OXS191" s="5"/>
      <c r="OXT191" s="5"/>
      <c r="OXU191" s="5"/>
      <c r="OXV191" s="5"/>
      <c r="OXW191" s="5"/>
      <c r="OXX191" s="5"/>
      <c r="OXY191" s="5"/>
      <c r="OXZ191" s="5"/>
      <c r="OYA191" s="5"/>
      <c r="OYB191" s="5"/>
      <c r="OYC191" s="5"/>
      <c r="OYD191" s="5"/>
      <c r="OYE191" s="5"/>
      <c r="OYF191" s="5"/>
      <c r="OYG191" s="5"/>
      <c r="OYH191" s="5"/>
      <c r="OYI191" s="5"/>
      <c r="OYJ191" s="5"/>
      <c r="OYK191" s="5"/>
      <c r="OYL191" s="5"/>
      <c r="OYM191" s="5"/>
      <c r="OYN191" s="5"/>
      <c r="OYO191" s="5"/>
      <c r="OYP191" s="5"/>
      <c r="OYQ191" s="5"/>
      <c r="OYR191" s="5"/>
      <c r="OYS191" s="5"/>
      <c r="OYT191" s="5"/>
      <c r="OYU191" s="5"/>
      <c r="OYV191" s="5"/>
      <c r="OYW191" s="5"/>
      <c r="OYX191" s="5"/>
      <c r="OYY191" s="5"/>
      <c r="OYZ191" s="5"/>
      <c r="OZA191" s="5"/>
      <c r="OZB191" s="5"/>
      <c r="OZC191" s="5"/>
      <c r="OZD191" s="5"/>
      <c r="OZE191" s="5"/>
      <c r="OZF191" s="5"/>
      <c r="OZG191" s="5"/>
      <c r="OZH191" s="5"/>
      <c r="OZI191" s="5"/>
      <c r="OZJ191" s="5"/>
      <c r="OZK191" s="5"/>
      <c r="OZL191" s="5"/>
      <c r="OZM191" s="5"/>
      <c r="OZN191" s="5"/>
      <c r="OZO191" s="5"/>
      <c r="OZP191" s="5"/>
      <c r="OZQ191" s="5"/>
      <c r="OZR191" s="5"/>
      <c r="OZS191" s="5"/>
      <c r="OZT191" s="5"/>
      <c r="OZU191" s="5"/>
      <c r="OZV191" s="5"/>
      <c r="OZW191" s="5"/>
      <c r="OZX191" s="5"/>
      <c r="OZY191" s="5"/>
      <c r="OZZ191" s="5"/>
      <c r="PAA191" s="5"/>
      <c r="PAB191" s="5"/>
      <c r="PAC191" s="5"/>
      <c r="PAD191" s="5"/>
      <c r="PAE191" s="5"/>
      <c r="PAF191" s="5"/>
      <c r="PAG191" s="5"/>
      <c r="PAH191" s="5"/>
      <c r="PAI191" s="5"/>
      <c r="PAJ191" s="5"/>
      <c r="PAK191" s="5"/>
      <c r="PAL191" s="5"/>
      <c r="PAM191" s="5"/>
      <c r="PAN191" s="5"/>
      <c r="PAO191" s="5"/>
      <c r="PAP191" s="5"/>
      <c r="PAQ191" s="5"/>
      <c r="PAR191" s="5"/>
      <c r="PAS191" s="5"/>
      <c r="PAT191" s="5"/>
      <c r="PAU191" s="5"/>
      <c r="PAV191" s="5"/>
      <c r="PAW191" s="5"/>
      <c r="PAX191" s="5"/>
      <c r="PAY191" s="5"/>
      <c r="PAZ191" s="5"/>
      <c r="PBA191" s="5"/>
      <c r="PBB191" s="5"/>
      <c r="PBC191" s="5"/>
      <c r="PBD191" s="5"/>
      <c r="PBE191" s="5"/>
      <c r="PBF191" s="5"/>
      <c r="PBG191" s="5"/>
      <c r="PBH191" s="5"/>
      <c r="PBI191" s="5"/>
      <c r="PBJ191" s="5"/>
      <c r="PBK191" s="5"/>
      <c r="PBL191" s="5"/>
      <c r="PBM191" s="5"/>
      <c r="PBN191" s="5"/>
      <c r="PBO191" s="5"/>
      <c r="PBP191" s="5"/>
      <c r="PBQ191" s="5"/>
      <c r="PBR191" s="5"/>
      <c r="PBS191" s="5"/>
      <c r="PBT191" s="5"/>
      <c r="PBU191" s="5"/>
      <c r="PBV191" s="5"/>
      <c r="PBW191" s="5"/>
      <c r="PBX191" s="5"/>
      <c r="PBY191" s="5"/>
      <c r="PBZ191" s="5"/>
      <c r="PCA191" s="5"/>
      <c r="PCB191" s="5"/>
      <c r="PCC191" s="5"/>
      <c r="PCD191" s="5"/>
      <c r="PCE191" s="5"/>
      <c r="PCF191" s="5"/>
      <c r="PCG191" s="5"/>
      <c r="PCH191" s="5"/>
      <c r="PCI191" s="5"/>
      <c r="PCJ191" s="5"/>
      <c r="PCK191" s="5"/>
      <c r="PCL191" s="5"/>
      <c r="PCM191" s="5"/>
      <c r="PCN191" s="5"/>
      <c r="PCO191" s="5"/>
      <c r="PCP191" s="5"/>
      <c r="PCQ191" s="5"/>
      <c r="PCR191" s="5"/>
      <c r="PCS191" s="5"/>
      <c r="PCT191" s="5"/>
      <c r="PCU191" s="5"/>
      <c r="PCV191" s="5"/>
      <c r="PCW191" s="5"/>
      <c r="PCX191" s="5"/>
      <c r="PCY191" s="5"/>
      <c r="PCZ191" s="5"/>
      <c r="PDA191" s="5"/>
      <c r="PDB191" s="5"/>
      <c r="PDC191" s="5"/>
      <c r="PDD191" s="5"/>
      <c r="PDE191" s="5"/>
      <c r="PDF191" s="5"/>
      <c r="PDG191" s="5"/>
      <c r="PDH191" s="5"/>
      <c r="PDI191" s="5"/>
      <c r="PDJ191" s="5"/>
      <c r="PDK191" s="5"/>
      <c r="PDL191" s="5"/>
      <c r="PDM191" s="5"/>
      <c r="PDN191" s="5"/>
      <c r="PDO191" s="5"/>
      <c r="PDP191" s="5"/>
      <c r="PDQ191" s="5"/>
      <c r="PDR191" s="5"/>
      <c r="PDS191" s="5"/>
      <c r="PDT191" s="5"/>
      <c r="PDU191" s="5"/>
      <c r="PDV191" s="5"/>
      <c r="PDW191" s="5"/>
      <c r="PDX191" s="5"/>
      <c r="PDY191" s="5"/>
      <c r="PDZ191" s="5"/>
      <c r="PEA191" s="5"/>
      <c r="PEB191" s="5"/>
      <c r="PEC191" s="5"/>
      <c r="PED191" s="5"/>
      <c r="PEE191" s="5"/>
      <c r="PEF191" s="5"/>
      <c r="PEG191" s="5"/>
      <c r="PEH191" s="5"/>
      <c r="PEI191" s="5"/>
      <c r="PEJ191" s="5"/>
      <c r="PEK191" s="5"/>
      <c r="PEL191" s="5"/>
      <c r="PEM191" s="5"/>
      <c r="PEN191" s="5"/>
      <c r="PEO191" s="5"/>
      <c r="PEP191" s="5"/>
      <c r="PEQ191" s="5"/>
      <c r="PER191" s="5"/>
      <c r="PES191" s="5"/>
      <c r="PET191" s="5"/>
      <c r="PEU191" s="5"/>
      <c r="PEV191" s="5"/>
      <c r="PEW191" s="5"/>
      <c r="PEX191" s="5"/>
      <c r="PEY191" s="5"/>
      <c r="PEZ191" s="5"/>
      <c r="PFA191" s="5"/>
      <c r="PFB191" s="5"/>
      <c r="PFC191" s="5"/>
      <c r="PFD191" s="5"/>
      <c r="PFE191" s="5"/>
      <c r="PFF191" s="5"/>
      <c r="PFG191" s="5"/>
      <c r="PFH191" s="5"/>
      <c r="PFI191" s="5"/>
      <c r="PFJ191" s="5"/>
      <c r="PFK191" s="5"/>
      <c r="PFL191" s="5"/>
      <c r="PFM191" s="5"/>
      <c r="PFN191" s="5"/>
      <c r="PFO191" s="5"/>
      <c r="PFP191" s="5"/>
      <c r="PFQ191" s="5"/>
      <c r="PFR191" s="5"/>
      <c r="PFS191" s="5"/>
      <c r="PFT191" s="5"/>
      <c r="PFU191" s="5"/>
      <c r="PFV191" s="5"/>
      <c r="PFW191" s="5"/>
      <c r="PFX191" s="5"/>
      <c r="PFY191" s="5"/>
      <c r="PFZ191" s="5"/>
      <c r="PGA191" s="5"/>
      <c r="PGB191" s="5"/>
      <c r="PGC191" s="5"/>
      <c r="PGD191" s="5"/>
      <c r="PGE191" s="5"/>
      <c r="PGF191" s="5"/>
      <c r="PGG191" s="5"/>
      <c r="PGH191" s="5"/>
      <c r="PGI191" s="5"/>
      <c r="PGJ191" s="5"/>
      <c r="PGK191" s="5"/>
      <c r="PGL191" s="5"/>
      <c r="PGM191" s="5"/>
      <c r="PGN191" s="5"/>
      <c r="PGO191" s="5"/>
      <c r="PGP191" s="5"/>
      <c r="PGQ191" s="5"/>
      <c r="PGR191" s="5"/>
      <c r="PGS191" s="5"/>
      <c r="PGT191" s="5"/>
      <c r="PGU191" s="5"/>
      <c r="PGV191" s="5"/>
      <c r="PGW191" s="5"/>
      <c r="PGX191" s="5"/>
      <c r="PGY191" s="5"/>
      <c r="PGZ191" s="5"/>
      <c r="PHA191" s="5"/>
      <c r="PHB191" s="5"/>
      <c r="PHC191" s="5"/>
      <c r="PHD191" s="5"/>
      <c r="PHE191" s="5"/>
      <c r="PHF191" s="5"/>
      <c r="PHG191" s="5"/>
      <c r="PHH191" s="5"/>
      <c r="PHI191" s="5"/>
      <c r="PHJ191" s="5"/>
      <c r="PHK191" s="5"/>
      <c r="PHL191" s="5"/>
      <c r="PHM191" s="5"/>
      <c r="PHN191" s="5"/>
      <c r="PHO191" s="5"/>
      <c r="PHP191" s="5"/>
      <c r="PHQ191" s="5"/>
      <c r="PHR191" s="5"/>
      <c r="PHS191" s="5"/>
      <c r="PHT191" s="5"/>
      <c r="PHU191" s="5"/>
      <c r="PHV191" s="5"/>
      <c r="PHW191" s="5"/>
      <c r="PHX191" s="5"/>
      <c r="PHY191" s="5"/>
      <c r="PHZ191" s="5"/>
      <c r="PIA191" s="5"/>
      <c r="PIB191" s="5"/>
      <c r="PIC191" s="5"/>
      <c r="PID191" s="5"/>
      <c r="PIE191" s="5"/>
      <c r="PIF191" s="5"/>
      <c r="PIG191" s="5"/>
      <c r="PIH191" s="5"/>
      <c r="PII191" s="5"/>
      <c r="PIJ191" s="5"/>
      <c r="PIK191" s="5"/>
      <c r="PIL191" s="5"/>
      <c r="PIM191" s="5"/>
      <c r="PIN191" s="5"/>
      <c r="PIO191" s="5"/>
      <c r="PIP191" s="5"/>
      <c r="PIQ191" s="5"/>
      <c r="PIR191" s="5"/>
      <c r="PIS191" s="5"/>
      <c r="PIT191" s="5"/>
      <c r="PIU191" s="5"/>
      <c r="PIV191" s="5"/>
      <c r="PIW191" s="5"/>
      <c r="PIX191" s="5"/>
      <c r="PIY191" s="5"/>
      <c r="PIZ191" s="5"/>
      <c r="PJA191" s="5"/>
      <c r="PJB191" s="5"/>
      <c r="PJC191" s="5"/>
      <c r="PJD191" s="5"/>
      <c r="PJE191" s="5"/>
      <c r="PJF191" s="5"/>
      <c r="PJG191" s="5"/>
      <c r="PJH191" s="5"/>
      <c r="PJI191" s="5"/>
      <c r="PJJ191" s="5"/>
      <c r="PJK191" s="5"/>
      <c r="PJL191" s="5"/>
      <c r="PJM191" s="5"/>
      <c r="PJN191" s="5"/>
      <c r="PJO191" s="5"/>
      <c r="PJP191" s="5"/>
      <c r="PJQ191" s="5"/>
      <c r="PJR191" s="5"/>
      <c r="PJS191" s="5"/>
      <c r="PJT191" s="5"/>
      <c r="PJU191" s="5"/>
      <c r="PJV191" s="5"/>
      <c r="PJW191" s="5"/>
      <c r="PJX191" s="5"/>
      <c r="PJY191" s="5"/>
      <c r="PJZ191" s="5"/>
      <c r="PKA191" s="5"/>
      <c r="PKB191" s="5"/>
      <c r="PKC191" s="5"/>
      <c r="PKD191" s="5"/>
      <c r="PKE191" s="5"/>
      <c r="PKF191" s="5"/>
      <c r="PKG191" s="5"/>
      <c r="PKH191" s="5"/>
      <c r="PKI191" s="5"/>
      <c r="PKJ191" s="5"/>
      <c r="PKK191" s="5"/>
      <c r="PKL191" s="5"/>
      <c r="PKM191" s="5"/>
      <c r="PKN191" s="5"/>
      <c r="PKO191" s="5"/>
      <c r="PKP191" s="5"/>
      <c r="PKQ191" s="5"/>
      <c r="PKR191" s="5"/>
      <c r="PKS191" s="5"/>
      <c r="PKT191" s="5"/>
      <c r="PKU191" s="5"/>
      <c r="PKV191" s="5"/>
      <c r="PKW191" s="5"/>
      <c r="PKX191" s="5"/>
      <c r="PKY191" s="5"/>
      <c r="PKZ191" s="5"/>
      <c r="PLA191" s="5"/>
      <c r="PLB191" s="5"/>
      <c r="PLC191" s="5"/>
      <c r="PLD191" s="5"/>
      <c r="PLE191" s="5"/>
      <c r="PLF191" s="5"/>
      <c r="PLG191" s="5"/>
      <c r="PLH191" s="5"/>
      <c r="PLI191" s="5"/>
      <c r="PLJ191" s="5"/>
      <c r="PLK191" s="5"/>
      <c r="PLL191" s="5"/>
      <c r="PLM191" s="5"/>
      <c r="PLN191" s="5"/>
      <c r="PLO191" s="5"/>
      <c r="PLP191" s="5"/>
      <c r="PLQ191" s="5"/>
      <c r="PLR191" s="5"/>
      <c r="PLS191" s="5"/>
      <c r="PLT191" s="5"/>
      <c r="PLU191" s="5"/>
      <c r="PLV191" s="5"/>
      <c r="PLW191" s="5"/>
      <c r="PLX191" s="5"/>
      <c r="PLY191" s="5"/>
      <c r="PLZ191" s="5"/>
      <c r="PMA191" s="5"/>
      <c r="PMB191" s="5"/>
      <c r="PMC191" s="5"/>
      <c r="PMD191" s="5"/>
      <c r="PME191" s="5"/>
      <c r="PMF191" s="5"/>
      <c r="PMG191" s="5"/>
      <c r="PMH191" s="5"/>
      <c r="PMI191" s="5"/>
      <c r="PMJ191" s="5"/>
      <c r="PMK191" s="5"/>
      <c r="PML191" s="5"/>
      <c r="PMM191" s="5"/>
      <c r="PMN191" s="5"/>
      <c r="PMO191" s="5"/>
      <c r="PMP191" s="5"/>
      <c r="PMQ191" s="5"/>
      <c r="PMR191" s="5"/>
      <c r="PMS191" s="5"/>
      <c r="PMT191" s="5"/>
      <c r="PMU191" s="5"/>
      <c r="PMV191" s="5"/>
      <c r="PMW191" s="5"/>
      <c r="PMX191" s="5"/>
      <c r="PMY191" s="5"/>
      <c r="PMZ191" s="5"/>
      <c r="PNA191" s="5"/>
      <c r="PNB191" s="5"/>
      <c r="PNC191" s="5"/>
      <c r="PND191" s="5"/>
      <c r="PNE191" s="5"/>
      <c r="PNF191" s="5"/>
      <c r="PNG191" s="5"/>
      <c r="PNH191" s="5"/>
      <c r="PNI191" s="5"/>
      <c r="PNJ191" s="5"/>
      <c r="PNK191" s="5"/>
      <c r="PNL191" s="5"/>
      <c r="PNM191" s="5"/>
      <c r="PNN191" s="5"/>
      <c r="PNO191" s="5"/>
      <c r="PNP191" s="5"/>
      <c r="PNQ191" s="5"/>
      <c r="PNR191" s="5"/>
      <c r="PNS191" s="5"/>
      <c r="PNT191" s="5"/>
      <c r="PNU191" s="5"/>
      <c r="PNV191" s="5"/>
      <c r="PNW191" s="5"/>
      <c r="PNX191" s="5"/>
      <c r="PNY191" s="5"/>
      <c r="PNZ191" s="5"/>
      <c r="POA191" s="5"/>
      <c r="POB191" s="5"/>
      <c r="POC191" s="5"/>
      <c r="POD191" s="5"/>
      <c r="POE191" s="5"/>
      <c r="POF191" s="5"/>
      <c r="POG191" s="5"/>
      <c r="POH191" s="5"/>
      <c r="POI191" s="5"/>
      <c r="POJ191" s="5"/>
      <c r="POK191" s="5"/>
      <c r="POL191" s="5"/>
      <c r="POM191" s="5"/>
      <c r="PON191" s="5"/>
      <c r="POO191" s="5"/>
      <c r="POP191" s="5"/>
      <c r="POQ191" s="5"/>
      <c r="POR191" s="5"/>
      <c r="POS191" s="5"/>
      <c r="POT191" s="5"/>
      <c r="POU191" s="5"/>
      <c r="POV191" s="5"/>
      <c r="POW191" s="5"/>
      <c r="POX191" s="5"/>
      <c r="POY191" s="5"/>
      <c r="POZ191" s="5"/>
      <c r="PPA191" s="5"/>
      <c r="PPB191" s="5"/>
      <c r="PPC191" s="5"/>
      <c r="PPD191" s="5"/>
      <c r="PPE191" s="5"/>
      <c r="PPF191" s="5"/>
      <c r="PPG191" s="5"/>
      <c r="PPH191" s="5"/>
      <c r="PPI191" s="5"/>
      <c r="PPJ191" s="5"/>
      <c r="PPK191" s="5"/>
      <c r="PPL191" s="5"/>
      <c r="PPM191" s="5"/>
      <c r="PPN191" s="5"/>
      <c r="PPO191" s="5"/>
      <c r="PPP191" s="5"/>
      <c r="PPQ191" s="5"/>
      <c r="PPR191" s="5"/>
      <c r="PPS191" s="5"/>
      <c r="PPT191" s="5"/>
      <c r="PPU191" s="5"/>
      <c r="PPV191" s="5"/>
      <c r="PPW191" s="5"/>
      <c r="PPX191" s="5"/>
      <c r="PPY191" s="5"/>
      <c r="PPZ191" s="5"/>
      <c r="PQA191" s="5"/>
      <c r="PQB191" s="5"/>
      <c r="PQC191" s="5"/>
      <c r="PQD191" s="5"/>
      <c r="PQE191" s="5"/>
      <c r="PQF191" s="5"/>
      <c r="PQG191" s="5"/>
      <c r="PQH191" s="5"/>
      <c r="PQI191" s="5"/>
      <c r="PQJ191" s="5"/>
      <c r="PQK191" s="5"/>
      <c r="PQL191" s="5"/>
      <c r="PQM191" s="5"/>
      <c r="PQN191" s="5"/>
      <c r="PQO191" s="5"/>
      <c r="PQP191" s="5"/>
      <c r="PQQ191" s="5"/>
      <c r="PQR191" s="5"/>
      <c r="PQS191" s="5"/>
      <c r="PQT191" s="5"/>
      <c r="PQU191" s="5"/>
      <c r="PQV191" s="5"/>
      <c r="PQW191" s="5"/>
      <c r="PQX191" s="5"/>
      <c r="PQY191" s="5"/>
      <c r="PQZ191" s="5"/>
      <c r="PRA191" s="5"/>
      <c r="PRB191" s="5"/>
      <c r="PRC191" s="5"/>
      <c r="PRD191" s="5"/>
      <c r="PRE191" s="5"/>
      <c r="PRF191" s="5"/>
      <c r="PRG191" s="5"/>
      <c r="PRH191" s="5"/>
      <c r="PRI191" s="5"/>
      <c r="PRJ191" s="5"/>
      <c r="PRK191" s="5"/>
      <c r="PRL191" s="5"/>
      <c r="PRM191" s="5"/>
      <c r="PRN191" s="5"/>
      <c r="PRO191" s="5"/>
      <c r="PRP191" s="5"/>
      <c r="PRQ191" s="5"/>
      <c r="PRR191" s="5"/>
      <c r="PRS191" s="5"/>
      <c r="PRT191" s="5"/>
      <c r="PRU191" s="5"/>
      <c r="PRV191" s="5"/>
      <c r="PRW191" s="5"/>
      <c r="PRX191" s="5"/>
      <c r="PRY191" s="5"/>
      <c r="PRZ191" s="5"/>
      <c r="PSA191" s="5"/>
      <c r="PSB191" s="5"/>
      <c r="PSC191" s="5"/>
      <c r="PSD191" s="5"/>
      <c r="PSE191" s="5"/>
      <c r="PSF191" s="5"/>
      <c r="PSG191" s="5"/>
      <c r="PSH191" s="5"/>
      <c r="PSI191" s="5"/>
      <c r="PSJ191" s="5"/>
      <c r="PSK191" s="5"/>
      <c r="PSL191" s="5"/>
      <c r="PSM191" s="5"/>
      <c r="PSN191" s="5"/>
      <c r="PSO191" s="5"/>
      <c r="PSP191" s="5"/>
      <c r="PSQ191" s="5"/>
      <c r="PSR191" s="5"/>
      <c r="PSS191" s="5"/>
      <c r="PST191" s="5"/>
      <c r="PSU191" s="5"/>
      <c r="PSV191" s="5"/>
      <c r="PSW191" s="5"/>
      <c r="PSX191" s="5"/>
      <c r="PSY191" s="5"/>
      <c r="PSZ191" s="5"/>
      <c r="PTA191" s="5"/>
      <c r="PTB191" s="5"/>
      <c r="PTC191" s="5"/>
      <c r="PTD191" s="5"/>
      <c r="PTE191" s="5"/>
      <c r="PTF191" s="5"/>
      <c r="PTG191" s="5"/>
      <c r="PTH191" s="5"/>
      <c r="PTI191" s="5"/>
      <c r="PTJ191" s="5"/>
      <c r="PTK191" s="5"/>
      <c r="PTL191" s="5"/>
      <c r="PTM191" s="5"/>
      <c r="PTN191" s="5"/>
      <c r="PTO191" s="5"/>
      <c r="PTP191" s="5"/>
      <c r="PTQ191" s="5"/>
      <c r="PTR191" s="5"/>
      <c r="PTS191" s="5"/>
      <c r="PTT191" s="5"/>
      <c r="PTU191" s="5"/>
      <c r="PTV191" s="5"/>
      <c r="PTW191" s="5"/>
      <c r="PTX191" s="5"/>
      <c r="PTY191" s="5"/>
      <c r="PTZ191" s="5"/>
      <c r="PUA191" s="5"/>
      <c r="PUB191" s="5"/>
      <c r="PUC191" s="5"/>
      <c r="PUD191" s="5"/>
      <c r="PUE191" s="5"/>
      <c r="PUF191" s="5"/>
      <c r="PUG191" s="5"/>
      <c r="PUH191" s="5"/>
      <c r="PUI191" s="5"/>
      <c r="PUJ191" s="5"/>
      <c r="PUK191" s="5"/>
      <c r="PUL191" s="5"/>
      <c r="PUM191" s="5"/>
      <c r="PUN191" s="5"/>
      <c r="PUO191" s="5"/>
      <c r="PUP191" s="5"/>
      <c r="PUQ191" s="5"/>
      <c r="PUR191" s="5"/>
      <c r="PUS191" s="5"/>
      <c r="PUT191" s="5"/>
      <c r="PUU191" s="5"/>
      <c r="PUV191" s="5"/>
      <c r="PUW191" s="5"/>
      <c r="PUX191" s="5"/>
      <c r="PUY191" s="5"/>
      <c r="PUZ191" s="5"/>
      <c r="PVA191" s="5"/>
      <c r="PVB191" s="5"/>
      <c r="PVC191" s="5"/>
      <c r="PVD191" s="5"/>
      <c r="PVE191" s="5"/>
      <c r="PVF191" s="5"/>
      <c r="PVG191" s="5"/>
      <c r="PVH191" s="5"/>
      <c r="PVI191" s="5"/>
      <c r="PVJ191" s="5"/>
      <c r="PVK191" s="5"/>
      <c r="PVL191" s="5"/>
      <c r="PVM191" s="5"/>
      <c r="PVN191" s="5"/>
      <c r="PVO191" s="5"/>
      <c r="PVP191" s="5"/>
      <c r="PVQ191" s="5"/>
      <c r="PVR191" s="5"/>
      <c r="PVS191" s="5"/>
      <c r="PVT191" s="5"/>
      <c r="PVU191" s="5"/>
      <c r="PVV191" s="5"/>
      <c r="PVW191" s="5"/>
      <c r="PVX191" s="5"/>
      <c r="PVY191" s="5"/>
      <c r="PVZ191" s="5"/>
      <c r="PWA191" s="5"/>
      <c r="PWB191" s="5"/>
      <c r="PWC191" s="5"/>
      <c r="PWD191" s="5"/>
      <c r="PWE191" s="5"/>
      <c r="PWF191" s="5"/>
      <c r="PWG191" s="5"/>
      <c r="PWH191" s="5"/>
      <c r="PWI191" s="5"/>
      <c r="PWJ191" s="5"/>
      <c r="PWK191" s="5"/>
      <c r="PWL191" s="5"/>
      <c r="PWM191" s="5"/>
      <c r="PWN191" s="5"/>
      <c r="PWO191" s="5"/>
      <c r="PWP191" s="5"/>
      <c r="PWQ191" s="5"/>
      <c r="PWR191" s="5"/>
      <c r="PWS191" s="5"/>
      <c r="PWT191" s="5"/>
      <c r="PWU191" s="5"/>
      <c r="PWV191" s="5"/>
      <c r="PWW191" s="5"/>
      <c r="PWX191" s="5"/>
      <c r="PWY191" s="5"/>
      <c r="PWZ191" s="5"/>
      <c r="PXA191" s="5"/>
      <c r="PXB191" s="5"/>
      <c r="PXC191" s="5"/>
      <c r="PXD191" s="5"/>
      <c r="PXE191" s="5"/>
      <c r="PXF191" s="5"/>
      <c r="PXG191" s="5"/>
      <c r="PXH191" s="5"/>
      <c r="PXI191" s="5"/>
      <c r="PXJ191" s="5"/>
      <c r="PXK191" s="5"/>
      <c r="PXL191" s="5"/>
      <c r="PXM191" s="5"/>
      <c r="PXN191" s="5"/>
      <c r="PXO191" s="5"/>
      <c r="PXP191" s="5"/>
      <c r="PXQ191" s="5"/>
      <c r="PXR191" s="5"/>
      <c r="PXS191" s="5"/>
      <c r="PXT191" s="5"/>
      <c r="PXU191" s="5"/>
      <c r="PXV191" s="5"/>
      <c r="PXW191" s="5"/>
      <c r="PXX191" s="5"/>
      <c r="PXY191" s="5"/>
      <c r="PXZ191" s="5"/>
      <c r="PYA191" s="5"/>
      <c r="PYB191" s="5"/>
      <c r="PYC191" s="5"/>
      <c r="PYD191" s="5"/>
      <c r="PYE191" s="5"/>
      <c r="PYF191" s="5"/>
      <c r="PYG191" s="5"/>
      <c r="PYH191" s="5"/>
      <c r="PYI191" s="5"/>
      <c r="PYJ191" s="5"/>
      <c r="PYK191" s="5"/>
      <c r="PYL191" s="5"/>
      <c r="PYM191" s="5"/>
      <c r="PYN191" s="5"/>
      <c r="PYO191" s="5"/>
      <c r="PYP191" s="5"/>
      <c r="PYQ191" s="5"/>
      <c r="PYR191" s="5"/>
      <c r="PYS191" s="5"/>
      <c r="PYT191" s="5"/>
      <c r="PYU191" s="5"/>
      <c r="PYV191" s="5"/>
      <c r="PYW191" s="5"/>
      <c r="PYX191" s="5"/>
      <c r="PYY191" s="5"/>
      <c r="PYZ191" s="5"/>
      <c r="PZA191" s="5"/>
      <c r="PZB191" s="5"/>
      <c r="PZC191" s="5"/>
      <c r="PZD191" s="5"/>
      <c r="PZE191" s="5"/>
      <c r="PZF191" s="5"/>
      <c r="PZG191" s="5"/>
      <c r="PZH191" s="5"/>
      <c r="PZI191" s="5"/>
      <c r="PZJ191" s="5"/>
      <c r="PZK191" s="5"/>
      <c r="PZL191" s="5"/>
      <c r="PZM191" s="5"/>
      <c r="PZN191" s="5"/>
      <c r="PZO191" s="5"/>
      <c r="PZP191" s="5"/>
      <c r="PZQ191" s="5"/>
      <c r="PZR191" s="5"/>
      <c r="PZS191" s="5"/>
      <c r="PZT191" s="5"/>
      <c r="PZU191" s="5"/>
      <c r="PZV191" s="5"/>
      <c r="PZW191" s="5"/>
      <c r="PZX191" s="5"/>
      <c r="PZY191" s="5"/>
      <c r="PZZ191" s="5"/>
      <c r="QAA191" s="5"/>
      <c r="QAB191" s="5"/>
      <c r="QAC191" s="5"/>
      <c r="QAD191" s="5"/>
      <c r="QAE191" s="5"/>
      <c r="QAF191" s="5"/>
      <c r="QAG191" s="5"/>
      <c r="QAH191" s="5"/>
      <c r="QAI191" s="5"/>
      <c r="QAJ191" s="5"/>
      <c r="QAK191" s="5"/>
      <c r="QAL191" s="5"/>
      <c r="QAM191" s="5"/>
      <c r="QAN191" s="5"/>
      <c r="QAO191" s="5"/>
      <c r="QAP191" s="5"/>
      <c r="QAQ191" s="5"/>
      <c r="QAR191" s="5"/>
      <c r="QAS191" s="5"/>
      <c r="QAT191" s="5"/>
      <c r="QAU191" s="5"/>
      <c r="QAV191" s="5"/>
      <c r="QAW191" s="5"/>
      <c r="QAX191" s="5"/>
      <c r="QAY191" s="5"/>
      <c r="QAZ191" s="5"/>
      <c r="QBA191" s="5"/>
      <c r="QBB191" s="5"/>
      <c r="QBC191" s="5"/>
      <c r="QBD191" s="5"/>
      <c r="QBE191" s="5"/>
      <c r="QBF191" s="5"/>
      <c r="QBG191" s="5"/>
      <c r="QBH191" s="5"/>
      <c r="QBI191" s="5"/>
      <c r="QBJ191" s="5"/>
      <c r="QBK191" s="5"/>
      <c r="QBL191" s="5"/>
      <c r="QBM191" s="5"/>
      <c r="QBN191" s="5"/>
      <c r="QBO191" s="5"/>
      <c r="QBP191" s="5"/>
      <c r="QBQ191" s="5"/>
      <c r="QBR191" s="5"/>
      <c r="QBS191" s="5"/>
      <c r="QBT191" s="5"/>
      <c r="QBU191" s="5"/>
      <c r="QBV191" s="5"/>
      <c r="QBW191" s="5"/>
      <c r="QBX191" s="5"/>
      <c r="QBY191" s="5"/>
      <c r="QBZ191" s="5"/>
      <c r="QCA191" s="5"/>
      <c r="QCB191" s="5"/>
      <c r="QCC191" s="5"/>
      <c r="QCD191" s="5"/>
      <c r="QCE191" s="5"/>
      <c r="QCF191" s="5"/>
      <c r="QCG191" s="5"/>
      <c r="QCH191" s="5"/>
      <c r="QCI191" s="5"/>
      <c r="QCJ191" s="5"/>
      <c r="QCK191" s="5"/>
      <c r="QCL191" s="5"/>
      <c r="QCM191" s="5"/>
      <c r="QCN191" s="5"/>
      <c r="QCO191" s="5"/>
      <c r="QCP191" s="5"/>
      <c r="QCQ191" s="5"/>
      <c r="QCR191" s="5"/>
      <c r="QCS191" s="5"/>
      <c r="QCT191" s="5"/>
      <c r="QCU191" s="5"/>
      <c r="QCV191" s="5"/>
      <c r="QCW191" s="5"/>
      <c r="QCX191" s="5"/>
      <c r="QCY191" s="5"/>
      <c r="QCZ191" s="5"/>
      <c r="QDA191" s="5"/>
      <c r="QDB191" s="5"/>
      <c r="QDC191" s="5"/>
      <c r="QDD191" s="5"/>
      <c r="QDE191" s="5"/>
      <c r="QDF191" s="5"/>
      <c r="QDG191" s="5"/>
      <c r="QDH191" s="5"/>
      <c r="QDI191" s="5"/>
      <c r="QDJ191" s="5"/>
      <c r="QDK191" s="5"/>
      <c r="QDL191" s="5"/>
      <c r="QDM191" s="5"/>
      <c r="QDN191" s="5"/>
      <c r="QDO191" s="5"/>
      <c r="QDP191" s="5"/>
      <c r="QDQ191" s="5"/>
      <c r="QDR191" s="5"/>
      <c r="QDS191" s="5"/>
      <c r="QDT191" s="5"/>
      <c r="QDU191" s="5"/>
      <c r="QDV191" s="5"/>
      <c r="QDW191" s="5"/>
      <c r="QDX191" s="5"/>
      <c r="QDY191" s="5"/>
      <c r="QDZ191" s="5"/>
      <c r="QEA191" s="5"/>
      <c r="QEB191" s="5"/>
      <c r="QEC191" s="5"/>
      <c r="QED191" s="5"/>
      <c r="QEE191" s="5"/>
      <c r="QEF191" s="5"/>
      <c r="QEG191" s="5"/>
      <c r="QEH191" s="5"/>
      <c r="QEI191" s="5"/>
      <c r="QEJ191" s="5"/>
      <c r="QEK191" s="5"/>
      <c r="QEL191" s="5"/>
      <c r="QEM191" s="5"/>
      <c r="QEN191" s="5"/>
      <c r="QEO191" s="5"/>
      <c r="QEP191" s="5"/>
      <c r="QEQ191" s="5"/>
      <c r="QER191" s="5"/>
      <c r="QES191" s="5"/>
      <c r="QET191" s="5"/>
      <c r="QEU191" s="5"/>
      <c r="QEV191" s="5"/>
      <c r="QEW191" s="5"/>
      <c r="QEX191" s="5"/>
      <c r="QEY191" s="5"/>
      <c r="QEZ191" s="5"/>
      <c r="QFA191" s="5"/>
      <c r="QFB191" s="5"/>
      <c r="QFC191" s="5"/>
      <c r="QFD191" s="5"/>
      <c r="QFE191" s="5"/>
      <c r="QFF191" s="5"/>
      <c r="QFG191" s="5"/>
      <c r="QFH191" s="5"/>
      <c r="QFI191" s="5"/>
      <c r="QFJ191" s="5"/>
      <c r="QFK191" s="5"/>
      <c r="QFL191" s="5"/>
      <c r="QFM191" s="5"/>
      <c r="QFN191" s="5"/>
      <c r="QFO191" s="5"/>
      <c r="QFP191" s="5"/>
      <c r="QFQ191" s="5"/>
      <c r="QFR191" s="5"/>
      <c r="QFS191" s="5"/>
      <c r="QFT191" s="5"/>
      <c r="QFU191" s="5"/>
      <c r="QFV191" s="5"/>
      <c r="QFW191" s="5"/>
      <c r="QFX191" s="5"/>
      <c r="QFY191" s="5"/>
      <c r="QFZ191" s="5"/>
      <c r="QGA191" s="5"/>
      <c r="QGB191" s="5"/>
      <c r="QGC191" s="5"/>
      <c r="QGD191" s="5"/>
      <c r="QGE191" s="5"/>
      <c r="QGF191" s="5"/>
      <c r="QGG191" s="5"/>
      <c r="QGH191" s="5"/>
      <c r="QGI191" s="5"/>
      <c r="QGJ191" s="5"/>
      <c r="QGK191" s="5"/>
      <c r="QGL191" s="5"/>
      <c r="QGM191" s="5"/>
      <c r="QGN191" s="5"/>
      <c r="QGO191" s="5"/>
      <c r="QGP191" s="5"/>
      <c r="QGQ191" s="5"/>
      <c r="QGR191" s="5"/>
      <c r="QGS191" s="5"/>
      <c r="QGT191" s="5"/>
      <c r="QGU191" s="5"/>
      <c r="QGV191" s="5"/>
      <c r="QGW191" s="5"/>
      <c r="QGX191" s="5"/>
      <c r="QGY191" s="5"/>
      <c r="QGZ191" s="5"/>
      <c r="QHA191" s="5"/>
      <c r="QHB191" s="5"/>
      <c r="QHC191" s="5"/>
      <c r="QHD191" s="5"/>
      <c r="QHE191" s="5"/>
      <c r="QHF191" s="5"/>
      <c r="QHG191" s="5"/>
      <c r="QHH191" s="5"/>
      <c r="QHI191" s="5"/>
      <c r="QHJ191" s="5"/>
      <c r="QHK191" s="5"/>
      <c r="QHL191" s="5"/>
      <c r="QHM191" s="5"/>
      <c r="QHN191" s="5"/>
      <c r="QHO191" s="5"/>
      <c r="QHP191" s="5"/>
      <c r="QHQ191" s="5"/>
      <c r="QHR191" s="5"/>
      <c r="QHS191" s="5"/>
      <c r="QHT191" s="5"/>
      <c r="QHU191" s="5"/>
      <c r="QHV191" s="5"/>
      <c r="QHW191" s="5"/>
      <c r="QHX191" s="5"/>
      <c r="QHY191" s="5"/>
      <c r="QHZ191" s="5"/>
      <c r="QIA191" s="5"/>
      <c r="QIB191" s="5"/>
      <c r="QIC191" s="5"/>
      <c r="QID191" s="5"/>
      <c r="QIE191" s="5"/>
      <c r="QIF191" s="5"/>
      <c r="QIG191" s="5"/>
      <c r="QIH191" s="5"/>
      <c r="QII191" s="5"/>
      <c r="QIJ191" s="5"/>
      <c r="QIK191" s="5"/>
      <c r="QIL191" s="5"/>
      <c r="QIM191" s="5"/>
      <c r="QIN191" s="5"/>
      <c r="QIO191" s="5"/>
      <c r="QIP191" s="5"/>
      <c r="QIQ191" s="5"/>
      <c r="QIR191" s="5"/>
      <c r="QIS191" s="5"/>
      <c r="QIT191" s="5"/>
      <c r="QIU191" s="5"/>
      <c r="QIV191" s="5"/>
      <c r="QIW191" s="5"/>
      <c r="QIX191" s="5"/>
      <c r="QIY191" s="5"/>
      <c r="QIZ191" s="5"/>
      <c r="QJA191" s="5"/>
      <c r="QJB191" s="5"/>
      <c r="QJC191" s="5"/>
      <c r="QJD191" s="5"/>
      <c r="QJE191" s="5"/>
      <c r="QJF191" s="5"/>
      <c r="QJG191" s="5"/>
      <c r="QJH191" s="5"/>
      <c r="QJI191" s="5"/>
      <c r="QJJ191" s="5"/>
      <c r="QJK191" s="5"/>
      <c r="QJL191" s="5"/>
      <c r="QJM191" s="5"/>
      <c r="QJN191" s="5"/>
      <c r="QJO191" s="5"/>
      <c r="QJP191" s="5"/>
      <c r="QJQ191" s="5"/>
      <c r="QJR191" s="5"/>
      <c r="QJS191" s="5"/>
      <c r="QJT191" s="5"/>
      <c r="QJU191" s="5"/>
      <c r="QJV191" s="5"/>
      <c r="QJW191" s="5"/>
      <c r="QJX191" s="5"/>
      <c r="QJY191" s="5"/>
      <c r="QJZ191" s="5"/>
      <c r="QKA191" s="5"/>
      <c r="QKB191" s="5"/>
      <c r="QKC191" s="5"/>
      <c r="QKD191" s="5"/>
      <c r="QKE191" s="5"/>
      <c r="QKF191" s="5"/>
      <c r="QKG191" s="5"/>
      <c r="QKH191" s="5"/>
      <c r="QKI191" s="5"/>
      <c r="QKJ191" s="5"/>
      <c r="QKK191" s="5"/>
      <c r="QKL191" s="5"/>
      <c r="QKM191" s="5"/>
      <c r="QKN191" s="5"/>
      <c r="QKO191" s="5"/>
      <c r="QKP191" s="5"/>
      <c r="QKQ191" s="5"/>
      <c r="QKR191" s="5"/>
      <c r="QKS191" s="5"/>
      <c r="QKT191" s="5"/>
      <c r="QKU191" s="5"/>
      <c r="QKV191" s="5"/>
      <c r="QKW191" s="5"/>
      <c r="QKX191" s="5"/>
      <c r="QKY191" s="5"/>
      <c r="QKZ191" s="5"/>
      <c r="QLA191" s="5"/>
      <c r="QLB191" s="5"/>
      <c r="QLC191" s="5"/>
      <c r="QLD191" s="5"/>
      <c r="QLE191" s="5"/>
      <c r="QLF191" s="5"/>
      <c r="QLG191" s="5"/>
      <c r="QLH191" s="5"/>
      <c r="QLI191" s="5"/>
      <c r="QLJ191" s="5"/>
      <c r="QLK191" s="5"/>
      <c r="QLL191" s="5"/>
      <c r="QLM191" s="5"/>
      <c r="QLN191" s="5"/>
      <c r="QLO191" s="5"/>
      <c r="QLP191" s="5"/>
      <c r="QLQ191" s="5"/>
      <c r="QLR191" s="5"/>
      <c r="QLS191" s="5"/>
      <c r="QLT191" s="5"/>
      <c r="QLU191" s="5"/>
      <c r="QLV191" s="5"/>
      <c r="QLW191" s="5"/>
      <c r="QLX191" s="5"/>
      <c r="QLY191" s="5"/>
      <c r="QLZ191" s="5"/>
      <c r="QMA191" s="5"/>
      <c r="QMB191" s="5"/>
      <c r="QMC191" s="5"/>
      <c r="QMD191" s="5"/>
      <c r="QME191" s="5"/>
      <c r="QMF191" s="5"/>
      <c r="QMG191" s="5"/>
      <c r="QMH191" s="5"/>
      <c r="QMI191" s="5"/>
      <c r="QMJ191" s="5"/>
      <c r="QMK191" s="5"/>
      <c r="QML191" s="5"/>
      <c r="QMM191" s="5"/>
      <c r="QMN191" s="5"/>
      <c r="QMO191" s="5"/>
      <c r="QMP191" s="5"/>
      <c r="QMQ191" s="5"/>
      <c r="QMR191" s="5"/>
      <c r="QMS191" s="5"/>
      <c r="QMT191" s="5"/>
      <c r="QMU191" s="5"/>
      <c r="QMV191" s="5"/>
      <c r="QMW191" s="5"/>
      <c r="QMX191" s="5"/>
      <c r="QMY191" s="5"/>
      <c r="QMZ191" s="5"/>
      <c r="QNA191" s="5"/>
      <c r="QNB191" s="5"/>
      <c r="QNC191" s="5"/>
      <c r="QND191" s="5"/>
      <c r="QNE191" s="5"/>
      <c r="QNF191" s="5"/>
      <c r="QNG191" s="5"/>
      <c r="QNH191" s="5"/>
      <c r="QNI191" s="5"/>
      <c r="QNJ191" s="5"/>
      <c r="QNK191" s="5"/>
      <c r="QNL191" s="5"/>
      <c r="QNM191" s="5"/>
      <c r="QNN191" s="5"/>
      <c r="QNO191" s="5"/>
      <c r="QNP191" s="5"/>
      <c r="QNQ191" s="5"/>
      <c r="QNR191" s="5"/>
      <c r="QNS191" s="5"/>
      <c r="QNT191" s="5"/>
      <c r="QNU191" s="5"/>
      <c r="QNV191" s="5"/>
      <c r="QNW191" s="5"/>
      <c r="QNX191" s="5"/>
      <c r="QNY191" s="5"/>
      <c r="QNZ191" s="5"/>
      <c r="QOA191" s="5"/>
      <c r="QOB191" s="5"/>
      <c r="QOC191" s="5"/>
      <c r="QOD191" s="5"/>
      <c r="QOE191" s="5"/>
      <c r="QOF191" s="5"/>
      <c r="QOG191" s="5"/>
      <c r="QOH191" s="5"/>
      <c r="QOI191" s="5"/>
      <c r="QOJ191" s="5"/>
      <c r="QOK191" s="5"/>
      <c r="QOL191" s="5"/>
      <c r="QOM191" s="5"/>
      <c r="QON191" s="5"/>
      <c r="QOO191" s="5"/>
      <c r="QOP191" s="5"/>
      <c r="QOQ191" s="5"/>
      <c r="QOR191" s="5"/>
      <c r="QOS191" s="5"/>
      <c r="QOT191" s="5"/>
      <c r="QOU191" s="5"/>
      <c r="QOV191" s="5"/>
      <c r="QOW191" s="5"/>
      <c r="QOX191" s="5"/>
      <c r="QOY191" s="5"/>
      <c r="QOZ191" s="5"/>
      <c r="QPA191" s="5"/>
      <c r="QPB191" s="5"/>
      <c r="QPC191" s="5"/>
      <c r="QPD191" s="5"/>
      <c r="QPE191" s="5"/>
      <c r="QPF191" s="5"/>
      <c r="QPG191" s="5"/>
      <c r="QPH191" s="5"/>
      <c r="QPI191" s="5"/>
      <c r="QPJ191" s="5"/>
      <c r="QPK191" s="5"/>
      <c r="QPL191" s="5"/>
      <c r="QPM191" s="5"/>
      <c r="QPN191" s="5"/>
      <c r="QPO191" s="5"/>
      <c r="QPP191" s="5"/>
      <c r="QPQ191" s="5"/>
      <c r="QPR191" s="5"/>
      <c r="QPS191" s="5"/>
      <c r="QPT191" s="5"/>
      <c r="QPU191" s="5"/>
      <c r="QPV191" s="5"/>
      <c r="QPW191" s="5"/>
      <c r="QPX191" s="5"/>
      <c r="QPY191" s="5"/>
      <c r="QPZ191" s="5"/>
      <c r="QQA191" s="5"/>
      <c r="QQB191" s="5"/>
      <c r="QQC191" s="5"/>
      <c r="QQD191" s="5"/>
      <c r="QQE191" s="5"/>
      <c r="QQF191" s="5"/>
      <c r="QQG191" s="5"/>
      <c r="QQH191" s="5"/>
      <c r="QQI191" s="5"/>
      <c r="QQJ191" s="5"/>
      <c r="QQK191" s="5"/>
      <c r="QQL191" s="5"/>
      <c r="QQM191" s="5"/>
      <c r="QQN191" s="5"/>
      <c r="QQO191" s="5"/>
      <c r="QQP191" s="5"/>
      <c r="QQQ191" s="5"/>
      <c r="QQR191" s="5"/>
      <c r="QQS191" s="5"/>
      <c r="QQT191" s="5"/>
      <c r="QQU191" s="5"/>
      <c r="QQV191" s="5"/>
      <c r="QQW191" s="5"/>
      <c r="QQX191" s="5"/>
      <c r="QQY191" s="5"/>
      <c r="QQZ191" s="5"/>
      <c r="QRA191" s="5"/>
      <c r="QRB191" s="5"/>
      <c r="QRC191" s="5"/>
      <c r="QRD191" s="5"/>
      <c r="QRE191" s="5"/>
      <c r="QRF191" s="5"/>
      <c r="QRG191" s="5"/>
      <c r="QRH191" s="5"/>
      <c r="QRI191" s="5"/>
      <c r="QRJ191" s="5"/>
      <c r="QRK191" s="5"/>
      <c r="QRL191" s="5"/>
      <c r="QRM191" s="5"/>
      <c r="QRN191" s="5"/>
      <c r="QRO191" s="5"/>
      <c r="QRP191" s="5"/>
      <c r="QRQ191" s="5"/>
      <c r="QRR191" s="5"/>
      <c r="QRS191" s="5"/>
      <c r="QRT191" s="5"/>
      <c r="QRU191" s="5"/>
      <c r="QRV191" s="5"/>
      <c r="QRW191" s="5"/>
      <c r="QRX191" s="5"/>
      <c r="QRY191" s="5"/>
      <c r="QRZ191" s="5"/>
      <c r="QSA191" s="5"/>
      <c r="QSB191" s="5"/>
      <c r="QSC191" s="5"/>
      <c r="QSD191" s="5"/>
      <c r="QSE191" s="5"/>
      <c r="QSF191" s="5"/>
      <c r="QSG191" s="5"/>
      <c r="QSH191" s="5"/>
      <c r="QSI191" s="5"/>
      <c r="QSJ191" s="5"/>
      <c r="QSK191" s="5"/>
      <c r="QSL191" s="5"/>
      <c r="QSM191" s="5"/>
      <c r="QSN191" s="5"/>
      <c r="QSO191" s="5"/>
      <c r="QSP191" s="5"/>
      <c r="QSQ191" s="5"/>
      <c r="QSR191" s="5"/>
      <c r="QSS191" s="5"/>
      <c r="QST191" s="5"/>
      <c r="QSU191" s="5"/>
      <c r="QSV191" s="5"/>
      <c r="QSW191" s="5"/>
      <c r="QSX191" s="5"/>
      <c r="QSY191" s="5"/>
      <c r="QSZ191" s="5"/>
      <c r="QTA191" s="5"/>
      <c r="QTB191" s="5"/>
      <c r="QTC191" s="5"/>
      <c r="QTD191" s="5"/>
      <c r="QTE191" s="5"/>
      <c r="QTF191" s="5"/>
      <c r="QTG191" s="5"/>
      <c r="QTH191" s="5"/>
      <c r="QTI191" s="5"/>
      <c r="QTJ191" s="5"/>
      <c r="QTK191" s="5"/>
      <c r="QTL191" s="5"/>
      <c r="QTM191" s="5"/>
      <c r="QTN191" s="5"/>
      <c r="QTO191" s="5"/>
      <c r="QTP191" s="5"/>
      <c r="QTQ191" s="5"/>
      <c r="QTR191" s="5"/>
      <c r="QTS191" s="5"/>
      <c r="QTT191" s="5"/>
      <c r="QTU191" s="5"/>
      <c r="QTV191" s="5"/>
      <c r="QTW191" s="5"/>
      <c r="QTX191" s="5"/>
      <c r="QTY191" s="5"/>
      <c r="QTZ191" s="5"/>
      <c r="QUA191" s="5"/>
      <c r="QUB191" s="5"/>
      <c r="QUC191" s="5"/>
      <c r="QUD191" s="5"/>
      <c r="QUE191" s="5"/>
      <c r="QUF191" s="5"/>
      <c r="QUG191" s="5"/>
      <c r="QUH191" s="5"/>
      <c r="QUI191" s="5"/>
      <c r="QUJ191" s="5"/>
      <c r="QUK191" s="5"/>
      <c r="QUL191" s="5"/>
      <c r="QUM191" s="5"/>
      <c r="QUN191" s="5"/>
      <c r="QUO191" s="5"/>
      <c r="QUP191" s="5"/>
      <c r="QUQ191" s="5"/>
      <c r="QUR191" s="5"/>
      <c r="QUS191" s="5"/>
      <c r="QUT191" s="5"/>
      <c r="QUU191" s="5"/>
      <c r="QUV191" s="5"/>
      <c r="QUW191" s="5"/>
      <c r="QUX191" s="5"/>
      <c r="QUY191" s="5"/>
      <c r="QUZ191" s="5"/>
      <c r="QVA191" s="5"/>
      <c r="QVB191" s="5"/>
      <c r="QVC191" s="5"/>
      <c r="QVD191" s="5"/>
      <c r="QVE191" s="5"/>
      <c r="QVF191" s="5"/>
      <c r="QVG191" s="5"/>
      <c r="QVH191" s="5"/>
      <c r="QVI191" s="5"/>
      <c r="QVJ191" s="5"/>
      <c r="QVK191" s="5"/>
      <c r="QVL191" s="5"/>
      <c r="QVM191" s="5"/>
      <c r="QVN191" s="5"/>
      <c r="QVO191" s="5"/>
      <c r="QVP191" s="5"/>
      <c r="QVQ191" s="5"/>
      <c r="QVR191" s="5"/>
      <c r="QVS191" s="5"/>
      <c r="QVT191" s="5"/>
      <c r="QVU191" s="5"/>
      <c r="QVV191" s="5"/>
      <c r="QVW191" s="5"/>
      <c r="QVX191" s="5"/>
      <c r="QVY191" s="5"/>
      <c r="QVZ191" s="5"/>
      <c r="QWA191" s="5"/>
      <c r="QWB191" s="5"/>
      <c r="QWC191" s="5"/>
      <c r="QWD191" s="5"/>
      <c r="QWE191" s="5"/>
      <c r="QWF191" s="5"/>
      <c r="QWG191" s="5"/>
      <c r="QWH191" s="5"/>
      <c r="QWI191" s="5"/>
      <c r="QWJ191" s="5"/>
      <c r="QWK191" s="5"/>
      <c r="QWL191" s="5"/>
      <c r="QWM191" s="5"/>
      <c r="QWN191" s="5"/>
      <c r="QWO191" s="5"/>
      <c r="QWP191" s="5"/>
      <c r="QWQ191" s="5"/>
      <c r="QWR191" s="5"/>
      <c r="QWS191" s="5"/>
      <c r="QWT191" s="5"/>
      <c r="QWU191" s="5"/>
      <c r="QWV191" s="5"/>
      <c r="QWW191" s="5"/>
      <c r="QWX191" s="5"/>
      <c r="QWY191" s="5"/>
      <c r="QWZ191" s="5"/>
      <c r="QXA191" s="5"/>
      <c r="QXB191" s="5"/>
      <c r="QXC191" s="5"/>
      <c r="QXD191" s="5"/>
      <c r="QXE191" s="5"/>
      <c r="QXF191" s="5"/>
      <c r="QXG191" s="5"/>
      <c r="QXH191" s="5"/>
      <c r="QXI191" s="5"/>
      <c r="QXJ191" s="5"/>
      <c r="QXK191" s="5"/>
      <c r="QXL191" s="5"/>
      <c r="QXM191" s="5"/>
      <c r="QXN191" s="5"/>
      <c r="QXO191" s="5"/>
      <c r="QXP191" s="5"/>
      <c r="QXQ191" s="5"/>
      <c r="QXR191" s="5"/>
      <c r="QXS191" s="5"/>
      <c r="QXT191" s="5"/>
      <c r="QXU191" s="5"/>
      <c r="QXV191" s="5"/>
      <c r="QXW191" s="5"/>
      <c r="QXX191" s="5"/>
      <c r="QXY191" s="5"/>
      <c r="QXZ191" s="5"/>
      <c r="QYA191" s="5"/>
      <c r="QYB191" s="5"/>
      <c r="QYC191" s="5"/>
      <c r="QYD191" s="5"/>
      <c r="QYE191" s="5"/>
      <c r="QYF191" s="5"/>
      <c r="QYG191" s="5"/>
      <c r="QYH191" s="5"/>
      <c r="QYI191" s="5"/>
      <c r="QYJ191" s="5"/>
      <c r="QYK191" s="5"/>
      <c r="QYL191" s="5"/>
      <c r="QYM191" s="5"/>
      <c r="QYN191" s="5"/>
      <c r="QYO191" s="5"/>
      <c r="QYP191" s="5"/>
      <c r="QYQ191" s="5"/>
      <c r="QYR191" s="5"/>
      <c r="QYS191" s="5"/>
      <c r="QYT191" s="5"/>
      <c r="QYU191" s="5"/>
      <c r="QYV191" s="5"/>
      <c r="QYW191" s="5"/>
      <c r="QYX191" s="5"/>
      <c r="QYY191" s="5"/>
      <c r="QYZ191" s="5"/>
      <c r="QZA191" s="5"/>
      <c r="QZB191" s="5"/>
      <c r="QZC191" s="5"/>
      <c r="QZD191" s="5"/>
      <c r="QZE191" s="5"/>
      <c r="QZF191" s="5"/>
      <c r="QZG191" s="5"/>
      <c r="QZH191" s="5"/>
      <c r="QZI191" s="5"/>
      <c r="QZJ191" s="5"/>
      <c r="QZK191" s="5"/>
      <c r="QZL191" s="5"/>
      <c r="QZM191" s="5"/>
      <c r="QZN191" s="5"/>
      <c r="QZO191" s="5"/>
      <c r="QZP191" s="5"/>
      <c r="QZQ191" s="5"/>
      <c r="QZR191" s="5"/>
      <c r="QZS191" s="5"/>
      <c r="QZT191" s="5"/>
      <c r="QZU191" s="5"/>
      <c r="QZV191" s="5"/>
      <c r="QZW191" s="5"/>
      <c r="QZX191" s="5"/>
      <c r="QZY191" s="5"/>
      <c r="QZZ191" s="5"/>
      <c r="RAA191" s="5"/>
      <c r="RAB191" s="5"/>
      <c r="RAC191" s="5"/>
      <c r="RAD191" s="5"/>
      <c r="RAE191" s="5"/>
      <c r="RAF191" s="5"/>
      <c r="RAG191" s="5"/>
      <c r="RAH191" s="5"/>
      <c r="RAI191" s="5"/>
      <c r="RAJ191" s="5"/>
      <c r="RAK191" s="5"/>
      <c r="RAL191" s="5"/>
      <c r="RAM191" s="5"/>
      <c r="RAN191" s="5"/>
      <c r="RAO191" s="5"/>
      <c r="RAP191" s="5"/>
      <c r="RAQ191" s="5"/>
      <c r="RAR191" s="5"/>
      <c r="RAS191" s="5"/>
      <c r="RAT191" s="5"/>
      <c r="RAU191" s="5"/>
      <c r="RAV191" s="5"/>
      <c r="RAW191" s="5"/>
      <c r="RAX191" s="5"/>
      <c r="RAY191" s="5"/>
      <c r="RAZ191" s="5"/>
      <c r="RBA191" s="5"/>
      <c r="RBB191" s="5"/>
      <c r="RBC191" s="5"/>
      <c r="RBD191" s="5"/>
      <c r="RBE191" s="5"/>
      <c r="RBF191" s="5"/>
      <c r="RBG191" s="5"/>
      <c r="RBH191" s="5"/>
      <c r="RBI191" s="5"/>
      <c r="RBJ191" s="5"/>
      <c r="RBK191" s="5"/>
      <c r="RBL191" s="5"/>
      <c r="RBM191" s="5"/>
      <c r="RBN191" s="5"/>
      <c r="RBO191" s="5"/>
      <c r="RBP191" s="5"/>
      <c r="RBQ191" s="5"/>
      <c r="RBR191" s="5"/>
      <c r="RBS191" s="5"/>
      <c r="RBT191" s="5"/>
      <c r="RBU191" s="5"/>
      <c r="RBV191" s="5"/>
      <c r="RBW191" s="5"/>
      <c r="RBX191" s="5"/>
      <c r="RBY191" s="5"/>
      <c r="RBZ191" s="5"/>
      <c r="RCA191" s="5"/>
      <c r="RCB191" s="5"/>
      <c r="RCC191" s="5"/>
      <c r="RCD191" s="5"/>
      <c r="RCE191" s="5"/>
      <c r="RCF191" s="5"/>
      <c r="RCG191" s="5"/>
      <c r="RCH191" s="5"/>
      <c r="RCI191" s="5"/>
      <c r="RCJ191" s="5"/>
      <c r="RCK191" s="5"/>
      <c r="RCL191" s="5"/>
      <c r="RCM191" s="5"/>
      <c r="RCN191" s="5"/>
      <c r="RCO191" s="5"/>
      <c r="RCP191" s="5"/>
      <c r="RCQ191" s="5"/>
      <c r="RCR191" s="5"/>
      <c r="RCS191" s="5"/>
      <c r="RCT191" s="5"/>
      <c r="RCU191" s="5"/>
      <c r="RCV191" s="5"/>
      <c r="RCW191" s="5"/>
      <c r="RCX191" s="5"/>
      <c r="RCY191" s="5"/>
      <c r="RCZ191" s="5"/>
      <c r="RDA191" s="5"/>
      <c r="RDB191" s="5"/>
      <c r="RDC191" s="5"/>
      <c r="RDD191" s="5"/>
      <c r="RDE191" s="5"/>
      <c r="RDF191" s="5"/>
      <c r="RDG191" s="5"/>
      <c r="RDH191" s="5"/>
      <c r="RDI191" s="5"/>
      <c r="RDJ191" s="5"/>
      <c r="RDK191" s="5"/>
      <c r="RDL191" s="5"/>
      <c r="RDM191" s="5"/>
      <c r="RDN191" s="5"/>
      <c r="RDO191" s="5"/>
      <c r="RDP191" s="5"/>
      <c r="RDQ191" s="5"/>
      <c r="RDR191" s="5"/>
      <c r="RDS191" s="5"/>
      <c r="RDT191" s="5"/>
      <c r="RDU191" s="5"/>
      <c r="RDV191" s="5"/>
      <c r="RDW191" s="5"/>
      <c r="RDX191" s="5"/>
      <c r="RDY191" s="5"/>
      <c r="RDZ191" s="5"/>
      <c r="REA191" s="5"/>
      <c r="REB191" s="5"/>
      <c r="REC191" s="5"/>
      <c r="RED191" s="5"/>
      <c r="REE191" s="5"/>
      <c r="REF191" s="5"/>
      <c r="REG191" s="5"/>
      <c r="REH191" s="5"/>
      <c r="REI191" s="5"/>
      <c r="REJ191" s="5"/>
      <c r="REK191" s="5"/>
      <c r="REL191" s="5"/>
      <c r="REM191" s="5"/>
      <c r="REN191" s="5"/>
      <c r="REO191" s="5"/>
      <c r="REP191" s="5"/>
      <c r="REQ191" s="5"/>
      <c r="RER191" s="5"/>
      <c r="RES191" s="5"/>
      <c r="RET191" s="5"/>
      <c r="REU191" s="5"/>
      <c r="REV191" s="5"/>
      <c r="REW191" s="5"/>
      <c r="REX191" s="5"/>
      <c r="REY191" s="5"/>
      <c r="REZ191" s="5"/>
      <c r="RFA191" s="5"/>
      <c r="RFB191" s="5"/>
      <c r="RFC191" s="5"/>
      <c r="RFD191" s="5"/>
      <c r="RFE191" s="5"/>
      <c r="RFF191" s="5"/>
      <c r="RFG191" s="5"/>
      <c r="RFH191" s="5"/>
      <c r="RFI191" s="5"/>
      <c r="RFJ191" s="5"/>
      <c r="RFK191" s="5"/>
      <c r="RFL191" s="5"/>
      <c r="RFM191" s="5"/>
      <c r="RFN191" s="5"/>
      <c r="RFO191" s="5"/>
      <c r="RFP191" s="5"/>
      <c r="RFQ191" s="5"/>
      <c r="RFR191" s="5"/>
      <c r="RFS191" s="5"/>
      <c r="RFT191" s="5"/>
      <c r="RFU191" s="5"/>
      <c r="RFV191" s="5"/>
      <c r="RFW191" s="5"/>
      <c r="RFX191" s="5"/>
      <c r="RFY191" s="5"/>
      <c r="RFZ191" s="5"/>
      <c r="RGA191" s="5"/>
      <c r="RGB191" s="5"/>
      <c r="RGC191" s="5"/>
      <c r="RGD191" s="5"/>
      <c r="RGE191" s="5"/>
      <c r="RGF191" s="5"/>
      <c r="RGG191" s="5"/>
      <c r="RGH191" s="5"/>
      <c r="RGI191" s="5"/>
      <c r="RGJ191" s="5"/>
      <c r="RGK191" s="5"/>
      <c r="RGL191" s="5"/>
      <c r="RGM191" s="5"/>
      <c r="RGN191" s="5"/>
      <c r="RGO191" s="5"/>
      <c r="RGP191" s="5"/>
      <c r="RGQ191" s="5"/>
      <c r="RGR191" s="5"/>
      <c r="RGS191" s="5"/>
      <c r="RGT191" s="5"/>
      <c r="RGU191" s="5"/>
      <c r="RGV191" s="5"/>
      <c r="RGW191" s="5"/>
      <c r="RGX191" s="5"/>
      <c r="RGY191" s="5"/>
      <c r="RGZ191" s="5"/>
      <c r="RHA191" s="5"/>
      <c r="RHB191" s="5"/>
      <c r="RHC191" s="5"/>
      <c r="RHD191" s="5"/>
      <c r="RHE191" s="5"/>
      <c r="RHF191" s="5"/>
      <c r="RHG191" s="5"/>
      <c r="RHH191" s="5"/>
      <c r="RHI191" s="5"/>
      <c r="RHJ191" s="5"/>
      <c r="RHK191" s="5"/>
      <c r="RHL191" s="5"/>
      <c r="RHM191" s="5"/>
      <c r="RHN191" s="5"/>
      <c r="RHO191" s="5"/>
      <c r="RHP191" s="5"/>
      <c r="RHQ191" s="5"/>
      <c r="RHR191" s="5"/>
      <c r="RHS191" s="5"/>
      <c r="RHT191" s="5"/>
      <c r="RHU191" s="5"/>
      <c r="RHV191" s="5"/>
      <c r="RHW191" s="5"/>
      <c r="RHX191" s="5"/>
      <c r="RHY191" s="5"/>
      <c r="RHZ191" s="5"/>
      <c r="RIA191" s="5"/>
      <c r="RIB191" s="5"/>
      <c r="RIC191" s="5"/>
      <c r="RID191" s="5"/>
      <c r="RIE191" s="5"/>
      <c r="RIF191" s="5"/>
      <c r="RIG191" s="5"/>
      <c r="RIH191" s="5"/>
      <c r="RII191" s="5"/>
      <c r="RIJ191" s="5"/>
      <c r="RIK191" s="5"/>
      <c r="RIL191" s="5"/>
      <c r="RIM191" s="5"/>
      <c r="RIN191" s="5"/>
      <c r="RIO191" s="5"/>
      <c r="RIP191" s="5"/>
      <c r="RIQ191" s="5"/>
      <c r="RIR191" s="5"/>
      <c r="RIS191" s="5"/>
      <c r="RIT191" s="5"/>
      <c r="RIU191" s="5"/>
      <c r="RIV191" s="5"/>
      <c r="RIW191" s="5"/>
      <c r="RIX191" s="5"/>
      <c r="RIY191" s="5"/>
      <c r="RIZ191" s="5"/>
      <c r="RJA191" s="5"/>
      <c r="RJB191" s="5"/>
      <c r="RJC191" s="5"/>
      <c r="RJD191" s="5"/>
      <c r="RJE191" s="5"/>
      <c r="RJF191" s="5"/>
      <c r="RJG191" s="5"/>
      <c r="RJH191" s="5"/>
      <c r="RJI191" s="5"/>
      <c r="RJJ191" s="5"/>
      <c r="RJK191" s="5"/>
      <c r="RJL191" s="5"/>
      <c r="RJM191" s="5"/>
      <c r="RJN191" s="5"/>
      <c r="RJO191" s="5"/>
      <c r="RJP191" s="5"/>
      <c r="RJQ191" s="5"/>
      <c r="RJR191" s="5"/>
      <c r="RJS191" s="5"/>
      <c r="RJT191" s="5"/>
      <c r="RJU191" s="5"/>
      <c r="RJV191" s="5"/>
      <c r="RJW191" s="5"/>
      <c r="RJX191" s="5"/>
      <c r="RJY191" s="5"/>
      <c r="RJZ191" s="5"/>
      <c r="RKA191" s="5"/>
      <c r="RKB191" s="5"/>
      <c r="RKC191" s="5"/>
      <c r="RKD191" s="5"/>
      <c r="RKE191" s="5"/>
      <c r="RKF191" s="5"/>
      <c r="RKG191" s="5"/>
      <c r="RKH191" s="5"/>
      <c r="RKI191" s="5"/>
      <c r="RKJ191" s="5"/>
      <c r="RKK191" s="5"/>
      <c r="RKL191" s="5"/>
      <c r="RKM191" s="5"/>
      <c r="RKN191" s="5"/>
      <c r="RKO191" s="5"/>
      <c r="RKP191" s="5"/>
      <c r="RKQ191" s="5"/>
      <c r="RKR191" s="5"/>
      <c r="RKS191" s="5"/>
      <c r="RKT191" s="5"/>
      <c r="RKU191" s="5"/>
      <c r="RKV191" s="5"/>
      <c r="RKW191" s="5"/>
      <c r="RKX191" s="5"/>
      <c r="RKY191" s="5"/>
      <c r="RKZ191" s="5"/>
      <c r="RLA191" s="5"/>
      <c r="RLB191" s="5"/>
      <c r="RLC191" s="5"/>
      <c r="RLD191" s="5"/>
      <c r="RLE191" s="5"/>
      <c r="RLF191" s="5"/>
      <c r="RLG191" s="5"/>
      <c r="RLH191" s="5"/>
      <c r="RLI191" s="5"/>
      <c r="RLJ191" s="5"/>
      <c r="RLK191" s="5"/>
      <c r="RLL191" s="5"/>
      <c r="RLM191" s="5"/>
      <c r="RLN191" s="5"/>
      <c r="RLO191" s="5"/>
      <c r="RLP191" s="5"/>
      <c r="RLQ191" s="5"/>
      <c r="RLR191" s="5"/>
      <c r="RLS191" s="5"/>
      <c r="RLT191" s="5"/>
      <c r="RLU191" s="5"/>
      <c r="RLV191" s="5"/>
      <c r="RLW191" s="5"/>
      <c r="RLX191" s="5"/>
      <c r="RLY191" s="5"/>
      <c r="RLZ191" s="5"/>
      <c r="RMA191" s="5"/>
      <c r="RMB191" s="5"/>
      <c r="RMC191" s="5"/>
      <c r="RMD191" s="5"/>
      <c r="RME191" s="5"/>
      <c r="RMF191" s="5"/>
      <c r="RMG191" s="5"/>
      <c r="RMH191" s="5"/>
      <c r="RMI191" s="5"/>
      <c r="RMJ191" s="5"/>
      <c r="RMK191" s="5"/>
      <c r="RML191" s="5"/>
      <c r="RMM191" s="5"/>
      <c r="RMN191" s="5"/>
      <c r="RMO191" s="5"/>
      <c r="RMP191" s="5"/>
      <c r="RMQ191" s="5"/>
      <c r="RMR191" s="5"/>
      <c r="RMS191" s="5"/>
      <c r="RMT191" s="5"/>
      <c r="RMU191" s="5"/>
      <c r="RMV191" s="5"/>
      <c r="RMW191" s="5"/>
      <c r="RMX191" s="5"/>
      <c r="RMY191" s="5"/>
      <c r="RMZ191" s="5"/>
      <c r="RNA191" s="5"/>
      <c r="RNB191" s="5"/>
      <c r="RNC191" s="5"/>
      <c r="RND191" s="5"/>
      <c r="RNE191" s="5"/>
      <c r="RNF191" s="5"/>
      <c r="RNG191" s="5"/>
      <c r="RNH191" s="5"/>
      <c r="RNI191" s="5"/>
      <c r="RNJ191" s="5"/>
      <c r="RNK191" s="5"/>
      <c r="RNL191" s="5"/>
      <c r="RNM191" s="5"/>
      <c r="RNN191" s="5"/>
      <c r="RNO191" s="5"/>
      <c r="RNP191" s="5"/>
      <c r="RNQ191" s="5"/>
      <c r="RNR191" s="5"/>
      <c r="RNS191" s="5"/>
      <c r="RNT191" s="5"/>
      <c r="RNU191" s="5"/>
      <c r="RNV191" s="5"/>
      <c r="RNW191" s="5"/>
      <c r="RNX191" s="5"/>
      <c r="RNY191" s="5"/>
      <c r="RNZ191" s="5"/>
      <c r="ROA191" s="5"/>
      <c r="ROB191" s="5"/>
      <c r="ROC191" s="5"/>
      <c r="ROD191" s="5"/>
      <c r="ROE191" s="5"/>
      <c r="ROF191" s="5"/>
      <c r="ROG191" s="5"/>
      <c r="ROH191" s="5"/>
      <c r="ROI191" s="5"/>
      <c r="ROJ191" s="5"/>
      <c r="ROK191" s="5"/>
      <c r="ROL191" s="5"/>
      <c r="ROM191" s="5"/>
      <c r="RON191" s="5"/>
      <c r="ROO191" s="5"/>
      <c r="ROP191" s="5"/>
      <c r="ROQ191" s="5"/>
      <c r="ROR191" s="5"/>
      <c r="ROS191" s="5"/>
      <c r="ROT191" s="5"/>
      <c r="ROU191" s="5"/>
      <c r="ROV191" s="5"/>
      <c r="ROW191" s="5"/>
      <c r="ROX191" s="5"/>
      <c r="ROY191" s="5"/>
      <c r="ROZ191" s="5"/>
      <c r="RPA191" s="5"/>
      <c r="RPB191" s="5"/>
      <c r="RPC191" s="5"/>
      <c r="RPD191" s="5"/>
      <c r="RPE191" s="5"/>
      <c r="RPF191" s="5"/>
      <c r="RPG191" s="5"/>
      <c r="RPH191" s="5"/>
      <c r="RPI191" s="5"/>
      <c r="RPJ191" s="5"/>
      <c r="RPK191" s="5"/>
      <c r="RPL191" s="5"/>
      <c r="RPM191" s="5"/>
      <c r="RPN191" s="5"/>
      <c r="RPO191" s="5"/>
      <c r="RPP191" s="5"/>
      <c r="RPQ191" s="5"/>
      <c r="RPR191" s="5"/>
      <c r="RPS191" s="5"/>
      <c r="RPT191" s="5"/>
      <c r="RPU191" s="5"/>
      <c r="RPV191" s="5"/>
      <c r="RPW191" s="5"/>
      <c r="RPX191" s="5"/>
      <c r="RPY191" s="5"/>
      <c r="RPZ191" s="5"/>
      <c r="RQA191" s="5"/>
      <c r="RQB191" s="5"/>
      <c r="RQC191" s="5"/>
      <c r="RQD191" s="5"/>
      <c r="RQE191" s="5"/>
      <c r="RQF191" s="5"/>
      <c r="RQG191" s="5"/>
      <c r="RQH191" s="5"/>
      <c r="RQI191" s="5"/>
      <c r="RQJ191" s="5"/>
      <c r="RQK191" s="5"/>
      <c r="RQL191" s="5"/>
      <c r="RQM191" s="5"/>
      <c r="RQN191" s="5"/>
      <c r="RQO191" s="5"/>
      <c r="RQP191" s="5"/>
      <c r="RQQ191" s="5"/>
      <c r="RQR191" s="5"/>
      <c r="RQS191" s="5"/>
      <c r="RQT191" s="5"/>
      <c r="RQU191" s="5"/>
      <c r="RQV191" s="5"/>
      <c r="RQW191" s="5"/>
      <c r="RQX191" s="5"/>
      <c r="RQY191" s="5"/>
      <c r="RQZ191" s="5"/>
      <c r="RRA191" s="5"/>
      <c r="RRB191" s="5"/>
      <c r="RRC191" s="5"/>
      <c r="RRD191" s="5"/>
      <c r="RRE191" s="5"/>
      <c r="RRF191" s="5"/>
      <c r="RRG191" s="5"/>
      <c r="RRH191" s="5"/>
      <c r="RRI191" s="5"/>
      <c r="RRJ191" s="5"/>
      <c r="RRK191" s="5"/>
      <c r="RRL191" s="5"/>
      <c r="RRM191" s="5"/>
      <c r="RRN191" s="5"/>
      <c r="RRO191" s="5"/>
      <c r="RRP191" s="5"/>
      <c r="RRQ191" s="5"/>
      <c r="RRR191" s="5"/>
      <c r="RRS191" s="5"/>
      <c r="RRT191" s="5"/>
      <c r="RRU191" s="5"/>
      <c r="RRV191" s="5"/>
      <c r="RRW191" s="5"/>
      <c r="RRX191" s="5"/>
      <c r="RRY191" s="5"/>
      <c r="RRZ191" s="5"/>
      <c r="RSA191" s="5"/>
      <c r="RSB191" s="5"/>
      <c r="RSC191" s="5"/>
      <c r="RSD191" s="5"/>
      <c r="RSE191" s="5"/>
      <c r="RSF191" s="5"/>
      <c r="RSG191" s="5"/>
      <c r="RSH191" s="5"/>
      <c r="RSI191" s="5"/>
      <c r="RSJ191" s="5"/>
      <c r="RSK191" s="5"/>
      <c r="RSL191" s="5"/>
      <c r="RSM191" s="5"/>
      <c r="RSN191" s="5"/>
      <c r="RSO191" s="5"/>
      <c r="RSP191" s="5"/>
      <c r="RSQ191" s="5"/>
      <c r="RSR191" s="5"/>
      <c r="RSS191" s="5"/>
      <c r="RST191" s="5"/>
      <c r="RSU191" s="5"/>
      <c r="RSV191" s="5"/>
      <c r="RSW191" s="5"/>
      <c r="RSX191" s="5"/>
      <c r="RSY191" s="5"/>
      <c r="RSZ191" s="5"/>
      <c r="RTA191" s="5"/>
      <c r="RTB191" s="5"/>
      <c r="RTC191" s="5"/>
      <c r="RTD191" s="5"/>
      <c r="RTE191" s="5"/>
      <c r="RTF191" s="5"/>
      <c r="RTG191" s="5"/>
      <c r="RTH191" s="5"/>
      <c r="RTI191" s="5"/>
      <c r="RTJ191" s="5"/>
      <c r="RTK191" s="5"/>
      <c r="RTL191" s="5"/>
      <c r="RTM191" s="5"/>
      <c r="RTN191" s="5"/>
      <c r="RTO191" s="5"/>
      <c r="RTP191" s="5"/>
      <c r="RTQ191" s="5"/>
      <c r="RTR191" s="5"/>
      <c r="RTS191" s="5"/>
      <c r="RTT191" s="5"/>
      <c r="RTU191" s="5"/>
      <c r="RTV191" s="5"/>
      <c r="RTW191" s="5"/>
      <c r="RTX191" s="5"/>
      <c r="RTY191" s="5"/>
      <c r="RTZ191" s="5"/>
      <c r="RUA191" s="5"/>
      <c r="RUB191" s="5"/>
      <c r="RUC191" s="5"/>
      <c r="RUD191" s="5"/>
      <c r="RUE191" s="5"/>
      <c r="RUF191" s="5"/>
      <c r="RUG191" s="5"/>
      <c r="RUH191" s="5"/>
      <c r="RUI191" s="5"/>
      <c r="RUJ191" s="5"/>
      <c r="RUK191" s="5"/>
      <c r="RUL191" s="5"/>
      <c r="RUM191" s="5"/>
      <c r="RUN191" s="5"/>
      <c r="RUO191" s="5"/>
      <c r="RUP191" s="5"/>
      <c r="RUQ191" s="5"/>
      <c r="RUR191" s="5"/>
      <c r="RUS191" s="5"/>
      <c r="RUT191" s="5"/>
      <c r="RUU191" s="5"/>
      <c r="RUV191" s="5"/>
      <c r="RUW191" s="5"/>
      <c r="RUX191" s="5"/>
      <c r="RUY191" s="5"/>
      <c r="RUZ191" s="5"/>
      <c r="RVA191" s="5"/>
      <c r="RVB191" s="5"/>
      <c r="RVC191" s="5"/>
      <c r="RVD191" s="5"/>
      <c r="RVE191" s="5"/>
      <c r="RVF191" s="5"/>
      <c r="RVG191" s="5"/>
      <c r="RVH191" s="5"/>
      <c r="RVI191" s="5"/>
      <c r="RVJ191" s="5"/>
      <c r="RVK191" s="5"/>
      <c r="RVL191" s="5"/>
      <c r="RVM191" s="5"/>
      <c r="RVN191" s="5"/>
      <c r="RVO191" s="5"/>
      <c r="RVP191" s="5"/>
      <c r="RVQ191" s="5"/>
      <c r="RVR191" s="5"/>
      <c r="RVS191" s="5"/>
      <c r="RVT191" s="5"/>
      <c r="RVU191" s="5"/>
      <c r="RVV191" s="5"/>
      <c r="RVW191" s="5"/>
      <c r="RVX191" s="5"/>
      <c r="RVY191" s="5"/>
      <c r="RVZ191" s="5"/>
      <c r="RWA191" s="5"/>
      <c r="RWB191" s="5"/>
      <c r="RWC191" s="5"/>
      <c r="RWD191" s="5"/>
      <c r="RWE191" s="5"/>
      <c r="RWF191" s="5"/>
      <c r="RWG191" s="5"/>
      <c r="RWH191" s="5"/>
      <c r="RWI191" s="5"/>
      <c r="RWJ191" s="5"/>
      <c r="RWK191" s="5"/>
      <c r="RWL191" s="5"/>
      <c r="RWM191" s="5"/>
      <c r="RWN191" s="5"/>
      <c r="RWO191" s="5"/>
      <c r="RWP191" s="5"/>
      <c r="RWQ191" s="5"/>
      <c r="RWR191" s="5"/>
      <c r="RWS191" s="5"/>
      <c r="RWT191" s="5"/>
      <c r="RWU191" s="5"/>
      <c r="RWV191" s="5"/>
      <c r="RWW191" s="5"/>
      <c r="RWX191" s="5"/>
      <c r="RWY191" s="5"/>
      <c r="RWZ191" s="5"/>
      <c r="RXA191" s="5"/>
      <c r="RXB191" s="5"/>
      <c r="RXC191" s="5"/>
      <c r="RXD191" s="5"/>
      <c r="RXE191" s="5"/>
      <c r="RXF191" s="5"/>
      <c r="RXG191" s="5"/>
      <c r="RXH191" s="5"/>
      <c r="RXI191" s="5"/>
      <c r="RXJ191" s="5"/>
      <c r="RXK191" s="5"/>
      <c r="RXL191" s="5"/>
      <c r="RXM191" s="5"/>
      <c r="RXN191" s="5"/>
      <c r="RXO191" s="5"/>
      <c r="RXP191" s="5"/>
      <c r="RXQ191" s="5"/>
      <c r="RXR191" s="5"/>
      <c r="RXS191" s="5"/>
      <c r="RXT191" s="5"/>
      <c r="RXU191" s="5"/>
      <c r="RXV191" s="5"/>
      <c r="RXW191" s="5"/>
      <c r="RXX191" s="5"/>
      <c r="RXY191" s="5"/>
      <c r="RXZ191" s="5"/>
      <c r="RYA191" s="5"/>
      <c r="RYB191" s="5"/>
      <c r="RYC191" s="5"/>
      <c r="RYD191" s="5"/>
      <c r="RYE191" s="5"/>
      <c r="RYF191" s="5"/>
      <c r="RYG191" s="5"/>
      <c r="RYH191" s="5"/>
      <c r="RYI191" s="5"/>
      <c r="RYJ191" s="5"/>
      <c r="RYK191" s="5"/>
      <c r="RYL191" s="5"/>
      <c r="RYM191" s="5"/>
      <c r="RYN191" s="5"/>
      <c r="RYO191" s="5"/>
      <c r="RYP191" s="5"/>
      <c r="RYQ191" s="5"/>
      <c r="RYR191" s="5"/>
      <c r="RYS191" s="5"/>
      <c r="RYT191" s="5"/>
      <c r="RYU191" s="5"/>
      <c r="RYV191" s="5"/>
      <c r="RYW191" s="5"/>
      <c r="RYX191" s="5"/>
      <c r="RYY191" s="5"/>
      <c r="RYZ191" s="5"/>
      <c r="RZA191" s="5"/>
      <c r="RZB191" s="5"/>
      <c r="RZC191" s="5"/>
      <c r="RZD191" s="5"/>
      <c r="RZE191" s="5"/>
      <c r="RZF191" s="5"/>
      <c r="RZG191" s="5"/>
      <c r="RZH191" s="5"/>
      <c r="RZI191" s="5"/>
      <c r="RZJ191" s="5"/>
      <c r="RZK191" s="5"/>
      <c r="RZL191" s="5"/>
      <c r="RZM191" s="5"/>
      <c r="RZN191" s="5"/>
      <c r="RZO191" s="5"/>
      <c r="RZP191" s="5"/>
      <c r="RZQ191" s="5"/>
      <c r="RZR191" s="5"/>
      <c r="RZS191" s="5"/>
      <c r="RZT191" s="5"/>
      <c r="RZU191" s="5"/>
      <c r="RZV191" s="5"/>
      <c r="RZW191" s="5"/>
      <c r="RZX191" s="5"/>
      <c r="RZY191" s="5"/>
      <c r="RZZ191" s="5"/>
      <c r="SAA191" s="5"/>
      <c r="SAB191" s="5"/>
      <c r="SAC191" s="5"/>
      <c r="SAD191" s="5"/>
      <c r="SAE191" s="5"/>
      <c r="SAF191" s="5"/>
      <c r="SAG191" s="5"/>
      <c r="SAH191" s="5"/>
      <c r="SAI191" s="5"/>
      <c r="SAJ191" s="5"/>
      <c r="SAK191" s="5"/>
      <c r="SAL191" s="5"/>
      <c r="SAM191" s="5"/>
      <c r="SAN191" s="5"/>
      <c r="SAO191" s="5"/>
      <c r="SAP191" s="5"/>
      <c r="SAQ191" s="5"/>
      <c r="SAR191" s="5"/>
      <c r="SAS191" s="5"/>
      <c r="SAT191" s="5"/>
      <c r="SAU191" s="5"/>
      <c r="SAV191" s="5"/>
      <c r="SAW191" s="5"/>
      <c r="SAX191" s="5"/>
      <c r="SAY191" s="5"/>
      <c r="SAZ191" s="5"/>
      <c r="SBA191" s="5"/>
      <c r="SBB191" s="5"/>
      <c r="SBC191" s="5"/>
      <c r="SBD191" s="5"/>
      <c r="SBE191" s="5"/>
      <c r="SBF191" s="5"/>
      <c r="SBG191" s="5"/>
      <c r="SBH191" s="5"/>
      <c r="SBI191" s="5"/>
      <c r="SBJ191" s="5"/>
      <c r="SBK191" s="5"/>
      <c r="SBL191" s="5"/>
      <c r="SBM191" s="5"/>
      <c r="SBN191" s="5"/>
      <c r="SBO191" s="5"/>
      <c r="SBP191" s="5"/>
      <c r="SBQ191" s="5"/>
      <c r="SBR191" s="5"/>
      <c r="SBS191" s="5"/>
      <c r="SBT191" s="5"/>
      <c r="SBU191" s="5"/>
      <c r="SBV191" s="5"/>
      <c r="SBW191" s="5"/>
      <c r="SBX191" s="5"/>
      <c r="SBY191" s="5"/>
      <c r="SBZ191" s="5"/>
      <c r="SCA191" s="5"/>
      <c r="SCB191" s="5"/>
      <c r="SCC191" s="5"/>
      <c r="SCD191" s="5"/>
      <c r="SCE191" s="5"/>
      <c r="SCF191" s="5"/>
      <c r="SCG191" s="5"/>
      <c r="SCH191" s="5"/>
      <c r="SCI191" s="5"/>
      <c r="SCJ191" s="5"/>
      <c r="SCK191" s="5"/>
      <c r="SCL191" s="5"/>
      <c r="SCM191" s="5"/>
      <c r="SCN191" s="5"/>
      <c r="SCO191" s="5"/>
      <c r="SCP191" s="5"/>
      <c r="SCQ191" s="5"/>
      <c r="SCR191" s="5"/>
      <c r="SCS191" s="5"/>
      <c r="SCT191" s="5"/>
      <c r="SCU191" s="5"/>
      <c r="SCV191" s="5"/>
      <c r="SCW191" s="5"/>
      <c r="SCX191" s="5"/>
      <c r="SCY191" s="5"/>
      <c r="SCZ191" s="5"/>
      <c r="SDA191" s="5"/>
      <c r="SDB191" s="5"/>
      <c r="SDC191" s="5"/>
      <c r="SDD191" s="5"/>
      <c r="SDE191" s="5"/>
      <c r="SDF191" s="5"/>
      <c r="SDG191" s="5"/>
      <c r="SDH191" s="5"/>
      <c r="SDI191" s="5"/>
      <c r="SDJ191" s="5"/>
      <c r="SDK191" s="5"/>
      <c r="SDL191" s="5"/>
      <c r="SDM191" s="5"/>
      <c r="SDN191" s="5"/>
      <c r="SDO191" s="5"/>
      <c r="SDP191" s="5"/>
      <c r="SDQ191" s="5"/>
      <c r="SDR191" s="5"/>
      <c r="SDS191" s="5"/>
      <c r="SDT191" s="5"/>
      <c r="SDU191" s="5"/>
      <c r="SDV191" s="5"/>
      <c r="SDW191" s="5"/>
      <c r="SDX191" s="5"/>
      <c r="SDY191" s="5"/>
      <c r="SDZ191" s="5"/>
      <c r="SEA191" s="5"/>
      <c r="SEB191" s="5"/>
      <c r="SEC191" s="5"/>
      <c r="SED191" s="5"/>
      <c r="SEE191" s="5"/>
      <c r="SEF191" s="5"/>
      <c r="SEG191" s="5"/>
      <c r="SEH191" s="5"/>
      <c r="SEI191" s="5"/>
      <c r="SEJ191" s="5"/>
      <c r="SEK191" s="5"/>
      <c r="SEL191" s="5"/>
      <c r="SEM191" s="5"/>
      <c r="SEN191" s="5"/>
      <c r="SEO191" s="5"/>
      <c r="SEP191" s="5"/>
      <c r="SEQ191" s="5"/>
      <c r="SER191" s="5"/>
      <c r="SES191" s="5"/>
      <c r="SET191" s="5"/>
      <c r="SEU191" s="5"/>
      <c r="SEV191" s="5"/>
      <c r="SEW191" s="5"/>
      <c r="SEX191" s="5"/>
      <c r="SEY191" s="5"/>
      <c r="SEZ191" s="5"/>
      <c r="SFA191" s="5"/>
      <c r="SFB191" s="5"/>
      <c r="SFC191" s="5"/>
      <c r="SFD191" s="5"/>
      <c r="SFE191" s="5"/>
      <c r="SFF191" s="5"/>
      <c r="SFG191" s="5"/>
      <c r="SFH191" s="5"/>
      <c r="SFI191" s="5"/>
      <c r="SFJ191" s="5"/>
      <c r="SFK191" s="5"/>
      <c r="SFL191" s="5"/>
      <c r="SFM191" s="5"/>
      <c r="SFN191" s="5"/>
      <c r="SFO191" s="5"/>
      <c r="SFP191" s="5"/>
      <c r="SFQ191" s="5"/>
      <c r="SFR191" s="5"/>
      <c r="SFS191" s="5"/>
      <c r="SFT191" s="5"/>
      <c r="SFU191" s="5"/>
      <c r="SFV191" s="5"/>
      <c r="SFW191" s="5"/>
      <c r="SFX191" s="5"/>
      <c r="SFY191" s="5"/>
      <c r="SFZ191" s="5"/>
      <c r="SGA191" s="5"/>
      <c r="SGB191" s="5"/>
      <c r="SGC191" s="5"/>
      <c r="SGD191" s="5"/>
      <c r="SGE191" s="5"/>
      <c r="SGF191" s="5"/>
      <c r="SGG191" s="5"/>
      <c r="SGH191" s="5"/>
      <c r="SGI191" s="5"/>
      <c r="SGJ191" s="5"/>
      <c r="SGK191" s="5"/>
      <c r="SGL191" s="5"/>
      <c r="SGM191" s="5"/>
      <c r="SGN191" s="5"/>
      <c r="SGO191" s="5"/>
      <c r="SGP191" s="5"/>
      <c r="SGQ191" s="5"/>
      <c r="SGR191" s="5"/>
      <c r="SGS191" s="5"/>
      <c r="SGT191" s="5"/>
      <c r="SGU191" s="5"/>
      <c r="SGV191" s="5"/>
      <c r="SGW191" s="5"/>
      <c r="SGX191" s="5"/>
      <c r="SGY191" s="5"/>
      <c r="SGZ191" s="5"/>
      <c r="SHA191" s="5"/>
      <c r="SHB191" s="5"/>
      <c r="SHC191" s="5"/>
      <c r="SHD191" s="5"/>
      <c r="SHE191" s="5"/>
      <c r="SHF191" s="5"/>
      <c r="SHG191" s="5"/>
      <c r="SHH191" s="5"/>
      <c r="SHI191" s="5"/>
      <c r="SHJ191" s="5"/>
      <c r="SHK191" s="5"/>
      <c r="SHL191" s="5"/>
      <c r="SHM191" s="5"/>
      <c r="SHN191" s="5"/>
      <c r="SHO191" s="5"/>
      <c r="SHP191" s="5"/>
      <c r="SHQ191" s="5"/>
      <c r="SHR191" s="5"/>
      <c r="SHS191" s="5"/>
      <c r="SHT191" s="5"/>
      <c r="SHU191" s="5"/>
      <c r="SHV191" s="5"/>
      <c r="SHW191" s="5"/>
      <c r="SHX191" s="5"/>
      <c r="SHY191" s="5"/>
      <c r="SHZ191" s="5"/>
      <c r="SIA191" s="5"/>
      <c r="SIB191" s="5"/>
      <c r="SIC191" s="5"/>
      <c r="SID191" s="5"/>
      <c r="SIE191" s="5"/>
      <c r="SIF191" s="5"/>
      <c r="SIG191" s="5"/>
      <c r="SIH191" s="5"/>
      <c r="SII191" s="5"/>
      <c r="SIJ191" s="5"/>
      <c r="SIK191" s="5"/>
      <c r="SIL191" s="5"/>
      <c r="SIM191" s="5"/>
      <c r="SIN191" s="5"/>
      <c r="SIO191" s="5"/>
      <c r="SIP191" s="5"/>
      <c r="SIQ191" s="5"/>
      <c r="SIR191" s="5"/>
      <c r="SIS191" s="5"/>
      <c r="SIT191" s="5"/>
      <c r="SIU191" s="5"/>
      <c r="SIV191" s="5"/>
      <c r="SIW191" s="5"/>
      <c r="SIX191" s="5"/>
      <c r="SIY191" s="5"/>
      <c r="SIZ191" s="5"/>
      <c r="SJA191" s="5"/>
      <c r="SJB191" s="5"/>
      <c r="SJC191" s="5"/>
      <c r="SJD191" s="5"/>
      <c r="SJE191" s="5"/>
      <c r="SJF191" s="5"/>
      <c r="SJG191" s="5"/>
      <c r="SJH191" s="5"/>
      <c r="SJI191" s="5"/>
      <c r="SJJ191" s="5"/>
      <c r="SJK191" s="5"/>
      <c r="SJL191" s="5"/>
      <c r="SJM191" s="5"/>
      <c r="SJN191" s="5"/>
      <c r="SJO191" s="5"/>
      <c r="SJP191" s="5"/>
      <c r="SJQ191" s="5"/>
      <c r="SJR191" s="5"/>
      <c r="SJS191" s="5"/>
      <c r="SJT191" s="5"/>
      <c r="SJU191" s="5"/>
      <c r="SJV191" s="5"/>
      <c r="SJW191" s="5"/>
      <c r="SJX191" s="5"/>
      <c r="SJY191" s="5"/>
      <c r="SJZ191" s="5"/>
      <c r="SKA191" s="5"/>
      <c r="SKB191" s="5"/>
      <c r="SKC191" s="5"/>
      <c r="SKD191" s="5"/>
      <c r="SKE191" s="5"/>
      <c r="SKF191" s="5"/>
      <c r="SKG191" s="5"/>
      <c r="SKH191" s="5"/>
      <c r="SKI191" s="5"/>
      <c r="SKJ191" s="5"/>
      <c r="SKK191" s="5"/>
      <c r="SKL191" s="5"/>
      <c r="SKM191" s="5"/>
      <c r="SKN191" s="5"/>
      <c r="SKO191" s="5"/>
      <c r="SKP191" s="5"/>
      <c r="SKQ191" s="5"/>
      <c r="SKR191" s="5"/>
      <c r="SKS191" s="5"/>
      <c r="SKT191" s="5"/>
      <c r="SKU191" s="5"/>
      <c r="SKV191" s="5"/>
      <c r="SKW191" s="5"/>
      <c r="SKX191" s="5"/>
      <c r="SKY191" s="5"/>
      <c r="SKZ191" s="5"/>
      <c r="SLA191" s="5"/>
      <c r="SLB191" s="5"/>
      <c r="SLC191" s="5"/>
      <c r="SLD191" s="5"/>
      <c r="SLE191" s="5"/>
      <c r="SLF191" s="5"/>
      <c r="SLG191" s="5"/>
      <c r="SLH191" s="5"/>
      <c r="SLI191" s="5"/>
      <c r="SLJ191" s="5"/>
      <c r="SLK191" s="5"/>
      <c r="SLL191" s="5"/>
      <c r="SLM191" s="5"/>
      <c r="SLN191" s="5"/>
      <c r="SLO191" s="5"/>
      <c r="SLP191" s="5"/>
      <c r="SLQ191" s="5"/>
      <c r="SLR191" s="5"/>
      <c r="SLS191" s="5"/>
      <c r="SLT191" s="5"/>
      <c r="SLU191" s="5"/>
      <c r="SLV191" s="5"/>
      <c r="SLW191" s="5"/>
      <c r="SLX191" s="5"/>
      <c r="SLY191" s="5"/>
      <c r="SLZ191" s="5"/>
      <c r="SMA191" s="5"/>
      <c r="SMB191" s="5"/>
      <c r="SMC191" s="5"/>
      <c r="SMD191" s="5"/>
      <c r="SME191" s="5"/>
      <c r="SMF191" s="5"/>
      <c r="SMG191" s="5"/>
      <c r="SMH191" s="5"/>
      <c r="SMI191" s="5"/>
      <c r="SMJ191" s="5"/>
      <c r="SMK191" s="5"/>
      <c r="SML191" s="5"/>
      <c r="SMM191" s="5"/>
      <c r="SMN191" s="5"/>
      <c r="SMO191" s="5"/>
      <c r="SMP191" s="5"/>
      <c r="SMQ191" s="5"/>
      <c r="SMR191" s="5"/>
      <c r="SMS191" s="5"/>
      <c r="SMT191" s="5"/>
      <c r="SMU191" s="5"/>
      <c r="SMV191" s="5"/>
      <c r="SMW191" s="5"/>
      <c r="SMX191" s="5"/>
      <c r="SMY191" s="5"/>
      <c r="SMZ191" s="5"/>
      <c r="SNA191" s="5"/>
      <c r="SNB191" s="5"/>
      <c r="SNC191" s="5"/>
      <c r="SND191" s="5"/>
      <c r="SNE191" s="5"/>
      <c r="SNF191" s="5"/>
      <c r="SNG191" s="5"/>
      <c r="SNH191" s="5"/>
      <c r="SNI191" s="5"/>
      <c r="SNJ191" s="5"/>
      <c r="SNK191" s="5"/>
      <c r="SNL191" s="5"/>
      <c r="SNM191" s="5"/>
      <c r="SNN191" s="5"/>
      <c r="SNO191" s="5"/>
      <c r="SNP191" s="5"/>
      <c r="SNQ191" s="5"/>
      <c r="SNR191" s="5"/>
      <c r="SNS191" s="5"/>
      <c r="SNT191" s="5"/>
      <c r="SNU191" s="5"/>
      <c r="SNV191" s="5"/>
      <c r="SNW191" s="5"/>
      <c r="SNX191" s="5"/>
      <c r="SNY191" s="5"/>
      <c r="SNZ191" s="5"/>
      <c r="SOA191" s="5"/>
      <c r="SOB191" s="5"/>
      <c r="SOC191" s="5"/>
      <c r="SOD191" s="5"/>
      <c r="SOE191" s="5"/>
      <c r="SOF191" s="5"/>
      <c r="SOG191" s="5"/>
      <c r="SOH191" s="5"/>
      <c r="SOI191" s="5"/>
      <c r="SOJ191" s="5"/>
      <c r="SOK191" s="5"/>
      <c r="SOL191" s="5"/>
      <c r="SOM191" s="5"/>
      <c r="SON191" s="5"/>
      <c r="SOO191" s="5"/>
      <c r="SOP191" s="5"/>
      <c r="SOQ191" s="5"/>
      <c r="SOR191" s="5"/>
      <c r="SOS191" s="5"/>
      <c r="SOT191" s="5"/>
      <c r="SOU191" s="5"/>
      <c r="SOV191" s="5"/>
      <c r="SOW191" s="5"/>
      <c r="SOX191" s="5"/>
      <c r="SOY191" s="5"/>
      <c r="SOZ191" s="5"/>
      <c r="SPA191" s="5"/>
      <c r="SPB191" s="5"/>
      <c r="SPC191" s="5"/>
      <c r="SPD191" s="5"/>
      <c r="SPE191" s="5"/>
      <c r="SPF191" s="5"/>
      <c r="SPG191" s="5"/>
      <c r="SPH191" s="5"/>
      <c r="SPI191" s="5"/>
      <c r="SPJ191" s="5"/>
      <c r="SPK191" s="5"/>
      <c r="SPL191" s="5"/>
      <c r="SPM191" s="5"/>
      <c r="SPN191" s="5"/>
      <c r="SPO191" s="5"/>
      <c r="SPP191" s="5"/>
      <c r="SPQ191" s="5"/>
      <c r="SPR191" s="5"/>
      <c r="SPS191" s="5"/>
      <c r="SPT191" s="5"/>
      <c r="SPU191" s="5"/>
      <c r="SPV191" s="5"/>
      <c r="SPW191" s="5"/>
      <c r="SPX191" s="5"/>
      <c r="SPY191" s="5"/>
      <c r="SPZ191" s="5"/>
      <c r="SQA191" s="5"/>
      <c r="SQB191" s="5"/>
      <c r="SQC191" s="5"/>
      <c r="SQD191" s="5"/>
      <c r="SQE191" s="5"/>
      <c r="SQF191" s="5"/>
      <c r="SQG191" s="5"/>
      <c r="SQH191" s="5"/>
      <c r="SQI191" s="5"/>
      <c r="SQJ191" s="5"/>
      <c r="SQK191" s="5"/>
      <c r="SQL191" s="5"/>
      <c r="SQM191" s="5"/>
      <c r="SQN191" s="5"/>
      <c r="SQO191" s="5"/>
      <c r="SQP191" s="5"/>
      <c r="SQQ191" s="5"/>
      <c r="SQR191" s="5"/>
      <c r="SQS191" s="5"/>
      <c r="SQT191" s="5"/>
      <c r="SQU191" s="5"/>
      <c r="SQV191" s="5"/>
      <c r="SQW191" s="5"/>
      <c r="SQX191" s="5"/>
      <c r="SQY191" s="5"/>
      <c r="SQZ191" s="5"/>
      <c r="SRA191" s="5"/>
      <c r="SRB191" s="5"/>
      <c r="SRC191" s="5"/>
      <c r="SRD191" s="5"/>
      <c r="SRE191" s="5"/>
      <c r="SRF191" s="5"/>
      <c r="SRG191" s="5"/>
      <c r="SRH191" s="5"/>
      <c r="SRI191" s="5"/>
      <c r="SRJ191" s="5"/>
      <c r="SRK191" s="5"/>
      <c r="SRL191" s="5"/>
      <c r="SRM191" s="5"/>
      <c r="SRN191" s="5"/>
      <c r="SRO191" s="5"/>
      <c r="SRP191" s="5"/>
      <c r="SRQ191" s="5"/>
      <c r="SRR191" s="5"/>
      <c r="SRS191" s="5"/>
      <c r="SRT191" s="5"/>
      <c r="SRU191" s="5"/>
      <c r="SRV191" s="5"/>
      <c r="SRW191" s="5"/>
      <c r="SRX191" s="5"/>
      <c r="SRY191" s="5"/>
      <c r="SRZ191" s="5"/>
      <c r="SSA191" s="5"/>
      <c r="SSB191" s="5"/>
      <c r="SSC191" s="5"/>
      <c r="SSD191" s="5"/>
      <c r="SSE191" s="5"/>
      <c r="SSF191" s="5"/>
      <c r="SSG191" s="5"/>
      <c r="SSH191" s="5"/>
      <c r="SSI191" s="5"/>
      <c r="SSJ191" s="5"/>
      <c r="SSK191" s="5"/>
      <c r="SSL191" s="5"/>
      <c r="SSM191" s="5"/>
      <c r="SSN191" s="5"/>
      <c r="SSO191" s="5"/>
      <c r="SSP191" s="5"/>
      <c r="SSQ191" s="5"/>
      <c r="SSR191" s="5"/>
      <c r="SSS191" s="5"/>
      <c r="SST191" s="5"/>
      <c r="SSU191" s="5"/>
      <c r="SSV191" s="5"/>
      <c r="SSW191" s="5"/>
      <c r="SSX191" s="5"/>
      <c r="SSY191" s="5"/>
      <c r="SSZ191" s="5"/>
      <c r="STA191" s="5"/>
      <c r="STB191" s="5"/>
      <c r="STC191" s="5"/>
      <c r="STD191" s="5"/>
      <c r="STE191" s="5"/>
      <c r="STF191" s="5"/>
      <c r="STG191" s="5"/>
      <c r="STH191" s="5"/>
      <c r="STI191" s="5"/>
      <c r="STJ191" s="5"/>
      <c r="STK191" s="5"/>
      <c r="STL191" s="5"/>
      <c r="STM191" s="5"/>
      <c r="STN191" s="5"/>
      <c r="STO191" s="5"/>
      <c r="STP191" s="5"/>
      <c r="STQ191" s="5"/>
      <c r="STR191" s="5"/>
      <c r="STS191" s="5"/>
      <c r="STT191" s="5"/>
      <c r="STU191" s="5"/>
      <c r="STV191" s="5"/>
      <c r="STW191" s="5"/>
      <c r="STX191" s="5"/>
      <c r="STY191" s="5"/>
      <c r="STZ191" s="5"/>
      <c r="SUA191" s="5"/>
      <c r="SUB191" s="5"/>
      <c r="SUC191" s="5"/>
      <c r="SUD191" s="5"/>
      <c r="SUE191" s="5"/>
      <c r="SUF191" s="5"/>
      <c r="SUG191" s="5"/>
      <c r="SUH191" s="5"/>
      <c r="SUI191" s="5"/>
      <c r="SUJ191" s="5"/>
      <c r="SUK191" s="5"/>
      <c r="SUL191" s="5"/>
      <c r="SUM191" s="5"/>
      <c r="SUN191" s="5"/>
      <c r="SUO191" s="5"/>
      <c r="SUP191" s="5"/>
      <c r="SUQ191" s="5"/>
      <c r="SUR191" s="5"/>
      <c r="SUS191" s="5"/>
      <c r="SUT191" s="5"/>
      <c r="SUU191" s="5"/>
      <c r="SUV191" s="5"/>
      <c r="SUW191" s="5"/>
      <c r="SUX191" s="5"/>
      <c r="SUY191" s="5"/>
      <c r="SUZ191" s="5"/>
      <c r="SVA191" s="5"/>
      <c r="SVB191" s="5"/>
      <c r="SVC191" s="5"/>
      <c r="SVD191" s="5"/>
      <c r="SVE191" s="5"/>
      <c r="SVF191" s="5"/>
      <c r="SVG191" s="5"/>
      <c r="SVH191" s="5"/>
      <c r="SVI191" s="5"/>
      <c r="SVJ191" s="5"/>
      <c r="SVK191" s="5"/>
      <c r="SVL191" s="5"/>
      <c r="SVM191" s="5"/>
      <c r="SVN191" s="5"/>
      <c r="SVO191" s="5"/>
      <c r="SVP191" s="5"/>
      <c r="SVQ191" s="5"/>
      <c r="SVR191" s="5"/>
      <c r="SVS191" s="5"/>
      <c r="SVT191" s="5"/>
      <c r="SVU191" s="5"/>
      <c r="SVV191" s="5"/>
      <c r="SVW191" s="5"/>
      <c r="SVX191" s="5"/>
      <c r="SVY191" s="5"/>
      <c r="SVZ191" s="5"/>
      <c r="SWA191" s="5"/>
      <c r="SWB191" s="5"/>
      <c r="SWC191" s="5"/>
      <c r="SWD191" s="5"/>
      <c r="SWE191" s="5"/>
      <c r="SWF191" s="5"/>
      <c r="SWG191" s="5"/>
      <c r="SWH191" s="5"/>
      <c r="SWI191" s="5"/>
      <c r="SWJ191" s="5"/>
      <c r="SWK191" s="5"/>
      <c r="SWL191" s="5"/>
      <c r="SWM191" s="5"/>
      <c r="SWN191" s="5"/>
      <c r="SWO191" s="5"/>
      <c r="SWP191" s="5"/>
      <c r="SWQ191" s="5"/>
      <c r="SWR191" s="5"/>
      <c r="SWS191" s="5"/>
      <c r="SWT191" s="5"/>
      <c r="SWU191" s="5"/>
      <c r="SWV191" s="5"/>
      <c r="SWW191" s="5"/>
      <c r="SWX191" s="5"/>
      <c r="SWY191" s="5"/>
      <c r="SWZ191" s="5"/>
      <c r="SXA191" s="5"/>
      <c r="SXB191" s="5"/>
      <c r="SXC191" s="5"/>
      <c r="SXD191" s="5"/>
      <c r="SXE191" s="5"/>
      <c r="SXF191" s="5"/>
      <c r="SXG191" s="5"/>
      <c r="SXH191" s="5"/>
      <c r="SXI191" s="5"/>
      <c r="SXJ191" s="5"/>
      <c r="SXK191" s="5"/>
      <c r="SXL191" s="5"/>
      <c r="SXM191" s="5"/>
      <c r="SXN191" s="5"/>
      <c r="SXO191" s="5"/>
      <c r="SXP191" s="5"/>
      <c r="SXQ191" s="5"/>
      <c r="SXR191" s="5"/>
      <c r="SXS191" s="5"/>
      <c r="SXT191" s="5"/>
      <c r="SXU191" s="5"/>
      <c r="SXV191" s="5"/>
      <c r="SXW191" s="5"/>
      <c r="SXX191" s="5"/>
      <c r="SXY191" s="5"/>
      <c r="SXZ191" s="5"/>
      <c r="SYA191" s="5"/>
      <c r="SYB191" s="5"/>
      <c r="SYC191" s="5"/>
      <c r="SYD191" s="5"/>
      <c r="SYE191" s="5"/>
      <c r="SYF191" s="5"/>
      <c r="SYG191" s="5"/>
      <c r="SYH191" s="5"/>
      <c r="SYI191" s="5"/>
      <c r="SYJ191" s="5"/>
      <c r="SYK191" s="5"/>
      <c r="SYL191" s="5"/>
      <c r="SYM191" s="5"/>
      <c r="SYN191" s="5"/>
      <c r="SYO191" s="5"/>
      <c r="SYP191" s="5"/>
      <c r="SYQ191" s="5"/>
      <c r="SYR191" s="5"/>
      <c r="SYS191" s="5"/>
      <c r="SYT191" s="5"/>
      <c r="SYU191" s="5"/>
      <c r="SYV191" s="5"/>
      <c r="SYW191" s="5"/>
      <c r="SYX191" s="5"/>
      <c r="SYY191" s="5"/>
      <c r="SYZ191" s="5"/>
      <c r="SZA191" s="5"/>
      <c r="SZB191" s="5"/>
      <c r="SZC191" s="5"/>
      <c r="SZD191" s="5"/>
      <c r="SZE191" s="5"/>
      <c r="SZF191" s="5"/>
      <c r="SZG191" s="5"/>
      <c r="SZH191" s="5"/>
      <c r="SZI191" s="5"/>
      <c r="SZJ191" s="5"/>
      <c r="SZK191" s="5"/>
      <c r="SZL191" s="5"/>
      <c r="SZM191" s="5"/>
      <c r="SZN191" s="5"/>
      <c r="SZO191" s="5"/>
      <c r="SZP191" s="5"/>
      <c r="SZQ191" s="5"/>
      <c r="SZR191" s="5"/>
      <c r="SZS191" s="5"/>
      <c r="SZT191" s="5"/>
      <c r="SZU191" s="5"/>
      <c r="SZV191" s="5"/>
      <c r="SZW191" s="5"/>
      <c r="SZX191" s="5"/>
      <c r="SZY191" s="5"/>
      <c r="SZZ191" s="5"/>
      <c r="TAA191" s="5"/>
      <c r="TAB191" s="5"/>
      <c r="TAC191" s="5"/>
      <c r="TAD191" s="5"/>
      <c r="TAE191" s="5"/>
      <c r="TAF191" s="5"/>
      <c r="TAG191" s="5"/>
      <c r="TAH191" s="5"/>
      <c r="TAI191" s="5"/>
      <c r="TAJ191" s="5"/>
      <c r="TAK191" s="5"/>
      <c r="TAL191" s="5"/>
      <c r="TAM191" s="5"/>
      <c r="TAN191" s="5"/>
      <c r="TAO191" s="5"/>
      <c r="TAP191" s="5"/>
      <c r="TAQ191" s="5"/>
      <c r="TAR191" s="5"/>
      <c r="TAS191" s="5"/>
      <c r="TAT191" s="5"/>
      <c r="TAU191" s="5"/>
      <c r="TAV191" s="5"/>
      <c r="TAW191" s="5"/>
      <c r="TAX191" s="5"/>
      <c r="TAY191" s="5"/>
      <c r="TAZ191" s="5"/>
      <c r="TBA191" s="5"/>
      <c r="TBB191" s="5"/>
      <c r="TBC191" s="5"/>
      <c r="TBD191" s="5"/>
      <c r="TBE191" s="5"/>
      <c r="TBF191" s="5"/>
      <c r="TBG191" s="5"/>
      <c r="TBH191" s="5"/>
      <c r="TBI191" s="5"/>
      <c r="TBJ191" s="5"/>
      <c r="TBK191" s="5"/>
      <c r="TBL191" s="5"/>
      <c r="TBM191" s="5"/>
      <c r="TBN191" s="5"/>
      <c r="TBO191" s="5"/>
      <c r="TBP191" s="5"/>
      <c r="TBQ191" s="5"/>
      <c r="TBR191" s="5"/>
      <c r="TBS191" s="5"/>
      <c r="TBT191" s="5"/>
      <c r="TBU191" s="5"/>
      <c r="TBV191" s="5"/>
      <c r="TBW191" s="5"/>
      <c r="TBX191" s="5"/>
      <c r="TBY191" s="5"/>
      <c r="TBZ191" s="5"/>
      <c r="TCA191" s="5"/>
      <c r="TCB191" s="5"/>
      <c r="TCC191" s="5"/>
      <c r="TCD191" s="5"/>
      <c r="TCE191" s="5"/>
      <c r="TCF191" s="5"/>
      <c r="TCG191" s="5"/>
      <c r="TCH191" s="5"/>
      <c r="TCI191" s="5"/>
      <c r="TCJ191" s="5"/>
      <c r="TCK191" s="5"/>
      <c r="TCL191" s="5"/>
      <c r="TCM191" s="5"/>
      <c r="TCN191" s="5"/>
      <c r="TCO191" s="5"/>
      <c r="TCP191" s="5"/>
      <c r="TCQ191" s="5"/>
      <c r="TCR191" s="5"/>
      <c r="TCS191" s="5"/>
      <c r="TCT191" s="5"/>
      <c r="TCU191" s="5"/>
      <c r="TCV191" s="5"/>
      <c r="TCW191" s="5"/>
      <c r="TCX191" s="5"/>
      <c r="TCY191" s="5"/>
      <c r="TCZ191" s="5"/>
      <c r="TDA191" s="5"/>
      <c r="TDB191" s="5"/>
      <c r="TDC191" s="5"/>
      <c r="TDD191" s="5"/>
      <c r="TDE191" s="5"/>
      <c r="TDF191" s="5"/>
      <c r="TDG191" s="5"/>
      <c r="TDH191" s="5"/>
      <c r="TDI191" s="5"/>
      <c r="TDJ191" s="5"/>
      <c r="TDK191" s="5"/>
      <c r="TDL191" s="5"/>
      <c r="TDM191" s="5"/>
      <c r="TDN191" s="5"/>
      <c r="TDO191" s="5"/>
      <c r="TDP191" s="5"/>
      <c r="TDQ191" s="5"/>
      <c r="TDR191" s="5"/>
      <c r="TDS191" s="5"/>
      <c r="TDT191" s="5"/>
      <c r="TDU191" s="5"/>
      <c r="TDV191" s="5"/>
      <c r="TDW191" s="5"/>
      <c r="TDX191" s="5"/>
      <c r="TDY191" s="5"/>
      <c r="TDZ191" s="5"/>
      <c r="TEA191" s="5"/>
      <c r="TEB191" s="5"/>
      <c r="TEC191" s="5"/>
      <c r="TED191" s="5"/>
      <c r="TEE191" s="5"/>
      <c r="TEF191" s="5"/>
      <c r="TEG191" s="5"/>
      <c r="TEH191" s="5"/>
      <c r="TEI191" s="5"/>
      <c r="TEJ191" s="5"/>
      <c r="TEK191" s="5"/>
      <c r="TEL191" s="5"/>
      <c r="TEM191" s="5"/>
      <c r="TEN191" s="5"/>
      <c r="TEO191" s="5"/>
      <c r="TEP191" s="5"/>
      <c r="TEQ191" s="5"/>
      <c r="TER191" s="5"/>
      <c r="TES191" s="5"/>
      <c r="TET191" s="5"/>
      <c r="TEU191" s="5"/>
      <c r="TEV191" s="5"/>
      <c r="TEW191" s="5"/>
      <c r="TEX191" s="5"/>
      <c r="TEY191" s="5"/>
      <c r="TEZ191" s="5"/>
      <c r="TFA191" s="5"/>
      <c r="TFB191" s="5"/>
      <c r="TFC191" s="5"/>
      <c r="TFD191" s="5"/>
      <c r="TFE191" s="5"/>
      <c r="TFF191" s="5"/>
      <c r="TFG191" s="5"/>
      <c r="TFH191" s="5"/>
      <c r="TFI191" s="5"/>
      <c r="TFJ191" s="5"/>
      <c r="TFK191" s="5"/>
      <c r="TFL191" s="5"/>
      <c r="TFM191" s="5"/>
      <c r="TFN191" s="5"/>
      <c r="TFO191" s="5"/>
      <c r="TFP191" s="5"/>
      <c r="TFQ191" s="5"/>
      <c r="TFR191" s="5"/>
      <c r="TFS191" s="5"/>
      <c r="TFT191" s="5"/>
      <c r="TFU191" s="5"/>
      <c r="TFV191" s="5"/>
      <c r="TFW191" s="5"/>
      <c r="TFX191" s="5"/>
      <c r="TFY191" s="5"/>
      <c r="TFZ191" s="5"/>
      <c r="TGA191" s="5"/>
      <c r="TGB191" s="5"/>
      <c r="TGC191" s="5"/>
      <c r="TGD191" s="5"/>
      <c r="TGE191" s="5"/>
      <c r="TGF191" s="5"/>
      <c r="TGG191" s="5"/>
      <c r="TGH191" s="5"/>
      <c r="TGI191" s="5"/>
      <c r="TGJ191" s="5"/>
      <c r="TGK191" s="5"/>
      <c r="TGL191" s="5"/>
      <c r="TGM191" s="5"/>
      <c r="TGN191" s="5"/>
      <c r="TGO191" s="5"/>
      <c r="TGP191" s="5"/>
      <c r="TGQ191" s="5"/>
      <c r="TGR191" s="5"/>
      <c r="TGS191" s="5"/>
      <c r="TGT191" s="5"/>
      <c r="TGU191" s="5"/>
      <c r="TGV191" s="5"/>
      <c r="TGW191" s="5"/>
      <c r="TGX191" s="5"/>
      <c r="TGY191" s="5"/>
      <c r="TGZ191" s="5"/>
      <c r="THA191" s="5"/>
      <c r="THB191" s="5"/>
      <c r="THC191" s="5"/>
      <c r="THD191" s="5"/>
      <c r="THE191" s="5"/>
      <c r="THF191" s="5"/>
      <c r="THG191" s="5"/>
      <c r="THH191" s="5"/>
      <c r="THI191" s="5"/>
      <c r="THJ191" s="5"/>
      <c r="THK191" s="5"/>
      <c r="THL191" s="5"/>
      <c r="THM191" s="5"/>
      <c r="THN191" s="5"/>
      <c r="THO191" s="5"/>
      <c r="THP191" s="5"/>
      <c r="THQ191" s="5"/>
      <c r="THR191" s="5"/>
      <c r="THS191" s="5"/>
      <c r="THT191" s="5"/>
      <c r="THU191" s="5"/>
      <c r="THV191" s="5"/>
      <c r="THW191" s="5"/>
      <c r="THX191" s="5"/>
      <c r="THY191" s="5"/>
      <c r="THZ191" s="5"/>
      <c r="TIA191" s="5"/>
      <c r="TIB191" s="5"/>
      <c r="TIC191" s="5"/>
      <c r="TID191" s="5"/>
      <c r="TIE191" s="5"/>
      <c r="TIF191" s="5"/>
      <c r="TIG191" s="5"/>
      <c r="TIH191" s="5"/>
      <c r="TII191" s="5"/>
      <c r="TIJ191" s="5"/>
      <c r="TIK191" s="5"/>
      <c r="TIL191" s="5"/>
      <c r="TIM191" s="5"/>
      <c r="TIN191" s="5"/>
      <c r="TIO191" s="5"/>
      <c r="TIP191" s="5"/>
      <c r="TIQ191" s="5"/>
      <c r="TIR191" s="5"/>
      <c r="TIS191" s="5"/>
      <c r="TIT191" s="5"/>
      <c r="TIU191" s="5"/>
      <c r="TIV191" s="5"/>
      <c r="TIW191" s="5"/>
      <c r="TIX191" s="5"/>
      <c r="TIY191" s="5"/>
      <c r="TIZ191" s="5"/>
      <c r="TJA191" s="5"/>
      <c r="TJB191" s="5"/>
      <c r="TJC191" s="5"/>
      <c r="TJD191" s="5"/>
      <c r="TJE191" s="5"/>
      <c r="TJF191" s="5"/>
      <c r="TJG191" s="5"/>
      <c r="TJH191" s="5"/>
      <c r="TJI191" s="5"/>
      <c r="TJJ191" s="5"/>
      <c r="TJK191" s="5"/>
      <c r="TJL191" s="5"/>
      <c r="TJM191" s="5"/>
      <c r="TJN191" s="5"/>
      <c r="TJO191" s="5"/>
      <c r="TJP191" s="5"/>
      <c r="TJQ191" s="5"/>
      <c r="TJR191" s="5"/>
      <c r="TJS191" s="5"/>
      <c r="TJT191" s="5"/>
      <c r="TJU191" s="5"/>
      <c r="TJV191" s="5"/>
      <c r="TJW191" s="5"/>
      <c r="TJX191" s="5"/>
      <c r="TJY191" s="5"/>
      <c r="TJZ191" s="5"/>
      <c r="TKA191" s="5"/>
      <c r="TKB191" s="5"/>
      <c r="TKC191" s="5"/>
      <c r="TKD191" s="5"/>
      <c r="TKE191" s="5"/>
      <c r="TKF191" s="5"/>
      <c r="TKG191" s="5"/>
      <c r="TKH191" s="5"/>
      <c r="TKI191" s="5"/>
      <c r="TKJ191" s="5"/>
      <c r="TKK191" s="5"/>
      <c r="TKL191" s="5"/>
      <c r="TKM191" s="5"/>
      <c r="TKN191" s="5"/>
      <c r="TKO191" s="5"/>
      <c r="TKP191" s="5"/>
      <c r="TKQ191" s="5"/>
      <c r="TKR191" s="5"/>
      <c r="TKS191" s="5"/>
      <c r="TKT191" s="5"/>
      <c r="TKU191" s="5"/>
      <c r="TKV191" s="5"/>
      <c r="TKW191" s="5"/>
      <c r="TKX191" s="5"/>
      <c r="TKY191" s="5"/>
      <c r="TKZ191" s="5"/>
      <c r="TLA191" s="5"/>
      <c r="TLB191" s="5"/>
      <c r="TLC191" s="5"/>
      <c r="TLD191" s="5"/>
      <c r="TLE191" s="5"/>
      <c r="TLF191" s="5"/>
      <c r="TLG191" s="5"/>
      <c r="TLH191" s="5"/>
      <c r="TLI191" s="5"/>
      <c r="TLJ191" s="5"/>
      <c r="TLK191" s="5"/>
      <c r="TLL191" s="5"/>
      <c r="TLM191" s="5"/>
      <c r="TLN191" s="5"/>
      <c r="TLO191" s="5"/>
      <c r="TLP191" s="5"/>
      <c r="TLQ191" s="5"/>
      <c r="TLR191" s="5"/>
      <c r="TLS191" s="5"/>
      <c r="TLT191" s="5"/>
      <c r="TLU191" s="5"/>
      <c r="TLV191" s="5"/>
      <c r="TLW191" s="5"/>
      <c r="TLX191" s="5"/>
      <c r="TLY191" s="5"/>
      <c r="TLZ191" s="5"/>
      <c r="TMA191" s="5"/>
      <c r="TMB191" s="5"/>
      <c r="TMC191" s="5"/>
      <c r="TMD191" s="5"/>
      <c r="TME191" s="5"/>
      <c r="TMF191" s="5"/>
      <c r="TMG191" s="5"/>
      <c r="TMH191" s="5"/>
      <c r="TMI191" s="5"/>
      <c r="TMJ191" s="5"/>
      <c r="TMK191" s="5"/>
      <c r="TML191" s="5"/>
      <c r="TMM191" s="5"/>
      <c r="TMN191" s="5"/>
      <c r="TMO191" s="5"/>
      <c r="TMP191" s="5"/>
      <c r="TMQ191" s="5"/>
      <c r="TMR191" s="5"/>
      <c r="TMS191" s="5"/>
      <c r="TMT191" s="5"/>
      <c r="TMU191" s="5"/>
      <c r="TMV191" s="5"/>
      <c r="TMW191" s="5"/>
      <c r="TMX191" s="5"/>
      <c r="TMY191" s="5"/>
      <c r="TMZ191" s="5"/>
      <c r="TNA191" s="5"/>
      <c r="TNB191" s="5"/>
      <c r="TNC191" s="5"/>
      <c r="TND191" s="5"/>
      <c r="TNE191" s="5"/>
      <c r="TNF191" s="5"/>
      <c r="TNG191" s="5"/>
      <c r="TNH191" s="5"/>
      <c r="TNI191" s="5"/>
      <c r="TNJ191" s="5"/>
      <c r="TNK191" s="5"/>
      <c r="TNL191" s="5"/>
      <c r="TNM191" s="5"/>
      <c r="TNN191" s="5"/>
      <c r="TNO191" s="5"/>
      <c r="TNP191" s="5"/>
      <c r="TNQ191" s="5"/>
      <c r="TNR191" s="5"/>
      <c r="TNS191" s="5"/>
      <c r="TNT191" s="5"/>
      <c r="TNU191" s="5"/>
      <c r="TNV191" s="5"/>
      <c r="TNW191" s="5"/>
      <c r="TNX191" s="5"/>
      <c r="TNY191" s="5"/>
      <c r="TNZ191" s="5"/>
      <c r="TOA191" s="5"/>
      <c r="TOB191" s="5"/>
      <c r="TOC191" s="5"/>
      <c r="TOD191" s="5"/>
      <c r="TOE191" s="5"/>
      <c r="TOF191" s="5"/>
      <c r="TOG191" s="5"/>
      <c r="TOH191" s="5"/>
      <c r="TOI191" s="5"/>
      <c r="TOJ191" s="5"/>
      <c r="TOK191" s="5"/>
      <c r="TOL191" s="5"/>
      <c r="TOM191" s="5"/>
      <c r="TON191" s="5"/>
      <c r="TOO191" s="5"/>
      <c r="TOP191" s="5"/>
      <c r="TOQ191" s="5"/>
      <c r="TOR191" s="5"/>
      <c r="TOS191" s="5"/>
      <c r="TOT191" s="5"/>
      <c r="TOU191" s="5"/>
      <c r="TOV191" s="5"/>
      <c r="TOW191" s="5"/>
      <c r="TOX191" s="5"/>
      <c r="TOY191" s="5"/>
      <c r="TOZ191" s="5"/>
      <c r="TPA191" s="5"/>
      <c r="TPB191" s="5"/>
      <c r="TPC191" s="5"/>
      <c r="TPD191" s="5"/>
      <c r="TPE191" s="5"/>
      <c r="TPF191" s="5"/>
      <c r="TPG191" s="5"/>
      <c r="TPH191" s="5"/>
      <c r="TPI191" s="5"/>
      <c r="TPJ191" s="5"/>
      <c r="TPK191" s="5"/>
      <c r="TPL191" s="5"/>
      <c r="TPM191" s="5"/>
      <c r="TPN191" s="5"/>
      <c r="TPO191" s="5"/>
      <c r="TPP191" s="5"/>
      <c r="TPQ191" s="5"/>
      <c r="TPR191" s="5"/>
      <c r="TPS191" s="5"/>
      <c r="TPT191" s="5"/>
      <c r="TPU191" s="5"/>
      <c r="TPV191" s="5"/>
      <c r="TPW191" s="5"/>
      <c r="TPX191" s="5"/>
      <c r="TPY191" s="5"/>
      <c r="TPZ191" s="5"/>
      <c r="TQA191" s="5"/>
      <c r="TQB191" s="5"/>
      <c r="TQC191" s="5"/>
      <c r="TQD191" s="5"/>
      <c r="TQE191" s="5"/>
      <c r="TQF191" s="5"/>
      <c r="TQG191" s="5"/>
      <c r="TQH191" s="5"/>
      <c r="TQI191" s="5"/>
      <c r="TQJ191" s="5"/>
      <c r="TQK191" s="5"/>
      <c r="TQL191" s="5"/>
      <c r="TQM191" s="5"/>
      <c r="TQN191" s="5"/>
      <c r="TQO191" s="5"/>
      <c r="TQP191" s="5"/>
      <c r="TQQ191" s="5"/>
      <c r="TQR191" s="5"/>
      <c r="TQS191" s="5"/>
      <c r="TQT191" s="5"/>
      <c r="TQU191" s="5"/>
      <c r="TQV191" s="5"/>
      <c r="TQW191" s="5"/>
      <c r="TQX191" s="5"/>
      <c r="TQY191" s="5"/>
      <c r="TQZ191" s="5"/>
      <c r="TRA191" s="5"/>
      <c r="TRB191" s="5"/>
      <c r="TRC191" s="5"/>
      <c r="TRD191" s="5"/>
      <c r="TRE191" s="5"/>
      <c r="TRF191" s="5"/>
      <c r="TRG191" s="5"/>
      <c r="TRH191" s="5"/>
      <c r="TRI191" s="5"/>
      <c r="TRJ191" s="5"/>
      <c r="TRK191" s="5"/>
      <c r="TRL191" s="5"/>
      <c r="TRM191" s="5"/>
      <c r="TRN191" s="5"/>
      <c r="TRO191" s="5"/>
      <c r="TRP191" s="5"/>
      <c r="TRQ191" s="5"/>
      <c r="TRR191" s="5"/>
      <c r="TRS191" s="5"/>
      <c r="TRT191" s="5"/>
      <c r="TRU191" s="5"/>
      <c r="TRV191" s="5"/>
      <c r="TRW191" s="5"/>
      <c r="TRX191" s="5"/>
      <c r="TRY191" s="5"/>
      <c r="TRZ191" s="5"/>
      <c r="TSA191" s="5"/>
      <c r="TSB191" s="5"/>
      <c r="TSC191" s="5"/>
      <c r="TSD191" s="5"/>
      <c r="TSE191" s="5"/>
      <c r="TSF191" s="5"/>
      <c r="TSG191" s="5"/>
      <c r="TSH191" s="5"/>
      <c r="TSI191" s="5"/>
      <c r="TSJ191" s="5"/>
      <c r="TSK191" s="5"/>
      <c r="TSL191" s="5"/>
      <c r="TSM191" s="5"/>
      <c r="TSN191" s="5"/>
      <c r="TSO191" s="5"/>
      <c r="TSP191" s="5"/>
      <c r="TSQ191" s="5"/>
      <c r="TSR191" s="5"/>
      <c r="TSS191" s="5"/>
      <c r="TST191" s="5"/>
      <c r="TSU191" s="5"/>
      <c r="TSV191" s="5"/>
      <c r="TSW191" s="5"/>
      <c r="TSX191" s="5"/>
      <c r="TSY191" s="5"/>
      <c r="TSZ191" s="5"/>
      <c r="TTA191" s="5"/>
      <c r="TTB191" s="5"/>
      <c r="TTC191" s="5"/>
      <c r="TTD191" s="5"/>
      <c r="TTE191" s="5"/>
      <c r="TTF191" s="5"/>
      <c r="TTG191" s="5"/>
      <c r="TTH191" s="5"/>
      <c r="TTI191" s="5"/>
      <c r="TTJ191" s="5"/>
      <c r="TTK191" s="5"/>
      <c r="TTL191" s="5"/>
      <c r="TTM191" s="5"/>
      <c r="TTN191" s="5"/>
      <c r="TTO191" s="5"/>
      <c r="TTP191" s="5"/>
      <c r="TTQ191" s="5"/>
      <c r="TTR191" s="5"/>
      <c r="TTS191" s="5"/>
      <c r="TTT191" s="5"/>
      <c r="TTU191" s="5"/>
      <c r="TTV191" s="5"/>
      <c r="TTW191" s="5"/>
      <c r="TTX191" s="5"/>
      <c r="TTY191" s="5"/>
      <c r="TTZ191" s="5"/>
      <c r="TUA191" s="5"/>
      <c r="TUB191" s="5"/>
      <c r="TUC191" s="5"/>
      <c r="TUD191" s="5"/>
      <c r="TUE191" s="5"/>
      <c r="TUF191" s="5"/>
      <c r="TUG191" s="5"/>
      <c r="TUH191" s="5"/>
      <c r="TUI191" s="5"/>
      <c r="TUJ191" s="5"/>
      <c r="TUK191" s="5"/>
      <c r="TUL191" s="5"/>
      <c r="TUM191" s="5"/>
      <c r="TUN191" s="5"/>
      <c r="TUO191" s="5"/>
      <c r="TUP191" s="5"/>
      <c r="TUQ191" s="5"/>
      <c r="TUR191" s="5"/>
      <c r="TUS191" s="5"/>
      <c r="TUT191" s="5"/>
      <c r="TUU191" s="5"/>
      <c r="TUV191" s="5"/>
      <c r="TUW191" s="5"/>
      <c r="TUX191" s="5"/>
      <c r="TUY191" s="5"/>
      <c r="TUZ191" s="5"/>
      <c r="TVA191" s="5"/>
      <c r="TVB191" s="5"/>
      <c r="TVC191" s="5"/>
      <c r="TVD191" s="5"/>
      <c r="TVE191" s="5"/>
      <c r="TVF191" s="5"/>
      <c r="TVG191" s="5"/>
      <c r="TVH191" s="5"/>
      <c r="TVI191" s="5"/>
      <c r="TVJ191" s="5"/>
      <c r="TVK191" s="5"/>
      <c r="TVL191" s="5"/>
      <c r="TVM191" s="5"/>
      <c r="TVN191" s="5"/>
      <c r="TVO191" s="5"/>
      <c r="TVP191" s="5"/>
      <c r="TVQ191" s="5"/>
      <c r="TVR191" s="5"/>
      <c r="TVS191" s="5"/>
      <c r="TVT191" s="5"/>
      <c r="TVU191" s="5"/>
      <c r="TVV191" s="5"/>
      <c r="TVW191" s="5"/>
      <c r="TVX191" s="5"/>
      <c r="TVY191" s="5"/>
      <c r="TVZ191" s="5"/>
      <c r="TWA191" s="5"/>
      <c r="TWB191" s="5"/>
      <c r="TWC191" s="5"/>
      <c r="TWD191" s="5"/>
      <c r="TWE191" s="5"/>
      <c r="TWF191" s="5"/>
      <c r="TWG191" s="5"/>
      <c r="TWH191" s="5"/>
      <c r="TWI191" s="5"/>
      <c r="TWJ191" s="5"/>
      <c r="TWK191" s="5"/>
      <c r="TWL191" s="5"/>
      <c r="TWM191" s="5"/>
      <c r="TWN191" s="5"/>
      <c r="TWO191" s="5"/>
      <c r="TWP191" s="5"/>
      <c r="TWQ191" s="5"/>
      <c r="TWR191" s="5"/>
      <c r="TWS191" s="5"/>
      <c r="TWT191" s="5"/>
      <c r="TWU191" s="5"/>
      <c r="TWV191" s="5"/>
      <c r="TWW191" s="5"/>
      <c r="TWX191" s="5"/>
      <c r="TWY191" s="5"/>
      <c r="TWZ191" s="5"/>
      <c r="TXA191" s="5"/>
      <c r="TXB191" s="5"/>
      <c r="TXC191" s="5"/>
      <c r="TXD191" s="5"/>
      <c r="TXE191" s="5"/>
      <c r="TXF191" s="5"/>
      <c r="TXG191" s="5"/>
      <c r="TXH191" s="5"/>
      <c r="TXI191" s="5"/>
      <c r="TXJ191" s="5"/>
      <c r="TXK191" s="5"/>
      <c r="TXL191" s="5"/>
      <c r="TXM191" s="5"/>
      <c r="TXN191" s="5"/>
      <c r="TXO191" s="5"/>
      <c r="TXP191" s="5"/>
      <c r="TXQ191" s="5"/>
      <c r="TXR191" s="5"/>
      <c r="TXS191" s="5"/>
      <c r="TXT191" s="5"/>
      <c r="TXU191" s="5"/>
      <c r="TXV191" s="5"/>
      <c r="TXW191" s="5"/>
      <c r="TXX191" s="5"/>
      <c r="TXY191" s="5"/>
      <c r="TXZ191" s="5"/>
      <c r="TYA191" s="5"/>
      <c r="TYB191" s="5"/>
      <c r="TYC191" s="5"/>
      <c r="TYD191" s="5"/>
      <c r="TYE191" s="5"/>
      <c r="TYF191" s="5"/>
      <c r="TYG191" s="5"/>
      <c r="TYH191" s="5"/>
      <c r="TYI191" s="5"/>
      <c r="TYJ191" s="5"/>
      <c r="TYK191" s="5"/>
      <c r="TYL191" s="5"/>
      <c r="TYM191" s="5"/>
      <c r="TYN191" s="5"/>
      <c r="TYO191" s="5"/>
      <c r="TYP191" s="5"/>
      <c r="TYQ191" s="5"/>
      <c r="TYR191" s="5"/>
      <c r="TYS191" s="5"/>
      <c r="TYT191" s="5"/>
      <c r="TYU191" s="5"/>
      <c r="TYV191" s="5"/>
      <c r="TYW191" s="5"/>
      <c r="TYX191" s="5"/>
      <c r="TYY191" s="5"/>
      <c r="TYZ191" s="5"/>
      <c r="TZA191" s="5"/>
      <c r="TZB191" s="5"/>
      <c r="TZC191" s="5"/>
      <c r="TZD191" s="5"/>
      <c r="TZE191" s="5"/>
      <c r="TZF191" s="5"/>
      <c r="TZG191" s="5"/>
      <c r="TZH191" s="5"/>
      <c r="TZI191" s="5"/>
      <c r="TZJ191" s="5"/>
      <c r="TZK191" s="5"/>
      <c r="TZL191" s="5"/>
      <c r="TZM191" s="5"/>
      <c r="TZN191" s="5"/>
      <c r="TZO191" s="5"/>
      <c r="TZP191" s="5"/>
      <c r="TZQ191" s="5"/>
      <c r="TZR191" s="5"/>
      <c r="TZS191" s="5"/>
      <c r="TZT191" s="5"/>
      <c r="TZU191" s="5"/>
      <c r="TZV191" s="5"/>
      <c r="TZW191" s="5"/>
      <c r="TZX191" s="5"/>
      <c r="TZY191" s="5"/>
      <c r="TZZ191" s="5"/>
      <c r="UAA191" s="5"/>
      <c r="UAB191" s="5"/>
      <c r="UAC191" s="5"/>
      <c r="UAD191" s="5"/>
      <c r="UAE191" s="5"/>
      <c r="UAF191" s="5"/>
      <c r="UAG191" s="5"/>
      <c r="UAH191" s="5"/>
      <c r="UAI191" s="5"/>
      <c r="UAJ191" s="5"/>
      <c r="UAK191" s="5"/>
      <c r="UAL191" s="5"/>
      <c r="UAM191" s="5"/>
      <c r="UAN191" s="5"/>
      <c r="UAO191" s="5"/>
      <c r="UAP191" s="5"/>
      <c r="UAQ191" s="5"/>
      <c r="UAR191" s="5"/>
      <c r="UAS191" s="5"/>
      <c r="UAT191" s="5"/>
      <c r="UAU191" s="5"/>
      <c r="UAV191" s="5"/>
      <c r="UAW191" s="5"/>
      <c r="UAX191" s="5"/>
      <c r="UAY191" s="5"/>
      <c r="UAZ191" s="5"/>
      <c r="UBA191" s="5"/>
      <c r="UBB191" s="5"/>
      <c r="UBC191" s="5"/>
      <c r="UBD191" s="5"/>
      <c r="UBE191" s="5"/>
      <c r="UBF191" s="5"/>
      <c r="UBG191" s="5"/>
      <c r="UBH191" s="5"/>
      <c r="UBI191" s="5"/>
      <c r="UBJ191" s="5"/>
      <c r="UBK191" s="5"/>
      <c r="UBL191" s="5"/>
      <c r="UBM191" s="5"/>
      <c r="UBN191" s="5"/>
      <c r="UBO191" s="5"/>
      <c r="UBP191" s="5"/>
      <c r="UBQ191" s="5"/>
      <c r="UBR191" s="5"/>
      <c r="UBS191" s="5"/>
      <c r="UBT191" s="5"/>
      <c r="UBU191" s="5"/>
      <c r="UBV191" s="5"/>
      <c r="UBW191" s="5"/>
      <c r="UBX191" s="5"/>
      <c r="UBY191" s="5"/>
      <c r="UBZ191" s="5"/>
      <c r="UCA191" s="5"/>
      <c r="UCB191" s="5"/>
      <c r="UCC191" s="5"/>
      <c r="UCD191" s="5"/>
      <c r="UCE191" s="5"/>
      <c r="UCF191" s="5"/>
      <c r="UCG191" s="5"/>
      <c r="UCH191" s="5"/>
      <c r="UCI191" s="5"/>
      <c r="UCJ191" s="5"/>
      <c r="UCK191" s="5"/>
      <c r="UCL191" s="5"/>
      <c r="UCM191" s="5"/>
      <c r="UCN191" s="5"/>
      <c r="UCO191" s="5"/>
      <c r="UCP191" s="5"/>
      <c r="UCQ191" s="5"/>
      <c r="UCR191" s="5"/>
      <c r="UCS191" s="5"/>
      <c r="UCT191" s="5"/>
      <c r="UCU191" s="5"/>
      <c r="UCV191" s="5"/>
      <c r="UCW191" s="5"/>
      <c r="UCX191" s="5"/>
      <c r="UCY191" s="5"/>
      <c r="UCZ191" s="5"/>
      <c r="UDA191" s="5"/>
      <c r="UDB191" s="5"/>
      <c r="UDC191" s="5"/>
      <c r="UDD191" s="5"/>
      <c r="UDE191" s="5"/>
      <c r="UDF191" s="5"/>
      <c r="UDG191" s="5"/>
      <c r="UDH191" s="5"/>
      <c r="UDI191" s="5"/>
      <c r="UDJ191" s="5"/>
      <c r="UDK191" s="5"/>
      <c r="UDL191" s="5"/>
      <c r="UDM191" s="5"/>
      <c r="UDN191" s="5"/>
      <c r="UDO191" s="5"/>
      <c r="UDP191" s="5"/>
      <c r="UDQ191" s="5"/>
      <c r="UDR191" s="5"/>
      <c r="UDS191" s="5"/>
      <c r="UDT191" s="5"/>
      <c r="UDU191" s="5"/>
      <c r="UDV191" s="5"/>
      <c r="UDW191" s="5"/>
      <c r="UDX191" s="5"/>
      <c r="UDY191" s="5"/>
      <c r="UDZ191" s="5"/>
      <c r="UEA191" s="5"/>
      <c r="UEB191" s="5"/>
      <c r="UEC191" s="5"/>
      <c r="UED191" s="5"/>
      <c r="UEE191" s="5"/>
      <c r="UEF191" s="5"/>
      <c r="UEG191" s="5"/>
      <c r="UEH191" s="5"/>
      <c r="UEI191" s="5"/>
      <c r="UEJ191" s="5"/>
      <c r="UEK191" s="5"/>
      <c r="UEL191" s="5"/>
      <c r="UEM191" s="5"/>
      <c r="UEN191" s="5"/>
      <c r="UEO191" s="5"/>
      <c r="UEP191" s="5"/>
      <c r="UEQ191" s="5"/>
      <c r="UER191" s="5"/>
      <c r="UES191" s="5"/>
      <c r="UET191" s="5"/>
      <c r="UEU191" s="5"/>
      <c r="UEV191" s="5"/>
      <c r="UEW191" s="5"/>
      <c r="UEX191" s="5"/>
      <c r="UEY191" s="5"/>
      <c r="UEZ191" s="5"/>
      <c r="UFA191" s="5"/>
      <c r="UFB191" s="5"/>
      <c r="UFC191" s="5"/>
      <c r="UFD191" s="5"/>
      <c r="UFE191" s="5"/>
      <c r="UFF191" s="5"/>
      <c r="UFG191" s="5"/>
      <c r="UFH191" s="5"/>
      <c r="UFI191" s="5"/>
      <c r="UFJ191" s="5"/>
      <c r="UFK191" s="5"/>
      <c r="UFL191" s="5"/>
      <c r="UFM191" s="5"/>
      <c r="UFN191" s="5"/>
      <c r="UFO191" s="5"/>
      <c r="UFP191" s="5"/>
      <c r="UFQ191" s="5"/>
      <c r="UFR191" s="5"/>
      <c r="UFS191" s="5"/>
      <c r="UFT191" s="5"/>
      <c r="UFU191" s="5"/>
      <c r="UFV191" s="5"/>
      <c r="UFW191" s="5"/>
      <c r="UFX191" s="5"/>
      <c r="UFY191" s="5"/>
      <c r="UFZ191" s="5"/>
      <c r="UGA191" s="5"/>
      <c r="UGB191" s="5"/>
      <c r="UGC191" s="5"/>
      <c r="UGD191" s="5"/>
      <c r="UGE191" s="5"/>
      <c r="UGF191" s="5"/>
      <c r="UGG191" s="5"/>
      <c r="UGH191" s="5"/>
      <c r="UGI191" s="5"/>
      <c r="UGJ191" s="5"/>
      <c r="UGK191" s="5"/>
      <c r="UGL191" s="5"/>
      <c r="UGM191" s="5"/>
      <c r="UGN191" s="5"/>
      <c r="UGO191" s="5"/>
      <c r="UGP191" s="5"/>
      <c r="UGQ191" s="5"/>
      <c r="UGR191" s="5"/>
      <c r="UGS191" s="5"/>
      <c r="UGT191" s="5"/>
      <c r="UGU191" s="5"/>
      <c r="UGV191" s="5"/>
      <c r="UGW191" s="5"/>
      <c r="UGX191" s="5"/>
      <c r="UGY191" s="5"/>
      <c r="UGZ191" s="5"/>
      <c r="UHA191" s="5"/>
      <c r="UHB191" s="5"/>
      <c r="UHC191" s="5"/>
      <c r="UHD191" s="5"/>
      <c r="UHE191" s="5"/>
      <c r="UHF191" s="5"/>
      <c r="UHG191" s="5"/>
      <c r="UHH191" s="5"/>
      <c r="UHI191" s="5"/>
      <c r="UHJ191" s="5"/>
      <c r="UHK191" s="5"/>
      <c r="UHL191" s="5"/>
      <c r="UHM191" s="5"/>
      <c r="UHN191" s="5"/>
      <c r="UHO191" s="5"/>
      <c r="UHP191" s="5"/>
      <c r="UHQ191" s="5"/>
      <c r="UHR191" s="5"/>
      <c r="UHS191" s="5"/>
      <c r="UHT191" s="5"/>
      <c r="UHU191" s="5"/>
      <c r="UHV191" s="5"/>
      <c r="UHW191" s="5"/>
      <c r="UHX191" s="5"/>
      <c r="UHY191" s="5"/>
      <c r="UHZ191" s="5"/>
      <c r="UIA191" s="5"/>
      <c r="UIB191" s="5"/>
      <c r="UIC191" s="5"/>
      <c r="UID191" s="5"/>
      <c r="UIE191" s="5"/>
      <c r="UIF191" s="5"/>
      <c r="UIG191" s="5"/>
      <c r="UIH191" s="5"/>
      <c r="UII191" s="5"/>
      <c r="UIJ191" s="5"/>
      <c r="UIK191" s="5"/>
      <c r="UIL191" s="5"/>
      <c r="UIM191" s="5"/>
      <c r="UIN191" s="5"/>
      <c r="UIO191" s="5"/>
      <c r="UIP191" s="5"/>
      <c r="UIQ191" s="5"/>
      <c r="UIR191" s="5"/>
      <c r="UIS191" s="5"/>
      <c r="UIT191" s="5"/>
      <c r="UIU191" s="5"/>
      <c r="UIV191" s="5"/>
      <c r="UIW191" s="5"/>
      <c r="UIX191" s="5"/>
      <c r="UIY191" s="5"/>
      <c r="UIZ191" s="5"/>
      <c r="UJA191" s="5"/>
      <c r="UJB191" s="5"/>
      <c r="UJC191" s="5"/>
      <c r="UJD191" s="5"/>
      <c r="UJE191" s="5"/>
      <c r="UJF191" s="5"/>
      <c r="UJG191" s="5"/>
      <c r="UJH191" s="5"/>
      <c r="UJI191" s="5"/>
      <c r="UJJ191" s="5"/>
      <c r="UJK191" s="5"/>
      <c r="UJL191" s="5"/>
      <c r="UJM191" s="5"/>
      <c r="UJN191" s="5"/>
      <c r="UJO191" s="5"/>
      <c r="UJP191" s="5"/>
      <c r="UJQ191" s="5"/>
      <c r="UJR191" s="5"/>
      <c r="UJS191" s="5"/>
      <c r="UJT191" s="5"/>
      <c r="UJU191" s="5"/>
      <c r="UJV191" s="5"/>
      <c r="UJW191" s="5"/>
      <c r="UJX191" s="5"/>
      <c r="UJY191" s="5"/>
      <c r="UJZ191" s="5"/>
      <c r="UKA191" s="5"/>
      <c r="UKB191" s="5"/>
      <c r="UKC191" s="5"/>
      <c r="UKD191" s="5"/>
      <c r="UKE191" s="5"/>
      <c r="UKF191" s="5"/>
      <c r="UKG191" s="5"/>
      <c r="UKH191" s="5"/>
      <c r="UKI191" s="5"/>
      <c r="UKJ191" s="5"/>
      <c r="UKK191" s="5"/>
      <c r="UKL191" s="5"/>
      <c r="UKM191" s="5"/>
      <c r="UKN191" s="5"/>
      <c r="UKO191" s="5"/>
      <c r="UKP191" s="5"/>
      <c r="UKQ191" s="5"/>
      <c r="UKR191" s="5"/>
      <c r="UKS191" s="5"/>
      <c r="UKT191" s="5"/>
      <c r="UKU191" s="5"/>
      <c r="UKV191" s="5"/>
      <c r="UKW191" s="5"/>
      <c r="UKX191" s="5"/>
      <c r="UKY191" s="5"/>
      <c r="UKZ191" s="5"/>
      <c r="ULA191" s="5"/>
      <c r="ULB191" s="5"/>
      <c r="ULC191" s="5"/>
      <c r="ULD191" s="5"/>
      <c r="ULE191" s="5"/>
      <c r="ULF191" s="5"/>
      <c r="ULG191" s="5"/>
      <c r="ULH191" s="5"/>
      <c r="ULI191" s="5"/>
      <c r="ULJ191" s="5"/>
      <c r="ULK191" s="5"/>
      <c r="ULL191" s="5"/>
      <c r="ULM191" s="5"/>
      <c r="ULN191" s="5"/>
      <c r="ULO191" s="5"/>
      <c r="ULP191" s="5"/>
      <c r="ULQ191" s="5"/>
      <c r="ULR191" s="5"/>
      <c r="ULS191" s="5"/>
      <c r="ULT191" s="5"/>
      <c r="ULU191" s="5"/>
      <c r="ULV191" s="5"/>
      <c r="ULW191" s="5"/>
      <c r="ULX191" s="5"/>
      <c r="ULY191" s="5"/>
      <c r="ULZ191" s="5"/>
      <c r="UMA191" s="5"/>
      <c r="UMB191" s="5"/>
      <c r="UMC191" s="5"/>
      <c r="UMD191" s="5"/>
      <c r="UME191" s="5"/>
      <c r="UMF191" s="5"/>
      <c r="UMG191" s="5"/>
      <c r="UMH191" s="5"/>
      <c r="UMI191" s="5"/>
      <c r="UMJ191" s="5"/>
      <c r="UMK191" s="5"/>
      <c r="UML191" s="5"/>
      <c r="UMM191" s="5"/>
      <c r="UMN191" s="5"/>
      <c r="UMO191" s="5"/>
      <c r="UMP191" s="5"/>
      <c r="UMQ191" s="5"/>
      <c r="UMR191" s="5"/>
      <c r="UMS191" s="5"/>
      <c r="UMT191" s="5"/>
      <c r="UMU191" s="5"/>
      <c r="UMV191" s="5"/>
      <c r="UMW191" s="5"/>
      <c r="UMX191" s="5"/>
      <c r="UMY191" s="5"/>
      <c r="UMZ191" s="5"/>
      <c r="UNA191" s="5"/>
      <c r="UNB191" s="5"/>
      <c r="UNC191" s="5"/>
      <c r="UND191" s="5"/>
      <c r="UNE191" s="5"/>
      <c r="UNF191" s="5"/>
      <c r="UNG191" s="5"/>
      <c r="UNH191" s="5"/>
      <c r="UNI191" s="5"/>
      <c r="UNJ191" s="5"/>
      <c r="UNK191" s="5"/>
      <c r="UNL191" s="5"/>
      <c r="UNM191" s="5"/>
      <c r="UNN191" s="5"/>
      <c r="UNO191" s="5"/>
      <c r="UNP191" s="5"/>
      <c r="UNQ191" s="5"/>
      <c r="UNR191" s="5"/>
      <c r="UNS191" s="5"/>
      <c r="UNT191" s="5"/>
      <c r="UNU191" s="5"/>
      <c r="UNV191" s="5"/>
      <c r="UNW191" s="5"/>
      <c r="UNX191" s="5"/>
      <c r="UNY191" s="5"/>
      <c r="UNZ191" s="5"/>
      <c r="UOA191" s="5"/>
      <c r="UOB191" s="5"/>
      <c r="UOC191" s="5"/>
      <c r="UOD191" s="5"/>
      <c r="UOE191" s="5"/>
      <c r="UOF191" s="5"/>
      <c r="UOG191" s="5"/>
      <c r="UOH191" s="5"/>
      <c r="UOI191" s="5"/>
      <c r="UOJ191" s="5"/>
      <c r="UOK191" s="5"/>
      <c r="UOL191" s="5"/>
      <c r="UOM191" s="5"/>
      <c r="UON191" s="5"/>
      <c r="UOO191" s="5"/>
      <c r="UOP191" s="5"/>
      <c r="UOQ191" s="5"/>
      <c r="UOR191" s="5"/>
      <c r="UOS191" s="5"/>
      <c r="UOT191" s="5"/>
      <c r="UOU191" s="5"/>
      <c r="UOV191" s="5"/>
      <c r="UOW191" s="5"/>
      <c r="UOX191" s="5"/>
      <c r="UOY191" s="5"/>
      <c r="UOZ191" s="5"/>
      <c r="UPA191" s="5"/>
      <c r="UPB191" s="5"/>
      <c r="UPC191" s="5"/>
      <c r="UPD191" s="5"/>
      <c r="UPE191" s="5"/>
      <c r="UPF191" s="5"/>
      <c r="UPG191" s="5"/>
      <c r="UPH191" s="5"/>
      <c r="UPI191" s="5"/>
      <c r="UPJ191" s="5"/>
      <c r="UPK191" s="5"/>
      <c r="UPL191" s="5"/>
      <c r="UPM191" s="5"/>
      <c r="UPN191" s="5"/>
      <c r="UPO191" s="5"/>
      <c r="UPP191" s="5"/>
      <c r="UPQ191" s="5"/>
      <c r="UPR191" s="5"/>
      <c r="UPS191" s="5"/>
      <c r="UPT191" s="5"/>
      <c r="UPU191" s="5"/>
      <c r="UPV191" s="5"/>
      <c r="UPW191" s="5"/>
      <c r="UPX191" s="5"/>
      <c r="UPY191" s="5"/>
      <c r="UPZ191" s="5"/>
      <c r="UQA191" s="5"/>
      <c r="UQB191" s="5"/>
      <c r="UQC191" s="5"/>
      <c r="UQD191" s="5"/>
      <c r="UQE191" s="5"/>
      <c r="UQF191" s="5"/>
      <c r="UQG191" s="5"/>
      <c r="UQH191" s="5"/>
      <c r="UQI191" s="5"/>
      <c r="UQJ191" s="5"/>
      <c r="UQK191" s="5"/>
      <c r="UQL191" s="5"/>
      <c r="UQM191" s="5"/>
      <c r="UQN191" s="5"/>
      <c r="UQO191" s="5"/>
      <c r="UQP191" s="5"/>
      <c r="UQQ191" s="5"/>
      <c r="UQR191" s="5"/>
      <c r="UQS191" s="5"/>
      <c r="UQT191" s="5"/>
      <c r="UQU191" s="5"/>
      <c r="UQV191" s="5"/>
      <c r="UQW191" s="5"/>
      <c r="UQX191" s="5"/>
      <c r="UQY191" s="5"/>
      <c r="UQZ191" s="5"/>
      <c r="URA191" s="5"/>
      <c r="URB191" s="5"/>
      <c r="URC191" s="5"/>
      <c r="URD191" s="5"/>
      <c r="URE191" s="5"/>
      <c r="URF191" s="5"/>
      <c r="URG191" s="5"/>
      <c r="URH191" s="5"/>
      <c r="URI191" s="5"/>
      <c r="URJ191" s="5"/>
      <c r="URK191" s="5"/>
      <c r="URL191" s="5"/>
      <c r="URM191" s="5"/>
      <c r="URN191" s="5"/>
      <c r="URO191" s="5"/>
      <c r="URP191" s="5"/>
      <c r="URQ191" s="5"/>
      <c r="URR191" s="5"/>
      <c r="URS191" s="5"/>
      <c r="URT191" s="5"/>
      <c r="URU191" s="5"/>
      <c r="URV191" s="5"/>
      <c r="URW191" s="5"/>
      <c r="URX191" s="5"/>
      <c r="URY191" s="5"/>
      <c r="URZ191" s="5"/>
      <c r="USA191" s="5"/>
      <c r="USB191" s="5"/>
      <c r="USC191" s="5"/>
      <c r="USD191" s="5"/>
      <c r="USE191" s="5"/>
      <c r="USF191" s="5"/>
      <c r="USG191" s="5"/>
      <c r="USH191" s="5"/>
      <c r="USI191" s="5"/>
      <c r="USJ191" s="5"/>
      <c r="USK191" s="5"/>
      <c r="USL191" s="5"/>
      <c r="USM191" s="5"/>
      <c r="USN191" s="5"/>
      <c r="USO191" s="5"/>
      <c r="USP191" s="5"/>
      <c r="USQ191" s="5"/>
      <c r="USR191" s="5"/>
      <c r="USS191" s="5"/>
      <c r="UST191" s="5"/>
      <c r="USU191" s="5"/>
      <c r="USV191" s="5"/>
      <c r="USW191" s="5"/>
      <c r="USX191" s="5"/>
      <c r="USY191" s="5"/>
      <c r="USZ191" s="5"/>
      <c r="UTA191" s="5"/>
      <c r="UTB191" s="5"/>
      <c r="UTC191" s="5"/>
      <c r="UTD191" s="5"/>
      <c r="UTE191" s="5"/>
      <c r="UTF191" s="5"/>
      <c r="UTG191" s="5"/>
      <c r="UTH191" s="5"/>
      <c r="UTI191" s="5"/>
      <c r="UTJ191" s="5"/>
      <c r="UTK191" s="5"/>
      <c r="UTL191" s="5"/>
      <c r="UTM191" s="5"/>
      <c r="UTN191" s="5"/>
      <c r="UTO191" s="5"/>
      <c r="UTP191" s="5"/>
      <c r="UTQ191" s="5"/>
      <c r="UTR191" s="5"/>
      <c r="UTS191" s="5"/>
      <c r="UTT191" s="5"/>
      <c r="UTU191" s="5"/>
      <c r="UTV191" s="5"/>
      <c r="UTW191" s="5"/>
      <c r="UTX191" s="5"/>
      <c r="UTY191" s="5"/>
      <c r="UTZ191" s="5"/>
      <c r="UUA191" s="5"/>
      <c r="UUB191" s="5"/>
      <c r="UUC191" s="5"/>
      <c r="UUD191" s="5"/>
      <c r="UUE191" s="5"/>
      <c r="UUF191" s="5"/>
      <c r="UUG191" s="5"/>
      <c r="UUH191" s="5"/>
      <c r="UUI191" s="5"/>
      <c r="UUJ191" s="5"/>
      <c r="UUK191" s="5"/>
      <c r="UUL191" s="5"/>
      <c r="UUM191" s="5"/>
      <c r="UUN191" s="5"/>
      <c r="UUO191" s="5"/>
      <c r="UUP191" s="5"/>
      <c r="UUQ191" s="5"/>
      <c r="UUR191" s="5"/>
      <c r="UUS191" s="5"/>
      <c r="UUT191" s="5"/>
      <c r="UUU191" s="5"/>
      <c r="UUV191" s="5"/>
      <c r="UUW191" s="5"/>
      <c r="UUX191" s="5"/>
      <c r="UUY191" s="5"/>
      <c r="UUZ191" s="5"/>
      <c r="UVA191" s="5"/>
      <c r="UVB191" s="5"/>
      <c r="UVC191" s="5"/>
      <c r="UVD191" s="5"/>
      <c r="UVE191" s="5"/>
      <c r="UVF191" s="5"/>
      <c r="UVG191" s="5"/>
      <c r="UVH191" s="5"/>
      <c r="UVI191" s="5"/>
      <c r="UVJ191" s="5"/>
      <c r="UVK191" s="5"/>
      <c r="UVL191" s="5"/>
      <c r="UVM191" s="5"/>
      <c r="UVN191" s="5"/>
      <c r="UVO191" s="5"/>
      <c r="UVP191" s="5"/>
      <c r="UVQ191" s="5"/>
      <c r="UVR191" s="5"/>
      <c r="UVS191" s="5"/>
      <c r="UVT191" s="5"/>
      <c r="UVU191" s="5"/>
      <c r="UVV191" s="5"/>
      <c r="UVW191" s="5"/>
      <c r="UVX191" s="5"/>
      <c r="UVY191" s="5"/>
      <c r="UVZ191" s="5"/>
      <c r="UWA191" s="5"/>
      <c r="UWB191" s="5"/>
      <c r="UWC191" s="5"/>
      <c r="UWD191" s="5"/>
      <c r="UWE191" s="5"/>
      <c r="UWF191" s="5"/>
      <c r="UWG191" s="5"/>
      <c r="UWH191" s="5"/>
      <c r="UWI191" s="5"/>
      <c r="UWJ191" s="5"/>
      <c r="UWK191" s="5"/>
      <c r="UWL191" s="5"/>
      <c r="UWM191" s="5"/>
      <c r="UWN191" s="5"/>
      <c r="UWO191" s="5"/>
      <c r="UWP191" s="5"/>
      <c r="UWQ191" s="5"/>
      <c r="UWR191" s="5"/>
      <c r="UWS191" s="5"/>
      <c r="UWT191" s="5"/>
      <c r="UWU191" s="5"/>
      <c r="UWV191" s="5"/>
      <c r="UWW191" s="5"/>
      <c r="UWX191" s="5"/>
      <c r="UWY191" s="5"/>
      <c r="UWZ191" s="5"/>
      <c r="UXA191" s="5"/>
      <c r="UXB191" s="5"/>
      <c r="UXC191" s="5"/>
      <c r="UXD191" s="5"/>
      <c r="UXE191" s="5"/>
      <c r="UXF191" s="5"/>
      <c r="UXG191" s="5"/>
      <c r="UXH191" s="5"/>
      <c r="UXI191" s="5"/>
      <c r="UXJ191" s="5"/>
      <c r="UXK191" s="5"/>
      <c r="UXL191" s="5"/>
      <c r="UXM191" s="5"/>
      <c r="UXN191" s="5"/>
      <c r="UXO191" s="5"/>
      <c r="UXP191" s="5"/>
      <c r="UXQ191" s="5"/>
      <c r="UXR191" s="5"/>
      <c r="UXS191" s="5"/>
      <c r="UXT191" s="5"/>
      <c r="UXU191" s="5"/>
      <c r="UXV191" s="5"/>
      <c r="UXW191" s="5"/>
      <c r="UXX191" s="5"/>
      <c r="UXY191" s="5"/>
      <c r="UXZ191" s="5"/>
      <c r="UYA191" s="5"/>
      <c r="UYB191" s="5"/>
      <c r="UYC191" s="5"/>
      <c r="UYD191" s="5"/>
      <c r="UYE191" s="5"/>
      <c r="UYF191" s="5"/>
      <c r="UYG191" s="5"/>
      <c r="UYH191" s="5"/>
      <c r="UYI191" s="5"/>
      <c r="UYJ191" s="5"/>
      <c r="UYK191" s="5"/>
      <c r="UYL191" s="5"/>
      <c r="UYM191" s="5"/>
      <c r="UYN191" s="5"/>
      <c r="UYO191" s="5"/>
      <c r="UYP191" s="5"/>
      <c r="UYQ191" s="5"/>
      <c r="UYR191" s="5"/>
      <c r="UYS191" s="5"/>
      <c r="UYT191" s="5"/>
      <c r="UYU191" s="5"/>
      <c r="UYV191" s="5"/>
      <c r="UYW191" s="5"/>
      <c r="UYX191" s="5"/>
      <c r="UYY191" s="5"/>
      <c r="UYZ191" s="5"/>
      <c r="UZA191" s="5"/>
      <c r="UZB191" s="5"/>
      <c r="UZC191" s="5"/>
      <c r="UZD191" s="5"/>
      <c r="UZE191" s="5"/>
      <c r="UZF191" s="5"/>
      <c r="UZG191" s="5"/>
      <c r="UZH191" s="5"/>
      <c r="UZI191" s="5"/>
      <c r="UZJ191" s="5"/>
      <c r="UZK191" s="5"/>
      <c r="UZL191" s="5"/>
      <c r="UZM191" s="5"/>
      <c r="UZN191" s="5"/>
      <c r="UZO191" s="5"/>
      <c r="UZP191" s="5"/>
      <c r="UZQ191" s="5"/>
      <c r="UZR191" s="5"/>
      <c r="UZS191" s="5"/>
      <c r="UZT191" s="5"/>
      <c r="UZU191" s="5"/>
      <c r="UZV191" s="5"/>
      <c r="UZW191" s="5"/>
      <c r="UZX191" s="5"/>
      <c r="UZY191" s="5"/>
      <c r="UZZ191" s="5"/>
      <c r="VAA191" s="5"/>
      <c r="VAB191" s="5"/>
      <c r="VAC191" s="5"/>
      <c r="VAD191" s="5"/>
      <c r="VAE191" s="5"/>
      <c r="VAF191" s="5"/>
      <c r="VAG191" s="5"/>
      <c r="VAH191" s="5"/>
      <c r="VAI191" s="5"/>
      <c r="VAJ191" s="5"/>
      <c r="VAK191" s="5"/>
      <c r="VAL191" s="5"/>
      <c r="VAM191" s="5"/>
      <c r="VAN191" s="5"/>
      <c r="VAO191" s="5"/>
      <c r="VAP191" s="5"/>
      <c r="VAQ191" s="5"/>
      <c r="VAR191" s="5"/>
      <c r="VAS191" s="5"/>
      <c r="VAT191" s="5"/>
      <c r="VAU191" s="5"/>
      <c r="VAV191" s="5"/>
      <c r="VAW191" s="5"/>
      <c r="VAX191" s="5"/>
      <c r="VAY191" s="5"/>
      <c r="VAZ191" s="5"/>
      <c r="VBA191" s="5"/>
      <c r="VBB191" s="5"/>
      <c r="VBC191" s="5"/>
      <c r="VBD191" s="5"/>
      <c r="VBE191" s="5"/>
      <c r="VBF191" s="5"/>
      <c r="VBG191" s="5"/>
      <c r="VBH191" s="5"/>
      <c r="VBI191" s="5"/>
      <c r="VBJ191" s="5"/>
      <c r="VBK191" s="5"/>
      <c r="VBL191" s="5"/>
      <c r="VBM191" s="5"/>
      <c r="VBN191" s="5"/>
      <c r="VBO191" s="5"/>
      <c r="VBP191" s="5"/>
      <c r="VBQ191" s="5"/>
      <c r="VBR191" s="5"/>
      <c r="VBS191" s="5"/>
      <c r="VBT191" s="5"/>
      <c r="VBU191" s="5"/>
      <c r="VBV191" s="5"/>
      <c r="VBW191" s="5"/>
      <c r="VBX191" s="5"/>
      <c r="VBY191" s="5"/>
      <c r="VBZ191" s="5"/>
      <c r="VCA191" s="5"/>
      <c r="VCB191" s="5"/>
      <c r="VCC191" s="5"/>
      <c r="VCD191" s="5"/>
      <c r="VCE191" s="5"/>
      <c r="VCF191" s="5"/>
      <c r="VCG191" s="5"/>
      <c r="VCH191" s="5"/>
      <c r="VCI191" s="5"/>
      <c r="VCJ191" s="5"/>
      <c r="VCK191" s="5"/>
      <c r="VCL191" s="5"/>
      <c r="VCM191" s="5"/>
      <c r="VCN191" s="5"/>
      <c r="VCO191" s="5"/>
      <c r="VCP191" s="5"/>
      <c r="VCQ191" s="5"/>
      <c r="VCR191" s="5"/>
      <c r="VCS191" s="5"/>
      <c r="VCT191" s="5"/>
      <c r="VCU191" s="5"/>
      <c r="VCV191" s="5"/>
      <c r="VCW191" s="5"/>
      <c r="VCX191" s="5"/>
      <c r="VCY191" s="5"/>
      <c r="VCZ191" s="5"/>
      <c r="VDA191" s="5"/>
      <c r="VDB191" s="5"/>
      <c r="VDC191" s="5"/>
      <c r="VDD191" s="5"/>
      <c r="VDE191" s="5"/>
      <c r="VDF191" s="5"/>
      <c r="VDG191" s="5"/>
      <c r="VDH191" s="5"/>
      <c r="VDI191" s="5"/>
      <c r="VDJ191" s="5"/>
      <c r="VDK191" s="5"/>
      <c r="VDL191" s="5"/>
      <c r="VDM191" s="5"/>
      <c r="VDN191" s="5"/>
      <c r="VDO191" s="5"/>
      <c r="VDP191" s="5"/>
      <c r="VDQ191" s="5"/>
      <c r="VDR191" s="5"/>
      <c r="VDS191" s="5"/>
      <c r="VDT191" s="5"/>
      <c r="VDU191" s="5"/>
      <c r="VDV191" s="5"/>
      <c r="VDW191" s="5"/>
      <c r="VDX191" s="5"/>
      <c r="VDY191" s="5"/>
      <c r="VDZ191" s="5"/>
      <c r="VEA191" s="5"/>
      <c r="VEB191" s="5"/>
      <c r="VEC191" s="5"/>
      <c r="VED191" s="5"/>
      <c r="VEE191" s="5"/>
      <c r="VEF191" s="5"/>
      <c r="VEG191" s="5"/>
      <c r="VEH191" s="5"/>
      <c r="VEI191" s="5"/>
      <c r="VEJ191" s="5"/>
      <c r="VEK191" s="5"/>
      <c r="VEL191" s="5"/>
      <c r="VEM191" s="5"/>
      <c r="VEN191" s="5"/>
      <c r="VEO191" s="5"/>
      <c r="VEP191" s="5"/>
      <c r="VEQ191" s="5"/>
      <c r="VER191" s="5"/>
      <c r="VES191" s="5"/>
      <c r="VET191" s="5"/>
      <c r="VEU191" s="5"/>
      <c r="VEV191" s="5"/>
      <c r="VEW191" s="5"/>
      <c r="VEX191" s="5"/>
      <c r="VEY191" s="5"/>
      <c r="VEZ191" s="5"/>
      <c r="VFA191" s="5"/>
      <c r="VFB191" s="5"/>
      <c r="VFC191" s="5"/>
      <c r="VFD191" s="5"/>
      <c r="VFE191" s="5"/>
      <c r="VFF191" s="5"/>
      <c r="VFG191" s="5"/>
      <c r="VFH191" s="5"/>
      <c r="VFI191" s="5"/>
      <c r="VFJ191" s="5"/>
      <c r="VFK191" s="5"/>
      <c r="VFL191" s="5"/>
      <c r="VFM191" s="5"/>
      <c r="VFN191" s="5"/>
      <c r="VFO191" s="5"/>
      <c r="VFP191" s="5"/>
      <c r="VFQ191" s="5"/>
      <c r="VFR191" s="5"/>
      <c r="VFS191" s="5"/>
      <c r="VFT191" s="5"/>
      <c r="VFU191" s="5"/>
      <c r="VFV191" s="5"/>
      <c r="VFW191" s="5"/>
      <c r="VFX191" s="5"/>
      <c r="VFY191" s="5"/>
      <c r="VFZ191" s="5"/>
      <c r="VGA191" s="5"/>
      <c r="VGB191" s="5"/>
      <c r="VGC191" s="5"/>
      <c r="VGD191" s="5"/>
      <c r="VGE191" s="5"/>
      <c r="VGF191" s="5"/>
      <c r="VGG191" s="5"/>
      <c r="VGH191" s="5"/>
      <c r="VGI191" s="5"/>
      <c r="VGJ191" s="5"/>
      <c r="VGK191" s="5"/>
      <c r="VGL191" s="5"/>
      <c r="VGM191" s="5"/>
      <c r="VGN191" s="5"/>
      <c r="VGO191" s="5"/>
      <c r="VGP191" s="5"/>
      <c r="VGQ191" s="5"/>
      <c r="VGR191" s="5"/>
      <c r="VGS191" s="5"/>
      <c r="VGT191" s="5"/>
      <c r="VGU191" s="5"/>
      <c r="VGV191" s="5"/>
      <c r="VGW191" s="5"/>
      <c r="VGX191" s="5"/>
      <c r="VGY191" s="5"/>
      <c r="VGZ191" s="5"/>
      <c r="VHA191" s="5"/>
      <c r="VHB191" s="5"/>
      <c r="VHC191" s="5"/>
      <c r="VHD191" s="5"/>
      <c r="VHE191" s="5"/>
      <c r="VHF191" s="5"/>
      <c r="VHG191" s="5"/>
      <c r="VHH191" s="5"/>
      <c r="VHI191" s="5"/>
      <c r="VHJ191" s="5"/>
      <c r="VHK191" s="5"/>
      <c r="VHL191" s="5"/>
      <c r="VHM191" s="5"/>
      <c r="VHN191" s="5"/>
      <c r="VHO191" s="5"/>
      <c r="VHP191" s="5"/>
      <c r="VHQ191" s="5"/>
      <c r="VHR191" s="5"/>
      <c r="VHS191" s="5"/>
      <c r="VHT191" s="5"/>
      <c r="VHU191" s="5"/>
      <c r="VHV191" s="5"/>
      <c r="VHW191" s="5"/>
      <c r="VHX191" s="5"/>
      <c r="VHY191" s="5"/>
      <c r="VHZ191" s="5"/>
      <c r="VIA191" s="5"/>
      <c r="VIB191" s="5"/>
      <c r="VIC191" s="5"/>
      <c r="VID191" s="5"/>
      <c r="VIE191" s="5"/>
      <c r="VIF191" s="5"/>
      <c r="VIG191" s="5"/>
      <c r="VIH191" s="5"/>
      <c r="VII191" s="5"/>
      <c r="VIJ191" s="5"/>
      <c r="VIK191" s="5"/>
      <c r="VIL191" s="5"/>
      <c r="VIM191" s="5"/>
      <c r="VIN191" s="5"/>
      <c r="VIO191" s="5"/>
      <c r="VIP191" s="5"/>
      <c r="VIQ191" s="5"/>
      <c r="VIR191" s="5"/>
      <c r="VIS191" s="5"/>
      <c r="VIT191" s="5"/>
      <c r="VIU191" s="5"/>
      <c r="VIV191" s="5"/>
      <c r="VIW191" s="5"/>
      <c r="VIX191" s="5"/>
      <c r="VIY191" s="5"/>
      <c r="VIZ191" s="5"/>
      <c r="VJA191" s="5"/>
      <c r="VJB191" s="5"/>
      <c r="VJC191" s="5"/>
      <c r="VJD191" s="5"/>
      <c r="VJE191" s="5"/>
      <c r="VJF191" s="5"/>
      <c r="VJG191" s="5"/>
      <c r="VJH191" s="5"/>
      <c r="VJI191" s="5"/>
      <c r="VJJ191" s="5"/>
      <c r="VJK191" s="5"/>
      <c r="VJL191" s="5"/>
      <c r="VJM191" s="5"/>
      <c r="VJN191" s="5"/>
      <c r="VJO191" s="5"/>
      <c r="VJP191" s="5"/>
      <c r="VJQ191" s="5"/>
      <c r="VJR191" s="5"/>
      <c r="VJS191" s="5"/>
      <c r="VJT191" s="5"/>
      <c r="VJU191" s="5"/>
      <c r="VJV191" s="5"/>
      <c r="VJW191" s="5"/>
      <c r="VJX191" s="5"/>
      <c r="VJY191" s="5"/>
      <c r="VJZ191" s="5"/>
      <c r="VKA191" s="5"/>
      <c r="VKB191" s="5"/>
      <c r="VKC191" s="5"/>
      <c r="VKD191" s="5"/>
      <c r="VKE191" s="5"/>
      <c r="VKF191" s="5"/>
      <c r="VKG191" s="5"/>
      <c r="VKH191" s="5"/>
      <c r="VKI191" s="5"/>
      <c r="VKJ191" s="5"/>
      <c r="VKK191" s="5"/>
      <c r="VKL191" s="5"/>
      <c r="VKM191" s="5"/>
      <c r="VKN191" s="5"/>
      <c r="VKO191" s="5"/>
      <c r="VKP191" s="5"/>
      <c r="VKQ191" s="5"/>
      <c r="VKR191" s="5"/>
      <c r="VKS191" s="5"/>
      <c r="VKT191" s="5"/>
      <c r="VKU191" s="5"/>
      <c r="VKV191" s="5"/>
      <c r="VKW191" s="5"/>
      <c r="VKX191" s="5"/>
      <c r="VKY191" s="5"/>
      <c r="VKZ191" s="5"/>
      <c r="VLA191" s="5"/>
      <c r="VLB191" s="5"/>
      <c r="VLC191" s="5"/>
      <c r="VLD191" s="5"/>
      <c r="VLE191" s="5"/>
      <c r="VLF191" s="5"/>
      <c r="VLG191" s="5"/>
      <c r="VLH191" s="5"/>
      <c r="VLI191" s="5"/>
      <c r="VLJ191" s="5"/>
      <c r="VLK191" s="5"/>
      <c r="VLL191" s="5"/>
      <c r="VLM191" s="5"/>
      <c r="VLN191" s="5"/>
      <c r="VLO191" s="5"/>
      <c r="VLP191" s="5"/>
      <c r="VLQ191" s="5"/>
      <c r="VLR191" s="5"/>
      <c r="VLS191" s="5"/>
      <c r="VLT191" s="5"/>
      <c r="VLU191" s="5"/>
      <c r="VLV191" s="5"/>
      <c r="VLW191" s="5"/>
      <c r="VLX191" s="5"/>
      <c r="VLY191" s="5"/>
      <c r="VLZ191" s="5"/>
      <c r="VMA191" s="5"/>
      <c r="VMB191" s="5"/>
      <c r="VMC191" s="5"/>
      <c r="VMD191" s="5"/>
      <c r="VME191" s="5"/>
      <c r="VMF191" s="5"/>
      <c r="VMG191" s="5"/>
      <c r="VMH191" s="5"/>
      <c r="VMI191" s="5"/>
      <c r="VMJ191" s="5"/>
      <c r="VMK191" s="5"/>
      <c r="VML191" s="5"/>
      <c r="VMM191" s="5"/>
      <c r="VMN191" s="5"/>
      <c r="VMO191" s="5"/>
      <c r="VMP191" s="5"/>
      <c r="VMQ191" s="5"/>
      <c r="VMR191" s="5"/>
      <c r="VMS191" s="5"/>
      <c r="VMT191" s="5"/>
      <c r="VMU191" s="5"/>
      <c r="VMV191" s="5"/>
      <c r="VMW191" s="5"/>
      <c r="VMX191" s="5"/>
      <c r="VMY191" s="5"/>
      <c r="VMZ191" s="5"/>
      <c r="VNA191" s="5"/>
      <c r="VNB191" s="5"/>
      <c r="VNC191" s="5"/>
      <c r="VND191" s="5"/>
      <c r="VNE191" s="5"/>
      <c r="VNF191" s="5"/>
      <c r="VNG191" s="5"/>
      <c r="VNH191" s="5"/>
      <c r="VNI191" s="5"/>
      <c r="VNJ191" s="5"/>
      <c r="VNK191" s="5"/>
      <c r="VNL191" s="5"/>
      <c r="VNM191" s="5"/>
      <c r="VNN191" s="5"/>
      <c r="VNO191" s="5"/>
      <c r="VNP191" s="5"/>
      <c r="VNQ191" s="5"/>
      <c r="VNR191" s="5"/>
      <c r="VNS191" s="5"/>
      <c r="VNT191" s="5"/>
      <c r="VNU191" s="5"/>
      <c r="VNV191" s="5"/>
      <c r="VNW191" s="5"/>
      <c r="VNX191" s="5"/>
      <c r="VNY191" s="5"/>
      <c r="VNZ191" s="5"/>
      <c r="VOA191" s="5"/>
      <c r="VOB191" s="5"/>
      <c r="VOC191" s="5"/>
      <c r="VOD191" s="5"/>
      <c r="VOE191" s="5"/>
      <c r="VOF191" s="5"/>
      <c r="VOG191" s="5"/>
      <c r="VOH191" s="5"/>
      <c r="VOI191" s="5"/>
      <c r="VOJ191" s="5"/>
      <c r="VOK191" s="5"/>
      <c r="VOL191" s="5"/>
      <c r="VOM191" s="5"/>
      <c r="VON191" s="5"/>
      <c r="VOO191" s="5"/>
      <c r="VOP191" s="5"/>
      <c r="VOQ191" s="5"/>
      <c r="VOR191" s="5"/>
      <c r="VOS191" s="5"/>
      <c r="VOT191" s="5"/>
      <c r="VOU191" s="5"/>
      <c r="VOV191" s="5"/>
      <c r="VOW191" s="5"/>
      <c r="VOX191" s="5"/>
      <c r="VOY191" s="5"/>
      <c r="VOZ191" s="5"/>
      <c r="VPA191" s="5"/>
      <c r="VPB191" s="5"/>
      <c r="VPC191" s="5"/>
      <c r="VPD191" s="5"/>
      <c r="VPE191" s="5"/>
      <c r="VPF191" s="5"/>
      <c r="VPG191" s="5"/>
      <c r="VPH191" s="5"/>
      <c r="VPI191" s="5"/>
      <c r="VPJ191" s="5"/>
      <c r="VPK191" s="5"/>
      <c r="VPL191" s="5"/>
      <c r="VPM191" s="5"/>
      <c r="VPN191" s="5"/>
      <c r="VPO191" s="5"/>
      <c r="VPP191" s="5"/>
      <c r="VPQ191" s="5"/>
      <c r="VPR191" s="5"/>
      <c r="VPS191" s="5"/>
      <c r="VPT191" s="5"/>
      <c r="VPU191" s="5"/>
      <c r="VPV191" s="5"/>
      <c r="VPW191" s="5"/>
      <c r="VPX191" s="5"/>
      <c r="VPY191" s="5"/>
      <c r="VPZ191" s="5"/>
      <c r="VQA191" s="5"/>
      <c r="VQB191" s="5"/>
      <c r="VQC191" s="5"/>
      <c r="VQD191" s="5"/>
      <c r="VQE191" s="5"/>
      <c r="VQF191" s="5"/>
      <c r="VQG191" s="5"/>
      <c r="VQH191" s="5"/>
      <c r="VQI191" s="5"/>
      <c r="VQJ191" s="5"/>
      <c r="VQK191" s="5"/>
      <c r="VQL191" s="5"/>
      <c r="VQM191" s="5"/>
      <c r="VQN191" s="5"/>
      <c r="VQO191" s="5"/>
      <c r="VQP191" s="5"/>
      <c r="VQQ191" s="5"/>
      <c r="VQR191" s="5"/>
      <c r="VQS191" s="5"/>
      <c r="VQT191" s="5"/>
      <c r="VQU191" s="5"/>
      <c r="VQV191" s="5"/>
      <c r="VQW191" s="5"/>
      <c r="VQX191" s="5"/>
      <c r="VQY191" s="5"/>
      <c r="VQZ191" s="5"/>
      <c r="VRA191" s="5"/>
      <c r="VRB191" s="5"/>
      <c r="VRC191" s="5"/>
      <c r="VRD191" s="5"/>
      <c r="VRE191" s="5"/>
      <c r="VRF191" s="5"/>
      <c r="VRG191" s="5"/>
      <c r="VRH191" s="5"/>
      <c r="VRI191" s="5"/>
      <c r="VRJ191" s="5"/>
      <c r="VRK191" s="5"/>
      <c r="VRL191" s="5"/>
      <c r="VRM191" s="5"/>
      <c r="VRN191" s="5"/>
      <c r="VRO191" s="5"/>
      <c r="VRP191" s="5"/>
      <c r="VRQ191" s="5"/>
      <c r="VRR191" s="5"/>
      <c r="VRS191" s="5"/>
      <c r="VRT191" s="5"/>
      <c r="VRU191" s="5"/>
      <c r="VRV191" s="5"/>
      <c r="VRW191" s="5"/>
      <c r="VRX191" s="5"/>
      <c r="VRY191" s="5"/>
      <c r="VRZ191" s="5"/>
      <c r="VSA191" s="5"/>
      <c r="VSB191" s="5"/>
      <c r="VSC191" s="5"/>
      <c r="VSD191" s="5"/>
      <c r="VSE191" s="5"/>
      <c r="VSF191" s="5"/>
      <c r="VSG191" s="5"/>
      <c r="VSH191" s="5"/>
      <c r="VSI191" s="5"/>
      <c r="VSJ191" s="5"/>
      <c r="VSK191" s="5"/>
      <c r="VSL191" s="5"/>
      <c r="VSM191" s="5"/>
      <c r="VSN191" s="5"/>
      <c r="VSO191" s="5"/>
      <c r="VSP191" s="5"/>
      <c r="VSQ191" s="5"/>
      <c r="VSR191" s="5"/>
      <c r="VSS191" s="5"/>
      <c r="VST191" s="5"/>
      <c r="VSU191" s="5"/>
      <c r="VSV191" s="5"/>
      <c r="VSW191" s="5"/>
      <c r="VSX191" s="5"/>
      <c r="VSY191" s="5"/>
      <c r="VSZ191" s="5"/>
      <c r="VTA191" s="5"/>
      <c r="VTB191" s="5"/>
      <c r="VTC191" s="5"/>
      <c r="VTD191" s="5"/>
      <c r="VTE191" s="5"/>
      <c r="VTF191" s="5"/>
      <c r="VTG191" s="5"/>
      <c r="VTH191" s="5"/>
      <c r="VTI191" s="5"/>
      <c r="VTJ191" s="5"/>
      <c r="VTK191" s="5"/>
      <c r="VTL191" s="5"/>
      <c r="VTM191" s="5"/>
      <c r="VTN191" s="5"/>
      <c r="VTO191" s="5"/>
      <c r="VTP191" s="5"/>
      <c r="VTQ191" s="5"/>
      <c r="VTR191" s="5"/>
      <c r="VTS191" s="5"/>
      <c r="VTT191" s="5"/>
      <c r="VTU191" s="5"/>
      <c r="VTV191" s="5"/>
      <c r="VTW191" s="5"/>
      <c r="VTX191" s="5"/>
      <c r="VTY191" s="5"/>
      <c r="VTZ191" s="5"/>
      <c r="VUA191" s="5"/>
      <c r="VUB191" s="5"/>
      <c r="VUC191" s="5"/>
      <c r="VUD191" s="5"/>
      <c r="VUE191" s="5"/>
      <c r="VUF191" s="5"/>
      <c r="VUG191" s="5"/>
      <c r="VUH191" s="5"/>
      <c r="VUI191" s="5"/>
      <c r="VUJ191" s="5"/>
      <c r="VUK191" s="5"/>
      <c r="VUL191" s="5"/>
      <c r="VUM191" s="5"/>
      <c r="VUN191" s="5"/>
      <c r="VUO191" s="5"/>
      <c r="VUP191" s="5"/>
      <c r="VUQ191" s="5"/>
      <c r="VUR191" s="5"/>
      <c r="VUS191" s="5"/>
      <c r="VUT191" s="5"/>
      <c r="VUU191" s="5"/>
      <c r="VUV191" s="5"/>
      <c r="VUW191" s="5"/>
      <c r="VUX191" s="5"/>
      <c r="VUY191" s="5"/>
      <c r="VUZ191" s="5"/>
      <c r="VVA191" s="5"/>
      <c r="VVB191" s="5"/>
      <c r="VVC191" s="5"/>
      <c r="VVD191" s="5"/>
      <c r="VVE191" s="5"/>
      <c r="VVF191" s="5"/>
      <c r="VVG191" s="5"/>
      <c r="VVH191" s="5"/>
      <c r="VVI191" s="5"/>
      <c r="VVJ191" s="5"/>
      <c r="VVK191" s="5"/>
      <c r="VVL191" s="5"/>
      <c r="VVM191" s="5"/>
      <c r="VVN191" s="5"/>
      <c r="VVO191" s="5"/>
      <c r="VVP191" s="5"/>
      <c r="VVQ191" s="5"/>
      <c r="VVR191" s="5"/>
      <c r="VVS191" s="5"/>
      <c r="VVT191" s="5"/>
      <c r="VVU191" s="5"/>
      <c r="VVV191" s="5"/>
      <c r="VVW191" s="5"/>
      <c r="VVX191" s="5"/>
      <c r="VVY191" s="5"/>
      <c r="VVZ191" s="5"/>
      <c r="VWA191" s="5"/>
      <c r="VWB191" s="5"/>
      <c r="VWC191" s="5"/>
      <c r="VWD191" s="5"/>
      <c r="VWE191" s="5"/>
      <c r="VWF191" s="5"/>
      <c r="VWG191" s="5"/>
      <c r="VWH191" s="5"/>
      <c r="VWI191" s="5"/>
      <c r="VWJ191" s="5"/>
      <c r="VWK191" s="5"/>
      <c r="VWL191" s="5"/>
      <c r="VWM191" s="5"/>
      <c r="VWN191" s="5"/>
      <c r="VWO191" s="5"/>
      <c r="VWP191" s="5"/>
      <c r="VWQ191" s="5"/>
      <c r="VWR191" s="5"/>
      <c r="VWS191" s="5"/>
      <c r="VWT191" s="5"/>
      <c r="VWU191" s="5"/>
      <c r="VWV191" s="5"/>
      <c r="VWW191" s="5"/>
      <c r="VWX191" s="5"/>
      <c r="VWY191" s="5"/>
      <c r="VWZ191" s="5"/>
      <c r="VXA191" s="5"/>
      <c r="VXB191" s="5"/>
      <c r="VXC191" s="5"/>
      <c r="VXD191" s="5"/>
      <c r="VXE191" s="5"/>
      <c r="VXF191" s="5"/>
      <c r="VXG191" s="5"/>
      <c r="VXH191" s="5"/>
      <c r="VXI191" s="5"/>
      <c r="VXJ191" s="5"/>
      <c r="VXK191" s="5"/>
      <c r="VXL191" s="5"/>
      <c r="VXM191" s="5"/>
      <c r="VXN191" s="5"/>
      <c r="VXO191" s="5"/>
      <c r="VXP191" s="5"/>
      <c r="VXQ191" s="5"/>
      <c r="VXR191" s="5"/>
      <c r="VXS191" s="5"/>
      <c r="VXT191" s="5"/>
      <c r="VXU191" s="5"/>
      <c r="VXV191" s="5"/>
      <c r="VXW191" s="5"/>
      <c r="VXX191" s="5"/>
      <c r="VXY191" s="5"/>
      <c r="VXZ191" s="5"/>
      <c r="VYA191" s="5"/>
      <c r="VYB191" s="5"/>
      <c r="VYC191" s="5"/>
      <c r="VYD191" s="5"/>
      <c r="VYE191" s="5"/>
      <c r="VYF191" s="5"/>
      <c r="VYG191" s="5"/>
      <c r="VYH191" s="5"/>
      <c r="VYI191" s="5"/>
      <c r="VYJ191" s="5"/>
      <c r="VYK191" s="5"/>
      <c r="VYL191" s="5"/>
      <c r="VYM191" s="5"/>
      <c r="VYN191" s="5"/>
      <c r="VYO191" s="5"/>
      <c r="VYP191" s="5"/>
      <c r="VYQ191" s="5"/>
      <c r="VYR191" s="5"/>
      <c r="VYS191" s="5"/>
      <c r="VYT191" s="5"/>
      <c r="VYU191" s="5"/>
      <c r="VYV191" s="5"/>
      <c r="VYW191" s="5"/>
      <c r="VYX191" s="5"/>
      <c r="VYY191" s="5"/>
      <c r="VYZ191" s="5"/>
      <c r="VZA191" s="5"/>
      <c r="VZB191" s="5"/>
      <c r="VZC191" s="5"/>
      <c r="VZD191" s="5"/>
      <c r="VZE191" s="5"/>
      <c r="VZF191" s="5"/>
      <c r="VZG191" s="5"/>
      <c r="VZH191" s="5"/>
      <c r="VZI191" s="5"/>
      <c r="VZJ191" s="5"/>
      <c r="VZK191" s="5"/>
      <c r="VZL191" s="5"/>
      <c r="VZM191" s="5"/>
      <c r="VZN191" s="5"/>
      <c r="VZO191" s="5"/>
      <c r="VZP191" s="5"/>
      <c r="VZQ191" s="5"/>
      <c r="VZR191" s="5"/>
      <c r="VZS191" s="5"/>
      <c r="VZT191" s="5"/>
      <c r="VZU191" s="5"/>
      <c r="VZV191" s="5"/>
      <c r="VZW191" s="5"/>
      <c r="VZX191" s="5"/>
      <c r="VZY191" s="5"/>
      <c r="VZZ191" s="5"/>
      <c r="WAA191" s="5"/>
      <c r="WAB191" s="5"/>
      <c r="WAC191" s="5"/>
      <c r="WAD191" s="5"/>
      <c r="WAE191" s="5"/>
      <c r="WAF191" s="5"/>
      <c r="WAG191" s="5"/>
      <c r="WAH191" s="5"/>
      <c r="WAI191" s="5"/>
      <c r="WAJ191" s="5"/>
      <c r="WAK191" s="5"/>
      <c r="WAL191" s="5"/>
      <c r="WAM191" s="5"/>
      <c r="WAN191" s="5"/>
      <c r="WAO191" s="5"/>
      <c r="WAP191" s="5"/>
      <c r="WAQ191" s="5"/>
      <c r="WAR191" s="5"/>
      <c r="WAS191" s="5"/>
      <c r="WAT191" s="5"/>
      <c r="WAU191" s="5"/>
      <c r="WAV191" s="5"/>
      <c r="WAW191" s="5"/>
      <c r="WAX191" s="5"/>
      <c r="WAY191" s="5"/>
      <c r="WAZ191" s="5"/>
      <c r="WBA191" s="5"/>
      <c r="WBB191" s="5"/>
      <c r="WBC191" s="5"/>
      <c r="WBD191" s="5"/>
      <c r="WBE191" s="5"/>
      <c r="WBF191" s="5"/>
      <c r="WBG191" s="5"/>
      <c r="WBH191" s="5"/>
      <c r="WBI191" s="5"/>
      <c r="WBJ191" s="5"/>
      <c r="WBK191" s="5"/>
      <c r="WBL191" s="5"/>
      <c r="WBM191" s="5"/>
      <c r="WBN191" s="5"/>
      <c r="WBO191" s="5"/>
      <c r="WBP191" s="5"/>
      <c r="WBQ191" s="5"/>
      <c r="WBR191" s="5"/>
      <c r="WBS191" s="5"/>
      <c r="WBT191" s="5"/>
      <c r="WBU191" s="5"/>
      <c r="WBV191" s="5"/>
      <c r="WBW191" s="5"/>
      <c r="WBX191" s="5"/>
      <c r="WBY191" s="5"/>
      <c r="WBZ191" s="5"/>
      <c r="WCA191" s="5"/>
      <c r="WCB191" s="5"/>
      <c r="WCC191" s="5"/>
      <c r="WCD191" s="5"/>
      <c r="WCE191" s="5"/>
      <c r="WCF191" s="5"/>
      <c r="WCG191" s="5"/>
      <c r="WCH191" s="5"/>
      <c r="WCI191" s="5"/>
      <c r="WCJ191" s="5"/>
      <c r="WCK191" s="5"/>
      <c r="WCL191" s="5"/>
      <c r="WCM191" s="5"/>
      <c r="WCN191" s="5"/>
      <c r="WCO191" s="5"/>
      <c r="WCP191" s="5"/>
      <c r="WCQ191" s="5"/>
      <c r="WCR191" s="5"/>
      <c r="WCS191" s="5"/>
      <c r="WCT191" s="5"/>
      <c r="WCU191" s="5"/>
      <c r="WCV191" s="5"/>
      <c r="WCW191" s="5"/>
      <c r="WCX191" s="5"/>
      <c r="WCY191" s="5"/>
      <c r="WCZ191" s="5"/>
      <c r="WDA191" s="5"/>
      <c r="WDB191" s="5"/>
      <c r="WDC191" s="5"/>
      <c r="WDD191" s="5"/>
      <c r="WDE191" s="5"/>
      <c r="WDF191" s="5"/>
      <c r="WDG191" s="5"/>
      <c r="WDH191" s="5"/>
      <c r="WDI191" s="5"/>
      <c r="WDJ191" s="5"/>
      <c r="WDK191" s="5"/>
      <c r="WDL191" s="5"/>
      <c r="WDM191" s="5"/>
      <c r="WDN191" s="5"/>
      <c r="WDO191" s="5"/>
      <c r="WDP191" s="5"/>
      <c r="WDQ191" s="5"/>
      <c r="WDR191" s="5"/>
      <c r="WDS191" s="5"/>
      <c r="WDT191" s="5"/>
      <c r="WDU191" s="5"/>
      <c r="WDV191" s="5"/>
      <c r="WDW191" s="5"/>
      <c r="WDX191" s="5"/>
      <c r="WDY191" s="5"/>
      <c r="WDZ191" s="5"/>
      <c r="WEA191" s="5"/>
      <c r="WEB191" s="5"/>
      <c r="WEC191" s="5"/>
      <c r="WED191" s="5"/>
      <c r="WEE191" s="5"/>
      <c r="WEF191" s="5"/>
      <c r="WEG191" s="5"/>
      <c r="WEH191" s="5"/>
      <c r="WEI191" s="5"/>
      <c r="WEJ191" s="5"/>
      <c r="WEK191" s="5"/>
      <c r="WEL191" s="5"/>
      <c r="WEM191" s="5"/>
      <c r="WEN191" s="5"/>
      <c r="WEO191" s="5"/>
      <c r="WEP191" s="5"/>
      <c r="WEQ191" s="5"/>
      <c r="WER191" s="5"/>
      <c r="WES191" s="5"/>
      <c r="WET191" s="5"/>
      <c r="WEU191" s="5"/>
      <c r="WEV191" s="5"/>
      <c r="WEW191" s="5"/>
      <c r="WEX191" s="5"/>
      <c r="WEY191" s="5"/>
      <c r="WEZ191" s="5"/>
      <c r="WFA191" s="5"/>
      <c r="WFB191" s="5"/>
      <c r="WFC191" s="5"/>
      <c r="WFD191" s="5"/>
      <c r="WFE191" s="5"/>
      <c r="WFF191" s="5"/>
      <c r="WFG191" s="5"/>
      <c r="WFH191" s="5"/>
      <c r="WFI191" s="5"/>
      <c r="WFJ191" s="5"/>
      <c r="WFK191" s="5"/>
      <c r="WFL191" s="5"/>
      <c r="WFM191" s="5"/>
      <c r="WFN191" s="5"/>
      <c r="WFO191" s="5"/>
      <c r="WFP191" s="5"/>
      <c r="WFQ191" s="5"/>
      <c r="WFR191" s="5"/>
      <c r="WFS191" s="5"/>
      <c r="WFT191" s="5"/>
      <c r="WFU191" s="5"/>
      <c r="WFV191" s="5"/>
      <c r="WFW191" s="5"/>
      <c r="WFX191" s="5"/>
      <c r="WFY191" s="5"/>
      <c r="WFZ191" s="5"/>
      <c r="WGA191" s="5"/>
      <c r="WGB191" s="5"/>
      <c r="WGC191" s="5"/>
      <c r="WGD191" s="5"/>
      <c r="WGE191" s="5"/>
      <c r="WGF191" s="5"/>
      <c r="WGG191" s="5"/>
      <c r="WGH191" s="5"/>
      <c r="WGI191" s="5"/>
      <c r="WGJ191" s="5"/>
      <c r="WGK191" s="5"/>
      <c r="WGL191" s="5"/>
      <c r="WGM191" s="5"/>
      <c r="WGN191" s="5"/>
      <c r="WGO191" s="5"/>
      <c r="WGP191" s="5"/>
      <c r="WGQ191" s="5"/>
      <c r="WGR191" s="5"/>
      <c r="WGS191" s="5"/>
      <c r="WGT191" s="5"/>
      <c r="WGU191" s="5"/>
      <c r="WGV191" s="5"/>
      <c r="WGW191" s="5"/>
      <c r="WGX191" s="5"/>
      <c r="WGY191" s="5"/>
      <c r="WGZ191" s="5"/>
      <c r="WHA191" s="5"/>
      <c r="WHB191" s="5"/>
      <c r="WHC191" s="5"/>
      <c r="WHD191" s="5"/>
      <c r="WHE191" s="5"/>
      <c r="WHF191" s="5"/>
      <c r="WHG191" s="5"/>
      <c r="WHH191" s="5"/>
      <c r="WHI191" s="5"/>
      <c r="WHJ191" s="5"/>
      <c r="WHK191" s="5"/>
      <c r="WHL191" s="5"/>
      <c r="WHM191" s="5"/>
      <c r="WHN191" s="5"/>
      <c r="WHO191" s="5"/>
      <c r="WHP191" s="5"/>
      <c r="WHQ191" s="5"/>
      <c r="WHR191" s="5"/>
      <c r="WHS191" s="5"/>
      <c r="WHT191" s="5"/>
      <c r="WHU191" s="5"/>
      <c r="WHV191" s="5"/>
      <c r="WHW191" s="5"/>
      <c r="WHX191" s="5"/>
      <c r="WHY191" s="5"/>
      <c r="WHZ191" s="5"/>
      <c r="WIA191" s="5"/>
      <c r="WIB191" s="5"/>
      <c r="WIC191" s="5"/>
      <c r="WID191" s="5"/>
      <c r="WIE191" s="5"/>
      <c r="WIF191" s="5"/>
      <c r="WIG191" s="5"/>
      <c r="WIH191" s="5"/>
      <c r="WII191" s="5"/>
      <c r="WIJ191" s="5"/>
      <c r="WIK191" s="5"/>
      <c r="WIL191" s="5"/>
      <c r="WIM191" s="5"/>
      <c r="WIN191" s="5"/>
      <c r="WIO191" s="5"/>
      <c r="WIP191" s="5"/>
      <c r="WIQ191" s="5"/>
      <c r="WIR191" s="5"/>
      <c r="WIS191" s="5"/>
      <c r="WIT191" s="5"/>
      <c r="WIU191" s="5"/>
      <c r="WIV191" s="5"/>
      <c r="WIW191" s="5"/>
      <c r="WIX191" s="5"/>
      <c r="WIY191" s="5"/>
      <c r="WIZ191" s="5"/>
      <c r="WJA191" s="5"/>
      <c r="WJB191" s="5"/>
      <c r="WJC191" s="5"/>
      <c r="WJD191" s="5"/>
      <c r="WJE191" s="5"/>
      <c r="WJF191" s="5"/>
      <c r="WJG191" s="5"/>
      <c r="WJH191" s="5"/>
      <c r="WJI191" s="5"/>
      <c r="WJJ191" s="5"/>
      <c r="WJK191" s="5"/>
      <c r="WJL191" s="5"/>
      <c r="WJM191" s="5"/>
      <c r="WJN191" s="5"/>
      <c r="WJO191" s="5"/>
      <c r="WJP191" s="5"/>
      <c r="WJQ191" s="5"/>
      <c r="WJR191" s="5"/>
      <c r="WJS191" s="5"/>
      <c r="WJT191" s="5"/>
      <c r="WJU191" s="5"/>
      <c r="WJV191" s="5"/>
      <c r="WJW191" s="5"/>
      <c r="WJX191" s="5"/>
      <c r="WJY191" s="5"/>
      <c r="WJZ191" s="5"/>
      <c r="WKA191" s="5"/>
      <c r="WKB191" s="5"/>
      <c r="WKC191" s="5"/>
      <c r="WKD191" s="5"/>
      <c r="WKE191" s="5"/>
      <c r="WKF191" s="5"/>
      <c r="WKG191" s="5"/>
      <c r="WKH191" s="5"/>
      <c r="WKI191" s="5"/>
      <c r="WKJ191" s="5"/>
      <c r="WKK191" s="5"/>
      <c r="WKL191" s="5"/>
      <c r="WKM191" s="5"/>
      <c r="WKN191" s="5"/>
      <c r="WKO191" s="5"/>
      <c r="WKP191" s="5"/>
      <c r="WKQ191" s="5"/>
      <c r="WKR191" s="5"/>
      <c r="WKS191" s="5"/>
      <c r="WKT191" s="5"/>
      <c r="WKU191" s="5"/>
      <c r="WKV191" s="5"/>
      <c r="WKW191" s="5"/>
      <c r="WKX191" s="5"/>
      <c r="WKY191" s="5"/>
      <c r="WKZ191" s="5"/>
      <c r="WLA191" s="5"/>
      <c r="WLB191" s="5"/>
      <c r="WLC191" s="5"/>
      <c r="WLD191" s="5"/>
      <c r="WLE191" s="5"/>
      <c r="WLF191" s="5"/>
      <c r="WLG191" s="5"/>
      <c r="WLH191" s="5"/>
      <c r="WLI191" s="5"/>
      <c r="WLJ191" s="5"/>
      <c r="WLK191" s="5"/>
      <c r="WLL191" s="5"/>
      <c r="WLM191" s="5"/>
      <c r="WLN191" s="5"/>
      <c r="WLO191" s="5"/>
      <c r="WLP191" s="5"/>
      <c r="WLQ191" s="5"/>
      <c r="WLR191" s="5"/>
      <c r="WLS191" s="5"/>
      <c r="WLT191" s="5"/>
      <c r="WLU191" s="5"/>
      <c r="WLV191" s="5"/>
      <c r="WLW191" s="5"/>
      <c r="WLX191" s="5"/>
      <c r="WLY191" s="5"/>
      <c r="WLZ191" s="5"/>
      <c r="WMA191" s="5"/>
      <c r="WMB191" s="5"/>
      <c r="WMC191" s="5"/>
      <c r="WMD191" s="5"/>
      <c r="WME191" s="5"/>
      <c r="WMF191" s="5"/>
      <c r="WMG191" s="5"/>
      <c r="WMH191" s="5"/>
      <c r="WMI191" s="5"/>
      <c r="WMJ191" s="5"/>
      <c r="WMK191" s="5"/>
      <c r="WML191" s="5"/>
      <c r="WMM191" s="5"/>
      <c r="WMN191" s="5"/>
      <c r="WMO191" s="5"/>
      <c r="WMP191" s="5"/>
      <c r="WMQ191" s="5"/>
      <c r="WMR191" s="5"/>
      <c r="WMS191" s="5"/>
      <c r="WMT191" s="5"/>
      <c r="WMU191" s="5"/>
      <c r="WMV191" s="5"/>
      <c r="WMW191" s="5"/>
      <c r="WMX191" s="5"/>
      <c r="WMY191" s="5"/>
      <c r="WMZ191" s="5"/>
      <c r="WNA191" s="5"/>
      <c r="WNB191" s="5"/>
      <c r="WNC191" s="5"/>
      <c r="WND191" s="5"/>
      <c r="WNE191" s="5"/>
      <c r="WNF191" s="5"/>
      <c r="WNG191" s="5"/>
      <c r="WNH191" s="5"/>
      <c r="WNI191" s="5"/>
      <c r="WNJ191" s="5"/>
      <c r="WNK191" s="5"/>
      <c r="WNL191" s="5"/>
      <c r="WNM191" s="5"/>
      <c r="WNN191" s="5"/>
      <c r="WNO191" s="5"/>
      <c r="WNP191" s="5"/>
      <c r="WNQ191" s="5"/>
      <c r="WNR191" s="5"/>
      <c r="WNS191" s="5"/>
      <c r="WNT191" s="5"/>
      <c r="WNU191" s="5"/>
      <c r="WNV191" s="5"/>
      <c r="WNW191" s="5"/>
      <c r="WNX191" s="5"/>
      <c r="WNY191" s="5"/>
      <c r="WNZ191" s="5"/>
      <c r="WOA191" s="5"/>
      <c r="WOB191" s="5"/>
      <c r="WOC191" s="5"/>
      <c r="WOD191" s="5"/>
      <c r="WOE191" s="5"/>
      <c r="WOF191" s="5"/>
      <c r="WOG191" s="5"/>
      <c r="WOH191" s="5"/>
      <c r="WOI191" s="5"/>
      <c r="WOJ191" s="5"/>
      <c r="WOK191" s="5"/>
      <c r="WOL191" s="5"/>
      <c r="WOM191" s="5"/>
      <c r="WON191" s="5"/>
      <c r="WOO191" s="5"/>
      <c r="WOP191" s="5"/>
      <c r="WOQ191" s="5"/>
      <c r="WOR191" s="5"/>
      <c r="WOS191" s="5"/>
      <c r="WOT191" s="5"/>
      <c r="WOU191" s="5"/>
      <c r="WOV191" s="5"/>
      <c r="WOW191" s="5"/>
      <c r="WOX191" s="5"/>
      <c r="WOY191" s="5"/>
      <c r="WOZ191" s="5"/>
      <c r="WPA191" s="5"/>
      <c r="WPB191" s="5"/>
      <c r="WPC191" s="5"/>
      <c r="WPD191" s="5"/>
      <c r="WPE191" s="5"/>
      <c r="WPF191" s="5"/>
      <c r="WPG191" s="5"/>
      <c r="WPH191" s="5"/>
      <c r="WPI191" s="5"/>
      <c r="WPJ191" s="5"/>
      <c r="WPK191" s="5"/>
      <c r="WPL191" s="5"/>
      <c r="WPM191" s="5"/>
      <c r="WPN191" s="5"/>
      <c r="WPO191" s="5"/>
      <c r="WPP191" s="5"/>
      <c r="WPQ191" s="5"/>
      <c r="WPR191" s="5"/>
      <c r="WPS191" s="5"/>
      <c r="WPT191" s="5"/>
      <c r="WPU191" s="5"/>
      <c r="WPV191" s="5"/>
      <c r="WPW191" s="5"/>
      <c r="WPX191" s="5"/>
      <c r="WPY191" s="5"/>
      <c r="WPZ191" s="5"/>
      <c r="WQA191" s="5"/>
      <c r="WQB191" s="5"/>
      <c r="WQC191" s="5"/>
      <c r="WQD191" s="5"/>
      <c r="WQE191" s="5"/>
      <c r="WQF191" s="5"/>
      <c r="WQG191" s="5"/>
      <c r="WQH191" s="5"/>
      <c r="WQI191" s="5"/>
      <c r="WQJ191" s="5"/>
      <c r="WQK191" s="5"/>
      <c r="WQL191" s="5"/>
      <c r="WQM191" s="5"/>
      <c r="WQN191" s="5"/>
      <c r="WQO191" s="5"/>
      <c r="WQP191" s="5"/>
      <c r="WQQ191" s="5"/>
      <c r="WQR191" s="5"/>
      <c r="WQS191" s="5"/>
      <c r="WQT191" s="5"/>
      <c r="WQU191" s="5"/>
      <c r="WQV191" s="5"/>
      <c r="WQW191" s="5"/>
      <c r="WQX191" s="5"/>
      <c r="WQY191" s="5"/>
      <c r="WQZ191" s="5"/>
      <c r="WRA191" s="5"/>
      <c r="WRB191" s="5"/>
      <c r="WRC191" s="5"/>
      <c r="WRD191" s="5"/>
      <c r="WRE191" s="5"/>
      <c r="WRF191" s="5"/>
      <c r="WRG191" s="5"/>
      <c r="WRH191" s="5"/>
      <c r="WRI191" s="5"/>
      <c r="WRJ191" s="5"/>
      <c r="WRK191" s="5"/>
      <c r="WRL191" s="5"/>
      <c r="WRM191" s="5"/>
      <c r="WRN191" s="5"/>
      <c r="WRO191" s="5"/>
      <c r="WRP191" s="5"/>
      <c r="WRQ191" s="5"/>
      <c r="WRR191" s="5"/>
      <c r="WRS191" s="5"/>
      <c r="WRT191" s="5"/>
      <c r="WRU191" s="5"/>
      <c r="WRV191" s="5"/>
      <c r="WRW191" s="5"/>
      <c r="WRX191" s="5"/>
      <c r="WRY191" s="5"/>
      <c r="WRZ191" s="5"/>
      <c r="WSA191" s="5"/>
      <c r="WSB191" s="5"/>
      <c r="WSC191" s="5"/>
      <c r="WSD191" s="5"/>
      <c r="WSE191" s="5"/>
      <c r="WSF191" s="5"/>
      <c r="WSG191" s="5"/>
      <c r="WSH191" s="5"/>
      <c r="WSI191" s="5"/>
      <c r="WSJ191" s="5"/>
      <c r="WSK191" s="5"/>
      <c r="WSL191" s="5"/>
      <c r="WSM191" s="5"/>
      <c r="WSN191" s="5"/>
      <c r="WSO191" s="5"/>
      <c r="WSP191" s="5"/>
      <c r="WSQ191" s="5"/>
      <c r="WSR191" s="5"/>
      <c r="WSS191" s="5"/>
      <c r="WST191" s="5"/>
      <c r="WSU191" s="5"/>
      <c r="WSV191" s="5"/>
      <c r="WSW191" s="5"/>
      <c r="WSX191" s="5"/>
      <c r="WSY191" s="5"/>
      <c r="WSZ191" s="5"/>
      <c r="WTA191" s="5"/>
      <c r="WTB191" s="5"/>
      <c r="WTC191" s="5"/>
      <c r="WTD191" s="5"/>
      <c r="WTE191" s="5"/>
      <c r="WTF191" s="5"/>
      <c r="WTG191" s="5"/>
      <c r="WTH191" s="5"/>
      <c r="WTI191" s="5"/>
      <c r="WTJ191" s="5"/>
      <c r="WTK191" s="5"/>
      <c r="WTL191" s="5"/>
      <c r="WTM191" s="5"/>
      <c r="WTN191" s="5"/>
      <c r="WTO191" s="5"/>
      <c r="WTP191" s="5"/>
      <c r="WTQ191" s="5"/>
      <c r="WTR191" s="5"/>
      <c r="WTS191" s="5"/>
      <c r="WTT191" s="5"/>
      <c r="WTU191" s="5"/>
      <c r="WTV191" s="5"/>
      <c r="WTW191" s="5"/>
      <c r="WTX191" s="5"/>
      <c r="WTY191" s="5"/>
      <c r="WTZ191" s="5"/>
      <c r="WUA191" s="5"/>
      <c r="WUB191" s="5"/>
      <c r="WUC191" s="5"/>
      <c r="WUD191" s="5"/>
      <c r="WUE191" s="5"/>
      <c r="WUF191" s="5"/>
      <c r="WUG191" s="5"/>
      <c r="WUH191" s="5"/>
      <c r="WUI191" s="5"/>
      <c r="WUJ191" s="5"/>
      <c r="WUK191" s="5"/>
      <c r="WUL191" s="5"/>
      <c r="WUM191" s="5"/>
      <c r="WUN191" s="5"/>
      <c r="WUO191" s="5"/>
      <c r="WUP191" s="5"/>
      <c r="WUQ191" s="5"/>
      <c r="WUR191" s="5"/>
      <c r="WUS191" s="5"/>
      <c r="WUT191" s="5"/>
      <c r="WUU191" s="5"/>
      <c r="WUV191" s="5"/>
      <c r="WUW191" s="5"/>
      <c r="WUX191" s="5"/>
      <c r="WUY191" s="5"/>
      <c r="WUZ191" s="5"/>
      <c r="WVA191" s="5"/>
      <c r="WVB191" s="5"/>
      <c r="WVC191" s="5"/>
      <c r="WVD191" s="5"/>
      <c r="WVE191" s="5"/>
      <c r="WVF191" s="5"/>
      <c r="WVG191" s="5"/>
      <c r="WVH191" s="5"/>
      <c r="WVI191" s="5"/>
      <c r="WVJ191" s="5"/>
      <c r="WVK191" s="5"/>
      <c r="WVL191" s="5"/>
      <c r="WVM191" s="5"/>
      <c r="WVN191" s="5"/>
      <c r="WVO191" s="5"/>
      <c r="WVP191" s="5"/>
      <c r="WVQ191" s="5"/>
      <c r="WVR191" s="5"/>
      <c r="WVS191" s="5"/>
      <c r="WVT191" s="5"/>
      <c r="WVU191" s="5"/>
      <c r="WVV191" s="5"/>
      <c r="WVW191" s="5"/>
      <c r="WVX191" s="5"/>
      <c r="WVY191" s="5"/>
      <c r="WVZ191" s="5"/>
      <c r="WWA191" s="5"/>
      <c r="WWB191" s="5"/>
      <c r="WWC191" s="5"/>
      <c r="WWD191" s="5"/>
      <c r="WWE191" s="5"/>
      <c r="WWF191" s="5"/>
      <c r="WWG191" s="5"/>
      <c r="WWH191" s="5"/>
      <c r="WWI191" s="5"/>
      <c r="WWJ191" s="5"/>
      <c r="WWK191" s="5"/>
      <c r="WWL191" s="5"/>
      <c r="WWM191" s="5"/>
      <c r="WWN191" s="5"/>
      <c r="WWO191" s="5"/>
      <c r="WWP191" s="5"/>
      <c r="WWQ191" s="5"/>
      <c r="WWR191" s="5"/>
      <c r="WWS191" s="5"/>
      <c r="WWT191" s="5"/>
      <c r="WWU191" s="5"/>
      <c r="WWV191" s="5"/>
      <c r="WWW191" s="5"/>
      <c r="WWX191" s="5"/>
      <c r="WWY191" s="5"/>
      <c r="WWZ191" s="5"/>
      <c r="WXA191" s="5"/>
      <c r="WXB191" s="5"/>
      <c r="WXC191" s="5"/>
      <c r="WXD191" s="5"/>
      <c r="WXE191" s="5"/>
      <c r="WXF191" s="5"/>
      <c r="WXG191" s="5"/>
      <c r="WXH191" s="5"/>
      <c r="WXI191" s="5"/>
      <c r="WXJ191" s="5"/>
      <c r="WXK191" s="5"/>
      <c r="WXL191" s="5"/>
      <c r="WXM191" s="5"/>
      <c r="WXN191" s="5"/>
      <c r="WXO191" s="5"/>
      <c r="WXP191" s="5"/>
      <c r="WXQ191" s="5"/>
      <c r="WXR191" s="5"/>
      <c r="WXS191" s="5"/>
      <c r="WXT191" s="5"/>
      <c r="WXU191" s="5"/>
      <c r="WXV191" s="5"/>
      <c r="WXW191" s="5"/>
      <c r="WXX191" s="5"/>
      <c r="WXY191" s="5"/>
      <c r="WXZ191" s="5"/>
      <c r="WYA191" s="5"/>
      <c r="WYB191" s="5"/>
      <c r="WYC191" s="5"/>
      <c r="WYD191" s="5"/>
      <c r="WYE191" s="5"/>
      <c r="WYF191" s="5"/>
      <c r="WYG191" s="5"/>
      <c r="WYH191" s="5"/>
      <c r="WYI191" s="5"/>
      <c r="WYJ191" s="5"/>
      <c r="WYK191" s="5"/>
      <c r="WYL191" s="5"/>
      <c r="WYM191" s="5"/>
      <c r="WYN191" s="5"/>
      <c r="WYO191" s="5"/>
      <c r="WYP191" s="5"/>
      <c r="WYQ191" s="5"/>
      <c r="WYR191" s="5"/>
      <c r="WYS191" s="5"/>
      <c r="WYT191" s="5"/>
      <c r="WYU191" s="5"/>
      <c r="WYV191" s="5"/>
      <c r="WYW191" s="5"/>
      <c r="WYX191" s="5"/>
      <c r="WYY191" s="5"/>
      <c r="WYZ191" s="5"/>
      <c r="WZA191" s="5"/>
      <c r="WZB191" s="5"/>
      <c r="WZC191" s="5"/>
      <c r="WZD191" s="5"/>
      <c r="WZE191" s="5"/>
      <c r="WZF191" s="5"/>
      <c r="WZG191" s="5"/>
      <c r="WZH191" s="5"/>
      <c r="WZI191" s="5"/>
      <c r="WZJ191" s="5"/>
      <c r="WZK191" s="5"/>
      <c r="WZL191" s="5"/>
      <c r="WZM191" s="5"/>
      <c r="WZN191" s="5"/>
      <c r="WZO191" s="5"/>
      <c r="WZP191" s="5"/>
      <c r="WZQ191" s="5"/>
      <c r="WZR191" s="5"/>
      <c r="WZS191" s="5"/>
      <c r="WZT191" s="5"/>
      <c r="WZU191" s="5"/>
      <c r="WZV191" s="5"/>
      <c r="WZW191" s="5"/>
      <c r="WZX191" s="5"/>
      <c r="WZY191" s="5"/>
      <c r="WZZ191" s="5"/>
      <c r="XAA191" s="5"/>
      <c r="XAB191" s="5"/>
      <c r="XAC191" s="5"/>
      <c r="XAD191" s="5"/>
      <c r="XAE191" s="5"/>
      <c r="XAF191" s="5"/>
      <c r="XAG191" s="5"/>
      <c r="XAH191" s="5"/>
      <c r="XAI191" s="5"/>
      <c r="XAJ191" s="5"/>
      <c r="XAK191" s="5"/>
      <c r="XAL191" s="5"/>
      <c r="XAM191" s="5"/>
      <c r="XAN191" s="5"/>
      <c r="XAO191" s="5"/>
      <c r="XAP191" s="5"/>
      <c r="XAQ191" s="5"/>
      <c r="XAR191" s="5"/>
      <c r="XAS191" s="5"/>
      <c r="XAT191" s="5"/>
      <c r="XAU191" s="5"/>
      <c r="XAV191" s="5"/>
      <c r="XAW191" s="5"/>
      <c r="XAX191" s="5"/>
      <c r="XAY191" s="5"/>
      <c r="XAZ191" s="5"/>
      <c r="XBA191" s="5"/>
      <c r="XBB191" s="5"/>
      <c r="XBC191" s="5"/>
      <c r="XBD191" s="5"/>
      <c r="XBE191" s="5"/>
      <c r="XBF191" s="5"/>
      <c r="XBG191" s="5"/>
      <c r="XBH191" s="5"/>
      <c r="XBI191" s="5"/>
      <c r="XBJ191" s="5"/>
      <c r="XBK191" s="5"/>
      <c r="XBL191" s="5"/>
      <c r="XBM191" s="5"/>
      <c r="XBN191" s="5"/>
      <c r="XBO191" s="5"/>
      <c r="XBP191" s="5"/>
      <c r="XBQ191" s="5"/>
      <c r="XBR191" s="5"/>
      <c r="XBS191" s="5"/>
      <c r="XBT191" s="5"/>
      <c r="XBU191" s="5"/>
      <c r="XBV191" s="5"/>
      <c r="XBW191" s="5"/>
      <c r="XBX191" s="5"/>
      <c r="XBY191" s="5"/>
      <c r="XBZ191" s="5"/>
      <c r="XCA191" s="5"/>
      <c r="XCB191" s="5"/>
      <c r="XCC191" s="5"/>
      <c r="XCD191" s="5"/>
      <c r="XCE191" s="5"/>
      <c r="XCF191" s="5"/>
      <c r="XCG191" s="5"/>
      <c r="XCH191" s="5"/>
      <c r="XCI191" s="5"/>
      <c r="XCJ191" s="5"/>
      <c r="XCK191" s="5"/>
      <c r="XCL191" s="5"/>
      <c r="XCM191" s="5"/>
      <c r="XCN191" s="5"/>
      <c r="XCO191" s="5"/>
      <c r="XCP191" s="5"/>
      <c r="XCQ191" s="5"/>
      <c r="XCR191" s="5"/>
      <c r="XCS191" s="5"/>
      <c r="XCT191" s="5"/>
      <c r="XCU191" s="5"/>
      <c r="XCV191" s="5"/>
      <c r="XCW191" s="5"/>
      <c r="XCX191" s="5"/>
      <c r="XCY191" s="5"/>
      <c r="XCZ191" s="5"/>
      <c r="XDA191" s="5"/>
      <c r="XDB191" s="5"/>
      <c r="XDC191" s="5"/>
      <c r="XDD191" s="5"/>
      <c r="XDE191" s="5"/>
      <c r="XDF191" s="5"/>
      <c r="XDG191" s="5"/>
      <c r="XDH191" s="5"/>
      <c r="XDI191" s="5"/>
      <c r="XDJ191" s="5"/>
      <c r="XDK191" s="5"/>
      <c r="XDL191" s="5"/>
      <c r="XDM191" s="5"/>
      <c r="XDN191" s="5"/>
      <c r="XDO191" s="5"/>
      <c r="XDP191" s="5"/>
      <c r="XDQ191" s="5"/>
      <c r="XDR191" s="5"/>
      <c r="XDS191" s="5"/>
      <c r="XDT191" s="5"/>
      <c r="XDU191" s="5"/>
      <c r="XDV191" s="5"/>
      <c r="XDW191" s="5"/>
      <c r="XDX191" s="5"/>
      <c r="XDY191" s="5"/>
      <c r="XDZ191" s="5"/>
      <c r="XEA191" s="5"/>
      <c r="XEB191" s="5"/>
      <c r="XEC191" s="5"/>
      <c r="XED191" s="5"/>
      <c r="XEE191" s="5"/>
      <c r="XEF191" s="5"/>
      <c r="XEG191" s="5"/>
      <c r="XEH191" s="5"/>
      <c r="XEI191" s="5"/>
      <c r="XEJ191" s="5"/>
      <c r="XEK191" s="5"/>
      <c r="XEL191" s="5"/>
      <c r="XEM191" s="5"/>
      <c r="XEN191" s="5"/>
      <c r="XEO191" s="5"/>
      <c r="XEP191" s="5"/>
    </row>
    <row r="192" spans="2:16370" ht="15.75" hidden="1" x14ac:dyDescent="0.25">
      <c r="B192" s="381"/>
      <c r="C192" s="381"/>
      <c r="D192" s="383" t="s">
        <v>1402</v>
      </c>
      <c r="E192" s="381"/>
      <c r="F192" s="381"/>
      <c r="G192" s="381"/>
      <c r="H192" s="381"/>
      <c r="I192" s="381"/>
      <c r="J192" s="381"/>
      <c r="K192" s="381"/>
      <c r="L192" s="384" t="s">
        <v>1404</v>
      </c>
      <c r="M192" s="5"/>
      <c r="N192" s="5"/>
      <c r="O192" s="5"/>
      <c r="P192" s="5"/>
      <c r="Q192" s="5"/>
      <c r="R192" s="5"/>
      <c r="S192" s="5"/>
      <c r="T192" s="5"/>
      <c r="U192" s="5"/>
      <c r="V192" s="5"/>
      <c r="W192" s="5"/>
      <c r="X192" s="5"/>
      <c r="Y192" s="5"/>
      <c r="Z192" s="5"/>
      <c r="AA192" s="5"/>
      <c r="AB192" s="5"/>
      <c r="AC192" s="5"/>
      <c r="AD192" s="5"/>
      <c r="AE192" s="358">
        <v>7</v>
      </c>
      <c r="AF192" s="552" t="s">
        <v>1018</v>
      </c>
      <c r="AG192" s="360">
        <v>79.37</v>
      </c>
      <c r="AH192" s="360">
        <v>9.68</v>
      </c>
      <c r="AI192" s="360">
        <v>2.64</v>
      </c>
      <c r="AJ192" s="360">
        <v>3.3</v>
      </c>
      <c r="AK192" s="360"/>
      <c r="AL192" s="360">
        <v>5.01</v>
      </c>
      <c r="AM192" s="360"/>
      <c r="AN192" s="1960">
        <v>11.108000000000001</v>
      </c>
      <c r="AO192" s="1857"/>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c r="BOW192" s="5"/>
      <c r="BOX192" s="5"/>
      <c r="BOY192" s="5"/>
      <c r="BOZ192" s="5"/>
      <c r="BPA192" s="5"/>
      <c r="BPB192" s="5"/>
      <c r="BPC192" s="5"/>
      <c r="BPD192" s="5"/>
      <c r="BPE192" s="5"/>
      <c r="BPF192" s="5"/>
      <c r="BPG192" s="5"/>
      <c r="BPH192" s="5"/>
      <c r="BPI192" s="5"/>
      <c r="BPJ192" s="5"/>
      <c r="BPK192" s="5"/>
      <c r="BPL192" s="5"/>
      <c r="BPM192" s="5"/>
      <c r="BPN192" s="5"/>
      <c r="BPO192" s="5"/>
      <c r="BPP192" s="5"/>
      <c r="BPQ192" s="5"/>
      <c r="BPR192" s="5"/>
      <c r="BPS192" s="5"/>
      <c r="BPT192" s="5"/>
      <c r="BPU192" s="5"/>
      <c r="BPV192" s="5"/>
      <c r="BPW192" s="5"/>
      <c r="BPX192" s="5"/>
      <c r="BPY192" s="5"/>
      <c r="BPZ192" s="5"/>
      <c r="BQA192" s="5"/>
      <c r="BQB192" s="5"/>
      <c r="BQC192" s="5"/>
      <c r="BQD192" s="5"/>
      <c r="BQE192" s="5"/>
      <c r="BQF192" s="5"/>
      <c r="BQG192" s="5"/>
      <c r="BQH192" s="5"/>
      <c r="BQI192" s="5"/>
      <c r="BQJ192" s="5"/>
      <c r="BQK192" s="5"/>
      <c r="BQL192" s="5"/>
      <c r="BQM192" s="5"/>
      <c r="BQN192" s="5"/>
      <c r="BQO192" s="5"/>
      <c r="BQP192" s="5"/>
      <c r="BQQ192" s="5"/>
      <c r="BQR192" s="5"/>
      <c r="BQS192" s="5"/>
      <c r="BQT192" s="5"/>
      <c r="BQU192" s="5"/>
      <c r="BQV192" s="5"/>
      <c r="BQW192" s="5"/>
      <c r="BQX192" s="5"/>
      <c r="BQY192" s="5"/>
      <c r="BQZ192" s="5"/>
      <c r="BRA192" s="5"/>
      <c r="BRB192" s="5"/>
      <c r="BRC192" s="5"/>
      <c r="BRD192" s="5"/>
      <c r="BRE192" s="5"/>
      <c r="BRF192" s="5"/>
      <c r="BRG192" s="5"/>
      <c r="BRH192" s="5"/>
      <c r="BRI192" s="5"/>
      <c r="BRJ192" s="5"/>
      <c r="BRK192" s="5"/>
      <c r="BRL192" s="5"/>
      <c r="BRM192" s="5"/>
      <c r="BRN192" s="5"/>
      <c r="BRO192" s="5"/>
      <c r="BRP192" s="5"/>
      <c r="BRQ192" s="5"/>
      <c r="BRR192" s="5"/>
      <c r="BRS192" s="5"/>
      <c r="BRT192" s="5"/>
      <c r="BRU192" s="5"/>
      <c r="BRV192" s="5"/>
      <c r="BRW192" s="5"/>
      <c r="BRX192" s="5"/>
      <c r="BRY192" s="5"/>
      <c r="BRZ192" s="5"/>
      <c r="BSA192" s="5"/>
      <c r="BSB192" s="5"/>
      <c r="BSC192" s="5"/>
      <c r="BSD192" s="5"/>
      <c r="BSE192" s="5"/>
      <c r="BSF192" s="5"/>
      <c r="BSG192" s="5"/>
      <c r="BSH192" s="5"/>
      <c r="BSI192" s="5"/>
      <c r="BSJ192" s="5"/>
      <c r="BSK192" s="5"/>
      <c r="BSL192" s="5"/>
      <c r="BSM192" s="5"/>
      <c r="BSN192" s="5"/>
      <c r="BSO192" s="5"/>
      <c r="BSP192" s="5"/>
      <c r="BSQ192" s="5"/>
      <c r="BSR192" s="5"/>
      <c r="BSS192" s="5"/>
      <c r="BST192" s="5"/>
      <c r="BSU192" s="5"/>
      <c r="BSV192" s="5"/>
      <c r="BSW192" s="5"/>
      <c r="BSX192" s="5"/>
      <c r="BSY192" s="5"/>
      <c r="BSZ192" s="5"/>
      <c r="BTA192" s="5"/>
      <c r="BTB192" s="5"/>
      <c r="BTC192" s="5"/>
      <c r="BTD192" s="5"/>
      <c r="BTE192" s="5"/>
      <c r="BTF192" s="5"/>
      <c r="BTG192" s="5"/>
      <c r="BTH192" s="5"/>
      <c r="BTI192" s="5"/>
      <c r="BTJ192" s="5"/>
      <c r="BTK192" s="5"/>
      <c r="BTL192" s="5"/>
      <c r="BTM192" s="5"/>
      <c r="BTN192" s="5"/>
      <c r="BTO192" s="5"/>
      <c r="BTP192" s="5"/>
      <c r="BTQ192" s="5"/>
      <c r="BTR192" s="5"/>
      <c r="BTS192" s="5"/>
      <c r="BTT192" s="5"/>
      <c r="BTU192" s="5"/>
      <c r="BTV192" s="5"/>
      <c r="BTW192" s="5"/>
      <c r="BTX192" s="5"/>
      <c r="BTY192" s="5"/>
      <c r="BTZ192" s="5"/>
      <c r="BUA192" s="5"/>
      <c r="BUB192" s="5"/>
      <c r="BUC192" s="5"/>
      <c r="BUD192" s="5"/>
      <c r="BUE192" s="5"/>
      <c r="BUF192" s="5"/>
      <c r="BUG192" s="5"/>
      <c r="BUH192" s="5"/>
      <c r="BUI192" s="5"/>
      <c r="BUJ192" s="5"/>
      <c r="BUK192" s="5"/>
      <c r="BUL192" s="5"/>
      <c r="BUM192" s="5"/>
      <c r="BUN192" s="5"/>
      <c r="BUO192" s="5"/>
      <c r="BUP192" s="5"/>
      <c r="BUQ192" s="5"/>
      <c r="BUR192" s="5"/>
      <c r="BUS192" s="5"/>
      <c r="BUT192" s="5"/>
      <c r="BUU192" s="5"/>
      <c r="BUV192" s="5"/>
      <c r="BUW192" s="5"/>
      <c r="BUX192" s="5"/>
      <c r="BUY192" s="5"/>
      <c r="BUZ192" s="5"/>
      <c r="BVA192" s="5"/>
      <c r="BVB192" s="5"/>
      <c r="BVC192" s="5"/>
      <c r="BVD192" s="5"/>
      <c r="BVE192" s="5"/>
      <c r="BVF192" s="5"/>
      <c r="BVG192" s="5"/>
      <c r="BVH192" s="5"/>
      <c r="BVI192" s="5"/>
      <c r="BVJ192" s="5"/>
      <c r="BVK192" s="5"/>
      <c r="BVL192" s="5"/>
      <c r="BVM192" s="5"/>
      <c r="BVN192" s="5"/>
      <c r="BVO192" s="5"/>
      <c r="BVP192" s="5"/>
      <c r="BVQ192" s="5"/>
      <c r="BVR192" s="5"/>
      <c r="BVS192" s="5"/>
      <c r="BVT192" s="5"/>
      <c r="BVU192" s="5"/>
      <c r="BVV192" s="5"/>
      <c r="BVW192" s="5"/>
      <c r="BVX192" s="5"/>
      <c r="BVY192" s="5"/>
      <c r="BVZ192" s="5"/>
      <c r="BWA192" s="5"/>
      <c r="BWB192" s="5"/>
      <c r="BWC192" s="5"/>
      <c r="BWD192" s="5"/>
      <c r="BWE192" s="5"/>
      <c r="BWF192" s="5"/>
      <c r="BWG192" s="5"/>
      <c r="BWH192" s="5"/>
      <c r="BWI192" s="5"/>
      <c r="BWJ192" s="5"/>
      <c r="BWK192" s="5"/>
      <c r="BWL192" s="5"/>
      <c r="BWM192" s="5"/>
      <c r="BWN192" s="5"/>
      <c r="BWO192" s="5"/>
      <c r="BWP192" s="5"/>
      <c r="BWQ192" s="5"/>
      <c r="BWR192" s="5"/>
      <c r="BWS192" s="5"/>
      <c r="BWT192" s="5"/>
      <c r="BWU192" s="5"/>
      <c r="BWV192" s="5"/>
      <c r="BWW192" s="5"/>
      <c r="BWX192" s="5"/>
      <c r="BWY192" s="5"/>
      <c r="BWZ192" s="5"/>
      <c r="BXA192" s="5"/>
      <c r="BXB192" s="5"/>
      <c r="BXC192" s="5"/>
      <c r="BXD192" s="5"/>
      <c r="BXE192" s="5"/>
      <c r="BXF192" s="5"/>
      <c r="BXG192" s="5"/>
      <c r="BXH192" s="5"/>
      <c r="BXI192" s="5"/>
      <c r="BXJ192" s="5"/>
      <c r="BXK192" s="5"/>
      <c r="BXL192" s="5"/>
      <c r="BXM192" s="5"/>
      <c r="BXN192" s="5"/>
      <c r="BXO192" s="5"/>
      <c r="BXP192" s="5"/>
      <c r="BXQ192" s="5"/>
      <c r="BXR192" s="5"/>
      <c r="BXS192" s="5"/>
      <c r="BXT192" s="5"/>
      <c r="BXU192" s="5"/>
      <c r="BXV192" s="5"/>
      <c r="BXW192" s="5"/>
      <c r="BXX192" s="5"/>
      <c r="BXY192" s="5"/>
      <c r="BXZ192" s="5"/>
      <c r="BYA192" s="5"/>
      <c r="BYB192" s="5"/>
      <c r="BYC192" s="5"/>
      <c r="BYD192" s="5"/>
      <c r="BYE192" s="5"/>
      <c r="BYF192" s="5"/>
      <c r="BYG192" s="5"/>
      <c r="BYH192" s="5"/>
      <c r="BYI192" s="5"/>
      <c r="BYJ192" s="5"/>
      <c r="BYK192" s="5"/>
      <c r="BYL192" s="5"/>
      <c r="BYM192" s="5"/>
      <c r="BYN192" s="5"/>
      <c r="BYO192" s="5"/>
      <c r="BYP192" s="5"/>
      <c r="BYQ192" s="5"/>
      <c r="BYR192" s="5"/>
      <c r="BYS192" s="5"/>
      <c r="BYT192" s="5"/>
      <c r="BYU192" s="5"/>
      <c r="BYV192" s="5"/>
      <c r="BYW192" s="5"/>
      <c r="BYX192" s="5"/>
      <c r="BYY192" s="5"/>
      <c r="BYZ192" s="5"/>
      <c r="BZA192" s="5"/>
      <c r="BZB192" s="5"/>
      <c r="BZC192" s="5"/>
      <c r="BZD192" s="5"/>
      <c r="BZE192" s="5"/>
      <c r="BZF192" s="5"/>
      <c r="BZG192" s="5"/>
      <c r="BZH192" s="5"/>
      <c r="BZI192" s="5"/>
      <c r="BZJ192" s="5"/>
      <c r="BZK192" s="5"/>
      <c r="BZL192" s="5"/>
      <c r="BZM192" s="5"/>
      <c r="BZN192" s="5"/>
      <c r="BZO192" s="5"/>
      <c r="BZP192" s="5"/>
      <c r="BZQ192" s="5"/>
      <c r="BZR192" s="5"/>
      <c r="BZS192" s="5"/>
      <c r="BZT192" s="5"/>
      <c r="BZU192" s="5"/>
      <c r="BZV192" s="5"/>
      <c r="BZW192" s="5"/>
      <c r="BZX192" s="5"/>
      <c r="BZY192" s="5"/>
      <c r="BZZ192" s="5"/>
      <c r="CAA192" s="5"/>
      <c r="CAB192" s="5"/>
      <c r="CAC192" s="5"/>
      <c r="CAD192" s="5"/>
      <c r="CAE192" s="5"/>
      <c r="CAF192" s="5"/>
      <c r="CAG192" s="5"/>
      <c r="CAH192" s="5"/>
      <c r="CAI192" s="5"/>
      <c r="CAJ192" s="5"/>
      <c r="CAK192" s="5"/>
      <c r="CAL192" s="5"/>
      <c r="CAM192" s="5"/>
      <c r="CAN192" s="5"/>
      <c r="CAO192" s="5"/>
      <c r="CAP192" s="5"/>
      <c r="CAQ192" s="5"/>
      <c r="CAR192" s="5"/>
      <c r="CAS192" s="5"/>
      <c r="CAT192" s="5"/>
      <c r="CAU192" s="5"/>
      <c r="CAV192" s="5"/>
      <c r="CAW192" s="5"/>
      <c r="CAX192" s="5"/>
      <c r="CAY192" s="5"/>
      <c r="CAZ192" s="5"/>
      <c r="CBA192" s="5"/>
      <c r="CBB192" s="5"/>
      <c r="CBC192" s="5"/>
      <c r="CBD192" s="5"/>
      <c r="CBE192" s="5"/>
      <c r="CBF192" s="5"/>
      <c r="CBG192" s="5"/>
      <c r="CBH192" s="5"/>
      <c r="CBI192" s="5"/>
      <c r="CBJ192" s="5"/>
      <c r="CBK192" s="5"/>
      <c r="CBL192" s="5"/>
      <c r="CBM192" s="5"/>
      <c r="CBN192" s="5"/>
      <c r="CBO192" s="5"/>
      <c r="CBP192" s="5"/>
      <c r="CBQ192" s="5"/>
      <c r="CBR192" s="5"/>
      <c r="CBS192" s="5"/>
      <c r="CBT192" s="5"/>
      <c r="CBU192" s="5"/>
      <c r="CBV192" s="5"/>
      <c r="CBW192" s="5"/>
      <c r="CBX192" s="5"/>
      <c r="CBY192" s="5"/>
      <c r="CBZ192" s="5"/>
      <c r="CCA192" s="5"/>
      <c r="CCB192" s="5"/>
      <c r="CCC192" s="5"/>
      <c r="CCD192" s="5"/>
      <c r="CCE192" s="5"/>
      <c r="CCF192" s="5"/>
      <c r="CCG192" s="5"/>
      <c r="CCH192" s="5"/>
      <c r="CCI192" s="5"/>
      <c r="CCJ192" s="5"/>
      <c r="CCK192" s="5"/>
      <c r="CCL192" s="5"/>
      <c r="CCM192" s="5"/>
      <c r="CCN192" s="5"/>
      <c r="CCO192" s="5"/>
      <c r="CCP192" s="5"/>
      <c r="CCQ192" s="5"/>
      <c r="CCR192" s="5"/>
      <c r="CCS192" s="5"/>
      <c r="CCT192" s="5"/>
      <c r="CCU192" s="5"/>
      <c r="CCV192" s="5"/>
      <c r="CCW192" s="5"/>
      <c r="CCX192" s="5"/>
      <c r="CCY192" s="5"/>
      <c r="CCZ192" s="5"/>
      <c r="CDA192" s="5"/>
      <c r="CDB192" s="5"/>
      <c r="CDC192" s="5"/>
      <c r="CDD192" s="5"/>
      <c r="CDE192" s="5"/>
      <c r="CDF192" s="5"/>
      <c r="CDG192" s="5"/>
      <c r="CDH192" s="5"/>
      <c r="CDI192" s="5"/>
      <c r="CDJ192" s="5"/>
      <c r="CDK192" s="5"/>
      <c r="CDL192" s="5"/>
      <c r="CDM192" s="5"/>
      <c r="CDN192" s="5"/>
      <c r="CDO192" s="5"/>
      <c r="CDP192" s="5"/>
      <c r="CDQ192" s="5"/>
      <c r="CDR192" s="5"/>
      <c r="CDS192" s="5"/>
      <c r="CDT192" s="5"/>
      <c r="CDU192" s="5"/>
      <c r="CDV192" s="5"/>
      <c r="CDW192" s="5"/>
      <c r="CDX192" s="5"/>
      <c r="CDY192" s="5"/>
      <c r="CDZ192" s="5"/>
      <c r="CEA192" s="5"/>
      <c r="CEB192" s="5"/>
      <c r="CEC192" s="5"/>
      <c r="CED192" s="5"/>
      <c r="CEE192" s="5"/>
      <c r="CEF192" s="5"/>
      <c r="CEG192" s="5"/>
      <c r="CEH192" s="5"/>
      <c r="CEI192" s="5"/>
      <c r="CEJ192" s="5"/>
      <c r="CEK192" s="5"/>
      <c r="CEL192" s="5"/>
      <c r="CEM192" s="5"/>
      <c r="CEN192" s="5"/>
      <c r="CEO192" s="5"/>
      <c r="CEP192" s="5"/>
      <c r="CEQ192" s="5"/>
      <c r="CER192" s="5"/>
      <c r="CES192" s="5"/>
      <c r="CET192" s="5"/>
      <c r="CEU192" s="5"/>
      <c r="CEV192" s="5"/>
      <c r="CEW192" s="5"/>
      <c r="CEX192" s="5"/>
      <c r="CEY192" s="5"/>
      <c r="CEZ192" s="5"/>
      <c r="CFA192" s="5"/>
      <c r="CFB192" s="5"/>
      <c r="CFC192" s="5"/>
      <c r="CFD192" s="5"/>
      <c r="CFE192" s="5"/>
      <c r="CFF192" s="5"/>
      <c r="CFG192" s="5"/>
      <c r="CFH192" s="5"/>
      <c r="CFI192" s="5"/>
      <c r="CFJ192" s="5"/>
      <c r="CFK192" s="5"/>
      <c r="CFL192" s="5"/>
      <c r="CFM192" s="5"/>
      <c r="CFN192" s="5"/>
      <c r="CFO192" s="5"/>
      <c r="CFP192" s="5"/>
      <c r="CFQ192" s="5"/>
      <c r="CFR192" s="5"/>
      <c r="CFS192" s="5"/>
      <c r="CFT192" s="5"/>
      <c r="CFU192" s="5"/>
      <c r="CFV192" s="5"/>
      <c r="CFW192" s="5"/>
      <c r="CFX192" s="5"/>
      <c r="CFY192" s="5"/>
      <c r="CFZ192" s="5"/>
      <c r="CGA192" s="5"/>
      <c r="CGB192" s="5"/>
      <c r="CGC192" s="5"/>
      <c r="CGD192" s="5"/>
      <c r="CGE192" s="5"/>
      <c r="CGF192" s="5"/>
      <c r="CGG192" s="5"/>
      <c r="CGH192" s="5"/>
      <c r="CGI192" s="5"/>
      <c r="CGJ192" s="5"/>
      <c r="CGK192" s="5"/>
      <c r="CGL192" s="5"/>
      <c r="CGM192" s="5"/>
      <c r="CGN192" s="5"/>
      <c r="CGO192" s="5"/>
      <c r="CGP192" s="5"/>
      <c r="CGQ192" s="5"/>
      <c r="CGR192" s="5"/>
      <c r="CGS192" s="5"/>
      <c r="CGT192" s="5"/>
      <c r="CGU192" s="5"/>
      <c r="CGV192" s="5"/>
      <c r="CGW192" s="5"/>
      <c r="CGX192" s="5"/>
      <c r="CGY192" s="5"/>
      <c r="CGZ192" s="5"/>
      <c r="CHA192" s="5"/>
      <c r="CHB192" s="5"/>
      <c r="CHC192" s="5"/>
      <c r="CHD192" s="5"/>
      <c r="CHE192" s="5"/>
      <c r="CHF192" s="5"/>
      <c r="CHG192" s="5"/>
      <c r="CHH192" s="5"/>
      <c r="CHI192" s="5"/>
      <c r="CHJ192" s="5"/>
      <c r="CHK192" s="5"/>
      <c r="CHL192" s="5"/>
      <c r="CHM192" s="5"/>
      <c r="CHN192" s="5"/>
      <c r="CHO192" s="5"/>
      <c r="CHP192" s="5"/>
      <c r="CHQ192" s="5"/>
      <c r="CHR192" s="5"/>
      <c r="CHS192" s="5"/>
      <c r="CHT192" s="5"/>
      <c r="CHU192" s="5"/>
      <c r="CHV192" s="5"/>
      <c r="CHW192" s="5"/>
      <c r="CHX192" s="5"/>
      <c r="CHY192" s="5"/>
      <c r="CHZ192" s="5"/>
      <c r="CIA192" s="5"/>
      <c r="CIB192" s="5"/>
      <c r="CIC192" s="5"/>
      <c r="CID192" s="5"/>
      <c r="CIE192" s="5"/>
      <c r="CIF192" s="5"/>
      <c r="CIG192" s="5"/>
      <c r="CIH192" s="5"/>
      <c r="CII192" s="5"/>
      <c r="CIJ192" s="5"/>
      <c r="CIK192" s="5"/>
      <c r="CIL192" s="5"/>
      <c r="CIM192" s="5"/>
      <c r="CIN192" s="5"/>
      <c r="CIO192" s="5"/>
      <c r="CIP192" s="5"/>
      <c r="CIQ192" s="5"/>
      <c r="CIR192" s="5"/>
      <c r="CIS192" s="5"/>
      <c r="CIT192" s="5"/>
      <c r="CIU192" s="5"/>
      <c r="CIV192" s="5"/>
      <c r="CIW192" s="5"/>
      <c r="CIX192" s="5"/>
      <c r="CIY192" s="5"/>
      <c r="CIZ192" s="5"/>
      <c r="CJA192" s="5"/>
      <c r="CJB192" s="5"/>
      <c r="CJC192" s="5"/>
      <c r="CJD192" s="5"/>
      <c r="CJE192" s="5"/>
      <c r="CJF192" s="5"/>
      <c r="CJG192" s="5"/>
      <c r="CJH192" s="5"/>
      <c r="CJI192" s="5"/>
      <c r="CJJ192" s="5"/>
      <c r="CJK192" s="5"/>
      <c r="CJL192" s="5"/>
      <c r="CJM192" s="5"/>
      <c r="CJN192" s="5"/>
      <c r="CJO192" s="5"/>
      <c r="CJP192" s="5"/>
      <c r="CJQ192" s="5"/>
      <c r="CJR192" s="5"/>
      <c r="CJS192" s="5"/>
      <c r="CJT192" s="5"/>
      <c r="CJU192" s="5"/>
      <c r="CJV192" s="5"/>
      <c r="CJW192" s="5"/>
      <c r="CJX192" s="5"/>
      <c r="CJY192" s="5"/>
      <c r="CJZ192" s="5"/>
      <c r="CKA192" s="5"/>
      <c r="CKB192" s="5"/>
      <c r="CKC192" s="5"/>
      <c r="CKD192" s="5"/>
      <c r="CKE192" s="5"/>
      <c r="CKF192" s="5"/>
      <c r="CKG192" s="5"/>
      <c r="CKH192" s="5"/>
      <c r="CKI192" s="5"/>
      <c r="CKJ192" s="5"/>
      <c r="CKK192" s="5"/>
      <c r="CKL192" s="5"/>
      <c r="CKM192" s="5"/>
      <c r="CKN192" s="5"/>
      <c r="CKO192" s="5"/>
      <c r="CKP192" s="5"/>
      <c r="CKQ192" s="5"/>
      <c r="CKR192" s="5"/>
      <c r="CKS192" s="5"/>
      <c r="CKT192" s="5"/>
      <c r="CKU192" s="5"/>
      <c r="CKV192" s="5"/>
      <c r="CKW192" s="5"/>
      <c r="CKX192" s="5"/>
      <c r="CKY192" s="5"/>
      <c r="CKZ192" s="5"/>
      <c r="CLA192" s="5"/>
      <c r="CLB192" s="5"/>
      <c r="CLC192" s="5"/>
      <c r="CLD192" s="5"/>
      <c r="CLE192" s="5"/>
      <c r="CLF192" s="5"/>
      <c r="CLG192" s="5"/>
      <c r="CLH192" s="5"/>
      <c r="CLI192" s="5"/>
      <c r="CLJ192" s="5"/>
      <c r="CLK192" s="5"/>
      <c r="CLL192" s="5"/>
      <c r="CLM192" s="5"/>
      <c r="CLN192" s="5"/>
      <c r="CLO192" s="5"/>
      <c r="CLP192" s="5"/>
      <c r="CLQ192" s="5"/>
      <c r="CLR192" s="5"/>
      <c r="CLS192" s="5"/>
      <c r="CLT192" s="5"/>
      <c r="CLU192" s="5"/>
      <c r="CLV192" s="5"/>
      <c r="CLW192" s="5"/>
      <c r="CLX192" s="5"/>
      <c r="CLY192" s="5"/>
      <c r="CLZ192" s="5"/>
      <c r="CMA192" s="5"/>
      <c r="CMB192" s="5"/>
      <c r="CMC192" s="5"/>
      <c r="CMD192" s="5"/>
      <c r="CME192" s="5"/>
      <c r="CMF192" s="5"/>
      <c r="CMG192" s="5"/>
      <c r="CMH192" s="5"/>
      <c r="CMI192" s="5"/>
      <c r="CMJ192" s="5"/>
      <c r="CMK192" s="5"/>
      <c r="CML192" s="5"/>
      <c r="CMM192" s="5"/>
      <c r="CMN192" s="5"/>
      <c r="CMO192" s="5"/>
      <c r="CMP192" s="5"/>
      <c r="CMQ192" s="5"/>
      <c r="CMR192" s="5"/>
      <c r="CMS192" s="5"/>
      <c r="CMT192" s="5"/>
      <c r="CMU192" s="5"/>
      <c r="CMV192" s="5"/>
      <c r="CMW192" s="5"/>
      <c r="CMX192" s="5"/>
      <c r="CMY192" s="5"/>
      <c r="CMZ192" s="5"/>
      <c r="CNA192" s="5"/>
      <c r="CNB192" s="5"/>
      <c r="CNC192" s="5"/>
      <c r="CND192" s="5"/>
      <c r="CNE192" s="5"/>
      <c r="CNF192" s="5"/>
      <c r="CNG192" s="5"/>
      <c r="CNH192" s="5"/>
      <c r="CNI192" s="5"/>
      <c r="CNJ192" s="5"/>
      <c r="CNK192" s="5"/>
      <c r="CNL192" s="5"/>
      <c r="CNM192" s="5"/>
      <c r="CNN192" s="5"/>
      <c r="CNO192" s="5"/>
      <c r="CNP192" s="5"/>
      <c r="CNQ192" s="5"/>
      <c r="CNR192" s="5"/>
      <c r="CNS192" s="5"/>
      <c r="CNT192" s="5"/>
      <c r="CNU192" s="5"/>
      <c r="CNV192" s="5"/>
      <c r="CNW192" s="5"/>
      <c r="CNX192" s="5"/>
      <c r="CNY192" s="5"/>
      <c r="CNZ192" s="5"/>
      <c r="COA192" s="5"/>
      <c r="COB192" s="5"/>
      <c r="COC192" s="5"/>
      <c r="COD192" s="5"/>
      <c r="COE192" s="5"/>
      <c r="COF192" s="5"/>
      <c r="COG192" s="5"/>
      <c r="COH192" s="5"/>
      <c r="COI192" s="5"/>
      <c r="COJ192" s="5"/>
      <c r="COK192" s="5"/>
      <c r="COL192" s="5"/>
      <c r="COM192" s="5"/>
      <c r="CON192" s="5"/>
      <c r="COO192" s="5"/>
      <c r="COP192" s="5"/>
      <c r="COQ192" s="5"/>
      <c r="COR192" s="5"/>
      <c r="COS192" s="5"/>
      <c r="COT192" s="5"/>
      <c r="COU192" s="5"/>
      <c r="COV192" s="5"/>
      <c r="COW192" s="5"/>
      <c r="COX192" s="5"/>
      <c r="COY192" s="5"/>
      <c r="COZ192" s="5"/>
      <c r="CPA192" s="5"/>
      <c r="CPB192" s="5"/>
      <c r="CPC192" s="5"/>
      <c r="CPD192" s="5"/>
      <c r="CPE192" s="5"/>
      <c r="CPF192" s="5"/>
      <c r="CPG192" s="5"/>
      <c r="CPH192" s="5"/>
      <c r="CPI192" s="5"/>
      <c r="CPJ192" s="5"/>
      <c r="CPK192" s="5"/>
      <c r="CPL192" s="5"/>
      <c r="CPM192" s="5"/>
      <c r="CPN192" s="5"/>
      <c r="CPO192" s="5"/>
      <c r="CPP192" s="5"/>
      <c r="CPQ192" s="5"/>
      <c r="CPR192" s="5"/>
      <c r="CPS192" s="5"/>
      <c r="CPT192" s="5"/>
      <c r="CPU192" s="5"/>
      <c r="CPV192" s="5"/>
      <c r="CPW192" s="5"/>
      <c r="CPX192" s="5"/>
      <c r="CPY192" s="5"/>
      <c r="CPZ192" s="5"/>
      <c r="CQA192" s="5"/>
      <c r="CQB192" s="5"/>
      <c r="CQC192" s="5"/>
      <c r="CQD192" s="5"/>
      <c r="CQE192" s="5"/>
      <c r="CQF192" s="5"/>
      <c r="CQG192" s="5"/>
      <c r="CQH192" s="5"/>
      <c r="CQI192" s="5"/>
      <c r="CQJ192" s="5"/>
      <c r="CQK192" s="5"/>
      <c r="CQL192" s="5"/>
      <c r="CQM192" s="5"/>
      <c r="CQN192" s="5"/>
      <c r="CQO192" s="5"/>
      <c r="CQP192" s="5"/>
      <c r="CQQ192" s="5"/>
      <c r="CQR192" s="5"/>
      <c r="CQS192" s="5"/>
      <c r="CQT192" s="5"/>
      <c r="CQU192" s="5"/>
      <c r="CQV192" s="5"/>
      <c r="CQW192" s="5"/>
      <c r="CQX192" s="5"/>
      <c r="CQY192" s="5"/>
      <c r="CQZ192" s="5"/>
      <c r="CRA192" s="5"/>
      <c r="CRB192" s="5"/>
      <c r="CRC192" s="5"/>
      <c r="CRD192" s="5"/>
      <c r="CRE192" s="5"/>
      <c r="CRF192" s="5"/>
      <c r="CRG192" s="5"/>
      <c r="CRH192" s="5"/>
      <c r="CRI192" s="5"/>
      <c r="CRJ192" s="5"/>
      <c r="CRK192" s="5"/>
      <c r="CRL192" s="5"/>
      <c r="CRM192" s="5"/>
      <c r="CRN192" s="5"/>
      <c r="CRO192" s="5"/>
      <c r="CRP192" s="5"/>
      <c r="CRQ192" s="5"/>
      <c r="CRR192" s="5"/>
      <c r="CRS192" s="5"/>
      <c r="CRT192" s="5"/>
      <c r="CRU192" s="5"/>
      <c r="CRV192" s="5"/>
      <c r="CRW192" s="5"/>
      <c r="CRX192" s="5"/>
      <c r="CRY192" s="5"/>
      <c r="CRZ192" s="5"/>
      <c r="CSA192" s="5"/>
      <c r="CSB192" s="5"/>
      <c r="CSC192" s="5"/>
      <c r="CSD192" s="5"/>
      <c r="CSE192" s="5"/>
      <c r="CSF192" s="5"/>
      <c r="CSG192" s="5"/>
      <c r="CSH192" s="5"/>
      <c r="CSI192" s="5"/>
      <c r="CSJ192" s="5"/>
      <c r="CSK192" s="5"/>
      <c r="CSL192" s="5"/>
      <c r="CSM192" s="5"/>
      <c r="CSN192" s="5"/>
      <c r="CSO192" s="5"/>
      <c r="CSP192" s="5"/>
      <c r="CSQ192" s="5"/>
      <c r="CSR192" s="5"/>
      <c r="CSS192" s="5"/>
      <c r="CST192" s="5"/>
      <c r="CSU192" s="5"/>
      <c r="CSV192" s="5"/>
      <c r="CSW192" s="5"/>
      <c r="CSX192" s="5"/>
      <c r="CSY192" s="5"/>
      <c r="CSZ192" s="5"/>
      <c r="CTA192" s="5"/>
      <c r="CTB192" s="5"/>
      <c r="CTC192" s="5"/>
      <c r="CTD192" s="5"/>
      <c r="CTE192" s="5"/>
      <c r="CTF192" s="5"/>
      <c r="CTG192" s="5"/>
      <c r="CTH192" s="5"/>
      <c r="CTI192" s="5"/>
      <c r="CTJ192" s="5"/>
      <c r="CTK192" s="5"/>
      <c r="CTL192" s="5"/>
      <c r="CTM192" s="5"/>
      <c r="CTN192" s="5"/>
      <c r="CTO192" s="5"/>
      <c r="CTP192" s="5"/>
      <c r="CTQ192" s="5"/>
      <c r="CTR192" s="5"/>
      <c r="CTS192" s="5"/>
      <c r="CTT192" s="5"/>
      <c r="CTU192" s="5"/>
      <c r="CTV192" s="5"/>
      <c r="CTW192" s="5"/>
      <c r="CTX192" s="5"/>
      <c r="CTY192" s="5"/>
      <c r="CTZ192" s="5"/>
      <c r="CUA192" s="5"/>
      <c r="CUB192" s="5"/>
      <c r="CUC192" s="5"/>
      <c r="CUD192" s="5"/>
      <c r="CUE192" s="5"/>
      <c r="CUF192" s="5"/>
      <c r="CUG192" s="5"/>
      <c r="CUH192" s="5"/>
      <c r="CUI192" s="5"/>
      <c r="CUJ192" s="5"/>
      <c r="CUK192" s="5"/>
      <c r="CUL192" s="5"/>
      <c r="CUM192" s="5"/>
      <c r="CUN192" s="5"/>
      <c r="CUO192" s="5"/>
      <c r="CUP192" s="5"/>
      <c r="CUQ192" s="5"/>
      <c r="CUR192" s="5"/>
      <c r="CUS192" s="5"/>
      <c r="CUT192" s="5"/>
      <c r="CUU192" s="5"/>
      <c r="CUV192" s="5"/>
      <c r="CUW192" s="5"/>
      <c r="CUX192" s="5"/>
      <c r="CUY192" s="5"/>
      <c r="CUZ192" s="5"/>
      <c r="CVA192" s="5"/>
      <c r="CVB192" s="5"/>
      <c r="CVC192" s="5"/>
      <c r="CVD192" s="5"/>
      <c r="CVE192" s="5"/>
      <c r="CVF192" s="5"/>
      <c r="CVG192" s="5"/>
      <c r="CVH192" s="5"/>
      <c r="CVI192" s="5"/>
      <c r="CVJ192" s="5"/>
      <c r="CVK192" s="5"/>
      <c r="CVL192" s="5"/>
      <c r="CVM192" s="5"/>
      <c r="CVN192" s="5"/>
      <c r="CVO192" s="5"/>
      <c r="CVP192" s="5"/>
      <c r="CVQ192" s="5"/>
      <c r="CVR192" s="5"/>
      <c r="CVS192" s="5"/>
      <c r="CVT192" s="5"/>
      <c r="CVU192" s="5"/>
      <c r="CVV192" s="5"/>
      <c r="CVW192" s="5"/>
      <c r="CVX192" s="5"/>
      <c r="CVY192" s="5"/>
      <c r="CVZ192" s="5"/>
      <c r="CWA192" s="5"/>
      <c r="CWB192" s="5"/>
      <c r="CWC192" s="5"/>
      <c r="CWD192" s="5"/>
      <c r="CWE192" s="5"/>
      <c r="CWF192" s="5"/>
      <c r="CWG192" s="5"/>
      <c r="CWH192" s="5"/>
      <c r="CWI192" s="5"/>
      <c r="CWJ192" s="5"/>
      <c r="CWK192" s="5"/>
      <c r="CWL192" s="5"/>
      <c r="CWM192" s="5"/>
      <c r="CWN192" s="5"/>
      <c r="CWO192" s="5"/>
      <c r="CWP192" s="5"/>
      <c r="CWQ192" s="5"/>
      <c r="CWR192" s="5"/>
      <c r="CWS192" s="5"/>
      <c r="CWT192" s="5"/>
      <c r="CWU192" s="5"/>
      <c r="CWV192" s="5"/>
      <c r="CWW192" s="5"/>
      <c r="CWX192" s="5"/>
      <c r="CWY192" s="5"/>
      <c r="CWZ192" s="5"/>
      <c r="CXA192" s="5"/>
      <c r="CXB192" s="5"/>
      <c r="CXC192" s="5"/>
      <c r="CXD192" s="5"/>
      <c r="CXE192" s="5"/>
      <c r="CXF192" s="5"/>
      <c r="CXG192" s="5"/>
      <c r="CXH192" s="5"/>
      <c r="CXI192" s="5"/>
      <c r="CXJ192" s="5"/>
      <c r="CXK192" s="5"/>
      <c r="CXL192" s="5"/>
      <c r="CXM192" s="5"/>
      <c r="CXN192" s="5"/>
      <c r="CXO192" s="5"/>
      <c r="CXP192" s="5"/>
      <c r="CXQ192" s="5"/>
      <c r="CXR192" s="5"/>
      <c r="CXS192" s="5"/>
      <c r="CXT192" s="5"/>
      <c r="CXU192" s="5"/>
      <c r="CXV192" s="5"/>
      <c r="CXW192" s="5"/>
      <c r="CXX192" s="5"/>
      <c r="CXY192" s="5"/>
      <c r="CXZ192" s="5"/>
      <c r="CYA192" s="5"/>
      <c r="CYB192" s="5"/>
      <c r="CYC192" s="5"/>
      <c r="CYD192" s="5"/>
      <c r="CYE192" s="5"/>
      <c r="CYF192" s="5"/>
      <c r="CYG192" s="5"/>
      <c r="CYH192" s="5"/>
      <c r="CYI192" s="5"/>
      <c r="CYJ192" s="5"/>
      <c r="CYK192" s="5"/>
      <c r="CYL192" s="5"/>
      <c r="CYM192" s="5"/>
      <c r="CYN192" s="5"/>
      <c r="CYO192" s="5"/>
      <c r="CYP192" s="5"/>
      <c r="CYQ192" s="5"/>
      <c r="CYR192" s="5"/>
      <c r="CYS192" s="5"/>
      <c r="CYT192" s="5"/>
      <c r="CYU192" s="5"/>
      <c r="CYV192" s="5"/>
      <c r="CYW192" s="5"/>
      <c r="CYX192" s="5"/>
      <c r="CYY192" s="5"/>
      <c r="CYZ192" s="5"/>
      <c r="CZA192" s="5"/>
      <c r="CZB192" s="5"/>
      <c r="CZC192" s="5"/>
      <c r="CZD192" s="5"/>
      <c r="CZE192" s="5"/>
      <c r="CZF192" s="5"/>
      <c r="CZG192" s="5"/>
      <c r="CZH192" s="5"/>
      <c r="CZI192" s="5"/>
      <c r="CZJ192" s="5"/>
      <c r="CZK192" s="5"/>
      <c r="CZL192" s="5"/>
      <c r="CZM192" s="5"/>
      <c r="CZN192" s="5"/>
      <c r="CZO192" s="5"/>
      <c r="CZP192" s="5"/>
      <c r="CZQ192" s="5"/>
      <c r="CZR192" s="5"/>
      <c r="CZS192" s="5"/>
      <c r="CZT192" s="5"/>
      <c r="CZU192" s="5"/>
      <c r="CZV192" s="5"/>
      <c r="CZW192" s="5"/>
      <c r="CZX192" s="5"/>
      <c r="CZY192" s="5"/>
      <c r="CZZ192" s="5"/>
      <c r="DAA192" s="5"/>
      <c r="DAB192" s="5"/>
      <c r="DAC192" s="5"/>
      <c r="DAD192" s="5"/>
      <c r="DAE192" s="5"/>
      <c r="DAF192" s="5"/>
      <c r="DAG192" s="5"/>
      <c r="DAH192" s="5"/>
      <c r="DAI192" s="5"/>
      <c r="DAJ192" s="5"/>
      <c r="DAK192" s="5"/>
      <c r="DAL192" s="5"/>
      <c r="DAM192" s="5"/>
      <c r="DAN192" s="5"/>
      <c r="DAO192" s="5"/>
      <c r="DAP192" s="5"/>
      <c r="DAQ192" s="5"/>
      <c r="DAR192" s="5"/>
      <c r="DAS192" s="5"/>
      <c r="DAT192" s="5"/>
      <c r="DAU192" s="5"/>
      <c r="DAV192" s="5"/>
      <c r="DAW192" s="5"/>
      <c r="DAX192" s="5"/>
      <c r="DAY192" s="5"/>
      <c r="DAZ192" s="5"/>
      <c r="DBA192" s="5"/>
      <c r="DBB192" s="5"/>
      <c r="DBC192" s="5"/>
      <c r="DBD192" s="5"/>
      <c r="DBE192" s="5"/>
      <c r="DBF192" s="5"/>
      <c r="DBG192" s="5"/>
      <c r="DBH192" s="5"/>
      <c r="DBI192" s="5"/>
      <c r="DBJ192" s="5"/>
      <c r="DBK192" s="5"/>
      <c r="DBL192" s="5"/>
      <c r="DBM192" s="5"/>
      <c r="DBN192" s="5"/>
      <c r="DBO192" s="5"/>
      <c r="DBP192" s="5"/>
      <c r="DBQ192" s="5"/>
      <c r="DBR192" s="5"/>
      <c r="DBS192" s="5"/>
      <c r="DBT192" s="5"/>
      <c r="DBU192" s="5"/>
      <c r="DBV192" s="5"/>
      <c r="DBW192" s="5"/>
      <c r="DBX192" s="5"/>
      <c r="DBY192" s="5"/>
      <c r="DBZ192" s="5"/>
      <c r="DCA192" s="5"/>
      <c r="DCB192" s="5"/>
      <c r="DCC192" s="5"/>
      <c r="DCD192" s="5"/>
      <c r="DCE192" s="5"/>
      <c r="DCF192" s="5"/>
      <c r="DCG192" s="5"/>
      <c r="DCH192" s="5"/>
      <c r="DCI192" s="5"/>
      <c r="DCJ192" s="5"/>
      <c r="DCK192" s="5"/>
      <c r="DCL192" s="5"/>
      <c r="DCM192" s="5"/>
      <c r="DCN192" s="5"/>
      <c r="DCO192" s="5"/>
      <c r="DCP192" s="5"/>
      <c r="DCQ192" s="5"/>
      <c r="DCR192" s="5"/>
      <c r="DCS192" s="5"/>
      <c r="DCT192" s="5"/>
      <c r="DCU192" s="5"/>
      <c r="DCV192" s="5"/>
      <c r="DCW192" s="5"/>
      <c r="DCX192" s="5"/>
      <c r="DCY192" s="5"/>
      <c r="DCZ192" s="5"/>
      <c r="DDA192" s="5"/>
      <c r="DDB192" s="5"/>
      <c r="DDC192" s="5"/>
      <c r="DDD192" s="5"/>
      <c r="DDE192" s="5"/>
      <c r="DDF192" s="5"/>
      <c r="DDG192" s="5"/>
      <c r="DDH192" s="5"/>
      <c r="DDI192" s="5"/>
      <c r="DDJ192" s="5"/>
      <c r="DDK192" s="5"/>
      <c r="DDL192" s="5"/>
      <c r="DDM192" s="5"/>
      <c r="DDN192" s="5"/>
      <c r="DDO192" s="5"/>
      <c r="DDP192" s="5"/>
      <c r="DDQ192" s="5"/>
      <c r="DDR192" s="5"/>
      <c r="DDS192" s="5"/>
      <c r="DDT192" s="5"/>
      <c r="DDU192" s="5"/>
      <c r="DDV192" s="5"/>
      <c r="DDW192" s="5"/>
      <c r="DDX192" s="5"/>
      <c r="DDY192" s="5"/>
      <c r="DDZ192" s="5"/>
      <c r="DEA192" s="5"/>
      <c r="DEB192" s="5"/>
      <c r="DEC192" s="5"/>
      <c r="DED192" s="5"/>
      <c r="DEE192" s="5"/>
      <c r="DEF192" s="5"/>
      <c r="DEG192" s="5"/>
      <c r="DEH192" s="5"/>
      <c r="DEI192" s="5"/>
      <c r="DEJ192" s="5"/>
      <c r="DEK192" s="5"/>
      <c r="DEL192" s="5"/>
      <c r="DEM192" s="5"/>
      <c r="DEN192" s="5"/>
      <c r="DEO192" s="5"/>
      <c r="DEP192" s="5"/>
      <c r="DEQ192" s="5"/>
      <c r="DER192" s="5"/>
      <c r="DES192" s="5"/>
      <c r="DET192" s="5"/>
      <c r="DEU192" s="5"/>
      <c r="DEV192" s="5"/>
      <c r="DEW192" s="5"/>
      <c r="DEX192" s="5"/>
      <c r="DEY192" s="5"/>
      <c r="DEZ192" s="5"/>
      <c r="DFA192" s="5"/>
      <c r="DFB192" s="5"/>
      <c r="DFC192" s="5"/>
      <c r="DFD192" s="5"/>
      <c r="DFE192" s="5"/>
      <c r="DFF192" s="5"/>
      <c r="DFG192" s="5"/>
      <c r="DFH192" s="5"/>
      <c r="DFI192" s="5"/>
      <c r="DFJ192" s="5"/>
      <c r="DFK192" s="5"/>
      <c r="DFL192" s="5"/>
      <c r="DFM192" s="5"/>
      <c r="DFN192" s="5"/>
      <c r="DFO192" s="5"/>
      <c r="DFP192" s="5"/>
      <c r="DFQ192" s="5"/>
      <c r="DFR192" s="5"/>
      <c r="DFS192" s="5"/>
      <c r="DFT192" s="5"/>
      <c r="DFU192" s="5"/>
      <c r="DFV192" s="5"/>
      <c r="DFW192" s="5"/>
      <c r="DFX192" s="5"/>
      <c r="DFY192" s="5"/>
      <c r="DFZ192" s="5"/>
      <c r="DGA192" s="5"/>
      <c r="DGB192" s="5"/>
      <c r="DGC192" s="5"/>
      <c r="DGD192" s="5"/>
      <c r="DGE192" s="5"/>
      <c r="DGF192" s="5"/>
      <c r="DGG192" s="5"/>
      <c r="DGH192" s="5"/>
      <c r="DGI192" s="5"/>
      <c r="DGJ192" s="5"/>
      <c r="DGK192" s="5"/>
      <c r="DGL192" s="5"/>
      <c r="DGM192" s="5"/>
      <c r="DGN192" s="5"/>
      <c r="DGO192" s="5"/>
      <c r="DGP192" s="5"/>
      <c r="DGQ192" s="5"/>
      <c r="DGR192" s="5"/>
      <c r="DGS192" s="5"/>
      <c r="DGT192" s="5"/>
      <c r="DGU192" s="5"/>
      <c r="DGV192" s="5"/>
      <c r="DGW192" s="5"/>
      <c r="DGX192" s="5"/>
      <c r="DGY192" s="5"/>
      <c r="DGZ192" s="5"/>
      <c r="DHA192" s="5"/>
      <c r="DHB192" s="5"/>
      <c r="DHC192" s="5"/>
      <c r="DHD192" s="5"/>
      <c r="DHE192" s="5"/>
      <c r="DHF192" s="5"/>
      <c r="DHG192" s="5"/>
      <c r="DHH192" s="5"/>
      <c r="DHI192" s="5"/>
      <c r="DHJ192" s="5"/>
      <c r="DHK192" s="5"/>
      <c r="DHL192" s="5"/>
      <c r="DHM192" s="5"/>
      <c r="DHN192" s="5"/>
      <c r="DHO192" s="5"/>
      <c r="DHP192" s="5"/>
      <c r="DHQ192" s="5"/>
      <c r="DHR192" s="5"/>
      <c r="DHS192" s="5"/>
      <c r="DHT192" s="5"/>
      <c r="DHU192" s="5"/>
      <c r="DHV192" s="5"/>
      <c r="DHW192" s="5"/>
      <c r="DHX192" s="5"/>
      <c r="DHY192" s="5"/>
      <c r="DHZ192" s="5"/>
      <c r="DIA192" s="5"/>
      <c r="DIB192" s="5"/>
      <c r="DIC192" s="5"/>
      <c r="DID192" s="5"/>
      <c r="DIE192" s="5"/>
      <c r="DIF192" s="5"/>
      <c r="DIG192" s="5"/>
      <c r="DIH192" s="5"/>
      <c r="DII192" s="5"/>
      <c r="DIJ192" s="5"/>
      <c r="DIK192" s="5"/>
      <c r="DIL192" s="5"/>
      <c r="DIM192" s="5"/>
      <c r="DIN192" s="5"/>
      <c r="DIO192" s="5"/>
      <c r="DIP192" s="5"/>
      <c r="DIQ192" s="5"/>
      <c r="DIR192" s="5"/>
      <c r="DIS192" s="5"/>
      <c r="DIT192" s="5"/>
      <c r="DIU192" s="5"/>
      <c r="DIV192" s="5"/>
      <c r="DIW192" s="5"/>
      <c r="DIX192" s="5"/>
      <c r="DIY192" s="5"/>
      <c r="DIZ192" s="5"/>
      <c r="DJA192" s="5"/>
      <c r="DJB192" s="5"/>
      <c r="DJC192" s="5"/>
      <c r="DJD192" s="5"/>
      <c r="DJE192" s="5"/>
      <c r="DJF192" s="5"/>
      <c r="DJG192" s="5"/>
      <c r="DJH192" s="5"/>
      <c r="DJI192" s="5"/>
      <c r="DJJ192" s="5"/>
      <c r="DJK192" s="5"/>
      <c r="DJL192" s="5"/>
      <c r="DJM192" s="5"/>
      <c r="DJN192" s="5"/>
      <c r="DJO192" s="5"/>
      <c r="DJP192" s="5"/>
      <c r="DJQ192" s="5"/>
      <c r="DJR192" s="5"/>
      <c r="DJS192" s="5"/>
      <c r="DJT192" s="5"/>
      <c r="DJU192" s="5"/>
      <c r="DJV192" s="5"/>
      <c r="DJW192" s="5"/>
      <c r="DJX192" s="5"/>
      <c r="DJY192" s="5"/>
      <c r="DJZ192" s="5"/>
      <c r="DKA192" s="5"/>
      <c r="DKB192" s="5"/>
      <c r="DKC192" s="5"/>
      <c r="DKD192" s="5"/>
      <c r="DKE192" s="5"/>
      <c r="DKF192" s="5"/>
      <c r="DKG192" s="5"/>
      <c r="DKH192" s="5"/>
      <c r="DKI192" s="5"/>
      <c r="DKJ192" s="5"/>
      <c r="DKK192" s="5"/>
      <c r="DKL192" s="5"/>
      <c r="DKM192" s="5"/>
      <c r="DKN192" s="5"/>
      <c r="DKO192" s="5"/>
      <c r="DKP192" s="5"/>
      <c r="DKQ192" s="5"/>
      <c r="DKR192" s="5"/>
      <c r="DKS192" s="5"/>
      <c r="DKT192" s="5"/>
      <c r="DKU192" s="5"/>
      <c r="DKV192" s="5"/>
      <c r="DKW192" s="5"/>
      <c r="DKX192" s="5"/>
      <c r="DKY192" s="5"/>
      <c r="DKZ192" s="5"/>
      <c r="DLA192" s="5"/>
      <c r="DLB192" s="5"/>
      <c r="DLC192" s="5"/>
      <c r="DLD192" s="5"/>
      <c r="DLE192" s="5"/>
      <c r="DLF192" s="5"/>
      <c r="DLG192" s="5"/>
      <c r="DLH192" s="5"/>
      <c r="DLI192" s="5"/>
      <c r="DLJ192" s="5"/>
      <c r="DLK192" s="5"/>
      <c r="DLL192" s="5"/>
      <c r="DLM192" s="5"/>
      <c r="DLN192" s="5"/>
      <c r="DLO192" s="5"/>
      <c r="DLP192" s="5"/>
      <c r="DLQ192" s="5"/>
      <c r="DLR192" s="5"/>
      <c r="DLS192" s="5"/>
      <c r="DLT192" s="5"/>
      <c r="DLU192" s="5"/>
      <c r="DLV192" s="5"/>
      <c r="DLW192" s="5"/>
      <c r="DLX192" s="5"/>
      <c r="DLY192" s="5"/>
      <c r="DLZ192" s="5"/>
      <c r="DMA192" s="5"/>
      <c r="DMB192" s="5"/>
      <c r="DMC192" s="5"/>
      <c r="DMD192" s="5"/>
      <c r="DME192" s="5"/>
      <c r="DMF192" s="5"/>
      <c r="DMG192" s="5"/>
      <c r="DMH192" s="5"/>
      <c r="DMI192" s="5"/>
      <c r="DMJ192" s="5"/>
      <c r="DMK192" s="5"/>
      <c r="DML192" s="5"/>
      <c r="DMM192" s="5"/>
      <c r="DMN192" s="5"/>
      <c r="DMO192" s="5"/>
      <c r="DMP192" s="5"/>
      <c r="DMQ192" s="5"/>
      <c r="DMR192" s="5"/>
      <c r="DMS192" s="5"/>
      <c r="DMT192" s="5"/>
      <c r="DMU192" s="5"/>
      <c r="DMV192" s="5"/>
      <c r="DMW192" s="5"/>
      <c r="DMX192" s="5"/>
      <c r="DMY192" s="5"/>
      <c r="DMZ192" s="5"/>
      <c r="DNA192" s="5"/>
      <c r="DNB192" s="5"/>
      <c r="DNC192" s="5"/>
      <c r="DND192" s="5"/>
      <c r="DNE192" s="5"/>
      <c r="DNF192" s="5"/>
      <c r="DNG192" s="5"/>
      <c r="DNH192" s="5"/>
      <c r="DNI192" s="5"/>
      <c r="DNJ192" s="5"/>
      <c r="DNK192" s="5"/>
      <c r="DNL192" s="5"/>
      <c r="DNM192" s="5"/>
      <c r="DNN192" s="5"/>
      <c r="DNO192" s="5"/>
      <c r="DNP192" s="5"/>
      <c r="DNQ192" s="5"/>
      <c r="DNR192" s="5"/>
      <c r="DNS192" s="5"/>
      <c r="DNT192" s="5"/>
      <c r="DNU192" s="5"/>
      <c r="DNV192" s="5"/>
      <c r="DNW192" s="5"/>
      <c r="DNX192" s="5"/>
      <c r="DNY192" s="5"/>
      <c r="DNZ192" s="5"/>
      <c r="DOA192" s="5"/>
      <c r="DOB192" s="5"/>
      <c r="DOC192" s="5"/>
      <c r="DOD192" s="5"/>
      <c r="DOE192" s="5"/>
      <c r="DOF192" s="5"/>
      <c r="DOG192" s="5"/>
      <c r="DOH192" s="5"/>
      <c r="DOI192" s="5"/>
      <c r="DOJ192" s="5"/>
      <c r="DOK192" s="5"/>
      <c r="DOL192" s="5"/>
      <c r="DOM192" s="5"/>
      <c r="DON192" s="5"/>
      <c r="DOO192" s="5"/>
      <c r="DOP192" s="5"/>
      <c r="DOQ192" s="5"/>
      <c r="DOR192" s="5"/>
      <c r="DOS192" s="5"/>
      <c r="DOT192" s="5"/>
      <c r="DOU192" s="5"/>
      <c r="DOV192" s="5"/>
      <c r="DOW192" s="5"/>
      <c r="DOX192" s="5"/>
      <c r="DOY192" s="5"/>
      <c r="DOZ192" s="5"/>
      <c r="DPA192" s="5"/>
      <c r="DPB192" s="5"/>
      <c r="DPC192" s="5"/>
      <c r="DPD192" s="5"/>
      <c r="DPE192" s="5"/>
      <c r="DPF192" s="5"/>
      <c r="DPG192" s="5"/>
      <c r="DPH192" s="5"/>
      <c r="DPI192" s="5"/>
      <c r="DPJ192" s="5"/>
      <c r="DPK192" s="5"/>
      <c r="DPL192" s="5"/>
      <c r="DPM192" s="5"/>
      <c r="DPN192" s="5"/>
      <c r="DPO192" s="5"/>
      <c r="DPP192" s="5"/>
      <c r="DPQ192" s="5"/>
      <c r="DPR192" s="5"/>
      <c r="DPS192" s="5"/>
      <c r="DPT192" s="5"/>
      <c r="DPU192" s="5"/>
      <c r="DPV192" s="5"/>
      <c r="DPW192" s="5"/>
      <c r="DPX192" s="5"/>
      <c r="DPY192" s="5"/>
      <c r="DPZ192" s="5"/>
      <c r="DQA192" s="5"/>
      <c r="DQB192" s="5"/>
      <c r="DQC192" s="5"/>
      <c r="DQD192" s="5"/>
      <c r="DQE192" s="5"/>
      <c r="DQF192" s="5"/>
      <c r="DQG192" s="5"/>
      <c r="DQH192" s="5"/>
      <c r="DQI192" s="5"/>
      <c r="DQJ192" s="5"/>
      <c r="DQK192" s="5"/>
      <c r="DQL192" s="5"/>
      <c r="DQM192" s="5"/>
      <c r="DQN192" s="5"/>
      <c r="DQO192" s="5"/>
      <c r="DQP192" s="5"/>
      <c r="DQQ192" s="5"/>
      <c r="DQR192" s="5"/>
      <c r="DQS192" s="5"/>
      <c r="DQT192" s="5"/>
      <c r="DQU192" s="5"/>
      <c r="DQV192" s="5"/>
      <c r="DQW192" s="5"/>
      <c r="DQX192" s="5"/>
      <c r="DQY192" s="5"/>
      <c r="DQZ192" s="5"/>
      <c r="DRA192" s="5"/>
      <c r="DRB192" s="5"/>
      <c r="DRC192" s="5"/>
      <c r="DRD192" s="5"/>
      <c r="DRE192" s="5"/>
      <c r="DRF192" s="5"/>
      <c r="DRG192" s="5"/>
      <c r="DRH192" s="5"/>
      <c r="DRI192" s="5"/>
      <c r="DRJ192" s="5"/>
      <c r="DRK192" s="5"/>
      <c r="DRL192" s="5"/>
      <c r="DRM192" s="5"/>
      <c r="DRN192" s="5"/>
      <c r="DRO192" s="5"/>
      <c r="DRP192" s="5"/>
      <c r="DRQ192" s="5"/>
      <c r="DRR192" s="5"/>
      <c r="DRS192" s="5"/>
      <c r="DRT192" s="5"/>
      <c r="DRU192" s="5"/>
      <c r="DRV192" s="5"/>
      <c r="DRW192" s="5"/>
      <c r="DRX192" s="5"/>
      <c r="DRY192" s="5"/>
      <c r="DRZ192" s="5"/>
      <c r="DSA192" s="5"/>
      <c r="DSB192" s="5"/>
      <c r="DSC192" s="5"/>
      <c r="DSD192" s="5"/>
      <c r="DSE192" s="5"/>
      <c r="DSF192" s="5"/>
      <c r="DSG192" s="5"/>
      <c r="DSH192" s="5"/>
      <c r="DSI192" s="5"/>
      <c r="DSJ192" s="5"/>
      <c r="DSK192" s="5"/>
      <c r="DSL192" s="5"/>
      <c r="DSM192" s="5"/>
      <c r="DSN192" s="5"/>
      <c r="DSO192" s="5"/>
      <c r="DSP192" s="5"/>
      <c r="DSQ192" s="5"/>
      <c r="DSR192" s="5"/>
      <c r="DSS192" s="5"/>
      <c r="DST192" s="5"/>
      <c r="DSU192" s="5"/>
      <c r="DSV192" s="5"/>
      <c r="DSW192" s="5"/>
      <c r="DSX192" s="5"/>
      <c r="DSY192" s="5"/>
      <c r="DSZ192" s="5"/>
      <c r="DTA192" s="5"/>
      <c r="DTB192" s="5"/>
      <c r="DTC192" s="5"/>
      <c r="DTD192" s="5"/>
      <c r="DTE192" s="5"/>
      <c r="DTF192" s="5"/>
      <c r="DTG192" s="5"/>
      <c r="DTH192" s="5"/>
      <c r="DTI192" s="5"/>
      <c r="DTJ192" s="5"/>
      <c r="DTK192" s="5"/>
      <c r="DTL192" s="5"/>
      <c r="DTM192" s="5"/>
      <c r="DTN192" s="5"/>
      <c r="DTO192" s="5"/>
      <c r="DTP192" s="5"/>
      <c r="DTQ192" s="5"/>
      <c r="DTR192" s="5"/>
      <c r="DTS192" s="5"/>
      <c r="DTT192" s="5"/>
      <c r="DTU192" s="5"/>
      <c r="DTV192" s="5"/>
      <c r="DTW192" s="5"/>
      <c r="DTX192" s="5"/>
      <c r="DTY192" s="5"/>
      <c r="DTZ192" s="5"/>
      <c r="DUA192" s="5"/>
      <c r="DUB192" s="5"/>
      <c r="DUC192" s="5"/>
      <c r="DUD192" s="5"/>
      <c r="DUE192" s="5"/>
      <c r="DUF192" s="5"/>
      <c r="DUG192" s="5"/>
      <c r="DUH192" s="5"/>
      <c r="DUI192" s="5"/>
      <c r="DUJ192" s="5"/>
      <c r="DUK192" s="5"/>
      <c r="DUL192" s="5"/>
      <c r="DUM192" s="5"/>
      <c r="DUN192" s="5"/>
      <c r="DUO192" s="5"/>
      <c r="DUP192" s="5"/>
      <c r="DUQ192" s="5"/>
      <c r="DUR192" s="5"/>
      <c r="DUS192" s="5"/>
      <c r="DUT192" s="5"/>
      <c r="DUU192" s="5"/>
      <c r="DUV192" s="5"/>
      <c r="DUW192" s="5"/>
      <c r="DUX192" s="5"/>
      <c r="DUY192" s="5"/>
      <c r="DUZ192" s="5"/>
      <c r="DVA192" s="5"/>
      <c r="DVB192" s="5"/>
      <c r="DVC192" s="5"/>
      <c r="DVD192" s="5"/>
      <c r="DVE192" s="5"/>
      <c r="DVF192" s="5"/>
      <c r="DVG192" s="5"/>
      <c r="DVH192" s="5"/>
      <c r="DVI192" s="5"/>
      <c r="DVJ192" s="5"/>
      <c r="DVK192" s="5"/>
      <c r="DVL192" s="5"/>
      <c r="DVM192" s="5"/>
      <c r="DVN192" s="5"/>
      <c r="DVO192" s="5"/>
      <c r="DVP192" s="5"/>
      <c r="DVQ192" s="5"/>
      <c r="DVR192" s="5"/>
      <c r="DVS192" s="5"/>
      <c r="DVT192" s="5"/>
      <c r="DVU192" s="5"/>
      <c r="DVV192" s="5"/>
      <c r="DVW192" s="5"/>
      <c r="DVX192" s="5"/>
      <c r="DVY192" s="5"/>
      <c r="DVZ192" s="5"/>
      <c r="DWA192" s="5"/>
      <c r="DWB192" s="5"/>
      <c r="DWC192" s="5"/>
      <c r="DWD192" s="5"/>
      <c r="DWE192" s="5"/>
      <c r="DWF192" s="5"/>
      <c r="DWG192" s="5"/>
      <c r="DWH192" s="5"/>
      <c r="DWI192" s="5"/>
      <c r="DWJ192" s="5"/>
      <c r="DWK192" s="5"/>
      <c r="DWL192" s="5"/>
      <c r="DWM192" s="5"/>
      <c r="DWN192" s="5"/>
      <c r="DWO192" s="5"/>
      <c r="DWP192" s="5"/>
      <c r="DWQ192" s="5"/>
      <c r="DWR192" s="5"/>
      <c r="DWS192" s="5"/>
      <c r="DWT192" s="5"/>
      <c r="DWU192" s="5"/>
      <c r="DWV192" s="5"/>
      <c r="DWW192" s="5"/>
      <c r="DWX192" s="5"/>
      <c r="DWY192" s="5"/>
      <c r="DWZ192" s="5"/>
      <c r="DXA192" s="5"/>
      <c r="DXB192" s="5"/>
      <c r="DXC192" s="5"/>
      <c r="DXD192" s="5"/>
      <c r="DXE192" s="5"/>
      <c r="DXF192" s="5"/>
      <c r="DXG192" s="5"/>
      <c r="DXH192" s="5"/>
      <c r="DXI192" s="5"/>
      <c r="DXJ192" s="5"/>
      <c r="DXK192" s="5"/>
      <c r="DXL192" s="5"/>
      <c r="DXM192" s="5"/>
      <c r="DXN192" s="5"/>
      <c r="DXO192" s="5"/>
      <c r="DXP192" s="5"/>
      <c r="DXQ192" s="5"/>
      <c r="DXR192" s="5"/>
      <c r="DXS192" s="5"/>
      <c r="DXT192" s="5"/>
      <c r="DXU192" s="5"/>
      <c r="DXV192" s="5"/>
      <c r="DXW192" s="5"/>
      <c r="DXX192" s="5"/>
      <c r="DXY192" s="5"/>
      <c r="DXZ192" s="5"/>
      <c r="DYA192" s="5"/>
      <c r="DYB192" s="5"/>
      <c r="DYC192" s="5"/>
      <c r="DYD192" s="5"/>
      <c r="DYE192" s="5"/>
      <c r="DYF192" s="5"/>
      <c r="DYG192" s="5"/>
      <c r="DYH192" s="5"/>
      <c r="DYI192" s="5"/>
      <c r="DYJ192" s="5"/>
      <c r="DYK192" s="5"/>
      <c r="DYL192" s="5"/>
      <c r="DYM192" s="5"/>
      <c r="DYN192" s="5"/>
      <c r="DYO192" s="5"/>
      <c r="DYP192" s="5"/>
      <c r="DYQ192" s="5"/>
      <c r="DYR192" s="5"/>
      <c r="DYS192" s="5"/>
      <c r="DYT192" s="5"/>
      <c r="DYU192" s="5"/>
      <c r="DYV192" s="5"/>
      <c r="DYW192" s="5"/>
      <c r="DYX192" s="5"/>
      <c r="DYY192" s="5"/>
      <c r="DYZ192" s="5"/>
      <c r="DZA192" s="5"/>
      <c r="DZB192" s="5"/>
      <c r="DZC192" s="5"/>
      <c r="DZD192" s="5"/>
      <c r="DZE192" s="5"/>
      <c r="DZF192" s="5"/>
      <c r="DZG192" s="5"/>
      <c r="DZH192" s="5"/>
      <c r="DZI192" s="5"/>
      <c r="DZJ192" s="5"/>
      <c r="DZK192" s="5"/>
      <c r="DZL192" s="5"/>
      <c r="DZM192" s="5"/>
      <c r="DZN192" s="5"/>
      <c r="DZO192" s="5"/>
      <c r="DZP192" s="5"/>
      <c r="DZQ192" s="5"/>
      <c r="DZR192" s="5"/>
      <c r="DZS192" s="5"/>
      <c r="DZT192" s="5"/>
      <c r="DZU192" s="5"/>
      <c r="DZV192" s="5"/>
      <c r="DZW192" s="5"/>
      <c r="DZX192" s="5"/>
      <c r="DZY192" s="5"/>
      <c r="DZZ192" s="5"/>
      <c r="EAA192" s="5"/>
      <c r="EAB192" s="5"/>
      <c r="EAC192" s="5"/>
      <c r="EAD192" s="5"/>
      <c r="EAE192" s="5"/>
      <c r="EAF192" s="5"/>
      <c r="EAG192" s="5"/>
      <c r="EAH192" s="5"/>
      <c r="EAI192" s="5"/>
      <c r="EAJ192" s="5"/>
      <c r="EAK192" s="5"/>
      <c r="EAL192" s="5"/>
      <c r="EAM192" s="5"/>
      <c r="EAN192" s="5"/>
      <c r="EAO192" s="5"/>
      <c r="EAP192" s="5"/>
      <c r="EAQ192" s="5"/>
      <c r="EAR192" s="5"/>
      <c r="EAS192" s="5"/>
      <c r="EAT192" s="5"/>
      <c r="EAU192" s="5"/>
      <c r="EAV192" s="5"/>
      <c r="EAW192" s="5"/>
      <c r="EAX192" s="5"/>
      <c r="EAY192" s="5"/>
      <c r="EAZ192" s="5"/>
      <c r="EBA192" s="5"/>
      <c r="EBB192" s="5"/>
      <c r="EBC192" s="5"/>
      <c r="EBD192" s="5"/>
      <c r="EBE192" s="5"/>
      <c r="EBF192" s="5"/>
      <c r="EBG192" s="5"/>
      <c r="EBH192" s="5"/>
      <c r="EBI192" s="5"/>
      <c r="EBJ192" s="5"/>
      <c r="EBK192" s="5"/>
      <c r="EBL192" s="5"/>
      <c r="EBM192" s="5"/>
      <c r="EBN192" s="5"/>
      <c r="EBO192" s="5"/>
      <c r="EBP192" s="5"/>
      <c r="EBQ192" s="5"/>
      <c r="EBR192" s="5"/>
      <c r="EBS192" s="5"/>
      <c r="EBT192" s="5"/>
      <c r="EBU192" s="5"/>
      <c r="EBV192" s="5"/>
      <c r="EBW192" s="5"/>
      <c r="EBX192" s="5"/>
      <c r="EBY192" s="5"/>
      <c r="EBZ192" s="5"/>
      <c r="ECA192" s="5"/>
      <c r="ECB192" s="5"/>
      <c r="ECC192" s="5"/>
      <c r="ECD192" s="5"/>
      <c r="ECE192" s="5"/>
      <c r="ECF192" s="5"/>
      <c r="ECG192" s="5"/>
      <c r="ECH192" s="5"/>
      <c r="ECI192" s="5"/>
      <c r="ECJ192" s="5"/>
      <c r="ECK192" s="5"/>
      <c r="ECL192" s="5"/>
      <c r="ECM192" s="5"/>
      <c r="ECN192" s="5"/>
      <c r="ECO192" s="5"/>
      <c r="ECP192" s="5"/>
      <c r="ECQ192" s="5"/>
      <c r="ECR192" s="5"/>
      <c r="ECS192" s="5"/>
      <c r="ECT192" s="5"/>
      <c r="ECU192" s="5"/>
      <c r="ECV192" s="5"/>
      <c r="ECW192" s="5"/>
      <c r="ECX192" s="5"/>
      <c r="ECY192" s="5"/>
      <c r="ECZ192" s="5"/>
      <c r="EDA192" s="5"/>
      <c r="EDB192" s="5"/>
      <c r="EDC192" s="5"/>
      <c r="EDD192" s="5"/>
      <c r="EDE192" s="5"/>
      <c r="EDF192" s="5"/>
      <c r="EDG192" s="5"/>
      <c r="EDH192" s="5"/>
      <c r="EDI192" s="5"/>
      <c r="EDJ192" s="5"/>
      <c r="EDK192" s="5"/>
      <c r="EDL192" s="5"/>
      <c r="EDM192" s="5"/>
      <c r="EDN192" s="5"/>
      <c r="EDO192" s="5"/>
      <c r="EDP192" s="5"/>
      <c r="EDQ192" s="5"/>
      <c r="EDR192" s="5"/>
      <c r="EDS192" s="5"/>
      <c r="EDT192" s="5"/>
      <c r="EDU192" s="5"/>
      <c r="EDV192" s="5"/>
      <c r="EDW192" s="5"/>
      <c r="EDX192" s="5"/>
      <c r="EDY192" s="5"/>
      <c r="EDZ192" s="5"/>
      <c r="EEA192" s="5"/>
      <c r="EEB192" s="5"/>
      <c r="EEC192" s="5"/>
      <c r="EED192" s="5"/>
      <c r="EEE192" s="5"/>
      <c r="EEF192" s="5"/>
      <c r="EEG192" s="5"/>
      <c r="EEH192" s="5"/>
      <c r="EEI192" s="5"/>
      <c r="EEJ192" s="5"/>
      <c r="EEK192" s="5"/>
      <c r="EEL192" s="5"/>
      <c r="EEM192" s="5"/>
      <c r="EEN192" s="5"/>
      <c r="EEO192" s="5"/>
      <c r="EEP192" s="5"/>
      <c r="EEQ192" s="5"/>
      <c r="EER192" s="5"/>
      <c r="EES192" s="5"/>
      <c r="EET192" s="5"/>
      <c r="EEU192" s="5"/>
      <c r="EEV192" s="5"/>
      <c r="EEW192" s="5"/>
      <c r="EEX192" s="5"/>
      <c r="EEY192" s="5"/>
      <c r="EEZ192" s="5"/>
      <c r="EFA192" s="5"/>
      <c r="EFB192" s="5"/>
      <c r="EFC192" s="5"/>
      <c r="EFD192" s="5"/>
      <c r="EFE192" s="5"/>
      <c r="EFF192" s="5"/>
      <c r="EFG192" s="5"/>
      <c r="EFH192" s="5"/>
      <c r="EFI192" s="5"/>
      <c r="EFJ192" s="5"/>
      <c r="EFK192" s="5"/>
      <c r="EFL192" s="5"/>
      <c r="EFM192" s="5"/>
      <c r="EFN192" s="5"/>
      <c r="EFO192" s="5"/>
      <c r="EFP192" s="5"/>
      <c r="EFQ192" s="5"/>
      <c r="EFR192" s="5"/>
      <c r="EFS192" s="5"/>
      <c r="EFT192" s="5"/>
      <c r="EFU192" s="5"/>
      <c r="EFV192" s="5"/>
      <c r="EFW192" s="5"/>
      <c r="EFX192" s="5"/>
      <c r="EFY192" s="5"/>
      <c r="EFZ192" s="5"/>
      <c r="EGA192" s="5"/>
      <c r="EGB192" s="5"/>
      <c r="EGC192" s="5"/>
      <c r="EGD192" s="5"/>
      <c r="EGE192" s="5"/>
      <c r="EGF192" s="5"/>
      <c r="EGG192" s="5"/>
      <c r="EGH192" s="5"/>
      <c r="EGI192" s="5"/>
      <c r="EGJ192" s="5"/>
      <c r="EGK192" s="5"/>
      <c r="EGL192" s="5"/>
      <c r="EGM192" s="5"/>
      <c r="EGN192" s="5"/>
      <c r="EGO192" s="5"/>
      <c r="EGP192" s="5"/>
      <c r="EGQ192" s="5"/>
      <c r="EGR192" s="5"/>
      <c r="EGS192" s="5"/>
      <c r="EGT192" s="5"/>
      <c r="EGU192" s="5"/>
      <c r="EGV192" s="5"/>
      <c r="EGW192" s="5"/>
      <c r="EGX192" s="5"/>
      <c r="EGY192" s="5"/>
      <c r="EGZ192" s="5"/>
      <c r="EHA192" s="5"/>
      <c r="EHB192" s="5"/>
      <c r="EHC192" s="5"/>
      <c r="EHD192" s="5"/>
      <c r="EHE192" s="5"/>
      <c r="EHF192" s="5"/>
      <c r="EHG192" s="5"/>
      <c r="EHH192" s="5"/>
      <c r="EHI192" s="5"/>
      <c r="EHJ192" s="5"/>
      <c r="EHK192" s="5"/>
      <c r="EHL192" s="5"/>
      <c r="EHM192" s="5"/>
      <c r="EHN192" s="5"/>
      <c r="EHO192" s="5"/>
      <c r="EHP192" s="5"/>
      <c r="EHQ192" s="5"/>
      <c r="EHR192" s="5"/>
      <c r="EHS192" s="5"/>
      <c r="EHT192" s="5"/>
      <c r="EHU192" s="5"/>
      <c r="EHV192" s="5"/>
      <c r="EHW192" s="5"/>
      <c r="EHX192" s="5"/>
      <c r="EHY192" s="5"/>
      <c r="EHZ192" s="5"/>
      <c r="EIA192" s="5"/>
      <c r="EIB192" s="5"/>
      <c r="EIC192" s="5"/>
      <c r="EID192" s="5"/>
      <c r="EIE192" s="5"/>
      <c r="EIF192" s="5"/>
      <c r="EIG192" s="5"/>
      <c r="EIH192" s="5"/>
      <c r="EII192" s="5"/>
      <c r="EIJ192" s="5"/>
      <c r="EIK192" s="5"/>
      <c r="EIL192" s="5"/>
      <c r="EIM192" s="5"/>
      <c r="EIN192" s="5"/>
      <c r="EIO192" s="5"/>
      <c r="EIP192" s="5"/>
      <c r="EIQ192" s="5"/>
      <c r="EIR192" s="5"/>
      <c r="EIS192" s="5"/>
      <c r="EIT192" s="5"/>
      <c r="EIU192" s="5"/>
      <c r="EIV192" s="5"/>
      <c r="EIW192" s="5"/>
      <c r="EIX192" s="5"/>
      <c r="EIY192" s="5"/>
      <c r="EIZ192" s="5"/>
      <c r="EJA192" s="5"/>
      <c r="EJB192" s="5"/>
      <c r="EJC192" s="5"/>
      <c r="EJD192" s="5"/>
      <c r="EJE192" s="5"/>
      <c r="EJF192" s="5"/>
      <c r="EJG192" s="5"/>
      <c r="EJH192" s="5"/>
      <c r="EJI192" s="5"/>
      <c r="EJJ192" s="5"/>
      <c r="EJK192" s="5"/>
      <c r="EJL192" s="5"/>
      <c r="EJM192" s="5"/>
      <c r="EJN192" s="5"/>
      <c r="EJO192" s="5"/>
      <c r="EJP192" s="5"/>
      <c r="EJQ192" s="5"/>
      <c r="EJR192" s="5"/>
      <c r="EJS192" s="5"/>
      <c r="EJT192" s="5"/>
      <c r="EJU192" s="5"/>
      <c r="EJV192" s="5"/>
      <c r="EJW192" s="5"/>
      <c r="EJX192" s="5"/>
      <c r="EJY192" s="5"/>
      <c r="EJZ192" s="5"/>
      <c r="EKA192" s="5"/>
      <c r="EKB192" s="5"/>
      <c r="EKC192" s="5"/>
      <c r="EKD192" s="5"/>
      <c r="EKE192" s="5"/>
      <c r="EKF192" s="5"/>
      <c r="EKG192" s="5"/>
      <c r="EKH192" s="5"/>
      <c r="EKI192" s="5"/>
      <c r="EKJ192" s="5"/>
      <c r="EKK192" s="5"/>
      <c r="EKL192" s="5"/>
      <c r="EKM192" s="5"/>
      <c r="EKN192" s="5"/>
      <c r="EKO192" s="5"/>
      <c r="EKP192" s="5"/>
      <c r="EKQ192" s="5"/>
      <c r="EKR192" s="5"/>
      <c r="EKS192" s="5"/>
      <c r="EKT192" s="5"/>
      <c r="EKU192" s="5"/>
      <c r="EKV192" s="5"/>
      <c r="EKW192" s="5"/>
      <c r="EKX192" s="5"/>
      <c r="EKY192" s="5"/>
      <c r="EKZ192" s="5"/>
      <c r="ELA192" s="5"/>
      <c r="ELB192" s="5"/>
      <c r="ELC192" s="5"/>
      <c r="ELD192" s="5"/>
      <c r="ELE192" s="5"/>
      <c r="ELF192" s="5"/>
      <c r="ELG192" s="5"/>
      <c r="ELH192" s="5"/>
      <c r="ELI192" s="5"/>
      <c r="ELJ192" s="5"/>
      <c r="ELK192" s="5"/>
      <c r="ELL192" s="5"/>
      <c r="ELM192" s="5"/>
      <c r="ELN192" s="5"/>
      <c r="ELO192" s="5"/>
      <c r="ELP192" s="5"/>
      <c r="ELQ192" s="5"/>
      <c r="ELR192" s="5"/>
      <c r="ELS192" s="5"/>
      <c r="ELT192" s="5"/>
      <c r="ELU192" s="5"/>
      <c r="ELV192" s="5"/>
      <c r="ELW192" s="5"/>
      <c r="ELX192" s="5"/>
      <c r="ELY192" s="5"/>
      <c r="ELZ192" s="5"/>
      <c r="EMA192" s="5"/>
      <c r="EMB192" s="5"/>
      <c r="EMC192" s="5"/>
      <c r="EMD192" s="5"/>
      <c r="EME192" s="5"/>
      <c r="EMF192" s="5"/>
      <c r="EMG192" s="5"/>
      <c r="EMH192" s="5"/>
      <c r="EMI192" s="5"/>
      <c r="EMJ192" s="5"/>
      <c r="EMK192" s="5"/>
      <c r="EML192" s="5"/>
      <c r="EMM192" s="5"/>
      <c r="EMN192" s="5"/>
      <c r="EMO192" s="5"/>
      <c r="EMP192" s="5"/>
      <c r="EMQ192" s="5"/>
      <c r="EMR192" s="5"/>
      <c r="EMS192" s="5"/>
      <c r="EMT192" s="5"/>
      <c r="EMU192" s="5"/>
      <c r="EMV192" s="5"/>
      <c r="EMW192" s="5"/>
      <c r="EMX192" s="5"/>
      <c r="EMY192" s="5"/>
      <c r="EMZ192" s="5"/>
      <c r="ENA192" s="5"/>
      <c r="ENB192" s="5"/>
      <c r="ENC192" s="5"/>
      <c r="END192" s="5"/>
      <c r="ENE192" s="5"/>
      <c r="ENF192" s="5"/>
      <c r="ENG192" s="5"/>
      <c r="ENH192" s="5"/>
      <c r="ENI192" s="5"/>
      <c r="ENJ192" s="5"/>
      <c r="ENK192" s="5"/>
      <c r="ENL192" s="5"/>
      <c r="ENM192" s="5"/>
      <c r="ENN192" s="5"/>
      <c r="ENO192" s="5"/>
      <c r="ENP192" s="5"/>
      <c r="ENQ192" s="5"/>
      <c r="ENR192" s="5"/>
      <c r="ENS192" s="5"/>
      <c r="ENT192" s="5"/>
      <c r="ENU192" s="5"/>
      <c r="ENV192" s="5"/>
      <c r="ENW192" s="5"/>
      <c r="ENX192" s="5"/>
      <c r="ENY192" s="5"/>
      <c r="ENZ192" s="5"/>
      <c r="EOA192" s="5"/>
      <c r="EOB192" s="5"/>
      <c r="EOC192" s="5"/>
      <c r="EOD192" s="5"/>
      <c r="EOE192" s="5"/>
      <c r="EOF192" s="5"/>
      <c r="EOG192" s="5"/>
      <c r="EOH192" s="5"/>
      <c r="EOI192" s="5"/>
      <c r="EOJ192" s="5"/>
      <c r="EOK192" s="5"/>
      <c r="EOL192" s="5"/>
      <c r="EOM192" s="5"/>
      <c r="EON192" s="5"/>
      <c r="EOO192" s="5"/>
      <c r="EOP192" s="5"/>
      <c r="EOQ192" s="5"/>
      <c r="EOR192" s="5"/>
      <c r="EOS192" s="5"/>
      <c r="EOT192" s="5"/>
      <c r="EOU192" s="5"/>
      <c r="EOV192" s="5"/>
      <c r="EOW192" s="5"/>
      <c r="EOX192" s="5"/>
      <c r="EOY192" s="5"/>
      <c r="EOZ192" s="5"/>
      <c r="EPA192" s="5"/>
      <c r="EPB192" s="5"/>
      <c r="EPC192" s="5"/>
      <c r="EPD192" s="5"/>
      <c r="EPE192" s="5"/>
      <c r="EPF192" s="5"/>
      <c r="EPG192" s="5"/>
      <c r="EPH192" s="5"/>
      <c r="EPI192" s="5"/>
      <c r="EPJ192" s="5"/>
      <c r="EPK192" s="5"/>
      <c r="EPL192" s="5"/>
      <c r="EPM192" s="5"/>
      <c r="EPN192" s="5"/>
      <c r="EPO192" s="5"/>
      <c r="EPP192" s="5"/>
      <c r="EPQ192" s="5"/>
      <c r="EPR192" s="5"/>
      <c r="EPS192" s="5"/>
      <c r="EPT192" s="5"/>
      <c r="EPU192" s="5"/>
      <c r="EPV192" s="5"/>
      <c r="EPW192" s="5"/>
      <c r="EPX192" s="5"/>
      <c r="EPY192" s="5"/>
      <c r="EPZ192" s="5"/>
      <c r="EQA192" s="5"/>
      <c r="EQB192" s="5"/>
      <c r="EQC192" s="5"/>
      <c r="EQD192" s="5"/>
      <c r="EQE192" s="5"/>
      <c r="EQF192" s="5"/>
      <c r="EQG192" s="5"/>
      <c r="EQH192" s="5"/>
      <c r="EQI192" s="5"/>
      <c r="EQJ192" s="5"/>
      <c r="EQK192" s="5"/>
      <c r="EQL192" s="5"/>
      <c r="EQM192" s="5"/>
      <c r="EQN192" s="5"/>
      <c r="EQO192" s="5"/>
      <c r="EQP192" s="5"/>
      <c r="EQQ192" s="5"/>
      <c r="EQR192" s="5"/>
      <c r="EQS192" s="5"/>
      <c r="EQT192" s="5"/>
      <c r="EQU192" s="5"/>
      <c r="EQV192" s="5"/>
      <c r="EQW192" s="5"/>
      <c r="EQX192" s="5"/>
      <c r="EQY192" s="5"/>
      <c r="EQZ192" s="5"/>
      <c r="ERA192" s="5"/>
      <c r="ERB192" s="5"/>
      <c r="ERC192" s="5"/>
      <c r="ERD192" s="5"/>
      <c r="ERE192" s="5"/>
      <c r="ERF192" s="5"/>
      <c r="ERG192" s="5"/>
      <c r="ERH192" s="5"/>
      <c r="ERI192" s="5"/>
      <c r="ERJ192" s="5"/>
      <c r="ERK192" s="5"/>
      <c r="ERL192" s="5"/>
      <c r="ERM192" s="5"/>
      <c r="ERN192" s="5"/>
      <c r="ERO192" s="5"/>
      <c r="ERP192" s="5"/>
      <c r="ERQ192" s="5"/>
      <c r="ERR192" s="5"/>
      <c r="ERS192" s="5"/>
      <c r="ERT192" s="5"/>
      <c r="ERU192" s="5"/>
      <c r="ERV192" s="5"/>
      <c r="ERW192" s="5"/>
      <c r="ERX192" s="5"/>
      <c r="ERY192" s="5"/>
      <c r="ERZ192" s="5"/>
      <c r="ESA192" s="5"/>
      <c r="ESB192" s="5"/>
      <c r="ESC192" s="5"/>
      <c r="ESD192" s="5"/>
      <c r="ESE192" s="5"/>
      <c r="ESF192" s="5"/>
      <c r="ESG192" s="5"/>
      <c r="ESH192" s="5"/>
      <c r="ESI192" s="5"/>
      <c r="ESJ192" s="5"/>
      <c r="ESK192" s="5"/>
      <c r="ESL192" s="5"/>
      <c r="ESM192" s="5"/>
      <c r="ESN192" s="5"/>
      <c r="ESO192" s="5"/>
      <c r="ESP192" s="5"/>
      <c r="ESQ192" s="5"/>
      <c r="ESR192" s="5"/>
      <c r="ESS192" s="5"/>
      <c r="EST192" s="5"/>
      <c r="ESU192" s="5"/>
      <c r="ESV192" s="5"/>
      <c r="ESW192" s="5"/>
      <c r="ESX192" s="5"/>
      <c r="ESY192" s="5"/>
      <c r="ESZ192" s="5"/>
      <c r="ETA192" s="5"/>
      <c r="ETB192" s="5"/>
      <c r="ETC192" s="5"/>
      <c r="ETD192" s="5"/>
      <c r="ETE192" s="5"/>
      <c r="ETF192" s="5"/>
      <c r="ETG192" s="5"/>
      <c r="ETH192" s="5"/>
      <c r="ETI192" s="5"/>
      <c r="ETJ192" s="5"/>
      <c r="ETK192" s="5"/>
      <c r="ETL192" s="5"/>
      <c r="ETM192" s="5"/>
      <c r="ETN192" s="5"/>
      <c r="ETO192" s="5"/>
      <c r="ETP192" s="5"/>
      <c r="ETQ192" s="5"/>
      <c r="ETR192" s="5"/>
      <c r="ETS192" s="5"/>
      <c r="ETT192" s="5"/>
      <c r="ETU192" s="5"/>
      <c r="ETV192" s="5"/>
      <c r="ETW192" s="5"/>
      <c r="ETX192" s="5"/>
      <c r="ETY192" s="5"/>
      <c r="ETZ192" s="5"/>
      <c r="EUA192" s="5"/>
      <c r="EUB192" s="5"/>
      <c r="EUC192" s="5"/>
      <c r="EUD192" s="5"/>
      <c r="EUE192" s="5"/>
      <c r="EUF192" s="5"/>
      <c r="EUG192" s="5"/>
      <c r="EUH192" s="5"/>
      <c r="EUI192" s="5"/>
      <c r="EUJ192" s="5"/>
      <c r="EUK192" s="5"/>
      <c r="EUL192" s="5"/>
      <c r="EUM192" s="5"/>
      <c r="EUN192" s="5"/>
      <c r="EUO192" s="5"/>
      <c r="EUP192" s="5"/>
      <c r="EUQ192" s="5"/>
      <c r="EUR192" s="5"/>
      <c r="EUS192" s="5"/>
      <c r="EUT192" s="5"/>
      <c r="EUU192" s="5"/>
      <c r="EUV192" s="5"/>
      <c r="EUW192" s="5"/>
      <c r="EUX192" s="5"/>
      <c r="EUY192" s="5"/>
      <c r="EUZ192" s="5"/>
      <c r="EVA192" s="5"/>
      <c r="EVB192" s="5"/>
      <c r="EVC192" s="5"/>
      <c r="EVD192" s="5"/>
      <c r="EVE192" s="5"/>
      <c r="EVF192" s="5"/>
      <c r="EVG192" s="5"/>
      <c r="EVH192" s="5"/>
      <c r="EVI192" s="5"/>
      <c r="EVJ192" s="5"/>
      <c r="EVK192" s="5"/>
      <c r="EVL192" s="5"/>
      <c r="EVM192" s="5"/>
      <c r="EVN192" s="5"/>
      <c r="EVO192" s="5"/>
      <c r="EVP192" s="5"/>
      <c r="EVQ192" s="5"/>
      <c r="EVR192" s="5"/>
      <c r="EVS192" s="5"/>
      <c r="EVT192" s="5"/>
      <c r="EVU192" s="5"/>
      <c r="EVV192" s="5"/>
      <c r="EVW192" s="5"/>
      <c r="EVX192" s="5"/>
      <c r="EVY192" s="5"/>
      <c r="EVZ192" s="5"/>
      <c r="EWA192" s="5"/>
      <c r="EWB192" s="5"/>
      <c r="EWC192" s="5"/>
      <c r="EWD192" s="5"/>
      <c r="EWE192" s="5"/>
      <c r="EWF192" s="5"/>
      <c r="EWG192" s="5"/>
      <c r="EWH192" s="5"/>
      <c r="EWI192" s="5"/>
      <c r="EWJ192" s="5"/>
      <c r="EWK192" s="5"/>
      <c r="EWL192" s="5"/>
      <c r="EWM192" s="5"/>
      <c r="EWN192" s="5"/>
      <c r="EWO192" s="5"/>
      <c r="EWP192" s="5"/>
      <c r="EWQ192" s="5"/>
      <c r="EWR192" s="5"/>
      <c r="EWS192" s="5"/>
      <c r="EWT192" s="5"/>
      <c r="EWU192" s="5"/>
      <c r="EWV192" s="5"/>
      <c r="EWW192" s="5"/>
      <c r="EWX192" s="5"/>
      <c r="EWY192" s="5"/>
      <c r="EWZ192" s="5"/>
      <c r="EXA192" s="5"/>
      <c r="EXB192" s="5"/>
      <c r="EXC192" s="5"/>
      <c r="EXD192" s="5"/>
      <c r="EXE192" s="5"/>
      <c r="EXF192" s="5"/>
      <c r="EXG192" s="5"/>
      <c r="EXH192" s="5"/>
      <c r="EXI192" s="5"/>
      <c r="EXJ192" s="5"/>
      <c r="EXK192" s="5"/>
      <c r="EXL192" s="5"/>
      <c r="EXM192" s="5"/>
      <c r="EXN192" s="5"/>
      <c r="EXO192" s="5"/>
      <c r="EXP192" s="5"/>
      <c r="EXQ192" s="5"/>
      <c r="EXR192" s="5"/>
      <c r="EXS192" s="5"/>
      <c r="EXT192" s="5"/>
      <c r="EXU192" s="5"/>
      <c r="EXV192" s="5"/>
      <c r="EXW192" s="5"/>
      <c r="EXX192" s="5"/>
      <c r="EXY192" s="5"/>
      <c r="EXZ192" s="5"/>
      <c r="EYA192" s="5"/>
      <c r="EYB192" s="5"/>
      <c r="EYC192" s="5"/>
      <c r="EYD192" s="5"/>
      <c r="EYE192" s="5"/>
      <c r="EYF192" s="5"/>
      <c r="EYG192" s="5"/>
      <c r="EYH192" s="5"/>
      <c r="EYI192" s="5"/>
      <c r="EYJ192" s="5"/>
      <c r="EYK192" s="5"/>
      <c r="EYL192" s="5"/>
      <c r="EYM192" s="5"/>
      <c r="EYN192" s="5"/>
      <c r="EYO192" s="5"/>
      <c r="EYP192" s="5"/>
      <c r="EYQ192" s="5"/>
      <c r="EYR192" s="5"/>
      <c r="EYS192" s="5"/>
      <c r="EYT192" s="5"/>
      <c r="EYU192" s="5"/>
      <c r="EYV192" s="5"/>
      <c r="EYW192" s="5"/>
      <c r="EYX192" s="5"/>
      <c r="EYY192" s="5"/>
      <c r="EYZ192" s="5"/>
      <c r="EZA192" s="5"/>
      <c r="EZB192" s="5"/>
      <c r="EZC192" s="5"/>
      <c r="EZD192" s="5"/>
      <c r="EZE192" s="5"/>
      <c r="EZF192" s="5"/>
      <c r="EZG192" s="5"/>
      <c r="EZH192" s="5"/>
      <c r="EZI192" s="5"/>
      <c r="EZJ192" s="5"/>
      <c r="EZK192" s="5"/>
      <c r="EZL192" s="5"/>
      <c r="EZM192" s="5"/>
      <c r="EZN192" s="5"/>
      <c r="EZO192" s="5"/>
      <c r="EZP192" s="5"/>
      <c r="EZQ192" s="5"/>
      <c r="EZR192" s="5"/>
      <c r="EZS192" s="5"/>
      <c r="EZT192" s="5"/>
      <c r="EZU192" s="5"/>
      <c r="EZV192" s="5"/>
      <c r="EZW192" s="5"/>
      <c r="EZX192" s="5"/>
      <c r="EZY192" s="5"/>
      <c r="EZZ192" s="5"/>
      <c r="FAA192" s="5"/>
      <c r="FAB192" s="5"/>
      <c r="FAC192" s="5"/>
      <c r="FAD192" s="5"/>
      <c r="FAE192" s="5"/>
      <c r="FAF192" s="5"/>
      <c r="FAG192" s="5"/>
      <c r="FAH192" s="5"/>
      <c r="FAI192" s="5"/>
      <c r="FAJ192" s="5"/>
      <c r="FAK192" s="5"/>
      <c r="FAL192" s="5"/>
      <c r="FAM192" s="5"/>
      <c r="FAN192" s="5"/>
      <c r="FAO192" s="5"/>
      <c r="FAP192" s="5"/>
      <c r="FAQ192" s="5"/>
      <c r="FAR192" s="5"/>
      <c r="FAS192" s="5"/>
      <c r="FAT192" s="5"/>
      <c r="FAU192" s="5"/>
      <c r="FAV192" s="5"/>
      <c r="FAW192" s="5"/>
      <c r="FAX192" s="5"/>
      <c r="FAY192" s="5"/>
      <c r="FAZ192" s="5"/>
      <c r="FBA192" s="5"/>
      <c r="FBB192" s="5"/>
      <c r="FBC192" s="5"/>
      <c r="FBD192" s="5"/>
      <c r="FBE192" s="5"/>
      <c r="FBF192" s="5"/>
      <c r="FBG192" s="5"/>
      <c r="FBH192" s="5"/>
      <c r="FBI192" s="5"/>
      <c r="FBJ192" s="5"/>
      <c r="FBK192" s="5"/>
      <c r="FBL192" s="5"/>
      <c r="FBM192" s="5"/>
      <c r="FBN192" s="5"/>
      <c r="FBO192" s="5"/>
      <c r="FBP192" s="5"/>
      <c r="FBQ192" s="5"/>
      <c r="FBR192" s="5"/>
      <c r="FBS192" s="5"/>
      <c r="FBT192" s="5"/>
      <c r="FBU192" s="5"/>
      <c r="FBV192" s="5"/>
      <c r="FBW192" s="5"/>
      <c r="FBX192" s="5"/>
      <c r="FBY192" s="5"/>
      <c r="FBZ192" s="5"/>
      <c r="FCA192" s="5"/>
      <c r="FCB192" s="5"/>
      <c r="FCC192" s="5"/>
      <c r="FCD192" s="5"/>
      <c r="FCE192" s="5"/>
      <c r="FCF192" s="5"/>
      <c r="FCG192" s="5"/>
      <c r="FCH192" s="5"/>
      <c r="FCI192" s="5"/>
      <c r="FCJ192" s="5"/>
      <c r="FCK192" s="5"/>
      <c r="FCL192" s="5"/>
      <c r="FCM192" s="5"/>
      <c r="FCN192" s="5"/>
      <c r="FCO192" s="5"/>
      <c r="FCP192" s="5"/>
      <c r="FCQ192" s="5"/>
      <c r="FCR192" s="5"/>
      <c r="FCS192" s="5"/>
      <c r="FCT192" s="5"/>
      <c r="FCU192" s="5"/>
      <c r="FCV192" s="5"/>
      <c r="FCW192" s="5"/>
      <c r="FCX192" s="5"/>
      <c r="FCY192" s="5"/>
      <c r="FCZ192" s="5"/>
      <c r="FDA192" s="5"/>
      <c r="FDB192" s="5"/>
      <c r="FDC192" s="5"/>
      <c r="FDD192" s="5"/>
      <c r="FDE192" s="5"/>
      <c r="FDF192" s="5"/>
      <c r="FDG192" s="5"/>
      <c r="FDH192" s="5"/>
      <c r="FDI192" s="5"/>
      <c r="FDJ192" s="5"/>
      <c r="FDK192" s="5"/>
      <c r="FDL192" s="5"/>
      <c r="FDM192" s="5"/>
      <c r="FDN192" s="5"/>
      <c r="FDO192" s="5"/>
      <c r="FDP192" s="5"/>
      <c r="FDQ192" s="5"/>
      <c r="FDR192" s="5"/>
      <c r="FDS192" s="5"/>
      <c r="FDT192" s="5"/>
      <c r="FDU192" s="5"/>
      <c r="FDV192" s="5"/>
      <c r="FDW192" s="5"/>
      <c r="FDX192" s="5"/>
      <c r="FDY192" s="5"/>
      <c r="FDZ192" s="5"/>
      <c r="FEA192" s="5"/>
      <c r="FEB192" s="5"/>
      <c r="FEC192" s="5"/>
      <c r="FED192" s="5"/>
      <c r="FEE192" s="5"/>
      <c r="FEF192" s="5"/>
      <c r="FEG192" s="5"/>
      <c r="FEH192" s="5"/>
      <c r="FEI192" s="5"/>
      <c r="FEJ192" s="5"/>
      <c r="FEK192" s="5"/>
      <c r="FEL192" s="5"/>
      <c r="FEM192" s="5"/>
      <c r="FEN192" s="5"/>
      <c r="FEO192" s="5"/>
      <c r="FEP192" s="5"/>
      <c r="FEQ192" s="5"/>
      <c r="FER192" s="5"/>
      <c r="FES192" s="5"/>
      <c r="FET192" s="5"/>
      <c r="FEU192" s="5"/>
      <c r="FEV192" s="5"/>
      <c r="FEW192" s="5"/>
      <c r="FEX192" s="5"/>
      <c r="FEY192" s="5"/>
      <c r="FEZ192" s="5"/>
      <c r="FFA192" s="5"/>
      <c r="FFB192" s="5"/>
      <c r="FFC192" s="5"/>
      <c r="FFD192" s="5"/>
      <c r="FFE192" s="5"/>
      <c r="FFF192" s="5"/>
      <c r="FFG192" s="5"/>
      <c r="FFH192" s="5"/>
      <c r="FFI192" s="5"/>
      <c r="FFJ192" s="5"/>
      <c r="FFK192" s="5"/>
      <c r="FFL192" s="5"/>
      <c r="FFM192" s="5"/>
      <c r="FFN192" s="5"/>
      <c r="FFO192" s="5"/>
      <c r="FFP192" s="5"/>
      <c r="FFQ192" s="5"/>
      <c r="FFR192" s="5"/>
      <c r="FFS192" s="5"/>
      <c r="FFT192" s="5"/>
      <c r="FFU192" s="5"/>
      <c r="FFV192" s="5"/>
      <c r="FFW192" s="5"/>
      <c r="FFX192" s="5"/>
      <c r="FFY192" s="5"/>
      <c r="FFZ192" s="5"/>
      <c r="FGA192" s="5"/>
      <c r="FGB192" s="5"/>
      <c r="FGC192" s="5"/>
      <c r="FGD192" s="5"/>
      <c r="FGE192" s="5"/>
      <c r="FGF192" s="5"/>
      <c r="FGG192" s="5"/>
      <c r="FGH192" s="5"/>
      <c r="FGI192" s="5"/>
      <c r="FGJ192" s="5"/>
      <c r="FGK192" s="5"/>
      <c r="FGL192" s="5"/>
      <c r="FGM192" s="5"/>
      <c r="FGN192" s="5"/>
      <c r="FGO192" s="5"/>
      <c r="FGP192" s="5"/>
      <c r="FGQ192" s="5"/>
      <c r="FGR192" s="5"/>
      <c r="FGS192" s="5"/>
      <c r="FGT192" s="5"/>
      <c r="FGU192" s="5"/>
      <c r="FGV192" s="5"/>
      <c r="FGW192" s="5"/>
      <c r="FGX192" s="5"/>
      <c r="FGY192" s="5"/>
      <c r="FGZ192" s="5"/>
      <c r="FHA192" s="5"/>
      <c r="FHB192" s="5"/>
      <c r="FHC192" s="5"/>
      <c r="FHD192" s="5"/>
      <c r="FHE192" s="5"/>
      <c r="FHF192" s="5"/>
      <c r="FHG192" s="5"/>
      <c r="FHH192" s="5"/>
      <c r="FHI192" s="5"/>
      <c r="FHJ192" s="5"/>
      <c r="FHK192" s="5"/>
      <c r="FHL192" s="5"/>
      <c r="FHM192" s="5"/>
      <c r="FHN192" s="5"/>
      <c r="FHO192" s="5"/>
      <c r="FHP192" s="5"/>
      <c r="FHQ192" s="5"/>
      <c r="FHR192" s="5"/>
      <c r="FHS192" s="5"/>
      <c r="FHT192" s="5"/>
      <c r="FHU192" s="5"/>
      <c r="FHV192" s="5"/>
      <c r="FHW192" s="5"/>
      <c r="FHX192" s="5"/>
      <c r="FHY192" s="5"/>
      <c r="FHZ192" s="5"/>
      <c r="FIA192" s="5"/>
      <c r="FIB192" s="5"/>
      <c r="FIC192" s="5"/>
      <c r="FID192" s="5"/>
      <c r="FIE192" s="5"/>
      <c r="FIF192" s="5"/>
      <c r="FIG192" s="5"/>
      <c r="FIH192" s="5"/>
      <c r="FII192" s="5"/>
      <c r="FIJ192" s="5"/>
      <c r="FIK192" s="5"/>
      <c r="FIL192" s="5"/>
      <c r="FIM192" s="5"/>
      <c r="FIN192" s="5"/>
      <c r="FIO192" s="5"/>
      <c r="FIP192" s="5"/>
      <c r="FIQ192" s="5"/>
      <c r="FIR192" s="5"/>
      <c r="FIS192" s="5"/>
      <c r="FIT192" s="5"/>
      <c r="FIU192" s="5"/>
      <c r="FIV192" s="5"/>
      <c r="FIW192" s="5"/>
      <c r="FIX192" s="5"/>
      <c r="FIY192" s="5"/>
      <c r="FIZ192" s="5"/>
      <c r="FJA192" s="5"/>
      <c r="FJB192" s="5"/>
      <c r="FJC192" s="5"/>
      <c r="FJD192" s="5"/>
      <c r="FJE192" s="5"/>
      <c r="FJF192" s="5"/>
      <c r="FJG192" s="5"/>
      <c r="FJH192" s="5"/>
      <c r="FJI192" s="5"/>
      <c r="FJJ192" s="5"/>
      <c r="FJK192" s="5"/>
      <c r="FJL192" s="5"/>
      <c r="FJM192" s="5"/>
      <c r="FJN192" s="5"/>
      <c r="FJO192" s="5"/>
      <c r="FJP192" s="5"/>
      <c r="FJQ192" s="5"/>
      <c r="FJR192" s="5"/>
      <c r="FJS192" s="5"/>
      <c r="FJT192" s="5"/>
      <c r="FJU192" s="5"/>
      <c r="FJV192" s="5"/>
      <c r="FJW192" s="5"/>
      <c r="FJX192" s="5"/>
      <c r="FJY192" s="5"/>
      <c r="FJZ192" s="5"/>
      <c r="FKA192" s="5"/>
      <c r="FKB192" s="5"/>
      <c r="FKC192" s="5"/>
      <c r="FKD192" s="5"/>
      <c r="FKE192" s="5"/>
      <c r="FKF192" s="5"/>
      <c r="FKG192" s="5"/>
      <c r="FKH192" s="5"/>
      <c r="FKI192" s="5"/>
      <c r="FKJ192" s="5"/>
      <c r="FKK192" s="5"/>
      <c r="FKL192" s="5"/>
      <c r="FKM192" s="5"/>
      <c r="FKN192" s="5"/>
      <c r="FKO192" s="5"/>
      <c r="FKP192" s="5"/>
      <c r="FKQ192" s="5"/>
      <c r="FKR192" s="5"/>
      <c r="FKS192" s="5"/>
      <c r="FKT192" s="5"/>
      <c r="FKU192" s="5"/>
      <c r="FKV192" s="5"/>
      <c r="FKW192" s="5"/>
      <c r="FKX192" s="5"/>
      <c r="FKY192" s="5"/>
      <c r="FKZ192" s="5"/>
      <c r="FLA192" s="5"/>
      <c r="FLB192" s="5"/>
      <c r="FLC192" s="5"/>
      <c r="FLD192" s="5"/>
      <c r="FLE192" s="5"/>
      <c r="FLF192" s="5"/>
      <c r="FLG192" s="5"/>
      <c r="FLH192" s="5"/>
      <c r="FLI192" s="5"/>
      <c r="FLJ192" s="5"/>
      <c r="FLK192" s="5"/>
      <c r="FLL192" s="5"/>
      <c r="FLM192" s="5"/>
      <c r="FLN192" s="5"/>
      <c r="FLO192" s="5"/>
      <c r="FLP192" s="5"/>
      <c r="FLQ192" s="5"/>
      <c r="FLR192" s="5"/>
      <c r="FLS192" s="5"/>
      <c r="FLT192" s="5"/>
      <c r="FLU192" s="5"/>
      <c r="FLV192" s="5"/>
      <c r="FLW192" s="5"/>
      <c r="FLX192" s="5"/>
      <c r="FLY192" s="5"/>
      <c r="FLZ192" s="5"/>
      <c r="FMA192" s="5"/>
      <c r="FMB192" s="5"/>
      <c r="FMC192" s="5"/>
      <c r="FMD192" s="5"/>
      <c r="FME192" s="5"/>
      <c r="FMF192" s="5"/>
      <c r="FMG192" s="5"/>
      <c r="FMH192" s="5"/>
      <c r="FMI192" s="5"/>
      <c r="FMJ192" s="5"/>
      <c r="FMK192" s="5"/>
      <c r="FML192" s="5"/>
      <c r="FMM192" s="5"/>
      <c r="FMN192" s="5"/>
      <c r="FMO192" s="5"/>
      <c r="FMP192" s="5"/>
      <c r="FMQ192" s="5"/>
      <c r="FMR192" s="5"/>
      <c r="FMS192" s="5"/>
      <c r="FMT192" s="5"/>
      <c r="FMU192" s="5"/>
      <c r="FMV192" s="5"/>
      <c r="FMW192" s="5"/>
      <c r="FMX192" s="5"/>
      <c r="FMY192" s="5"/>
      <c r="FMZ192" s="5"/>
      <c r="FNA192" s="5"/>
      <c r="FNB192" s="5"/>
      <c r="FNC192" s="5"/>
      <c r="FND192" s="5"/>
      <c r="FNE192" s="5"/>
      <c r="FNF192" s="5"/>
      <c r="FNG192" s="5"/>
      <c r="FNH192" s="5"/>
      <c r="FNI192" s="5"/>
      <c r="FNJ192" s="5"/>
      <c r="FNK192" s="5"/>
      <c r="FNL192" s="5"/>
      <c r="FNM192" s="5"/>
      <c r="FNN192" s="5"/>
      <c r="FNO192" s="5"/>
      <c r="FNP192" s="5"/>
      <c r="FNQ192" s="5"/>
      <c r="FNR192" s="5"/>
      <c r="FNS192" s="5"/>
      <c r="FNT192" s="5"/>
      <c r="FNU192" s="5"/>
      <c r="FNV192" s="5"/>
      <c r="FNW192" s="5"/>
      <c r="FNX192" s="5"/>
      <c r="FNY192" s="5"/>
      <c r="FNZ192" s="5"/>
      <c r="FOA192" s="5"/>
      <c r="FOB192" s="5"/>
      <c r="FOC192" s="5"/>
      <c r="FOD192" s="5"/>
      <c r="FOE192" s="5"/>
      <c r="FOF192" s="5"/>
      <c r="FOG192" s="5"/>
      <c r="FOH192" s="5"/>
      <c r="FOI192" s="5"/>
      <c r="FOJ192" s="5"/>
      <c r="FOK192" s="5"/>
      <c r="FOL192" s="5"/>
      <c r="FOM192" s="5"/>
      <c r="FON192" s="5"/>
      <c r="FOO192" s="5"/>
      <c r="FOP192" s="5"/>
      <c r="FOQ192" s="5"/>
      <c r="FOR192" s="5"/>
      <c r="FOS192" s="5"/>
      <c r="FOT192" s="5"/>
      <c r="FOU192" s="5"/>
      <c r="FOV192" s="5"/>
      <c r="FOW192" s="5"/>
      <c r="FOX192" s="5"/>
      <c r="FOY192" s="5"/>
      <c r="FOZ192" s="5"/>
      <c r="FPA192" s="5"/>
      <c r="FPB192" s="5"/>
      <c r="FPC192" s="5"/>
      <c r="FPD192" s="5"/>
      <c r="FPE192" s="5"/>
      <c r="FPF192" s="5"/>
      <c r="FPG192" s="5"/>
      <c r="FPH192" s="5"/>
      <c r="FPI192" s="5"/>
      <c r="FPJ192" s="5"/>
      <c r="FPK192" s="5"/>
      <c r="FPL192" s="5"/>
      <c r="FPM192" s="5"/>
      <c r="FPN192" s="5"/>
      <c r="FPO192" s="5"/>
      <c r="FPP192" s="5"/>
      <c r="FPQ192" s="5"/>
      <c r="FPR192" s="5"/>
      <c r="FPS192" s="5"/>
      <c r="FPT192" s="5"/>
      <c r="FPU192" s="5"/>
      <c r="FPV192" s="5"/>
      <c r="FPW192" s="5"/>
      <c r="FPX192" s="5"/>
      <c r="FPY192" s="5"/>
      <c r="FPZ192" s="5"/>
      <c r="FQA192" s="5"/>
      <c r="FQB192" s="5"/>
      <c r="FQC192" s="5"/>
      <c r="FQD192" s="5"/>
      <c r="FQE192" s="5"/>
      <c r="FQF192" s="5"/>
      <c r="FQG192" s="5"/>
      <c r="FQH192" s="5"/>
      <c r="FQI192" s="5"/>
      <c r="FQJ192" s="5"/>
      <c r="FQK192" s="5"/>
      <c r="FQL192" s="5"/>
      <c r="FQM192" s="5"/>
      <c r="FQN192" s="5"/>
      <c r="FQO192" s="5"/>
      <c r="FQP192" s="5"/>
      <c r="FQQ192" s="5"/>
      <c r="FQR192" s="5"/>
      <c r="FQS192" s="5"/>
      <c r="FQT192" s="5"/>
      <c r="FQU192" s="5"/>
      <c r="FQV192" s="5"/>
      <c r="FQW192" s="5"/>
      <c r="FQX192" s="5"/>
      <c r="FQY192" s="5"/>
      <c r="FQZ192" s="5"/>
      <c r="FRA192" s="5"/>
      <c r="FRB192" s="5"/>
      <c r="FRC192" s="5"/>
      <c r="FRD192" s="5"/>
      <c r="FRE192" s="5"/>
      <c r="FRF192" s="5"/>
      <c r="FRG192" s="5"/>
      <c r="FRH192" s="5"/>
      <c r="FRI192" s="5"/>
      <c r="FRJ192" s="5"/>
      <c r="FRK192" s="5"/>
      <c r="FRL192" s="5"/>
      <c r="FRM192" s="5"/>
      <c r="FRN192" s="5"/>
      <c r="FRO192" s="5"/>
      <c r="FRP192" s="5"/>
      <c r="FRQ192" s="5"/>
      <c r="FRR192" s="5"/>
      <c r="FRS192" s="5"/>
      <c r="FRT192" s="5"/>
      <c r="FRU192" s="5"/>
      <c r="FRV192" s="5"/>
      <c r="FRW192" s="5"/>
      <c r="FRX192" s="5"/>
      <c r="FRY192" s="5"/>
      <c r="FRZ192" s="5"/>
      <c r="FSA192" s="5"/>
      <c r="FSB192" s="5"/>
      <c r="FSC192" s="5"/>
      <c r="FSD192" s="5"/>
      <c r="FSE192" s="5"/>
      <c r="FSF192" s="5"/>
      <c r="FSG192" s="5"/>
      <c r="FSH192" s="5"/>
      <c r="FSI192" s="5"/>
      <c r="FSJ192" s="5"/>
      <c r="FSK192" s="5"/>
      <c r="FSL192" s="5"/>
      <c r="FSM192" s="5"/>
      <c r="FSN192" s="5"/>
      <c r="FSO192" s="5"/>
      <c r="FSP192" s="5"/>
      <c r="FSQ192" s="5"/>
      <c r="FSR192" s="5"/>
      <c r="FSS192" s="5"/>
      <c r="FST192" s="5"/>
      <c r="FSU192" s="5"/>
      <c r="FSV192" s="5"/>
      <c r="FSW192" s="5"/>
      <c r="FSX192" s="5"/>
      <c r="FSY192" s="5"/>
      <c r="FSZ192" s="5"/>
      <c r="FTA192" s="5"/>
      <c r="FTB192" s="5"/>
      <c r="FTC192" s="5"/>
      <c r="FTD192" s="5"/>
      <c r="FTE192" s="5"/>
      <c r="FTF192" s="5"/>
      <c r="FTG192" s="5"/>
      <c r="FTH192" s="5"/>
      <c r="FTI192" s="5"/>
      <c r="FTJ192" s="5"/>
      <c r="FTK192" s="5"/>
      <c r="FTL192" s="5"/>
      <c r="FTM192" s="5"/>
      <c r="FTN192" s="5"/>
      <c r="FTO192" s="5"/>
      <c r="FTP192" s="5"/>
      <c r="FTQ192" s="5"/>
      <c r="FTR192" s="5"/>
      <c r="FTS192" s="5"/>
      <c r="FTT192" s="5"/>
      <c r="FTU192" s="5"/>
      <c r="FTV192" s="5"/>
      <c r="FTW192" s="5"/>
      <c r="FTX192" s="5"/>
      <c r="FTY192" s="5"/>
      <c r="FTZ192" s="5"/>
      <c r="FUA192" s="5"/>
      <c r="FUB192" s="5"/>
      <c r="FUC192" s="5"/>
      <c r="FUD192" s="5"/>
      <c r="FUE192" s="5"/>
      <c r="FUF192" s="5"/>
      <c r="FUG192" s="5"/>
      <c r="FUH192" s="5"/>
      <c r="FUI192" s="5"/>
      <c r="FUJ192" s="5"/>
      <c r="FUK192" s="5"/>
      <c r="FUL192" s="5"/>
      <c r="FUM192" s="5"/>
      <c r="FUN192" s="5"/>
      <c r="FUO192" s="5"/>
      <c r="FUP192" s="5"/>
      <c r="FUQ192" s="5"/>
      <c r="FUR192" s="5"/>
      <c r="FUS192" s="5"/>
      <c r="FUT192" s="5"/>
      <c r="FUU192" s="5"/>
      <c r="FUV192" s="5"/>
      <c r="FUW192" s="5"/>
      <c r="FUX192" s="5"/>
      <c r="FUY192" s="5"/>
      <c r="FUZ192" s="5"/>
      <c r="FVA192" s="5"/>
      <c r="FVB192" s="5"/>
      <c r="FVC192" s="5"/>
      <c r="FVD192" s="5"/>
      <c r="FVE192" s="5"/>
      <c r="FVF192" s="5"/>
      <c r="FVG192" s="5"/>
      <c r="FVH192" s="5"/>
      <c r="FVI192" s="5"/>
      <c r="FVJ192" s="5"/>
      <c r="FVK192" s="5"/>
      <c r="FVL192" s="5"/>
      <c r="FVM192" s="5"/>
      <c r="FVN192" s="5"/>
      <c r="FVO192" s="5"/>
      <c r="FVP192" s="5"/>
      <c r="FVQ192" s="5"/>
      <c r="FVR192" s="5"/>
      <c r="FVS192" s="5"/>
      <c r="FVT192" s="5"/>
      <c r="FVU192" s="5"/>
      <c r="FVV192" s="5"/>
      <c r="FVW192" s="5"/>
      <c r="FVX192" s="5"/>
      <c r="FVY192" s="5"/>
      <c r="FVZ192" s="5"/>
      <c r="FWA192" s="5"/>
      <c r="FWB192" s="5"/>
      <c r="FWC192" s="5"/>
      <c r="FWD192" s="5"/>
      <c r="FWE192" s="5"/>
      <c r="FWF192" s="5"/>
      <c r="FWG192" s="5"/>
      <c r="FWH192" s="5"/>
      <c r="FWI192" s="5"/>
      <c r="FWJ192" s="5"/>
      <c r="FWK192" s="5"/>
      <c r="FWL192" s="5"/>
      <c r="FWM192" s="5"/>
      <c r="FWN192" s="5"/>
      <c r="FWO192" s="5"/>
      <c r="FWP192" s="5"/>
      <c r="FWQ192" s="5"/>
      <c r="FWR192" s="5"/>
      <c r="FWS192" s="5"/>
      <c r="FWT192" s="5"/>
      <c r="FWU192" s="5"/>
      <c r="FWV192" s="5"/>
      <c r="FWW192" s="5"/>
      <c r="FWX192" s="5"/>
      <c r="FWY192" s="5"/>
      <c r="FWZ192" s="5"/>
      <c r="FXA192" s="5"/>
      <c r="FXB192" s="5"/>
      <c r="FXC192" s="5"/>
      <c r="FXD192" s="5"/>
      <c r="FXE192" s="5"/>
      <c r="FXF192" s="5"/>
      <c r="FXG192" s="5"/>
      <c r="FXH192" s="5"/>
      <c r="FXI192" s="5"/>
      <c r="FXJ192" s="5"/>
      <c r="FXK192" s="5"/>
      <c r="FXL192" s="5"/>
      <c r="FXM192" s="5"/>
      <c r="FXN192" s="5"/>
      <c r="FXO192" s="5"/>
      <c r="FXP192" s="5"/>
      <c r="FXQ192" s="5"/>
      <c r="FXR192" s="5"/>
      <c r="FXS192" s="5"/>
      <c r="FXT192" s="5"/>
      <c r="FXU192" s="5"/>
      <c r="FXV192" s="5"/>
      <c r="FXW192" s="5"/>
      <c r="FXX192" s="5"/>
      <c r="FXY192" s="5"/>
      <c r="FXZ192" s="5"/>
      <c r="FYA192" s="5"/>
      <c r="FYB192" s="5"/>
      <c r="FYC192" s="5"/>
      <c r="FYD192" s="5"/>
      <c r="FYE192" s="5"/>
      <c r="FYF192" s="5"/>
      <c r="FYG192" s="5"/>
      <c r="FYH192" s="5"/>
      <c r="FYI192" s="5"/>
      <c r="FYJ192" s="5"/>
      <c r="FYK192" s="5"/>
      <c r="FYL192" s="5"/>
      <c r="FYM192" s="5"/>
      <c r="FYN192" s="5"/>
      <c r="FYO192" s="5"/>
      <c r="FYP192" s="5"/>
      <c r="FYQ192" s="5"/>
      <c r="FYR192" s="5"/>
      <c r="FYS192" s="5"/>
      <c r="FYT192" s="5"/>
      <c r="FYU192" s="5"/>
      <c r="FYV192" s="5"/>
      <c r="FYW192" s="5"/>
      <c r="FYX192" s="5"/>
      <c r="FYY192" s="5"/>
      <c r="FYZ192" s="5"/>
      <c r="FZA192" s="5"/>
      <c r="FZB192" s="5"/>
      <c r="FZC192" s="5"/>
      <c r="FZD192" s="5"/>
      <c r="FZE192" s="5"/>
      <c r="FZF192" s="5"/>
      <c r="FZG192" s="5"/>
      <c r="FZH192" s="5"/>
      <c r="FZI192" s="5"/>
      <c r="FZJ192" s="5"/>
      <c r="FZK192" s="5"/>
      <c r="FZL192" s="5"/>
      <c r="FZM192" s="5"/>
      <c r="FZN192" s="5"/>
      <c r="FZO192" s="5"/>
      <c r="FZP192" s="5"/>
      <c r="FZQ192" s="5"/>
      <c r="FZR192" s="5"/>
      <c r="FZS192" s="5"/>
      <c r="FZT192" s="5"/>
      <c r="FZU192" s="5"/>
      <c r="FZV192" s="5"/>
      <c r="FZW192" s="5"/>
      <c r="FZX192" s="5"/>
      <c r="FZY192" s="5"/>
      <c r="FZZ192" s="5"/>
      <c r="GAA192" s="5"/>
      <c r="GAB192" s="5"/>
      <c r="GAC192" s="5"/>
      <c r="GAD192" s="5"/>
      <c r="GAE192" s="5"/>
      <c r="GAF192" s="5"/>
      <c r="GAG192" s="5"/>
      <c r="GAH192" s="5"/>
      <c r="GAI192" s="5"/>
      <c r="GAJ192" s="5"/>
      <c r="GAK192" s="5"/>
      <c r="GAL192" s="5"/>
      <c r="GAM192" s="5"/>
      <c r="GAN192" s="5"/>
      <c r="GAO192" s="5"/>
      <c r="GAP192" s="5"/>
      <c r="GAQ192" s="5"/>
      <c r="GAR192" s="5"/>
      <c r="GAS192" s="5"/>
      <c r="GAT192" s="5"/>
      <c r="GAU192" s="5"/>
      <c r="GAV192" s="5"/>
      <c r="GAW192" s="5"/>
      <c r="GAX192" s="5"/>
      <c r="GAY192" s="5"/>
      <c r="GAZ192" s="5"/>
      <c r="GBA192" s="5"/>
      <c r="GBB192" s="5"/>
      <c r="GBC192" s="5"/>
      <c r="GBD192" s="5"/>
      <c r="GBE192" s="5"/>
      <c r="GBF192" s="5"/>
      <c r="GBG192" s="5"/>
      <c r="GBH192" s="5"/>
      <c r="GBI192" s="5"/>
      <c r="GBJ192" s="5"/>
      <c r="GBK192" s="5"/>
      <c r="GBL192" s="5"/>
      <c r="GBM192" s="5"/>
      <c r="GBN192" s="5"/>
      <c r="GBO192" s="5"/>
      <c r="GBP192" s="5"/>
      <c r="GBQ192" s="5"/>
      <c r="GBR192" s="5"/>
      <c r="GBS192" s="5"/>
      <c r="GBT192" s="5"/>
      <c r="GBU192" s="5"/>
      <c r="GBV192" s="5"/>
      <c r="GBW192" s="5"/>
      <c r="GBX192" s="5"/>
      <c r="GBY192" s="5"/>
      <c r="GBZ192" s="5"/>
      <c r="GCA192" s="5"/>
      <c r="GCB192" s="5"/>
      <c r="GCC192" s="5"/>
      <c r="GCD192" s="5"/>
      <c r="GCE192" s="5"/>
      <c r="GCF192" s="5"/>
      <c r="GCG192" s="5"/>
      <c r="GCH192" s="5"/>
      <c r="GCI192" s="5"/>
      <c r="GCJ192" s="5"/>
      <c r="GCK192" s="5"/>
      <c r="GCL192" s="5"/>
      <c r="GCM192" s="5"/>
      <c r="GCN192" s="5"/>
      <c r="GCO192" s="5"/>
      <c r="GCP192" s="5"/>
      <c r="GCQ192" s="5"/>
      <c r="GCR192" s="5"/>
      <c r="GCS192" s="5"/>
      <c r="GCT192" s="5"/>
      <c r="GCU192" s="5"/>
      <c r="GCV192" s="5"/>
      <c r="GCW192" s="5"/>
      <c r="GCX192" s="5"/>
      <c r="GCY192" s="5"/>
      <c r="GCZ192" s="5"/>
      <c r="GDA192" s="5"/>
      <c r="GDB192" s="5"/>
      <c r="GDC192" s="5"/>
      <c r="GDD192" s="5"/>
      <c r="GDE192" s="5"/>
      <c r="GDF192" s="5"/>
      <c r="GDG192" s="5"/>
      <c r="GDH192" s="5"/>
      <c r="GDI192" s="5"/>
      <c r="GDJ192" s="5"/>
      <c r="GDK192" s="5"/>
      <c r="GDL192" s="5"/>
      <c r="GDM192" s="5"/>
      <c r="GDN192" s="5"/>
      <c r="GDO192" s="5"/>
      <c r="GDP192" s="5"/>
      <c r="GDQ192" s="5"/>
      <c r="GDR192" s="5"/>
      <c r="GDS192" s="5"/>
      <c r="GDT192" s="5"/>
      <c r="GDU192" s="5"/>
      <c r="GDV192" s="5"/>
      <c r="GDW192" s="5"/>
      <c r="GDX192" s="5"/>
      <c r="GDY192" s="5"/>
      <c r="GDZ192" s="5"/>
      <c r="GEA192" s="5"/>
      <c r="GEB192" s="5"/>
      <c r="GEC192" s="5"/>
      <c r="GED192" s="5"/>
      <c r="GEE192" s="5"/>
      <c r="GEF192" s="5"/>
      <c r="GEG192" s="5"/>
      <c r="GEH192" s="5"/>
      <c r="GEI192" s="5"/>
      <c r="GEJ192" s="5"/>
      <c r="GEK192" s="5"/>
      <c r="GEL192" s="5"/>
      <c r="GEM192" s="5"/>
      <c r="GEN192" s="5"/>
      <c r="GEO192" s="5"/>
      <c r="GEP192" s="5"/>
      <c r="GEQ192" s="5"/>
      <c r="GER192" s="5"/>
      <c r="GES192" s="5"/>
      <c r="GET192" s="5"/>
      <c r="GEU192" s="5"/>
      <c r="GEV192" s="5"/>
      <c r="GEW192" s="5"/>
      <c r="GEX192" s="5"/>
      <c r="GEY192" s="5"/>
      <c r="GEZ192" s="5"/>
      <c r="GFA192" s="5"/>
      <c r="GFB192" s="5"/>
      <c r="GFC192" s="5"/>
      <c r="GFD192" s="5"/>
      <c r="GFE192" s="5"/>
      <c r="GFF192" s="5"/>
      <c r="GFG192" s="5"/>
      <c r="GFH192" s="5"/>
      <c r="GFI192" s="5"/>
      <c r="GFJ192" s="5"/>
      <c r="GFK192" s="5"/>
      <c r="GFL192" s="5"/>
      <c r="GFM192" s="5"/>
      <c r="GFN192" s="5"/>
      <c r="GFO192" s="5"/>
      <c r="GFP192" s="5"/>
      <c r="GFQ192" s="5"/>
      <c r="GFR192" s="5"/>
      <c r="GFS192" s="5"/>
      <c r="GFT192" s="5"/>
      <c r="GFU192" s="5"/>
      <c r="GFV192" s="5"/>
      <c r="GFW192" s="5"/>
      <c r="GFX192" s="5"/>
      <c r="GFY192" s="5"/>
      <c r="GFZ192" s="5"/>
      <c r="GGA192" s="5"/>
      <c r="GGB192" s="5"/>
      <c r="GGC192" s="5"/>
      <c r="GGD192" s="5"/>
      <c r="GGE192" s="5"/>
      <c r="GGF192" s="5"/>
      <c r="GGG192" s="5"/>
      <c r="GGH192" s="5"/>
      <c r="GGI192" s="5"/>
      <c r="GGJ192" s="5"/>
      <c r="GGK192" s="5"/>
      <c r="GGL192" s="5"/>
      <c r="GGM192" s="5"/>
      <c r="GGN192" s="5"/>
      <c r="GGO192" s="5"/>
      <c r="GGP192" s="5"/>
      <c r="GGQ192" s="5"/>
      <c r="GGR192" s="5"/>
      <c r="GGS192" s="5"/>
      <c r="GGT192" s="5"/>
      <c r="GGU192" s="5"/>
      <c r="GGV192" s="5"/>
      <c r="GGW192" s="5"/>
      <c r="GGX192" s="5"/>
      <c r="GGY192" s="5"/>
      <c r="GGZ192" s="5"/>
      <c r="GHA192" s="5"/>
      <c r="GHB192" s="5"/>
      <c r="GHC192" s="5"/>
      <c r="GHD192" s="5"/>
      <c r="GHE192" s="5"/>
      <c r="GHF192" s="5"/>
      <c r="GHG192" s="5"/>
      <c r="GHH192" s="5"/>
      <c r="GHI192" s="5"/>
      <c r="GHJ192" s="5"/>
      <c r="GHK192" s="5"/>
      <c r="GHL192" s="5"/>
      <c r="GHM192" s="5"/>
      <c r="GHN192" s="5"/>
      <c r="GHO192" s="5"/>
      <c r="GHP192" s="5"/>
      <c r="GHQ192" s="5"/>
      <c r="GHR192" s="5"/>
      <c r="GHS192" s="5"/>
      <c r="GHT192" s="5"/>
      <c r="GHU192" s="5"/>
      <c r="GHV192" s="5"/>
      <c r="GHW192" s="5"/>
      <c r="GHX192" s="5"/>
      <c r="GHY192" s="5"/>
      <c r="GHZ192" s="5"/>
      <c r="GIA192" s="5"/>
      <c r="GIB192" s="5"/>
      <c r="GIC192" s="5"/>
      <c r="GID192" s="5"/>
      <c r="GIE192" s="5"/>
      <c r="GIF192" s="5"/>
      <c r="GIG192" s="5"/>
      <c r="GIH192" s="5"/>
      <c r="GII192" s="5"/>
      <c r="GIJ192" s="5"/>
      <c r="GIK192" s="5"/>
      <c r="GIL192" s="5"/>
      <c r="GIM192" s="5"/>
      <c r="GIN192" s="5"/>
      <c r="GIO192" s="5"/>
      <c r="GIP192" s="5"/>
      <c r="GIQ192" s="5"/>
      <c r="GIR192" s="5"/>
      <c r="GIS192" s="5"/>
      <c r="GIT192" s="5"/>
      <c r="GIU192" s="5"/>
      <c r="GIV192" s="5"/>
      <c r="GIW192" s="5"/>
      <c r="GIX192" s="5"/>
      <c r="GIY192" s="5"/>
      <c r="GIZ192" s="5"/>
      <c r="GJA192" s="5"/>
      <c r="GJB192" s="5"/>
      <c r="GJC192" s="5"/>
      <c r="GJD192" s="5"/>
      <c r="GJE192" s="5"/>
      <c r="GJF192" s="5"/>
      <c r="GJG192" s="5"/>
      <c r="GJH192" s="5"/>
      <c r="GJI192" s="5"/>
      <c r="GJJ192" s="5"/>
      <c r="GJK192" s="5"/>
      <c r="GJL192" s="5"/>
      <c r="GJM192" s="5"/>
      <c r="GJN192" s="5"/>
      <c r="GJO192" s="5"/>
      <c r="GJP192" s="5"/>
      <c r="GJQ192" s="5"/>
      <c r="GJR192" s="5"/>
      <c r="GJS192" s="5"/>
      <c r="GJT192" s="5"/>
      <c r="GJU192" s="5"/>
      <c r="GJV192" s="5"/>
      <c r="GJW192" s="5"/>
      <c r="GJX192" s="5"/>
      <c r="GJY192" s="5"/>
      <c r="GJZ192" s="5"/>
      <c r="GKA192" s="5"/>
      <c r="GKB192" s="5"/>
      <c r="GKC192" s="5"/>
      <c r="GKD192" s="5"/>
      <c r="GKE192" s="5"/>
      <c r="GKF192" s="5"/>
      <c r="GKG192" s="5"/>
      <c r="GKH192" s="5"/>
      <c r="GKI192" s="5"/>
      <c r="GKJ192" s="5"/>
      <c r="GKK192" s="5"/>
      <c r="GKL192" s="5"/>
      <c r="GKM192" s="5"/>
      <c r="GKN192" s="5"/>
      <c r="GKO192" s="5"/>
      <c r="GKP192" s="5"/>
      <c r="GKQ192" s="5"/>
      <c r="GKR192" s="5"/>
      <c r="GKS192" s="5"/>
      <c r="GKT192" s="5"/>
      <c r="GKU192" s="5"/>
      <c r="GKV192" s="5"/>
      <c r="GKW192" s="5"/>
      <c r="GKX192" s="5"/>
      <c r="GKY192" s="5"/>
      <c r="GKZ192" s="5"/>
      <c r="GLA192" s="5"/>
      <c r="GLB192" s="5"/>
      <c r="GLC192" s="5"/>
      <c r="GLD192" s="5"/>
      <c r="GLE192" s="5"/>
      <c r="GLF192" s="5"/>
      <c r="GLG192" s="5"/>
      <c r="GLH192" s="5"/>
      <c r="GLI192" s="5"/>
      <c r="GLJ192" s="5"/>
      <c r="GLK192" s="5"/>
      <c r="GLL192" s="5"/>
      <c r="GLM192" s="5"/>
      <c r="GLN192" s="5"/>
      <c r="GLO192" s="5"/>
      <c r="GLP192" s="5"/>
      <c r="GLQ192" s="5"/>
      <c r="GLR192" s="5"/>
      <c r="GLS192" s="5"/>
      <c r="GLT192" s="5"/>
      <c r="GLU192" s="5"/>
      <c r="GLV192" s="5"/>
      <c r="GLW192" s="5"/>
      <c r="GLX192" s="5"/>
      <c r="GLY192" s="5"/>
      <c r="GLZ192" s="5"/>
      <c r="GMA192" s="5"/>
      <c r="GMB192" s="5"/>
      <c r="GMC192" s="5"/>
      <c r="GMD192" s="5"/>
      <c r="GME192" s="5"/>
      <c r="GMF192" s="5"/>
      <c r="GMG192" s="5"/>
      <c r="GMH192" s="5"/>
      <c r="GMI192" s="5"/>
      <c r="GMJ192" s="5"/>
      <c r="GMK192" s="5"/>
      <c r="GML192" s="5"/>
      <c r="GMM192" s="5"/>
      <c r="GMN192" s="5"/>
      <c r="GMO192" s="5"/>
      <c r="GMP192" s="5"/>
      <c r="GMQ192" s="5"/>
      <c r="GMR192" s="5"/>
      <c r="GMS192" s="5"/>
      <c r="GMT192" s="5"/>
      <c r="GMU192" s="5"/>
      <c r="GMV192" s="5"/>
      <c r="GMW192" s="5"/>
      <c r="GMX192" s="5"/>
      <c r="GMY192" s="5"/>
      <c r="GMZ192" s="5"/>
      <c r="GNA192" s="5"/>
      <c r="GNB192" s="5"/>
      <c r="GNC192" s="5"/>
      <c r="GND192" s="5"/>
      <c r="GNE192" s="5"/>
      <c r="GNF192" s="5"/>
      <c r="GNG192" s="5"/>
      <c r="GNH192" s="5"/>
      <c r="GNI192" s="5"/>
      <c r="GNJ192" s="5"/>
      <c r="GNK192" s="5"/>
      <c r="GNL192" s="5"/>
      <c r="GNM192" s="5"/>
      <c r="GNN192" s="5"/>
      <c r="GNO192" s="5"/>
      <c r="GNP192" s="5"/>
      <c r="GNQ192" s="5"/>
      <c r="GNR192" s="5"/>
      <c r="GNS192" s="5"/>
      <c r="GNT192" s="5"/>
      <c r="GNU192" s="5"/>
      <c r="GNV192" s="5"/>
      <c r="GNW192" s="5"/>
      <c r="GNX192" s="5"/>
      <c r="GNY192" s="5"/>
      <c r="GNZ192" s="5"/>
      <c r="GOA192" s="5"/>
      <c r="GOB192" s="5"/>
      <c r="GOC192" s="5"/>
      <c r="GOD192" s="5"/>
      <c r="GOE192" s="5"/>
      <c r="GOF192" s="5"/>
      <c r="GOG192" s="5"/>
      <c r="GOH192" s="5"/>
      <c r="GOI192" s="5"/>
      <c r="GOJ192" s="5"/>
      <c r="GOK192" s="5"/>
      <c r="GOL192" s="5"/>
      <c r="GOM192" s="5"/>
      <c r="GON192" s="5"/>
      <c r="GOO192" s="5"/>
      <c r="GOP192" s="5"/>
      <c r="GOQ192" s="5"/>
      <c r="GOR192" s="5"/>
      <c r="GOS192" s="5"/>
      <c r="GOT192" s="5"/>
      <c r="GOU192" s="5"/>
      <c r="GOV192" s="5"/>
      <c r="GOW192" s="5"/>
      <c r="GOX192" s="5"/>
      <c r="GOY192" s="5"/>
      <c r="GOZ192" s="5"/>
      <c r="GPA192" s="5"/>
      <c r="GPB192" s="5"/>
      <c r="GPC192" s="5"/>
      <c r="GPD192" s="5"/>
      <c r="GPE192" s="5"/>
      <c r="GPF192" s="5"/>
      <c r="GPG192" s="5"/>
      <c r="GPH192" s="5"/>
      <c r="GPI192" s="5"/>
      <c r="GPJ192" s="5"/>
      <c r="GPK192" s="5"/>
      <c r="GPL192" s="5"/>
      <c r="GPM192" s="5"/>
      <c r="GPN192" s="5"/>
      <c r="GPO192" s="5"/>
      <c r="GPP192" s="5"/>
      <c r="GPQ192" s="5"/>
      <c r="GPR192" s="5"/>
      <c r="GPS192" s="5"/>
      <c r="GPT192" s="5"/>
      <c r="GPU192" s="5"/>
      <c r="GPV192" s="5"/>
      <c r="GPW192" s="5"/>
      <c r="GPX192" s="5"/>
      <c r="GPY192" s="5"/>
      <c r="GPZ192" s="5"/>
      <c r="GQA192" s="5"/>
      <c r="GQB192" s="5"/>
      <c r="GQC192" s="5"/>
      <c r="GQD192" s="5"/>
      <c r="GQE192" s="5"/>
      <c r="GQF192" s="5"/>
      <c r="GQG192" s="5"/>
      <c r="GQH192" s="5"/>
      <c r="GQI192" s="5"/>
      <c r="GQJ192" s="5"/>
      <c r="GQK192" s="5"/>
      <c r="GQL192" s="5"/>
      <c r="GQM192" s="5"/>
      <c r="GQN192" s="5"/>
      <c r="GQO192" s="5"/>
      <c r="GQP192" s="5"/>
      <c r="GQQ192" s="5"/>
      <c r="GQR192" s="5"/>
      <c r="GQS192" s="5"/>
      <c r="GQT192" s="5"/>
      <c r="GQU192" s="5"/>
      <c r="GQV192" s="5"/>
      <c r="GQW192" s="5"/>
      <c r="GQX192" s="5"/>
      <c r="GQY192" s="5"/>
      <c r="GQZ192" s="5"/>
      <c r="GRA192" s="5"/>
      <c r="GRB192" s="5"/>
      <c r="GRC192" s="5"/>
      <c r="GRD192" s="5"/>
      <c r="GRE192" s="5"/>
      <c r="GRF192" s="5"/>
      <c r="GRG192" s="5"/>
      <c r="GRH192" s="5"/>
      <c r="GRI192" s="5"/>
      <c r="GRJ192" s="5"/>
      <c r="GRK192" s="5"/>
      <c r="GRL192" s="5"/>
      <c r="GRM192" s="5"/>
      <c r="GRN192" s="5"/>
      <c r="GRO192" s="5"/>
      <c r="GRP192" s="5"/>
      <c r="GRQ192" s="5"/>
      <c r="GRR192" s="5"/>
      <c r="GRS192" s="5"/>
      <c r="GRT192" s="5"/>
      <c r="GRU192" s="5"/>
      <c r="GRV192" s="5"/>
      <c r="GRW192" s="5"/>
      <c r="GRX192" s="5"/>
      <c r="GRY192" s="5"/>
      <c r="GRZ192" s="5"/>
      <c r="GSA192" s="5"/>
      <c r="GSB192" s="5"/>
      <c r="GSC192" s="5"/>
      <c r="GSD192" s="5"/>
      <c r="GSE192" s="5"/>
      <c r="GSF192" s="5"/>
      <c r="GSG192" s="5"/>
      <c r="GSH192" s="5"/>
      <c r="GSI192" s="5"/>
      <c r="GSJ192" s="5"/>
      <c r="GSK192" s="5"/>
      <c r="GSL192" s="5"/>
      <c r="GSM192" s="5"/>
      <c r="GSN192" s="5"/>
      <c r="GSO192" s="5"/>
      <c r="GSP192" s="5"/>
      <c r="GSQ192" s="5"/>
      <c r="GSR192" s="5"/>
      <c r="GSS192" s="5"/>
      <c r="GST192" s="5"/>
      <c r="GSU192" s="5"/>
      <c r="GSV192" s="5"/>
      <c r="GSW192" s="5"/>
      <c r="GSX192" s="5"/>
      <c r="GSY192" s="5"/>
      <c r="GSZ192" s="5"/>
      <c r="GTA192" s="5"/>
      <c r="GTB192" s="5"/>
      <c r="GTC192" s="5"/>
      <c r="GTD192" s="5"/>
      <c r="GTE192" s="5"/>
      <c r="GTF192" s="5"/>
      <c r="GTG192" s="5"/>
      <c r="GTH192" s="5"/>
      <c r="GTI192" s="5"/>
      <c r="GTJ192" s="5"/>
      <c r="GTK192" s="5"/>
      <c r="GTL192" s="5"/>
      <c r="GTM192" s="5"/>
      <c r="GTN192" s="5"/>
      <c r="GTO192" s="5"/>
      <c r="GTP192" s="5"/>
      <c r="GTQ192" s="5"/>
      <c r="GTR192" s="5"/>
      <c r="GTS192" s="5"/>
      <c r="GTT192" s="5"/>
      <c r="GTU192" s="5"/>
      <c r="GTV192" s="5"/>
      <c r="GTW192" s="5"/>
      <c r="GTX192" s="5"/>
      <c r="GTY192" s="5"/>
      <c r="GTZ192" s="5"/>
      <c r="GUA192" s="5"/>
      <c r="GUB192" s="5"/>
      <c r="GUC192" s="5"/>
      <c r="GUD192" s="5"/>
      <c r="GUE192" s="5"/>
      <c r="GUF192" s="5"/>
      <c r="GUG192" s="5"/>
      <c r="GUH192" s="5"/>
      <c r="GUI192" s="5"/>
      <c r="GUJ192" s="5"/>
      <c r="GUK192" s="5"/>
      <c r="GUL192" s="5"/>
      <c r="GUM192" s="5"/>
      <c r="GUN192" s="5"/>
      <c r="GUO192" s="5"/>
      <c r="GUP192" s="5"/>
      <c r="GUQ192" s="5"/>
      <c r="GUR192" s="5"/>
      <c r="GUS192" s="5"/>
      <c r="GUT192" s="5"/>
      <c r="GUU192" s="5"/>
      <c r="GUV192" s="5"/>
      <c r="GUW192" s="5"/>
      <c r="GUX192" s="5"/>
      <c r="GUY192" s="5"/>
      <c r="GUZ192" s="5"/>
      <c r="GVA192" s="5"/>
      <c r="GVB192" s="5"/>
      <c r="GVC192" s="5"/>
      <c r="GVD192" s="5"/>
      <c r="GVE192" s="5"/>
      <c r="GVF192" s="5"/>
      <c r="GVG192" s="5"/>
      <c r="GVH192" s="5"/>
      <c r="GVI192" s="5"/>
      <c r="GVJ192" s="5"/>
      <c r="GVK192" s="5"/>
      <c r="GVL192" s="5"/>
      <c r="GVM192" s="5"/>
      <c r="GVN192" s="5"/>
      <c r="GVO192" s="5"/>
      <c r="GVP192" s="5"/>
      <c r="GVQ192" s="5"/>
      <c r="GVR192" s="5"/>
      <c r="GVS192" s="5"/>
      <c r="GVT192" s="5"/>
      <c r="GVU192" s="5"/>
      <c r="GVV192" s="5"/>
      <c r="GVW192" s="5"/>
      <c r="GVX192" s="5"/>
      <c r="GVY192" s="5"/>
      <c r="GVZ192" s="5"/>
      <c r="GWA192" s="5"/>
      <c r="GWB192" s="5"/>
      <c r="GWC192" s="5"/>
      <c r="GWD192" s="5"/>
      <c r="GWE192" s="5"/>
      <c r="GWF192" s="5"/>
      <c r="GWG192" s="5"/>
      <c r="GWH192" s="5"/>
      <c r="GWI192" s="5"/>
      <c r="GWJ192" s="5"/>
      <c r="GWK192" s="5"/>
      <c r="GWL192" s="5"/>
      <c r="GWM192" s="5"/>
      <c r="GWN192" s="5"/>
      <c r="GWO192" s="5"/>
      <c r="GWP192" s="5"/>
      <c r="GWQ192" s="5"/>
      <c r="GWR192" s="5"/>
      <c r="GWS192" s="5"/>
      <c r="GWT192" s="5"/>
      <c r="GWU192" s="5"/>
      <c r="GWV192" s="5"/>
      <c r="GWW192" s="5"/>
      <c r="GWX192" s="5"/>
      <c r="GWY192" s="5"/>
      <c r="GWZ192" s="5"/>
      <c r="GXA192" s="5"/>
      <c r="GXB192" s="5"/>
      <c r="GXC192" s="5"/>
      <c r="GXD192" s="5"/>
      <c r="GXE192" s="5"/>
      <c r="GXF192" s="5"/>
      <c r="GXG192" s="5"/>
      <c r="GXH192" s="5"/>
      <c r="GXI192" s="5"/>
      <c r="GXJ192" s="5"/>
      <c r="GXK192" s="5"/>
      <c r="GXL192" s="5"/>
      <c r="GXM192" s="5"/>
      <c r="GXN192" s="5"/>
      <c r="GXO192" s="5"/>
      <c r="GXP192" s="5"/>
      <c r="GXQ192" s="5"/>
      <c r="GXR192" s="5"/>
      <c r="GXS192" s="5"/>
      <c r="GXT192" s="5"/>
      <c r="GXU192" s="5"/>
      <c r="GXV192" s="5"/>
      <c r="GXW192" s="5"/>
      <c r="GXX192" s="5"/>
      <c r="GXY192" s="5"/>
      <c r="GXZ192" s="5"/>
      <c r="GYA192" s="5"/>
      <c r="GYB192" s="5"/>
      <c r="GYC192" s="5"/>
      <c r="GYD192" s="5"/>
      <c r="GYE192" s="5"/>
      <c r="GYF192" s="5"/>
      <c r="GYG192" s="5"/>
      <c r="GYH192" s="5"/>
      <c r="GYI192" s="5"/>
      <c r="GYJ192" s="5"/>
      <c r="GYK192" s="5"/>
      <c r="GYL192" s="5"/>
      <c r="GYM192" s="5"/>
      <c r="GYN192" s="5"/>
      <c r="GYO192" s="5"/>
      <c r="GYP192" s="5"/>
      <c r="GYQ192" s="5"/>
      <c r="GYR192" s="5"/>
      <c r="GYS192" s="5"/>
      <c r="GYT192" s="5"/>
      <c r="GYU192" s="5"/>
      <c r="GYV192" s="5"/>
      <c r="GYW192" s="5"/>
      <c r="GYX192" s="5"/>
      <c r="GYY192" s="5"/>
      <c r="GYZ192" s="5"/>
      <c r="GZA192" s="5"/>
      <c r="GZB192" s="5"/>
      <c r="GZC192" s="5"/>
      <c r="GZD192" s="5"/>
      <c r="GZE192" s="5"/>
      <c r="GZF192" s="5"/>
      <c r="GZG192" s="5"/>
      <c r="GZH192" s="5"/>
      <c r="GZI192" s="5"/>
      <c r="GZJ192" s="5"/>
      <c r="GZK192" s="5"/>
      <c r="GZL192" s="5"/>
      <c r="GZM192" s="5"/>
      <c r="GZN192" s="5"/>
      <c r="GZO192" s="5"/>
      <c r="GZP192" s="5"/>
      <c r="GZQ192" s="5"/>
      <c r="GZR192" s="5"/>
      <c r="GZS192" s="5"/>
      <c r="GZT192" s="5"/>
      <c r="GZU192" s="5"/>
      <c r="GZV192" s="5"/>
      <c r="GZW192" s="5"/>
      <c r="GZX192" s="5"/>
      <c r="GZY192" s="5"/>
      <c r="GZZ192" s="5"/>
      <c r="HAA192" s="5"/>
      <c r="HAB192" s="5"/>
      <c r="HAC192" s="5"/>
      <c r="HAD192" s="5"/>
      <c r="HAE192" s="5"/>
      <c r="HAF192" s="5"/>
      <c r="HAG192" s="5"/>
      <c r="HAH192" s="5"/>
      <c r="HAI192" s="5"/>
      <c r="HAJ192" s="5"/>
      <c r="HAK192" s="5"/>
      <c r="HAL192" s="5"/>
      <c r="HAM192" s="5"/>
      <c r="HAN192" s="5"/>
      <c r="HAO192" s="5"/>
      <c r="HAP192" s="5"/>
      <c r="HAQ192" s="5"/>
      <c r="HAR192" s="5"/>
      <c r="HAS192" s="5"/>
      <c r="HAT192" s="5"/>
      <c r="HAU192" s="5"/>
      <c r="HAV192" s="5"/>
      <c r="HAW192" s="5"/>
      <c r="HAX192" s="5"/>
      <c r="HAY192" s="5"/>
      <c r="HAZ192" s="5"/>
      <c r="HBA192" s="5"/>
      <c r="HBB192" s="5"/>
      <c r="HBC192" s="5"/>
      <c r="HBD192" s="5"/>
      <c r="HBE192" s="5"/>
      <c r="HBF192" s="5"/>
      <c r="HBG192" s="5"/>
      <c r="HBH192" s="5"/>
      <c r="HBI192" s="5"/>
      <c r="HBJ192" s="5"/>
      <c r="HBK192" s="5"/>
      <c r="HBL192" s="5"/>
      <c r="HBM192" s="5"/>
      <c r="HBN192" s="5"/>
      <c r="HBO192" s="5"/>
      <c r="HBP192" s="5"/>
      <c r="HBQ192" s="5"/>
      <c r="HBR192" s="5"/>
      <c r="HBS192" s="5"/>
      <c r="HBT192" s="5"/>
      <c r="HBU192" s="5"/>
      <c r="HBV192" s="5"/>
      <c r="HBW192" s="5"/>
      <c r="HBX192" s="5"/>
      <c r="HBY192" s="5"/>
      <c r="HBZ192" s="5"/>
      <c r="HCA192" s="5"/>
      <c r="HCB192" s="5"/>
      <c r="HCC192" s="5"/>
      <c r="HCD192" s="5"/>
      <c r="HCE192" s="5"/>
      <c r="HCF192" s="5"/>
      <c r="HCG192" s="5"/>
      <c r="HCH192" s="5"/>
      <c r="HCI192" s="5"/>
      <c r="HCJ192" s="5"/>
      <c r="HCK192" s="5"/>
      <c r="HCL192" s="5"/>
      <c r="HCM192" s="5"/>
      <c r="HCN192" s="5"/>
      <c r="HCO192" s="5"/>
      <c r="HCP192" s="5"/>
      <c r="HCQ192" s="5"/>
      <c r="HCR192" s="5"/>
      <c r="HCS192" s="5"/>
      <c r="HCT192" s="5"/>
      <c r="HCU192" s="5"/>
      <c r="HCV192" s="5"/>
      <c r="HCW192" s="5"/>
      <c r="HCX192" s="5"/>
      <c r="HCY192" s="5"/>
      <c r="HCZ192" s="5"/>
      <c r="HDA192" s="5"/>
      <c r="HDB192" s="5"/>
      <c r="HDC192" s="5"/>
      <c r="HDD192" s="5"/>
      <c r="HDE192" s="5"/>
      <c r="HDF192" s="5"/>
      <c r="HDG192" s="5"/>
      <c r="HDH192" s="5"/>
      <c r="HDI192" s="5"/>
      <c r="HDJ192" s="5"/>
      <c r="HDK192" s="5"/>
      <c r="HDL192" s="5"/>
      <c r="HDM192" s="5"/>
      <c r="HDN192" s="5"/>
      <c r="HDO192" s="5"/>
      <c r="HDP192" s="5"/>
      <c r="HDQ192" s="5"/>
      <c r="HDR192" s="5"/>
      <c r="HDS192" s="5"/>
      <c r="HDT192" s="5"/>
      <c r="HDU192" s="5"/>
      <c r="HDV192" s="5"/>
      <c r="HDW192" s="5"/>
      <c r="HDX192" s="5"/>
      <c r="HDY192" s="5"/>
      <c r="HDZ192" s="5"/>
      <c r="HEA192" s="5"/>
      <c r="HEB192" s="5"/>
      <c r="HEC192" s="5"/>
      <c r="HED192" s="5"/>
      <c r="HEE192" s="5"/>
      <c r="HEF192" s="5"/>
      <c r="HEG192" s="5"/>
      <c r="HEH192" s="5"/>
      <c r="HEI192" s="5"/>
      <c r="HEJ192" s="5"/>
      <c r="HEK192" s="5"/>
      <c r="HEL192" s="5"/>
      <c r="HEM192" s="5"/>
      <c r="HEN192" s="5"/>
      <c r="HEO192" s="5"/>
      <c r="HEP192" s="5"/>
      <c r="HEQ192" s="5"/>
      <c r="HER192" s="5"/>
      <c r="HES192" s="5"/>
      <c r="HET192" s="5"/>
      <c r="HEU192" s="5"/>
      <c r="HEV192" s="5"/>
      <c r="HEW192" s="5"/>
      <c r="HEX192" s="5"/>
      <c r="HEY192" s="5"/>
      <c r="HEZ192" s="5"/>
      <c r="HFA192" s="5"/>
      <c r="HFB192" s="5"/>
      <c r="HFC192" s="5"/>
      <c r="HFD192" s="5"/>
      <c r="HFE192" s="5"/>
      <c r="HFF192" s="5"/>
      <c r="HFG192" s="5"/>
      <c r="HFH192" s="5"/>
      <c r="HFI192" s="5"/>
      <c r="HFJ192" s="5"/>
      <c r="HFK192" s="5"/>
      <c r="HFL192" s="5"/>
      <c r="HFM192" s="5"/>
      <c r="HFN192" s="5"/>
      <c r="HFO192" s="5"/>
      <c r="HFP192" s="5"/>
      <c r="HFQ192" s="5"/>
      <c r="HFR192" s="5"/>
      <c r="HFS192" s="5"/>
      <c r="HFT192" s="5"/>
      <c r="HFU192" s="5"/>
      <c r="HFV192" s="5"/>
      <c r="HFW192" s="5"/>
      <c r="HFX192" s="5"/>
      <c r="HFY192" s="5"/>
      <c r="HFZ192" s="5"/>
      <c r="HGA192" s="5"/>
      <c r="HGB192" s="5"/>
      <c r="HGC192" s="5"/>
      <c r="HGD192" s="5"/>
      <c r="HGE192" s="5"/>
      <c r="HGF192" s="5"/>
      <c r="HGG192" s="5"/>
      <c r="HGH192" s="5"/>
      <c r="HGI192" s="5"/>
      <c r="HGJ192" s="5"/>
      <c r="HGK192" s="5"/>
      <c r="HGL192" s="5"/>
      <c r="HGM192" s="5"/>
      <c r="HGN192" s="5"/>
      <c r="HGO192" s="5"/>
      <c r="HGP192" s="5"/>
      <c r="HGQ192" s="5"/>
      <c r="HGR192" s="5"/>
      <c r="HGS192" s="5"/>
      <c r="HGT192" s="5"/>
      <c r="HGU192" s="5"/>
      <c r="HGV192" s="5"/>
      <c r="HGW192" s="5"/>
      <c r="HGX192" s="5"/>
      <c r="HGY192" s="5"/>
      <c r="HGZ192" s="5"/>
      <c r="HHA192" s="5"/>
      <c r="HHB192" s="5"/>
      <c r="HHC192" s="5"/>
      <c r="HHD192" s="5"/>
      <c r="HHE192" s="5"/>
      <c r="HHF192" s="5"/>
      <c r="HHG192" s="5"/>
      <c r="HHH192" s="5"/>
      <c r="HHI192" s="5"/>
      <c r="HHJ192" s="5"/>
      <c r="HHK192" s="5"/>
      <c r="HHL192" s="5"/>
      <c r="HHM192" s="5"/>
      <c r="HHN192" s="5"/>
      <c r="HHO192" s="5"/>
      <c r="HHP192" s="5"/>
      <c r="HHQ192" s="5"/>
      <c r="HHR192" s="5"/>
      <c r="HHS192" s="5"/>
      <c r="HHT192" s="5"/>
      <c r="HHU192" s="5"/>
      <c r="HHV192" s="5"/>
      <c r="HHW192" s="5"/>
      <c r="HHX192" s="5"/>
      <c r="HHY192" s="5"/>
      <c r="HHZ192" s="5"/>
      <c r="HIA192" s="5"/>
      <c r="HIB192" s="5"/>
      <c r="HIC192" s="5"/>
      <c r="HID192" s="5"/>
      <c r="HIE192" s="5"/>
      <c r="HIF192" s="5"/>
      <c r="HIG192" s="5"/>
      <c r="HIH192" s="5"/>
      <c r="HII192" s="5"/>
      <c r="HIJ192" s="5"/>
      <c r="HIK192" s="5"/>
      <c r="HIL192" s="5"/>
      <c r="HIM192" s="5"/>
      <c r="HIN192" s="5"/>
      <c r="HIO192" s="5"/>
      <c r="HIP192" s="5"/>
      <c r="HIQ192" s="5"/>
      <c r="HIR192" s="5"/>
      <c r="HIS192" s="5"/>
      <c r="HIT192" s="5"/>
      <c r="HIU192" s="5"/>
      <c r="HIV192" s="5"/>
      <c r="HIW192" s="5"/>
      <c r="HIX192" s="5"/>
      <c r="HIY192" s="5"/>
      <c r="HIZ192" s="5"/>
      <c r="HJA192" s="5"/>
      <c r="HJB192" s="5"/>
      <c r="HJC192" s="5"/>
      <c r="HJD192" s="5"/>
      <c r="HJE192" s="5"/>
      <c r="HJF192" s="5"/>
      <c r="HJG192" s="5"/>
      <c r="HJH192" s="5"/>
      <c r="HJI192" s="5"/>
      <c r="HJJ192" s="5"/>
      <c r="HJK192" s="5"/>
      <c r="HJL192" s="5"/>
      <c r="HJM192" s="5"/>
      <c r="HJN192" s="5"/>
      <c r="HJO192" s="5"/>
      <c r="HJP192" s="5"/>
      <c r="HJQ192" s="5"/>
      <c r="HJR192" s="5"/>
      <c r="HJS192" s="5"/>
      <c r="HJT192" s="5"/>
      <c r="HJU192" s="5"/>
      <c r="HJV192" s="5"/>
      <c r="HJW192" s="5"/>
      <c r="HJX192" s="5"/>
      <c r="HJY192" s="5"/>
      <c r="HJZ192" s="5"/>
      <c r="HKA192" s="5"/>
      <c r="HKB192" s="5"/>
      <c r="HKC192" s="5"/>
      <c r="HKD192" s="5"/>
      <c r="HKE192" s="5"/>
      <c r="HKF192" s="5"/>
      <c r="HKG192" s="5"/>
      <c r="HKH192" s="5"/>
      <c r="HKI192" s="5"/>
      <c r="HKJ192" s="5"/>
      <c r="HKK192" s="5"/>
      <c r="HKL192" s="5"/>
      <c r="HKM192" s="5"/>
      <c r="HKN192" s="5"/>
      <c r="HKO192" s="5"/>
      <c r="HKP192" s="5"/>
      <c r="HKQ192" s="5"/>
      <c r="HKR192" s="5"/>
      <c r="HKS192" s="5"/>
      <c r="HKT192" s="5"/>
      <c r="HKU192" s="5"/>
      <c r="HKV192" s="5"/>
      <c r="HKW192" s="5"/>
      <c r="HKX192" s="5"/>
      <c r="HKY192" s="5"/>
      <c r="HKZ192" s="5"/>
      <c r="HLA192" s="5"/>
      <c r="HLB192" s="5"/>
      <c r="HLC192" s="5"/>
      <c r="HLD192" s="5"/>
      <c r="HLE192" s="5"/>
      <c r="HLF192" s="5"/>
      <c r="HLG192" s="5"/>
      <c r="HLH192" s="5"/>
      <c r="HLI192" s="5"/>
      <c r="HLJ192" s="5"/>
      <c r="HLK192" s="5"/>
      <c r="HLL192" s="5"/>
      <c r="HLM192" s="5"/>
      <c r="HLN192" s="5"/>
      <c r="HLO192" s="5"/>
      <c r="HLP192" s="5"/>
      <c r="HLQ192" s="5"/>
      <c r="HLR192" s="5"/>
      <c r="HLS192" s="5"/>
      <c r="HLT192" s="5"/>
      <c r="HLU192" s="5"/>
      <c r="HLV192" s="5"/>
      <c r="HLW192" s="5"/>
      <c r="HLX192" s="5"/>
      <c r="HLY192" s="5"/>
      <c r="HLZ192" s="5"/>
      <c r="HMA192" s="5"/>
      <c r="HMB192" s="5"/>
      <c r="HMC192" s="5"/>
      <c r="HMD192" s="5"/>
      <c r="HME192" s="5"/>
      <c r="HMF192" s="5"/>
      <c r="HMG192" s="5"/>
      <c r="HMH192" s="5"/>
      <c r="HMI192" s="5"/>
      <c r="HMJ192" s="5"/>
      <c r="HMK192" s="5"/>
      <c r="HML192" s="5"/>
      <c r="HMM192" s="5"/>
      <c r="HMN192" s="5"/>
      <c r="HMO192" s="5"/>
      <c r="HMP192" s="5"/>
      <c r="HMQ192" s="5"/>
      <c r="HMR192" s="5"/>
      <c r="HMS192" s="5"/>
      <c r="HMT192" s="5"/>
      <c r="HMU192" s="5"/>
      <c r="HMV192" s="5"/>
      <c r="HMW192" s="5"/>
      <c r="HMX192" s="5"/>
      <c r="HMY192" s="5"/>
      <c r="HMZ192" s="5"/>
      <c r="HNA192" s="5"/>
      <c r="HNB192" s="5"/>
      <c r="HNC192" s="5"/>
      <c r="HND192" s="5"/>
      <c r="HNE192" s="5"/>
      <c r="HNF192" s="5"/>
      <c r="HNG192" s="5"/>
      <c r="HNH192" s="5"/>
      <c r="HNI192" s="5"/>
      <c r="HNJ192" s="5"/>
      <c r="HNK192" s="5"/>
      <c r="HNL192" s="5"/>
      <c r="HNM192" s="5"/>
      <c r="HNN192" s="5"/>
      <c r="HNO192" s="5"/>
      <c r="HNP192" s="5"/>
      <c r="HNQ192" s="5"/>
      <c r="HNR192" s="5"/>
      <c r="HNS192" s="5"/>
      <c r="HNT192" s="5"/>
      <c r="HNU192" s="5"/>
      <c r="HNV192" s="5"/>
      <c r="HNW192" s="5"/>
      <c r="HNX192" s="5"/>
      <c r="HNY192" s="5"/>
      <c r="HNZ192" s="5"/>
      <c r="HOA192" s="5"/>
      <c r="HOB192" s="5"/>
      <c r="HOC192" s="5"/>
      <c r="HOD192" s="5"/>
      <c r="HOE192" s="5"/>
      <c r="HOF192" s="5"/>
      <c r="HOG192" s="5"/>
      <c r="HOH192" s="5"/>
      <c r="HOI192" s="5"/>
      <c r="HOJ192" s="5"/>
      <c r="HOK192" s="5"/>
      <c r="HOL192" s="5"/>
      <c r="HOM192" s="5"/>
      <c r="HON192" s="5"/>
      <c r="HOO192" s="5"/>
      <c r="HOP192" s="5"/>
      <c r="HOQ192" s="5"/>
      <c r="HOR192" s="5"/>
      <c r="HOS192" s="5"/>
      <c r="HOT192" s="5"/>
      <c r="HOU192" s="5"/>
      <c r="HOV192" s="5"/>
      <c r="HOW192" s="5"/>
      <c r="HOX192" s="5"/>
      <c r="HOY192" s="5"/>
      <c r="HOZ192" s="5"/>
      <c r="HPA192" s="5"/>
      <c r="HPB192" s="5"/>
      <c r="HPC192" s="5"/>
      <c r="HPD192" s="5"/>
      <c r="HPE192" s="5"/>
      <c r="HPF192" s="5"/>
      <c r="HPG192" s="5"/>
      <c r="HPH192" s="5"/>
      <c r="HPI192" s="5"/>
      <c r="HPJ192" s="5"/>
      <c r="HPK192" s="5"/>
      <c r="HPL192" s="5"/>
      <c r="HPM192" s="5"/>
      <c r="HPN192" s="5"/>
      <c r="HPO192" s="5"/>
      <c r="HPP192" s="5"/>
      <c r="HPQ192" s="5"/>
      <c r="HPR192" s="5"/>
      <c r="HPS192" s="5"/>
      <c r="HPT192" s="5"/>
      <c r="HPU192" s="5"/>
      <c r="HPV192" s="5"/>
      <c r="HPW192" s="5"/>
      <c r="HPX192" s="5"/>
      <c r="HPY192" s="5"/>
      <c r="HPZ192" s="5"/>
      <c r="HQA192" s="5"/>
      <c r="HQB192" s="5"/>
      <c r="HQC192" s="5"/>
      <c r="HQD192" s="5"/>
      <c r="HQE192" s="5"/>
      <c r="HQF192" s="5"/>
      <c r="HQG192" s="5"/>
      <c r="HQH192" s="5"/>
      <c r="HQI192" s="5"/>
      <c r="HQJ192" s="5"/>
      <c r="HQK192" s="5"/>
      <c r="HQL192" s="5"/>
      <c r="HQM192" s="5"/>
      <c r="HQN192" s="5"/>
      <c r="HQO192" s="5"/>
      <c r="HQP192" s="5"/>
      <c r="HQQ192" s="5"/>
      <c r="HQR192" s="5"/>
      <c r="HQS192" s="5"/>
      <c r="HQT192" s="5"/>
      <c r="HQU192" s="5"/>
      <c r="HQV192" s="5"/>
      <c r="HQW192" s="5"/>
      <c r="HQX192" s="5"/>
      <c r="HQY192" s="5"/>
      <c r="HQZ192" s="5"/>
      <c r="HRA192" s="5"/>
      <c r="HRB192" s="5"/>
      <c r="HRC192" s="5"/>
      <c r="HRD192" s="5"/>
      <c r="HRE192" s="5"/>
      <c r="HRF192" s="5"/>
      <c r="HRG192" s="5"/>
      <c r="HRH192" s="5"/>
      <c r="HRI192" s="5"/>
      <c r="HRJ192" s="5"/>
      <c r="HRK192" s="5"/>
      <c r="HRL192" s="5"/>
      <c r="HRM192" s="5"/>
      <c r="HRN192" s="5"/>
      <c r="HRO192" s="5"/>
      <c r="HRP192" s="5"/>
      <c r="HRQ192" s="5"/>
      <c r="HRR192" s="5"/>
      <c r="HRS192" s="5"/>
      <c r="HRT192" s="5"/>
      <c r="HRU192" s="5"/>
      <c r="HRV192" s="5"/>
      <c r="HRW192" s="5"/>
      <c r="HRX192" s="5"/>
      <c r="HRY192" s="5"/>
      <c r="HRZ192" s="5"/>
      <c r="HSA192" s="5"/>
      <c r="HSB192" s="5"/>
      <c r="HSC192" s="5"/>
      <c r="HSD192" s="5"/>
      <c r="HSE192" s="5"/>
      <c r="HSF192" s="5"/>
      <c r="HSG192" s="5"/>
      <c r="HSH192" s="5"/>
      <c r="HSI192" s="5"/>
      <c r="HSJ192" s="5"/>
      <c r="HSK192" s="5"/>
      <c r="HSL192" s="5"/>
      <c r="HSM192" s="5"/>
      <c r="HSN192" s="5"/>
      <c r="HSO192" s="5"/>
      <c r="HSP192" s="5"/>
      <c r="HSQ192" s="5"/>
      <c r="HSR192" s="5"/>
      <c r="HSS192" s="5"/>
      <c r="HST192" s="5"/>
      <c r="HSU192" s="5"/>
      <c r="HSV192" s="5"/>
      <c r="HSW192" s="5"/>
      <c r="HSX192" s="5"/>
      <c r="HSY192" s="5"/>
      <c r="HSZ192" s="5"/>
      <c r="HTA192" s="5"/>
      <c r="HTB192" s="5"/>
      <c r="HTC192" s="5"/>
      <c r="HTD192" s="5"/>
      <c r="HTE192" s="5"/>
      <c r="HTF192" s="5"/>
      <c r="HTG192" s="5"/>
      <c r="HTH192" s="5"/>
      <c r="HTI192" s="5"/>
      <c r="HTJ192" s="5"/>
      <c r="HTK192" s="5"/>
      <c r="HTL192" s="5"/>
      <c r="HTM192" s="5"/>
      <c r="HTN192" s="5"/>
      <c r="HTO192" s="5"/>
      <c r="HTP192" s="5"/>
      <c r="HTQ192" s="5"/>
      <c r="HTR192" s="5"/>
      <c r="HTS192" s="5"/>
      <c r="HTT192" s="5"/>
      <c r="HTU192" s="5"/>
      <c r="HTV192" s="5"/>
      <c r="HTW192" s="5"/>
      <c r="HTX192" s="5"/>
      <c r="HTY192" s="5"/>
      <c r="HTZ192" s="5"/>
      <c r="HUA192" s="5"/>
      <c r="HUB192" s="5"/>
      <c r="HUC192" s="5"/>
      <c r="HUD192" s="5"/>
      <c r="HUE192" s="5"/>
      <c r="HUF192" s="5"/>
      <c r="HUG192" s="5"/>
      <c r="HUH192" s="5"/>
      <c r="HUI192" s="5"/>
      <c r="HUJ192" s="5"/>
      <c r="HUK192" s="5"/>
      <c r="HUL192" s="5"/>
      <c r="HUM192" s="5"/>
      <c r="HUN192" s="5"/>
      <c r="HUO192" s="5"/>
      <c r="HUP192" s="5"/>
      <c r="HUQ192" s="5"/>
      <c r="HUR192" s="5"/>
      <c r="HUS192" s="5"/>
      <c r="HUT192" s="5"/>
      <c r="HUU192" s="5"/>
      <c r="HUV192" s="5"/>
      <c r="HUW192" s="5"/>
      <c r="HUX192" s="5"/>
      <c r="HUY192" s="5"/>
      <c r="HUZ192" s="5"/>
      <c r="HVA192" s="5"/>
      <c r="HVB192" s="5"/>
      <c r="HVC192" s="5"/>
      <c r="HVD192" s="5"/>
      <c r="HVE192" s="5"/>
      <c r="HVF192" s="5"/>
      <c r="HVG192" s="5"/>
      <c r="HVH192" s="5"/>
      <c r="HVI192" s="5"/>
      <c r="HVJ192" s="5"/>
      <c r="HVK192" s="5"/>
      <c r="HVL192" s="5"/>
      <c r="HVM192" s="5"/>
      <c r="HVN192" s="5"/>
      <c r="HVO192" s="5"/>
      <c r="HVP192" s="5"/>
      <c r="HVQ192" s="5"/>
      <c r="HVR192" s="5"/>
      <c r="HVS192" s="5"/>
      <c r="HVT192" s="5"/>
      <c r="HVU192" s="5"/>
      <c r="HVV192" s="5"/>
      <c r="HVW192" s="5"/>
      <c r="HVX192" s="5"/>
      <c r="HVY192" s="5"/>
      <c r="HVZ192" s="5"/>
      <c r="HWA192" s="5"/>
      <c r="HWB192" s="5"/>
      <c r="HWC192" s="5"/>
      <c r="HWD192" s="5"/>
      <c r="HWE192" s="5"/>
      <c r="HWF192" s="5"/>
      <c r="HWG192" s="5"/>
      <c r="HWH192" s="5"/>
      <c r="HWI192" s="5"/>
      <c r="HWJ192" s="5"/>
      <c r="HWK192" s="5"/>
      <c r="HWL192" s="5"/>
      <c r="HWM192" s="5"/>
      <c r="HWN192" s="5"/>
      <c r="HWO192" s="5"/>
      <c r="HWP192" s="5"/>
      <c r="HWQ192" s="5"/>
      <c r="HWR192" s="5"/>
      <c r="HWS192" s="5"/>
      <c r="HWT192" s="5"/>
      <c r="HWU192" s="5"/>
      <c r="HWV192" s="5"/>
      <c r="HWW192" s="5"/>
      <c r="HWX192" s="5"/>
      <c r="HWY192" s="5"/>
      <c r="HWZ192" s="5"/>
      <c r="HXA192" s="5"/>
      <c r="HXB192" s="5"/>
      <c r="HXC192" s="5"/>
      <c r="HXD192" s="5"/>
      <c r="HXE192" s="5"/>
      <c r="HXF192" s="5"/>
      <c r="HXG192" s="5"/>
      <c r="HXH192" s="5"/>
      <c r="HXI192" s="5"/>
      <c r="HXJ192" s="5"/>
      <c r="HXK192" s="5"/>
      <c r="HXL192" s="5"/>
      <c r="HXM192" s="5"/>
      <c r="HXN192" s="5"/>
      <c r="HXO192" s="5"/>
      <c r="HXP192" s="5"/>
      <c r="HXQ192" s="5"/>
      <c r="HXR192" s="5"/>
      <c r="HXS192" s="5"/>
      <c r="HXT192" s="5"/>
      <c r="HXU192" s="5"/>
      <c r="HXV192" s="5"/>
      <c r="HXW192" s="5"/>
      <c r="HXX192" s="5"/>
      <c r="HXY192" s="5"/>
      <c r="HXZ192" s="5"/>
      <c r="HYA192" s="5"/>
      <c r="HYB192" s="5"/>
      <c r="HYC192" s="5"/>
      <c r="HYD192" s="5"/>
      <c r="HYE192" s="5"/>
      <c r="HYF192" s="5"/>
      <c r="HYG192" s="5"/>
      <c r="HYH192" s="5"/>
      <c r="HYI192" s="5"/>
      <c r="HYJ192" s="5"/>
      <c r="HYK192" s="5"/>
      <c r="HYL192" s="5"/>
      <c r="HYM192" s="5"/>
      <c r="HYN192" s="5"/>
      <c r="HYO192" s="5"/>
      <c r="HYP192" s="5"/>
      <c r="HYQ192" s="5"/>
      <c r="HYR192" s="5"/>
      <c r="HYS192" s="5"/>
      <c r="HYT192" s="5"/>
      <c r="HYU192" s="5"/>
      <c r="HYV192" s="5"/>
      <c r="HYW192" s="5"/>
      <c r="HYX192" s="5"/>
      <c r="HYY192" s="5"/>
      <c r="HYZ192" s="5"/>
      <c r="HZA192" s="5"/>
      <c r="HZB192" s="5"/>
      <c r="HZC192" s="5"/>
      <c r="HZD192" s="5"/>
      <c r="HZE192" s="5"/>
      <c r="HZF192" s="5"/>
      <c r="HZG192" s="5"/>
      <c r="HZH192" s="5"/>
      <c r="HZI192" s="5"/>
      <c r="HZJ192" s="5"/>
      <c r="HZK192" s="5"/>
      <c r="HZL192" s="5"/>
      <c r="HZM192" s="5"/>
      <c r="HZN192" s="5"/>
      <c r="HZO192" s="5"/>
      <c r="HZP192" s="5"/>
      <c r="HZQ192" s="5"/>
      <c r="HZR192" s="5"/>
      <c r="HZS192" s="5"/>
      <c r="HZT192" s="5"/>
      <c r="HZU192" s="5"/>
      <c r="HZV192" s="5"/>
      <c r="HZW192" s="5"/>
      <c r="HZX192" s="5"/>
      <c r="HZY192" s="5"/>
      <c r="HZZ192" s="5"/>
      <c r="IAA192" s="5"/>
      <c r="IAB192" s="5"/>
      <c r="IAC192" s="5"/>
      <c r="IAD192" s="5"/>
      <c r="IAE192" s="5"/>
      <c r="IAF192" s="5"/>
      <c r="IAG192" s="5"/>
      <c r="IAH192" s="5"/>
      <c r="IAI192" s="5"/>
      <c r="IAJ192" s="5"/>
      <c r="IAK192" s="5"/>
      <c r="IAL192" s="5"/>
      <c r="IAM192" s="5"/>
      <c r="IAN192" s="5"/>
      <c r="IAO192" s="5"/>
      <c r="IAP192" s="5"/>
      <c r="IAQ192" s="5"/>
      <c r="IAR192" s="5"/>
      <c r="IAS192" s="5"/>
      <c r="IAT192" s="5"/>
      <c r="IAU192" s="5"/>
      <c r="IAV192" s="5"/>
      <c r="IAW192" s="5"/>
      <c r="IAX192" s="5"/>
      <c r="IAY192" s="5"/>
      <c r="IAZ192" s="5"/>
      <c r="IBA192" s="5"/>
      <c r="IBB192" s="5"/>
      <c r="IBC192" s="5"/>
      <c r="IBD192" s="5"/>
      <c r="IBE192" s="5"/>
      <c r="IBF192" s="5"/>
      <c r="IBG192" s="5"/>
      <c r="IBH192" s="5"/>
      <c r="IBI192" s="5"/>
      <c r="IBJ192" s="5"/>
      <c r="IBK192" s="5"/>
      <c r="IBL192" s="5"/>
      <c r="IBM192" s="5"/>
      <c r="IBN192" s="5"/>
      <c r="IBO192" s="5"/>
      <c r="IBP192" s="5"/>
      <c r="IBQ192" s="5"/>
      <c r="IBR192" s="5"/>
      <c r="IBS192" s="5"/>
      <c r="IBT192" s="5"/>
      <c r="IBU192" s="5"/>
      <c r="IBV192" s="5"/>
      <c r="IBW192" s="5"/>
      <c r="IBX192" s="5"/>
      <c r="IBY192" s="5"/>
      <c r="IBZ192" s="5"/>
      <c r="ICA192" s="5"/>
      <c r="ICB192" s="5"/>
      <c r="ICC192" s="5"/>
      <c r="ICD192" s="5"/>
      <c r="ICE192" s="5"/>
      <c r="ICF192" s="5"/>
      <c r="ICG192" s="5"/>
      <c r="ICH192" s="5"/>
      <c r="ICI192" s="5"/>
      <c r="ICJ192" s="5"/>
      <c r="ICK192" s="5"/>
      <c r="ICL192" s="5"/>
      <c r="ICM192" s="5"/>
      <c r="ICN192" s="5"/>
      <c r="ICO192" s="5"/>
      <c r="ICP192" s="5"/>
      <c r="ICQ192" s="5"/>
      <c r="ICR192" s="5"/>
      <c r="ICS192" s="5"/>
      <c r="ICT192" s="5"/>
      <c r="ICU192" s="5"/>
      <c r="ICV192" s="5"/>
      <c r="ICW192" s="5"/>
      <c r="ICX192" s="5"/>
      <c r="ICY192" s="5"/>
      <c r="ICZ192" s="5"/>
      <c r="IDA192" s="5"/>
      <c r="IDB192" s="5"/>
      <c r="IDC192" s="5"/>
      <c r="IDD192" s="5"/>
      <c r="IDE192" s="5"/>
      <c r="IDF192" s="5"/>
      <c r="IDG192" s="5"/>
      <c r="IDH192" s="5"/>
      <c r="IDI192" s="5"/>
      <c r="IDJ192" s="5"/>
      <c r="IDK192" s="5"/>
      <c r="IDL192" s="5"/>
      <c r="IDM192" s="5"/>
      <c r="IDN192" s="5"/>
      <c r="IDO192" s="5"/>
      <c r="IDP192" s="5"/>
      <c r="IDQ192" s="5"/>
      <c r="IDR192" s="5"/>
      <c r="IDS192" s="5"/>
      <c r="IDT192" s="5"/>
      <c r="IDU192" s="5"/>
      <c r="IDV192" s="5"/>
      <c r="IDW192" s="5"/>
      <c r="IDX192" s="5"/>
      <c r="IDY192" s="5"/>
      <c r="IDZ192" s="5"/>
      <c r="IEA192" s="5"/>
      <c r="IEB192" s="5"/>
      <c r="IEC192" s="5"/>
      <c r="IED192" s="5"/>
      <c r="IEE192" s="5"/>
      <c r="IEF192" s="5"/>
      <c r="IEG192" s="5"/>
      <c r="IEH192" s="5"/>
      <c r="IEI192" s="5"/>
      <c r="IEJ192" s="5"/>
      <c r="IEK192" s="5"/>
      <c r="IEL192" s="5"/>
      <c r="IEM192" s="5"/>
      <c r="IEN192" s="5"/>
      <c r="IEO192" s="5"/>
      <c r="IEP192" s="5"/>
      <c r="IEQ192" s="5"/>
      <c r="IER192" s="5"/>
      <c r="IES192" s="5"/>
      <c r="IET192" s="5"/>
      <c r="IEU192" s="5"/>
      <c r="IEV192" s="5"/>
      <c r="IEW192" s="5"/>
      <c r="IEX192" s="5"/>
      <c r="IEY192" s="5"/>
      <c r="IEZ192" s="5"/>
      <c r="IFA192" s="5"/>
      <c r="IFB192" s="5"/>
      <c r="IFC192" s="5"/>
      <c r="IFD192" s="5"/>
      <c r="IFE192" s="5"/>
      <c r="IFF192" s="5"/>
      <c r="IFG192" s="5"/>
      <c r="IFH192" s="5"/>
      <c r="IFI192" s="5"/>
      <c r="IFJ192" s="5"/>
      <c r="IFK192" s="5"/>
      <c r="IFL192" s="5"/>
      <c r="IFM192" s="5"/>
      <c r="IFN192" s="5"/>
      <c r="IFO192" s="5"/>
      <c r="IFP192" s="5"/>
      <c r="IFQ192" s="5"/>
      <c r="IFR192" s="5"/>
      <c r="IFS192" s="5"/>
      <c r="IFT192" s="5"/>
      <c r="IFU192" s="5"/>
      <c r="IFV192" s="5"/>
      <c r="IFW192" s="5"/>
      <c r="IFX192" s="5"/>
      <c r="IFY192" s="5"/>
      <c r="IFZ192" s="5"/>
      <c r="IGA192" s="5"/>
      <c r="IGB192" s="5"/>
      <c r="IGC192" s="5"/>
      <c r="IGD192" s="5"/>
      <c r="IGE192" s="5"/>
      <c r="IGF192" s="5"/>
      <c r="IGG192" s="5"/>
      <c r="IGH192" s="5"/>
      <c r="IGI192" s="5"/>
      <c r="IGJ192" s="5"/>
      <c r="IGK192" s="5"/>
      <c r="IGL192" s="5"/>
      <c r="IGM192" s="5"/>
      <c r="IGN192" s="5"/>
      <c r="IGO192" s="5"/>
      <c r="IGP192" s="5"/>
      <c r="IGQ192" s="5"/>
      <c r="IGR192" s="5"/>
      <c r="IGS192" s="5"/>
      <c r="IGT192" s="5"/>
      <c r="IGU192" s="5"/>
      <c r="IGV192" s="5"/>
      <c r="IGW192" s="5"/>
      <c r="IGX192" s="5"/>
      <c r="IGY192" s="5"/>
      <c r="IGZ192" s="5"/>
      <c r="IHA192" s="5"/>
      <c r="IHB192" s="5"/>
      <c r="IHC192" s="5"/>
      <c r="IHD192" s="5"/>
      <c r="IHE192" s="5"/>
      <c r="IHF192" s="5"/>
      <c r="IHG192" s="5"/>
      <c r="IHH192" s="5"/>
      <c r="IHI192" s="5"/>
      <c r="IHJ192" s="5"/>
      <c r="IHK192" s="5"/>
      <c r="IHL192" s="5"/>
      <c r="IHM192" s="5"/>
      <c r="IHN192" s="5"/>
      <c r="IHO192" s="5"/>
      <c r="IHP192" s="5"/>
      <c r="IHQ192" s="5"/>
      <c r="IHR192" s="5"/>
      <c r="IHS192" s="5"/>
      <c r="IHT192" s="5"/>
      <c r="IHU192" s="5"/>
      <c r="IHV192" s="5"/>
      <c r="IHW192" s="5"/>
      <c r="IHX192" s="5"/>
      <c r="IHY192" s="5"/>
      <c r="IHZ192" s="5"/>
      <c r="IIA192" s="5"/>
      <c r="IIB192" s="5"/>
      <c r="IIC192" s="5"/>
      <c r="IID192" s="5"/>
      <c r="IIE192" s="5"/>
      <c r="IIF192" s="5"/>
      <c r="IIG192" s="5"/>
      <c r="IIH192" s="5"/>
      <c r="III192" s="5"/>
      <c r="IIJ192" s="5"/>
      <c r="IIK192" s="5"/>
      <c r="IIL192" s="5"/>
      <c r="IIM192" s="5"/>
      <c r="IIN192" s="5"/>
      <c r="IIO192" s="5"/>
      <c r="IIP192" s="5"/>
      <c r="IIQ192" s="5"/>
      <c r="IIR192" s="5"/>
      <c r="IIS192" s="5"/>
      <c r="IIT192" s="5"/>
      <c r="IIU192" s="5"/>
      <c r="IIV192" s="5"/>
      <c r="IIW192" s="5"/>
      <c r="IIX192" s="5"/>
      <c r="IIY192" s="5"/>
      <c r="IIZ192" s="5"/>
      <c r="IJA192" s="5"/>
      <c r="IJB192" s="5"/>
      <c r="IJC192" s="5"/>
      <c r="IJD192" s="5"/>
      <c r="IJE192" s="5"/>
      <c r="IJF192" s="5"/>
      <c r="IJG192" s="5"/>
      <c r="IJH192" s="5"/>
      <c r="IJI192" s="5"/>
      <c r="IJJ192" s="5"/>
      <c r="IJK192" s="5"/>
      <c r="IJL192" s="5"/>
      <c r="IJM192" s="5"/>
      <c r="IJN192" s="5"/>
      <c r="IJO192" s="5"/>
      <c r="IJP192" s="5"/>
      <c r="IJQ192" s="5"/>
      <c r="IJR192" s="5"/>
      <c r="IJS192" s="5"/>
      <c r="IJT192" s="5"/>
      <c r="IJU192" s="5"/>
      <c r="IJV192" s="5"/>
      <c r="IJW192" s="5"/>
      <c r="IJX192" s="5"/>
      <c r="IJY192" s="5"/>
      <c r="IJZ192" s="5"/>
      <c r="IKA192" s="5"/>
      <c r="IKB192" s="5"/>
      <c r="IKC192" s="5"/>
      <c r="IKD192" s="5"/>
      <c r="IKE192" s="5"/>
      <c r="IKF192" s="5"/>
      <c r="IKG192" s="5"/>
      <c r="IKH192" s="5"/>
      <c r="IKI192" s="5"/>
      <c r="IKJ192" s="5"/>
      <c r="IKK192" s="5"/>
      <c r="IKL192" s="5"/>
      <c r="IKM192" s="5"/>
      <c r="IKN192" s="5"/>
      <c r="IKO192" s="5"/>
      <c r="IKP192" s="5"/>
      <c r="IKQ192" s="5"/>
      <c r="IKR192" s="5"/>
      <c r="IKS192" s="5"/>
      <c r="IKT192" s="5"/>
      <c r="IKU192" s="5"/>
      <c r="IKV192" s="5"/>
      <c r="IKW192" s="5"/>
      <c r="IKX192" s="5"/>
      <c r="IKY192" s="5"/>
      <c r="IKZ192" s="5"/>
      <c r="ILA192" s="5"/>
      <c r="ILB192" s="5"/>
      <c r="ILC192" s="5"/>
      <c r="ILD192" s="5"/>
      <c r="ILE192" s="5"/>
      <c r="ILF192" s="5"/>
      <c r="ILG192" s="5"/>
      <c r="ILH192" s="5"/>
      <c r="ILI192" s="5"/>
      <c r="ILJ192" s="5"/>
      <c r="ILK192" s="5"/>
      <c r="ILL192" s="5"/>
      <c r="ILM192" s="5"/>
      <c r="ILN192" s="5"/>
      <c r="ILO192" s="5"/>
      <c r="ILP192" s="5"/>
      <c r="ILQ192" s="5"/>
      <c r="ILR192" s="5"/>
      <c r="ILS192" s="5"/>
      <c r="ILT192" s="5"/>
      <c r="ILU192" s="5"/>
      <c r="ILV192" s="5"/>
      <c r="ILW192" s="5"/>
      <c r="ILX192" s="5"/>
      <c r="ILY192" s="5"/>
      <c r="ILZ192" s="5"/>
      <c r="IMA192" s="5"/>
      <c r="IMB192" s="5"/>
      <c r="IMC192" s="5"/>
      <c r="IMD192" s="5"/>
      <c r="IME192" s="5"/>
      <c r="IMF192" s="5"/>
      <c r="IMG192" s="5"/>
      <c r="IMH192" s="5"/>
      <c r="IMI192" s="5"/>
      <c r="IMJ192" s="5"/>
      <c r="IMK192" s="5"/>
      <c r="IML192" s="5"/>
      <c r="IMM192" s="5"/>
      <c r="IMN192" s="5"/>
      <c r="IMO192" s="5"/>
      <c r="IMP192" s="5"/>
      <c r="IMQ192" s="5"/>
      <c r="IMR192" s="5"/>
      <c r="IMS192" s="5"/>
      <c r="IMT192" s="5"/>
      <c r="IMU192" s="5"/>
      <c r="IMV192" s="5"/>
      <c r="IMW192" s="5"/>
      <c r="IMX192" s="5"/>
      <c r="IMY192" s="5"/>
      <c r="IMZ192" s="5"/>
      <c r="INA192" s="5"/>
      <c r="INB192" s="5"/>
      <c r="INC192" s="5"/>
      <c r="IND192" s="5"/>
      <c r="INE192" s="5"/>
      <c r="INF192" s="5"/>
      <c r="ING192" s="5"/>
      <c r="INH192" s="5"/>
      <c r="INI192" s="5"/>
      <c r="INJ192" s="5"/>
      <c r="INK192" s="5"/>
      <c r="INL192" s="5"/>
      <c r="INM192" s="5"/>
      <c r="INN192" s="5"/>
      <c r="INO192" s="5"/>
      <c r="INP192" s="5"/>
      <c r="INQ192" s="5"/>
      <c r="INR192" s="5"/>
      <c r="INS192" s="5"/>
      <c r="INT192" s="5"/>
      <c r="INU192" s="5"/>
      <c r="INV192" s="5"/>
      <c r="INW192" s="5"/>
      <c r="INX192" s="5"/>
      <c r="INY192" s="5"/>
      <c r="INZ192" s="5"/>
      <c r="IOA192" s="5"/>
      <c r="IOB192" s="5"/>
      <c r="IOC192" s="5"/>
      <c r="IOD192" s="5"/>
      <c r="IOE192" s="5"/>
      <c r="IOF192" s="5"/>
      <c r="IOG192" s="5"/>
      <c r="IOH192" s="5"/>
      <c r="IOI192" s="5"/>
      <c r="IOJ192" s="5"/>
      <c r="IOK192" s="5"/>
      <c r="IOL192" s="5"/>
      <c r="IOM192" s="5"/>
      <c r="ION192" s="5"/>
      <c r="IOO192" s="5"/>
      <c r="IOP192" s="5"/>
      <c r="IOQ192" s="5"/>
      <c r="IOR192" s="5"/>
      <c r="IOS192" s="5"/>
      <c r="IOT192" s="5"/>
      <c r="IOU192" s="5"/>
      <c r="IOV192" s="5"/>
      <c r="IOW192" s="5"/>
      <c r="IOX192" s="5"/>
      <c r="IOY192" s="5"/>
      <c r="IOZ192" s="5"/>
      <c r="IPA192" s="5"/>
      <c r="IPB192" s="5"/>
      <c r="IPC192" s="5"/>
      <c r="IPD192" s="5"/>
      <c r="IPE192" s="5"/>
      <c r="IPF192" s="5"/>
      <c r="IPG192" s="5"/>
      <c r="IPH192" s="5"/>
      <c r="IPI192" s="5"/>
      <c r="IPJ192" s="5"/>
      <c r="IPK192" s="5"/>
      <c r="IPL192" s="5"/>
      <c r="IPM192" s="5"/>
      <c r="IPN192" s="5"/>
      <c r="IPO192" s="5"/>
      <c r="IPP192" s="5"/>
      <c r="IPQ192" s="5"/>
      <c r="IPR192" s="5"/>
      <c r="IPS192" s="5"/>
      <c r="IPT192" s="5"/>
      <c r="IPU192" s="5"/>
      <c r="IPV192" s="5"/>
      <c r="IPW192" s="5"/>
      <c r="IPX192" s="5"/>
      <c r="IPY192" s="5"/>
      <c r="IPZ192" s="5"/>
      <c r="IQA192" s="5"/>
      <c r="IQB192" s="5"/>
      <c r="IQC192" s="5"/>
      <c r="IQD192" s="5"/>
      <c r="IQE192" s="5"/>
      <c r="IQF192" s="5"/>
      <c r="IQG192" s="5"/>
      <c r="IQH192" s="5"/>
      <c r="IQI192" s="5"/>
      <c r="IQJ192" s="5"/>
      <c r="IQK192" s="5"/>
      <c r="IQL192" s="5"/>
      <c r="IQM192" s="5"/>
      <c r="IQN192" s="5"/>
      <c r="IQO192" s="5"/>
      <c r="IQP192" s="5"/>
      <c r="IQQ192" s="5"/>
      <c r="IQR192" s="5"/>
      <c r="IQS192" s="5"/>
      <c r="IQT192" s="5"/>
      <c r="IQU192" s="5"/>
      <c r="IQV192" s="5"/>
      <c r="IQW192" s="5"/>
      <c r="IQX192" s="5"/>
      <c r="IQY192" s="5"/>
      <c r="IQZ192" s="5"/>
      <c r="IRA192" s="5"/>
      <c r="IRB192" s="5"/>
      <c r="IRC192" s="5"/>
      <c r="IRD192" s="5"/>
      <c r="IRE192" s="5"/>
      <c r="IRF192" s="5"/>
      <c r="IRG192" s="5"/>
      <c r="IRH192" s="5"/>
      <c r="IRI192" s="5"/>
      <c r="IRJ192" s="5"/>
      <c r="IRK192" s="5"/>
      <c r="IRL192" s="5"/>
      <c r="IRM192" s="5"/>
      <c r="IRN192" s="5"/>
      <c r="IRO192" s="5"/>
      <c r="IRP192" s="5"/>
      <c r="IRQ192" s="5"/>
      <c r="IRR192" s="5"/>
      <c r="IRS192" s="5"/>
      <c r="IRT192" s="5"/>
      <c r="IRU192" s="5"/>
      <c r="IRV192" s="5"/>
      <c r="IRW192" s="5"/>
      <c r="IRX192" s="5"/>
      <c r="IRY192" s="5"/>
      <c r="IRZ192" s="5"/>
      <c r="ISA192" s="5"/>
      <c r="ISB192" s="5"/>
      <c r="ISC192" s="5"/>
      <c r="ISD192" s="5"/>
      <c r="ISE192" s="5"/>
      <c r="ISF192" s="5"/>
      <c r="ISG192" s="5"/>
      <c r="ISH192" s="5"/>
      <c r="ISI192" s="5"/>
      <c r="ISJ192" s="5"/>
      <c r="ISK192" s="5"/>
      <c r="ISL192" s="5"/>
      <c r="ISM192" s="5"/>
      <c r="ISN192" s="5"/>
      <c r="ISO192" s="5"/>
      <c r="ISP192" s="5"/>
      <c r="ISQ192" s="5"/>
      <c r="ISR192" s="5"/>
      <c r="ISS192" s="5"/>
      <c r="IST192" s="5"/>
      <c r="ISU192" s="5"/>
      <c r="ISV192" s="5"/>
      <c r="ISW192" s="5"/>
      <c r="ISX192" s="5"/>
      <c r="ISY192" s="5"/>
      <c r="ISZ192" s="5"/>
      <c r="ITA192" s="5"/>
      <c r="ITB192" s="5"/>
      <c r="ITC192" s="5"/>
      <c r="ITD192" s="5"/>
      <c r="ITE192" s="5"/>
      <c r="ITF192" s="5"/>
      <c r="ITG192" s="5"/>
      <c r="ITH192" s="5"/>
      <c r="ITI192" s="5"/>
      <c r="ITJ192" s="5"/>
      <c r="ITK192" s="5"/>
      <c r="ITL192" s="5"/>
      <c r="ITM192" s="5"/>
      <c r="ITN192" s="5"/>
      <c r="ITO192" s="5"/>
      <c r="ITP192" s="5"/>
      <c r="ITQ192" s="5"/>
      <c r="ITR192" s="5"/>
      <c r="ITS192" s="5"/>
      <c r="ITT192" s="5"/>
      <c r="ITU192" s="5"/>
      <c r="ITV192" s="5"/>
      <c r="ITW192" s="5"/>
      <c r="ITX192" s="5"/>
      <c r="ITY192" s="5"/>
      <c r="ITZ192" s="5"/>
      <c r="IUA192" s="5"/>
      <c r="IUB192" s="5"/>
      <c r="IUC192" s="5"/>
      <c r="IUD192" s="5"/>
      <c r="IUE192" s="5"/>
      <c r="IUF192" s="5"/>
      <c r="IUG192" s="5"/>
      <c r="IUH192" s="5"/>
      <c r="IUI192" s="5"/>
      <c r="IUJ192" s="5"/>
      <c r="IUK192" s="5"/>
      <c r="IUL192" s="5"/>
      <c r="IUM192" s="5"/>
      <c r="IUN192" s="5"/>
      <c r="IUO192" s="5"/>
      <c r="IUP192" s="5"/>
      <c r="IUQ192" s="5"/>
      <c r="IUR192" s="5"/>
      <c r="IUS192" s="5"/>
      <c r="IUT192" s="5"/>
      <c r="IUU192" s="5"/>
      <c r="IUV192" s="5"/>
      <c r="IUW192" s="5"/>
      <c r="IUX192" s="5"/>
      <c r="IUY192" s="5"/>
      <c r="IUZ192" s="5"/>
      <c r="IVA192" s="5"/>
      <c r="IVB192" s="5"/>
      <c r="IVC192" s="5"/>
      <c r="IVD192" s="5"/>
      <c r="IVE192" s="5"/>
      <c r="IVF192" s="5"/>
      <c r="IVG192" s="5"/>
      <c r="IVH192" s="5"/>
      <c r="IVI192" s="5"/>
      <c r="IVJ192" s="5"/>
      <c r="IVK192" s="5"/>
      <c r="IVL192" s="5"/>
      <c r="IVM192" s="5"/>
      <c r="IVN192" s="5"/>
      <c r="IVO192" s="5"/>
      <c r="IVP192" s="5"/>
      <c r="IVQ192" s="5"/>
      <c r="IVR192" s="5"/>
      <c r="IVS192" s="5"/>
      <c r="IVT192" s="5"/>
      <c r="IVU192" s="5"/>
      <c r="IVV192" s="5"/>
      <c r="IVW192" s="5"/>
      <c r="IVX192" s="5"/>
      <c r="IVY192" s="5"/>
      <c r="IVZ192" s="5"/>
      <c r="IWA192" s="5"/>
      <c r="IWB192" s="5"/>
      <c r="IWC192" s="5"/>
      <c r="IWD192" s="5"/>
      <c r="IWE192" s="5"/>
      <c r="IWF192" s="5"/>
      <c r="IWG192" s="5"/>
      <c r="IWH192" s="5"/>
      <c r="IWI192" s="5"/>
      <c r="IWJ192" s="5"/>
      <c r="IWK192" s="5"/>
      <c r="IWL192" s="5"/>
      <c r="IWM192" s="5"/>
      <c r="IWN192" s="5"/>
      <c r="IWO192" s="5"/>
      <c r="IWP192" s="5"/>
      <c r="IWQ192" s="5"/>
      <c r="IWR192" s="5"/>
      <c r="IWS192" s="5"/>
      <c r="IWT192" s="5"/>
      <c r="IWU192" s="5"/>
      <c r="IWV192" s="5"/>
      <c r="IWW192" s="5"/>
      <c r="IWX192" s="5"/>
      <c r="IWY192" s="5"/>
      <c r="IWZ192" s="5"/>
      <c r="IXA192" s="5"/>
      <c r="IXB192" s="5"/>
      <c r="IXC192" s="5"/>
      <c r="IXD192" s="5"/>
      <c r="IXE192" s="5"/>
      <c r="IXF192" s="5"/>
      <c r="IXG192" s="5"/>
      <c r="IXH192" s="5"/>
      <c r="IXI192" s="5"/>
      <c r="IXJ192" s="5"/>
      <c r="IXK192" s="5"/>
      <c r="IXL192" s="5"/>
      <c r="IXM192" s="5"/>
      <c r="IXN192" s="5"/>
      <c r="IXO192" s="5"/>
      <c r="IXP192" s="5"/>
      <c r="IXQ192" s="5"/>
      <c r="IXR192" s="5"/>
      <c r="IXS192" s="5"/>
      <c r="IXT192" s="5"/>
      <c r="IXU192" s="5"/>
      <c r="IXV192" s="5"/>
      <c r="IXW192" s="5"/>
      <c r="IXX192" s="5"/>
      <c r="IXY192" s="5"/>
      <c r="IXZ192" s="5"/>
      <c r="IYA192" s="5"/>
      <c r="IYB192" s="5"/>
      <c r="IYC192" s="5"/>
      <c r="IYD192" s="5"/>
      <c r="IYE192" s="5"/>
      <c r="IYF192" s="5"/>
      <c r="IYG192" s="5"/>
      <c r="IYH192" s="5"/>
      <c r="IYI192" s="5"/>
      <c r="IYJ192" s="5"/>
      <c r="IYK192" s="5"/>
      <c r="IYL192" s="5"/>
      <c r="IYM192" s="5"/>
      <c r="IYN192" s="5"/>
      <c r="IYO192" s="5"/>
      <c r="IYP192" s="5"/>
      <c r="IYQ192" s="5"/>
      <c r="IYR192" s="5"/>
      <c r="IYS192" s="5"/>
      <c r="IYT192" s="5"/>
      <c r="IYU192" s="5"/>
      <c r="IYV192" s="5"/>
      <c r="IYW192" s="5"/>
      <c r="IYX192" s="5"/>
      <c r="IYY192" s="5"/>
      <c r="IYZ192" s="5"/>
      <c r="IZA192" s="5"/>
      <c r="IZB192" s="5"/>
      <c r="IZC192" s="5"/>
      <c r="IZD192" s="5"/>
      <c r="IZE192" s="5"/>
      <c r="IZF192" s="5"/>
      <c r="IZG192" s="5"/>
      <c r="IZH192" s="5"/>
      <c r="IZI192" s="5"/>
      <c r="IZJ192" s="5"/>
      <c r="IZK192" s="5"/>
      <c r="IZL192" s="5"/>
      <c r="IZM192" s="5"/>
      <c r="IZN192" s="5"/>
      <c r="IZO192" s="5"/>
      <c r="IZP192" s="5"/>
      <c r="IZQ192" s="5"/>
      <c r="IZR192" s="5"/>
      <c r="IZS192" s="5"/>
      <c r="IZT192" s="5"/>
      <c r="IZU192" s="5"/>
      <c r="IZV192" s="5"/>
      <c r="IZW192" s="5"/>
      <c r="IZX192" s="5"/>
      <c r="IZY192" s="5"/>
      <c r="IZZ192" s="5"/>
      <c r="JAA192" s="5"/>
      <c r="JAB192" s="5"/>
      <c r="JAC192" s="5"/>
      <c r="JAD192" s="5"/>
      <c r="JAE192" s="5"/>
      <c r="JAF192" s="5"/>
      <c r="JAG192" s="5"/>
      <c r="JAH192" s="5"/>
      <c r="JAI192" s="5"/>
      <c r="JAJ192" s="5"/>
      <c r="JAK192" s="5"/>
      <c r="JAL192" s="5"/>
      <c r="JAM192" s="5"/>
      <c r="JAN192" s="5"/>
      <c r="JAO192" s="5"/>
      <c r="JAP192" s="5"/>
      <c r="JAQ192" s="5"/>
      <c r="JAR192" s="5"/>
      <c r="JAS192" s="5"/>
      <c r="JAT192" s="5"/>
      <c r="JAU192" s="5"/>
      <c r="JAV192" s="5"/>
      <c r="JAW192" s="5"/>
      <c r="JAX192" s="5"/>
      <c r="JAY192" s="5"/>
      <c r="JAZ192" s="5"/>
      <c r="JBA192" s="5"/>
      <c r="JBB192" s="5"/>
      <c r="JBC192" s="5"/>
      <c r="JBD192" s="5"/>
      <c r="JBE192" s="5"/>
      <c r="JBF192" s="5"/>
      <c r="JBG192" s="5"/>
      <c r="JBH192" s="5"/>
      <c r="JBI192" s="5"/>
      <c r="JBJ192" s="5"/>
      <c r="JBK192" s="5"/>
      <c r="JBL192" s="5"/>
      <c r="JBM192" s="5"/>
      <c r="JBN192" s="5"/>
      <c r="JBO192" s="5"/>
      <c r="JBP192" s="5"/>
      <c r="JBQ192" s="5"/>
      <c r="JBR192" s="5"/>
      <c r="JBS192" s="5"/>
      <c r="JBT192" s="5"/>
      <c r="JBU192" s="5"/>
      <c r="JBV192" s="5"/>
      <c r="JBW192" s="5"/>
      <c r="JBX192" s="5"/>
      <c r="JBY192" s="5"/>
      <c r="JBZ192" s="5"/>
      <c r="JCA192" s="5"/>
      <c r="JCB192" s="5"/>
      <c r="JCC192" s="5"/>
      <c r="JCD192" s="5"/>
      <c r="JCE192" s="5"/>
      <c r="JCF192" s="5"/>
      <c r="JCG192" s="5"/>
      <c r="JCH192" s="5"/>
      <c r="JCI192" s="5"/>
      <c r="JCJ192" s="5"/>
      <c r="JCK192" s="5"/>
      <c r="JCL192" s="5"/>
      <c r="JCM192" s="5"/>
      <c r="JCN192" s="5"/>
      <c r="JCO192" s="5"/>
      <c r="JCP192" s="5"/>
      <c r="JCQ192" s="5"/>
      <c r="JCR192" s="5"/>
      <c r="JCS192" s="5"/>
      <c r="JCT192" s="5"/>
      <c r="JCU192" s="5"/>
      <c r="JCV192" s="5"/>
      <c r="JCW192" s="5"/>
      <c r="JCX192" s="5"/>
      <c r="JCY192" s="5"/>
      <c r="JCZ192" s="5"/>
      <c r="JDA192" s="5"/>
      <c r="JDB192" s="5"/>
      <c r="JDC192" s="5"/>
      <c r="JDD192" s="5"/>
      <c r="JDE192" s="5"/>
      <c r="JDF192" s="5"/>
      <c r="JDG192" s="5"/>
      <c r="JDH192" s="5"/>
      <c r="JDI192" s="5"/>
      <c r="JDJ192" s="5"/>
      <c r="JDK192" s="5"/>
      <c r="JDL192" s="5"/>
      <c r="JDM192" s="5"/>
      <c r="JDN192" s="5"/>
      <c r="JDO192" s="5"/>
      <c r="JDP192" s="5"/>
      <c r="JDQ192" s="5"/>
      <c r="JDR192" s="5"/>
      <c r="JDS192" s="5"/>
      <c r="JDT192" s="5"/>
      <c r="JDU192" s="5"/>
      <c r="JDV192" s="5"/>
      <c r="JDW192" s="5"/>
      <c r="JDX192" s="5"/>
      <c r="JDY192" s="5"/>
      <c r="JDZ192" s="5"/>
      <c r="JEA192" s="5"/>
      <c r="JEB192" s="5"/>
      <c r="JEC192" s="5"/>
      <c r="JED192" s="5"/>
      <c r="JEE192" s="5"/>
      <c r="JEF192" s="5"/>
      <c r="JEG192" s="5"/>
      <c r="JEH192" s="5"/>
      <c r="JEI192" s="5"/>
      <c r="JEJ192" s="5"/>
      <c r="JEK192" s="5"/>
      <c r="JEL192" s="5"/>
      <c r="JEM192" s="5"/>
      <c r="JEN192" s="5"/>
      <c r="JEO192" s="5"/>
      <c r="JEP192" s="5"/>
      <c r="JEQ192" s="5"/>
      <c r="JER192" s="5"/>
      <c r="JES192" s="5"/>
      <c r="JET192" s="5"/>
      <c r="JEU192" s="5"/>
      <c r="JEV192" s="5"/>
      <c r="JEW192" s="5"/>
      <c r="JEX192" s="5"/>
      <c r="JEY192" s="5"/>
      <c r="JEZ192" s="5"/>
      <c r="JFA192" s="5"/>
      <c r="JFB192" s="5"/>
      <c r="JFC192" s="5"/>
      <c r="JFD192" s="5"/>
      <c r="JFE192" s="5"/>
      <c r="JFF192" s="5"/>
      <c r="JFG192" s="5"/>
      <c r="JFH192" s="5"/>
      <c r="JFI192" s="5"/>
      <c r="JFJ192" s="5"/>
      <c r="JFK192" s="5"/>
      <c r="JFL192" s="5"/>
      <c r="JFM192" s="5"/>
      <c r="JFN192" s="5"/>
      <c r="JFO192" s="5"/>
      <c r="JFP192" s="5"/>
      <c r="JFQ192" s="5"/>
      <c r="JFR192" s="5"/>
      <c r="JFS192" s="5"/>
      <c r="JFT192" s="5"/>
      <c r="JFU192" s="5"/>
      <c r="JFV192" s="5"/>
      <c r="JFW192" s="5"/>
      <c r="JFX192" s="5"/>
      <c r="JFY192" s="5"/>
      <c r="JFZ192" s="5"/>
      <c r="JGA192" s="5"/>
      <c r="JGB192" s="5"/>
      <c r="JGC192" s="5"/>
      <c r="JGD192" s="5"/>
      <c r="JGE192" s="5"/>
      <c r="JGF192" s="5"/>
      <c r="JGG192" s="5"/>
      <c r="JGH192" s="5"/>
      <c r="JGI192" s="5"/>
      <c r="JGJ192" s="5"/>
      <c r="JGK192" s="5"/>
      <c r="JGL192" s="5"/>
      <c r="JGM192" s="5"/>
      <c r="JGN192" s="5"/>
      <c r="JGO192" s="5"/>
      <c r="JGP192" s="5"/>
      <c r="JGQ192" s="5"/>
      <c r="JGR192" s="5"/>
      <c r="JGS192" s="5"/>
      <c r="JGT192" s="5"/>
      <c r="JGU192" s="5"/>
      <c r="JGV192" s="5"/>
      <c r="JGW192" s="5"/>
      <c r="JGX192" s="5"/>
      <c r="JGY192" s="5"/>
      <c r="JGZ192" s="5"/>
      <c r="JHA192" s="5"/>
      <c r="JHB192" s="5"/>
      <c r="JHC192" s="5"/>
      <c r="JHD192" s="5"/>
      <c r="JHE192" s="5"/>
      <c r="JHF192" s="5"/>
      <c r="JHG192" s="5"/>
      <c r="JHH192" s="5"/>
      <c r="JHI192" s="5"/>
      <c r="JHJ192" s="5"/>
      <c r="JHK192" s="5"/>
      <c r="JHL192" s="5"/>
      <c r="JHM192" s="5"/>
      <c r="JHN192" s="5"/>
      <c r="JHO192" s="5"/>
      <c r="JHP192" s="5"/>
      <c r="JHQ192" s="5"/>
      <c r="JHR192" s="5"/>
      <c r="JHS192" s="5"/>
      <c r="JHT192" s="5"/>
      <c r="JHU192" s="5"/>
      <c r="JHV192" s="5"/>
      <c r="JHW192" s="5"/>
      <c r="JHX192" s="5"/>
      <c r="JHY192" s="5"/>
      <c r="JHZ192" s="5"/>
      <c r="JIA192" s="5"/>
      <c r="JIB192" s="5"/>
      <c r="JIC192" s="5"/>
      <c r="JID192" s="5"/>
      <c r="JIE192" s="5"/>
      <c r="JIF192" s="5"/>
      <c r="JIG192" s="5"/>
      <c r="JIH192" s="5"/>
      <c r="JII192" s="5"/>
      <c r="JIJ192" s="5"/>
      <c r="JIK192" s="5"/>
      <c r="JIL192" s="5"/>
      <c r="JIM192" s="5"/>
      <c r="JIN192" s="5"/>
      <c r="JIO192" s="5"/>
      <c r="JIP192" s="5"/>
      <c r="JIQ192" s="5"/>
      <c r="JIR192" s="5"/>
      <c r="JIS192" s="5"/>
      <c r="JIT192" s="5"/>
      <c r="JIU192" s="5"/>
      <c r="JIV192" s="5"/>
      <c r="JIW192" s="5"/>
      <c r="JIX192" s="5"/>
      <c r="JIY192" s="5"/>
      <c r="JIZ192" s="5"/>
      <c r="JJA192" s="5"/>
      <c r="JJB192" s="5"/>
      <c r="JJC192" s="5"/>
      <c r="JJD192" s="5"/>
      <c r="JJE192" s="5"/>
      <c r="JJF192" s="5"/>
      <c r="JJG192" s="5"/>
      <c r="JJH192" s="5"/>
      <c r="JJI192" s="5"/>
      <c r="JJJ192" s="5"/>
      <c r="JJK192" s="5"/>
      <c r="JJL192" s="5"/>
      <c r="JJM192" s="5"/>
      <c r="JJN192" s="5"/>
      <c r="JJO192" s="5"/>
      <c r="JJP192" s="5"/>
      <c r="JJQ192" s="5"/>
      <c r="JJR192" s="5"/>
      <c r="JJS192" s="5"/>
      <c r="JJT192" s="5"/>
      <c r="JJU192" s="5"/>
      <c r="JJV192" s="5"/>
      <c r="JJW192" s="5"/>
      <c r="JJX192" s="5"/>
      <c r="JJY192" s="5"/>
      <c r="JJZ192" s="5"/>
      <c r="JKA192" s="5"/>
      <c r="JKB192" s="5"/>
      <c r="JKC192" s="5"/>
      <c r="JKD192" s="5"/>
      <c r="JKE192" s="5"/>
      <c r="JKF192" s="5"/>
      <c r="JKG192" s="5"/>
      <c r="JKH192" s="5"/>
      <c r="JKI192" s="5"/>
      <c r="JKJ192" s="5"/>
      <c r="JKK192" s="5"/>
      <c r="JKL192" s="5"/>
      <c r="JKM192" s="5"/>
      <c r="JKN192" s="5"/>
      <c r="JKO192" s="5"/>
      <c r="JKP192" s="5"/>
      <c r="JKQ192" s="5"/>
      <c r="JKR192" s="5"/>
      <c r="JKS192" s="5"/>
      <c r="JKT192" s="5"/>
      <c r="JKU192" s="5"/>
      <c r="JKV192" s="5"/>
      <c r="JKW192" s="5"/>
      <c r="JKX192" s="5"/>
      <c r="JKY192" s="5"/>
      <c r="JKZ192" s="5"/>
      <c r="JLA192" s="5"/>
      <c r="JLB192" s="5"/>
      <c r="JLC192" s="5"/>
      <c r="JLD192" s="5"/>
      <c r="JLE192" s="5"/>
      <c r="JLF192" s="5"/>
      <c r="JLG192" s="5"/>
      <c r="JLH192" s="5"/>
      <c r="JLI192" s="5"/>
      <c r="JLJ192" s="5"/>
      <c r="JLK192" s="5"/>
      <c r="JLL192" s="5"/>
      <c r="JLM192" s="5"/>
      <c r="JLN192" s="5"/>
      <c r="JLO192" s="5"/>
      <c r="JLP192" s="5"/>
      <c r="JLQ192" s="5"/>
      <c r="JLR192" s="5"/>
      <c r="JLS192" s="5"/>
      <c r="JLT192" s="5"/>
      <c r="JLU192" s="5"/>
      <c r="JLV192" s="5"/>
      <c r="JLW192" s="5"/>
      <c r="JLX192" s="5"/>
      <c r="JLY192" s="5"/>
      <c r="JLZ192" s="5"/>
      <c r="JMA192" s="5"/>
      <c r="JMB192" s="5"/>
      <c r="JMC192" s="5"/>
      <c r="JMD192" s="5"/>
      <c r="JME192" s="5"/>
      <c r="JMF192" s="5"/>
      <c r="JMG192" s="5"/>
      <c r="JMH192" s="5"/>
      <c r="JMI192" s="5"/>
      <c r="JMJ192" s="5"/>
      <c r="JMK192" s="5"/>
      <c r="JML192" s="5"/>
      <c r="JMM192" s="5"/>
      <c r="JMN192" s="5"/>
      <c r="JMO192" s="5"/>
      <c r="JMP192" s="5"/>
      <c r="JMQ192" s="5"/>
      <c r="JMR192" s="5"/>
      <c r="JMS192" s="5"/>
      <c r="JMT192" s="5"/>
      <c r="JMU192" s="5"/>
      <c r="JMV192" s="5"/>
      <c r="JMW192" s="5"/>
      <c r="JMX192" s="5"/>
      <c r="JMY192" s="5"/>
      <c r="JMZ192" s="5"/>
      <c r="JNA192" s="5"/>
      <c r="JNB192" s="5"/>
      <c r="JNC192" s="5"/>
      <c r="JND192" s="5"/>
      <c r="JNE192" s="5"/>
      <c r="JNF192" s="5"/>
      <c r="JNG192" s="5"/>
      <c r="JNH192" s="5"/>
      <c r="JNI192" s="5"/>
      <c r="JNJ192" s="5"/>
      <c r="JNK192" s="5"/>
      <c r="JNL192" s="5"/>
      <c r="JNM192" s="5"/>
      <c r="JNN192" s="5"/>
      <c r="JNO192" s="5"/>
      <c r="JNP192" s="5"/>
      <c r="JNQ192" s="5"/>
      <c r="JNR192" s="5"/>
      <c r="JNS192" s="5"/>
      <c r="JNT192" s="5"/>
      <c r="JNU192" s="5"/>
      <c r="JNV192" s="5"/>
      <c r="JNW192" s="5"/>
      <c r="JNX192" s="5"/>
      <c r="JNY192" s="5"/>
      <c r="JNZ192" s="5"/>
      <c r="JOA192" s="5"/>
      <c r="JOB192" s="5"/>
      <c r="JOC192" s="5"/>
      <c r="JOD192" s="5"/>
      <c r="JOE192" s="5"/>
      <c r="JOF192" s="5"/>
      <c r="JOG192" s="5"/>
      <c r="JOH192" s="5"/>
      <c r="JOI192" s="5"/>
      <c r="JOJ192" s="5"/>
      <c r="JOK192" s="5"/>
      <c r="JOL192" s="5"/>
      <c r="JOM192" s="5"/>
      <c r="JON192" s="5"/>
      <c r="JOO192" s="5"/>
      <c r="JOP192" s="5"/>
      <c r="JOQ192" s="5"/>
      <c r="JOR192" s="5"/>
      <c r="JOS192" s="5"/>
      <c r="JOT192" s="5"/>
      <c r="JOU192" s="5"/>
      <c r="JOV192" s="5"/>
      <c r="JOW192" s="5"/>
      <c r="JOX192" s="5"/>
      <c r="JOY192" s="5"/>
      <c r="JOZ192" s="5"/>
      <c r="JPA192" s="5"/>
      <c r="JPB192" s="5"/>
      <c r="JPC192" s="5"/>
      <c r="JPD192" s="5"/>
      <c r="JPE192" s="5"/>
      <c r="JPF192" s="5"/>
      <c r="JPG192" s="5"/>
      <c r="JPH192" s="5"/>
      <c r="JPI192" s="5"/>
      <c r="JPJ192" s="5"/>
      <c r="JPK192" s="5"/>
      <c r="JPL192" s="5"/>
      <c r="JPM192" s="5"/>
      <c r="JPN192" s="5"/>
      <c r="JPO192" s="5"/>
      <c r="JPP192" s="5"/>
      <c r="JPQ192" s="5"/>
      <c r="JPR192" s="5"/>
      <c r="JPS192" s="5"/>
      <c r="JPT192" s="5"/>
      <c r="JPU192" s="5"/>
      <c r="JPV192" s="5"/>
      <c r="JPW192" s="5"/>
      <c r="JPX192" s="5"/>
      <c r="JPY192" s="5"/>
      <c r="JPZ192" s="5"/>
      <c r="JQA192" s="5"/>
      <c r="JQB192" s="5"/>
      <c r="JQC192" s="5"/>
      <c r="JQD192" s="5"/>
      <c r="JQE192" s="5"/>
      <c r="JQF192" s="5"/>
      <c r="JQG192" s="5"/>
      <c r="JQH192" s="5"/>
      <c r="JQI192" s="5"/>
      <c r="JQJ192" s="5"/>
      <c r="JQK192" s="5"/>
      <c r="JQL192" s="5"/>
      <c r="JQM192" s="5"/>
      <c r="JQN192" s="5"/>
      <c r="JQO192" s="5"/>
      <c r="JQP192" s="5"/>
      <c r="JQQ192" s="5"/>
      <c r="JQR192" s="5"/>
      <c r="JQS192" s="5"/>
      <c r="JQT192" s="5"/>
      <c r="JQU192" s="5"/>
      <c r="JQV192" s="5"/>
      <c r="JQW192" s="5"/>
      <c r="JQX192" s="5"/>
      <c r="JQY192" s="5"/>
      <c r="JQZ192" s="5"/>
      <c r="JRA192" s="5"/>
      <c r="JRB192" s="5"/>
      <c r="JRC192" s="5"/>
      <c r="JRD192" s="5"/>
      <c r="JRE192" s="5"/>
      <c r="JRF192" s="5"/>
      <c r="JRG192" s="5"/>
      <c r="JRH192" s="5"/>
      <c r="JRI192" s="5"/>
      <c r="JRJ192" s="5"/>
      <c r="JRK192" s="5"/>
      <c r="JRL192" s="5"/>
      <c r="JRM192" s="5"/>
      <c r="JRN192" s="5"/>
      <c r="JRO192" s="5"/>
      <c r="JRP192" s="5"/>
      <c r="JRQ192" s="5"/>
      <c r="JRR192" s="5"/>
      <c r="JRS192" s="5"/>
      <c r="JRT192" s="5"/>
      <c r="JRU192" s="5"/>
      <c r="JRV192" s="5"/>
      <c r="JRW192" s="5"/>
      <c r="JRX192" s="5"/>
      <c r="JRY192" s="5"/>
      <c r="JRZ192" s="5"/>
      <c r="JSA192" s="5"/>
      <c r="JSB192" s="5"/>
      <c r="JSC192" s="5"/>
      <c r="JSD192" s="5"/>
      <c r="JSE192" s="5"/>
      <c r="JSF192" s="5"/>
      <c r="JSG192" s="5"/>
      <c r="JSH192" s="5"/>
      <c r="JSI192" s="5"/>
      <c r="JSJ192" s="5"/>
      <c r="JSK192" s="5"/>
      <c r="JSL192" s="5"/>
      <c r="JSM192" s="5"/>
      <c r="JSN192" s="5"/>
      <c r="JSO192" s="5"/>
      <c r="JSP192" s="5"/>
      <c r="JSQ192" s="5"/>
      <c r="JSR192" s="5"/>
      <c r="JSS192" s="5"/>
      <c r="JST192" s="5"/>
      <c r="JSU192" s="5"/>
      <c r="JSV192" s="5"/>
      <c r="JSW192" s="5"/>
      <c r="JSX192" s="5"/>
      <c r="JSY192" s="5"/>
      <c r="JSZ192" s="5"/>
      <c r="JTA192" s="5"/>
      <c r="JTB192" s="5"/>
      <c r="JTC192" s="5"/>
      <c r="JTD192" s="5"/>
      <c r="JTE192" s="5"/>
      <c r="JTF192" s="5"/>
      <c r="JTG192" s="5"/>
      <c r="JTH192" s="5"/>
      <c r="JTI192" s="5"/>
      <c r="JTJ192" s="5"/>
      <c r="JTK192" s="5"/>
      <c r="JTL192" s="5"/>
      <c r="JTM192" s="5"/>
      <c r="JTN192" s="5"/>
      <c r="JTO192" s="5"/>
      <c r="JTP192" s="5"/>
      <c r="JTQ192" s="5"/>
      <c r="JTR192" s="5"/>
      <c r="JTS192" s="5"/>
      <c r="JTT192" s="5"/>
      <c r="JTU192" s="5"/>
      <c r="JTV192" s="5"/>
      <c r="JTW192" s="5"/>
      <c r="JTX192" s="5"/>
      <c r="JTY192" s="5"/>
      <c r="JTZ192" s="5"/>
      <c r="JUA192" s="5"/>
      <c r="JUB192" s="5"/>
      <c r="JUC192" s="5"/>
      <c r="JUD192" s="5"/>
      <c r="JUE192" s="5"/>
      <c r="JUF192" s="5"/>
      <c r="JUG192" s="5"/>
      <c r="JUH192" s="5"/>
      <c r="JUI192" s="5"/>
      <c r="JUJ192" s="5"/>
      <c r="JUK192" s="5"/>
      <c r="JUL192" s="5"/>
      <c r="JUM192" s="5"/>
      <c r="JUN192" s="5"/>
      <c r="JUO192" s="5"/>
      <c r="JUP192" s="5"/>
      <c r="JUQ192" s="5"/>
      <c r="JUR192" s="5"/>
      <c r="JUS192" s="5"/>
      <c r="JUT192" s="5"/>
      <c r="JUU192" s="5"/>
      <c r="JUV192" s="5"/>
      <c r="JUW192" s="5"/>
      <c r="JUX192" s="5"/>
      <c r="JUY192" s="5"/>
      <c r="JUZ192" s="5"/>
      <c r="JVA192" s="5"/>
      <c r="JVB192" s="5"/>
      <c r="JVC192" s="5"/>
      <c r="JVD192" s="5"/>
      <c r="JVE192" s="5"/>
      <c r="JVF192" s="5"/>
      <c r="JVG192" s="5"/>
      <c r="JVH192" s="5"/>
      <c r="JVI192" s="5"/>
      <c r="JVJ192" s="5"/>
      <c r="JVK192" s="5"/>
      <c r="JVL192" s="5"/>
      <c r="JVM192" s="5"/>
      <c r="JVN192" s="5"/>
      <c r="JVO192" s="5"/>
      <c r="JVP192" s="5"/>
      <c r="JVQ192" s="5"/>
      <c r="JVR192" s="5"/>
      <c r="JVS192" s="5"/>
      <c r="JVT192" s="5"/>
      <c r="JVU192" s="5"/>
      <c r="JVV192" s="5"/>
      <c r="JVW192" s="5"/>
      <c r="JVX192" s="5"/>
      <c r="JVY192" s="5"/>
      <c r="JVZ192" s="5"/>
      <c r="JWA192" s="5"/>
      <c r="JWB192" s="5"/>
      <c r="JWC192" s="5"/>
      <c r="JWD192" s="5"/>
      <c r="JWE192" s="5"/>
      <c r="JWF192" s="5"/>
      <c r="JWG192" s="5"/>
      <c r="JWH192" s="5"/>
      <c r="JWI192" s="5"/>
      <c r="JWJ192" s="5"/>
      <c r="JWK192" s="5"/>
      <c r="JWL192" s="5"/>
      <c r="JWM192" s="5"/>
      <c r="JWN192" s="5"/>
      <c r="JWO192" s="5"/>
      <c r="JWP192" s="5"/>
      <c r="JWQ192" s="5"/>
      <c r="JWR192" s="5"/>
      <c r="JWS192" s="5"/>
      <c r="JWT192" s="5"/>
      <c r="JWU192" s="5"/>
      <c r="JWV192" s="5"/>
      <c r="JWW192" s="5"/>
      <c r="JWX192" s="5"/>
      <c r="JWY192" s="5"/>
      <c r="JWZ192" s="5"/>
      <c r="JXA192" s="5"/>
      <c r="JXB192" s="5"/>
      <c r="JXC192" s="5"/>
      <c r="JXD192" s="5"/>
      <c r="JXE192" s="5"/>
      <c r="JXF192" s="5"/>
      <c r="JXG192" s="5"/>
      <c r="JXH192" s="5"/>
      <c r="JXI192" s="5"/>
      <c r="JXJ192" s="5"/>
      <c r="JXK192" s="5"/>
      <c r="JXL192" s="5"/>
      <c r="JXM192" s="5"/>
      <c r="JXN192" s="5"/>
      <c r="JXO192" s="5"/>
      <c r="JXP192" s="5"/>
      <c r="JXQ192" s="5"/>
      <c r="JXR192" s="5"/>
      <c r="JXS192" s="5"/>
      <c r="JXT192" s="5"/>
      <c r="JXU192" s="5"/>
      <c r="JXV192" s="5"/>
      <c r="JXW192" s="5"/>
      <c r="JXX192" s="5"/>
      <c r="JXY192" s="5"/>
      <c r="JXZ192" s="5"/>
      <c r="JYA192" s="5"/>
      <c r="JYB192" s="5"/>
      <c r="JYC192" s="5"/>
      <c r="JYD192" s="5"/>
      <c r="JYE192" s="5"/>
      <c r="JYF192" s="5"/>
      <c r="JYG192" s="5"/>
      <c r="JYH192" s="5"/>
      <c r="JYI192" s="5"/>
      <c r="JYJ192" s="5"/>
      <c r="JYK192" s="5"/>
      <c r="JYL192" s="5"/>
      <c r="JYM192" s="5"/>
      <c r="JYN192" s="5"/>
      <c r="JYO192" s="5"/>
      <c r="JYP192" s="5"/>
      <c r="JYQ192" s="5"/>
      <c r="JYR192" s="5"/>
      <c r="JYS192" s="5"/>
      <c r="JYT192" s="5"/>
      <c r="JYU192" s="5"/>
      <c r="JYV192" s="5"/>
      <c r="JYW192" s="5"/>
      <c r="JYX192" s="5"/>
      <c r="JYY192" s="5"/>
      <c r="JYZ192" s="5"/>
      <c r="JZA192" s="5"/>
      <c r="JZB192" s="5"/>
      <c r="JZC192" s="5"/>
      <c r="JZD192" s="5"/>
      <c r="JZE192" s="5"/>
      <c r="JZF192" s="5"/>
      <c r="JZG192" s="5"/>
      <c r="JZH192" s="5"/>
      <c r="JZI192" s="5"/>
      <c r="JZJ192" s="5"/>
      <c r="JZK192" s="5"/>
      <c r="JZL192" s="5"/>
      <c r="JZM192" s="5"/>
      <c r="JZN192" s="5"/>
      <c r="JZO192" s="5"/>
      <c r="JZP192" s="5"/>
      <c r="JZQ192" s="5"/>
      <c r="JZR192" s="5"/>
      <c r="JZS192" s="5"/>
      <c r="JZT192" s="5"/>
      <c r="JZU192" s="5"/>
      <c r="JZV192" s="5"/>
      <c r="JZW192" s="5"/>
      <c r="JZX192" s="5"/>
      <c r="JZY192" s="5"/>
      <c r="JZZ192" s="5"/>
      <c r="KAA192" s="5"/>
      <c r="KAB192" s="5"/>
      <c r="KAC192" s="5"/>
      <c r="KAD192" s="5"/>
      <c r="KAE192" s="5"/>
      <c r="KAF192" s="5"/>
      <c r="KAG192" s="5"/>
      <c r="KAH192" s="5"/>
      <c r="KAI192" s="5"/>
      <c r="KAJ192" s="5"/>
      <c r="KAK192" s="5"/>
      <c r="KAL192" s="5"/>
      <c r="KAM192" s="5"/>
      <c r="KAN192" s="5"/>
      <c r="KAO192" s="5"/>
      <c r="KAP192" s="5"/>
      <c r="KAQ192" s="5"/>
      <c r="KAR192" s="5"/>
      <c r="KAS192" s="5"/>
      <c r="KAT192" s="5"/>
      <c r="KAU192" s="5"/>
      <c r="KAV192" s="5"/>
      <c r="KAW192" s="5"/>
      <c r="KAX192" s="5"/>
      <c r="KAY192" s="5"/>
      <c r="KAZ192" s="5"/>
      <c r="KBA192" s="5"/>
      <c r="KBB192" s="5"/>
      <c r="KBC192" s="5"/>
      <c r="KBD192" s="5"/>
      <c r="KBE192" s="5"/>
      <c r="KBF192" s="5"/>
      <c r="KBG192" s="5"/>
      <c r="KBH192" s="5"/>
      <c r="KBI192" s="5"/>
      <c r="KBJ192" s="5"/>
      <c r="KBK192" s="5"/>
      <c r="KBL192" s="5"/>
      <c r="KBM192" s="5"/>
      <c r="KBN192" s="5"/>
      <c r="KBO192" s="5"/>
      <c r="KBP192" s="5"/>
      <c r="KBQ192" s="5"/>
      <c r="KBR192" s="5"/>
      <c r="KBS192" s="5"/>
      <c r="KBT192" s="5"/>
      <c r="KBU192" s="5"/>
      <c r="KBV192" s="5"/>
      <c r="KBW192" s="5"/>
      <c r="KBX192" s="5"/>
      <c r="KBY192" s="5"/>
      <c r="KBZ192" s="5"/>
      <c r="KCA192" s="5"/>
      <c r="KCB192" s="5"/>
      <c r="KCC192" s="5"/>
      <c r="KCD192" s="5"/>
      <c r="KCE192" s="5"/>
      <c r="KCF192" s="5"/>
      <c r="KCG192" s="5"/>
      <c r="KCH192" s="5"/>
      <c r="KCI192" s="5"/>
      <c r="KCJ192" s="5"/>
      <c r="KCK192" s="5"/>
      <c r="KCL192" s="5"/>
      <c r="KCM192" s="5"/>
      <c r="KCN192" s="5"/>
      <c r="KCO192" s="5"/>
      <c r="KCP192" s="5"/>
      <c r="KCQ192" s="5"/>
      <c r="KCR192" s="5"/>
      <c r="KCS192" s="5"/>
      <c r="KCT192" s="5"/>
      <c r="KCU192" s="5"/>
      <c r="KCV192" s="5"/>
      <c r="KCW192" s="5"/>
      <c r="KCX192" s="5"/>
      <c r="KCY192" s="5"/>
      <c r="KCZ192" s="5"/>
      <c r="KDA192" s="5"/>
      <c r="KDB192" s="5"/>
      <c r="KDC192" s="5"/>
      <c r="KDD192" s="5"/>
      <c r="KDE192" s="5"/>
      <c r="KDF192" s="5"/>
      <c r="KDG192" s="5"/>
      <c r="KDH192" s="5"/>
      <c r="KDI192" s="5"/>
      <c r="KDJ192" s="5"/>
      <c r="KDK192" s="5"/>
      <c r="KDL192" s="5"/>
      <c r="KDM192" s="5"/>
      <c r="KDN192" s="5"/>
      <c r="KDO192" s="5"/>
      <c r="KDP192" s="5"/>
      <c r="KDQ192" s="5"/>
      <c r="KDR192" s="5"/>
      <c r="KDS192" s="5"/>
      <c r="KDT192" s="5"/>
      <c r="KDU192" s="5"/>
      <c r="KDV192" s="5"/>
      <c r="KDW192" s="5"/>
      <c r="KDX192" s="5"/>
      <c r="KDY192" s="5"/>
      <c r="KDZ192" s="5"/>
      <c r="KEA192" s="5"/>
      <c r="KEB192" s="5"/>
      <c r="KEC192" s="5"/>
      <c r="KED192" s="5"/>
      <c r="KEE192" s="5"/>
      <c r="KEF192" s="5"/>
      <c r="KEG192" s="5"/>
      <c r="KEH192" s="5"/>
      <c r="KEI192" s="5"/>
      <c r="KEJ192" s="5"/>
      <c r="KEK192" s="5"/>
      <c r="KEL192" s="5"/>
      <c r="KEM192" s="5"/>
      <c r="KEN192" s="5"/>
      <c r="KEO192" s="5"/>
      <c r="KEP192" s="5"/>
      <c r="KEQ192" s="5"/>
      <c r="KER192" s="5"/>
      <c r="KES192" s="5"/>
      <c r="KET192" s="5"/>
      <c r="KEU192" s="5"/>
      <c r="KEV192" s="5"/>
      <c r="KEW192" s="5"/>
      <c r="KEX192" s="5"/>
      <c r="KEY192" s="5"/>
      <c r="KEZ192" s="5"/>
      <c r="KFA192" s="5"/>
      <c r="KFB192" s="5"/>
      <c r="KFC192" s="5"/>
      <c r="KFD192" s="5"/>
      <c r="KFE192" s="5"/>
      <c r="KFF192" s="5"/>
      <c r="KFG192" s="5"/>
      <c r="KFH192" s="5"/>
      <c r="KFI192" s="5"/>
      <c r="KFJ192" s="5"/>
      <c r="KFK192" s="5"/>
      <c r="KFL192" s="5"/>
      <c r="KFM192" s="5"/>
      <c r="KFN192" s="5"/>
      <c r="KFO192" s="5"/>
      <c r="KFP192" s="5"/>
      <c r="KFQ192" s="5"/>
      <c r="KFR192" s="5"/>
      <c r="KFS192" s="5"/>
      <c r="KFT192" s="5"/>
      <c r="KFU192" s="5"/>
      <c r="KFV192" s="5"/>
      <c r="KFW192" s="5"/>
      <c r="KFX192" s="5"/>
      <c r="KFY192" s="5"/>
      <c r="KFZ192" s="5"/>
      <c r="KGA192" s="5"/>
      <c r="KGB192" s="5"/>
      <c r="KGC192" s="5"/>
      <c r="KGD192" s="5"/>
      <c r="KGE192" s="5"/>
      <c r="KGF192" s="5"/>
      <c r="KGG192" s="5"/>
      <c r="KGH192" s="5"/>
      <c r="KGI192" s="5"/>
      <c r="KGJ192" s="5"/>
      <c r="KGK192" s="5"/>
      <c r="KGL192" s="5"/>
      <c r="KGM192" s="5"/>
      <c r="KGN192" s="5"/>
      <c r="KGO192" s="5"/>
      <c r="KGP192" s="5"/>
      <c r="KGQ192" s="5"/>
      <c r="KGR192" s="5"/>
      <c r="KGS192" s="5"/>
      <c r="KGT192" s="5"/>
      <c r="KGU192" s="5"/>
      <c r="KGV192" s="5"/>
      <c r="KGW192" s="5"/>
      <c r="KGX192" s="5"/>
      <c r="KGY192" s="5"/>
      <c r="KGZ192" s="5"/>
      <c r="KHA192" s="5"/>
      <c r="KHB192" s="5"/>
      <c r="KHC192" s="5"/>
      <c r="KHD192" s="5"/>
      <c r="KHE192" s="5"/>
      <c r="KHF192" s="5"/>
      <c r="KHG192" s="5"/>
      <c r="KHH192" s="5"/>
      <c r="KHI192" s="5"/>
      <c r="KHJ192" s="5"/>
      <c r="KHK192" s="5"/>
      <c r="KHL192" s="5"/>
      <c r="KHM192" s="5"/>
      <c r="KHN192" s="5"/>
      <c r="KHO192" s="5"/>
      <c r="KHP192" s="5"/>
      <c r="KHQ192" s="5"/>
      <c r="KHR192" s="5"/>
      <c r="KHS192" s="5"/>
      <c r="KHT192" s="5"/>
      <c r="KHU192" s="5"/>
      <c r="KHV192" s="5"/>
      <c r="KHW192" s="5"/>
      <c r="KHX192" s="5"/>
      <c r="KHY192" s="5"/>
      <c r="KHZ192" s="5"/>
      <c r="KIA192" s="5"/>
      <c r="KIB192" s="5"/>
      <c r="KIC192" s="5"/>
      <c r="KID192" s="5"/>
      <c r="KIE192" s="5"/>
      <c r="KIF192" s="5"/>
      <c r="KIG192" s="5"/>
      <c r="KIH192" s="5"/>
      <c r="KII192" s="5"/>
      <c r="KIJ192" s="5"/>
      <c r="KIK192" s="5"/>
      <c r="KIL192" s="5"/>
      <c r="KIM192" s="5"/>
      <c r="KIN192" s="5"/>
      <c r="KIO192" s="5"/>
      <c r="KIP192" s="5"/>
      <c r="KIQ192" s="5"/>
      <c r="KIR192" s="5"/>
      <c r="KIS192" s="5"/>
      <c r="KIT192" s="5"/>
      <c r="KIU192" s="5"/>
      <c r="KIV192" s="5"/>
      <c r="KIW192" s="5"/>
      <c r="KIX192" s="5"/>
      <c r="KIY192" s="5"/>
      <c r="KIZ192" s="5"/>
      <c r="KJA192" s="5"/>
      <c r="KJB192" s="5"/>
      <c r="KJC192" s="5"/>
      <c r="KJD192" s="5"/>
      <c r="KJE192" s="5"/>
      <c r="KJF192" s="5"/>
      <c r="KJG192" s="5"/>
      <c r="KJH192" s="5"/>
      <c r="KJI192" s="5"/>
      <c r="KJJ192" s="5"/>
      <c r="KJK192" s="5"/>
      <c r="KJL192" s="5"/>
      <c r="KJM192" s="5"/>
      <c r="KJN192" s="5"/>
      <c r="KJO192" s="5"/>
      <c r="KJP192" s="5"/>
      <c r="KJQ192" s="5"/>
      <c r="KJR192" s="5"/>
      <c r="KJS192" s="5"/>
      <c r="KJT192" s="5"/>
      <c r="KJU192" s="5"/>
      <c r="KJV192" s="5"/>
      <c r="KJW192" s="5"/>
      <c r="KJX192" s="5"/>
      <c r="KJY192" s="5"/>
      <c r="KJZ192" s="5"/>
      <c r="KKA192" s="5"/>
      <c r="KKB192" s="5"/>
      <c r="KKC192" s="5"/>
      <c r="KKD192" s="5"/>
      <c r="KKE192" s="5"/>
      <c r="KKF192" s="5"/>
      <c r="KKG192" s="5"/>
      <c r="KKH192" s="5"/>
      <c r="KKI192" s="5"/>
      <c r="KKJ192" s="5"/>
      <c r="KKK192" s="5"/>
      <c r="KKL192" s="5"/>
      <c r="KKM192" s="5"/>
      <c r="KKN192" s="5"/>
      <c r="KKO192" s="5"/>
      <c r="KKP192" s="5"/>
      <c r="KKQ192" s="5"/>
      <c r="KKR192" s="5"/>
      <c r="KKS192" s="5"/>
      <c r="KKT192" s="5"/>
      <c r="KKU192" s="5"/>
      <c r="KKV192" s="5"/>
      <c r="KKW192" s="5"/>
      <c r="KKX192" s="5"/>
      <c r="KKY192" s="5"/>
      <c r="KKZ192" s="5"/>
      <c r="KLA192" s="5"/>
      <c r="KLB192" s="5"/>
      <c r="KLC192" s="5"/>
      <c r="KLD192" s="5"/>
      <c r="KLE192" s="5"/>
      <c r="KLF192" s="5"/>
      <c r="KLG192" s="5"/>
      <c r="KLH192" s="5"/>
      <c r="KLI192" s="5"/>
      <c r="KLJ192" s="5"/>
      <c r="KLK192" s="5"/>
      <c r="KLL192" s="5"/>
      <c r="KLM192" s="5"/>
      <c r="KLN192" s="5"/>
      <c r="KLO192" s="5"/>
      <c r="KLP192" s="5"/>
      <c r="KLQ192" s="5"/>
      <c r="KLR192" s="5"/>
      <c r="KLS192" s="5"/>
      <c r="KLT192" s="5"/>
      <c r="KLU192" s="5"/>
      <c r="KLV192" s="5"/>
      <c r="KLW192" s="5"/>
      <c r="KLX192" s="5"/>
      <c r="KLY192" s="5"/>
      <c r="KLZ192" s="5"/>
      <c r="KMA192" s="5"/>
      <c r="KMB192" s="5"/>
      <c r="KMC192" s="5"/>
      <c r="KMD192" s="5"/>
      <c r="KME192" s="5"/>
      <c r="KMF192" s="5"/>
      <c r="KMG192" s="5"/>
      <c r="KMH192" s="5"/>
      <c r="KMI192" s="5"/>
      <c r="KMJ192" s="5"/>
      <c r="KMK192" s="5"/>
      <c r="KML192" s="5"/>
      <c r="KMM192" s="5"/>
      <c r="KMN192" s="5"/>
      <c r="KMO192" s="5"/>
      <c r="KMP192" s="5"/>
      <c r="KMQ192" s="5"/>
      <c r="KMR192" s="5"/>
      <c r="KMS192" s="5"/>
      <c r="KMT192" s="5"/>
      <c r="KMU192" s="5"/>
      <c r="KMV192" s="5"/>
      <c r="KMW192" s="5"/>
      <c r="KMX192" s="5"/>
      <c r="KMY192" s="5"/>
      <c r="KMZ192" s="5"/>
      <c r="KNA192" s="5"/>
      <c r="KNB192" s="5"/>
      <c r="KNC192" s="5"/>
      <c r="KND192" s="5"/>
      <c r="KNE192" s="5"/>
      <c r="KNF192" s="5"/>
      <c r="KNG192" s="5"/>
      <c r="KNH192" s="5"/>
      <c r="KNI192" s="5"/>
      <c r="KNJ192" s="5"/>
      <c r="KNK192" s="5"/>
      <c r="KNL192" s="5"/>
      <c r="KNM192" s="5"/>
      <c r="KNN192" s="5"/>
      <c r="KNO192" s="5"/>
      <c r="KNP192" s="5"/>
      <c r="KNQ192" s="5"/>
      <c r="KNR192" s="5"/>
      <c r="KNS192" s="5"/>
      <c r="KNT192" s="5"/>
      <c r="KNU192" s="5"/>
      <c r="KNV192" s="5"/>
      <c r="KNW192" s="5"/>
      <c r="KNX192" s="5"/>
      <c r="KNY192" s="5"/>
      <c r="KNZ192" s="5"/>
      <c r="KOA192" s="5"/>
      <c r="KOB192" s="5"/>
      <c r="KOC192" s="5"/>
      <c r="KOD192" s="5"/>
      <c r="KOE192" s="5"/>
      <c r="KOF192" s="5"/>
      <c r="KOG192" s="5"/>
      <c r="KOH192" s="5"/>
      <c r="KOI192" s="5"/>
      <c r="KOJ192" s="5"/>
      <c r="KOK192" s="5"/>
      <c r="KOL192" s="5"/>
      <c r="KOM192" s="5"/>
      <c r="KON192" s="5"/>
      <c r="KOO192" s="5"/>
      <c r="KOP192" s="5"/>
      <c r="KOQ192" s="5"/>
      <c r="KOR192" s="5"/>
      <c r="KOS192" s="5"/>
      <c r="KOT192" s="5"/>
      <c r="KOU192" s="5"/>
      <c r="KOV192" s="5"/>
      <c r="KOW192" s="5"/>
      <c r="KOX192" s="5"/>
      <c r="KOY192" s="5"/>
      <c r="KOZ192" s="5"/>
      <c r="KPA192" s="5"/>
      <c r="KPB192" s="5"/>
      <c r="KPC192" s="5"/>
      <c r="KPD192" s="5"/>
      <c r="KPE192" s="5"/>
      <c r="KPF192" s="5"/>
      <c r="KPG192" s="5"/>
      <c r="KPH192" s="5"/>
      <c r="KPI192" s="5"/>
      <c r="KPJ192" s="5"/>
      <c r="KPK192" s="5"/>
      <c r="KPL192" s="5"/>
      <c r="KPM192" s="5"/>
      <c r="KPN192" s="5"/>
      <c r="KPO192" s="5"/>
      <c r="KPP192" s="5"/>
      <c r="KPQ192" s="5"/>
      <c r="KPR192" s="5"/>
      <c r="KPS192" s="5"/>
      <c r="KPT192" s="5"/>
      <c r="KPU192" s="5"/>
      <c r="KPV192" s="5"/>
      <c r="KPW192" s="5"/>
      <c r="KPX192" s="5"/>
      <c r="KPY192" s="5"/>
      <c r="KPZ192" s="5"/>
      <c r="KQA192" s="5"/>
      <c r="KQB192" s="5"/>
      <c r="KQC192" s="5"/>
      <c r="KQD192" s="5"/>
      <c r="KQE192" s="5"/>
      <c r="KQF192" s="5"/>
      <c r="KQG192" s="5"/>
      <c r="KQH192" s="5"/>
      <c r="KQI192" s="5"/>
      <c r="KQJ192" s="5"/>
      <c r="KQK192" s="5"/>
      <c r="KQL192" s="5"/>
      <c r="KQM192" s="5"/>
      <c r="KQN192" s="5"/>
      <c r="KQO192" s="5"/>
      <c r="KQP192" s="5"/>
      <c r="KQQ192" s="5"/>
      <c r="KQR192" s="5"/>
      <c r="KQS192" s="5"/>
      <c r="KQT192" s="5"/>
      <c r="KQU192" s="5"/>
      <c r="KQV192" s="5"/>
      <c r="KQW192" s="5"/>
      <c r="KQX192" s="5"/>
      <c r="KQY192" s="5"/>
      <c r="KQZ192" s="5"/>
      <c r="KRA192" s="5"/>
      <c r="KRB192" s="5"/>
      <c r="KRC192" s="5"/>
      <c r="KRD192" s="5"/>
      <c r="KRE192" s="5"/>
      <c r="KRF192" s="5"/>
      <c r="KRG192" s="5"/>
      <c r="KRH192" s="5"/>
      <c r="KRI192" s="5"/>
      <c r="KRJ192" s="5"/>
      <c r="KRK192" s="5"/>
      <c r="KRL192" s="5"/>
      <c r="KRM192" s="5"/>
      <c r="KRN192" s="5"/>
      <c r="KRO192" s="5"/>
      <c r="KRP192" s="5"/>
      <c r="KRQ192" s="5"/>
      <c r="KRR192" s="5"/>
      <c r="KRS192" s="5"/>
      <c r="KRT192" s="5"/>
      <c r="KRU192" s="5"/>
      <c r="KRV192" s="5"/>
      <c r="KRW192" s="5"/>
      <c r="KRX192" s="5"/>
      <c r="KRY192" s="5"/>
      <c r="KRZ192" s="5"/>
      <c r="KSA192" s="5"/>
      <c r="KSB192" s="5"/>
      <c r="KSC192" s="5"/>
      <c r="KSD192" s="5"/>
      <c r="KSE192" s="5"/>
      <c r="KSF192" s="5"/>
      <c r="KSG192" s="5"/>
      <c r="KSH192" s="5"/>
      <c r="KSI192" s="5"/>
      <c r="KSJ192" s="5"/>
      <c r="KSK192" s="5"/>
      <c r="KSL192" s="5"/>
      <c r="KSM192" s="5"/>
      <c r="KSN192" s="5"/>
      <c r="KSO192" s="5"/>
      <c r="KSP192" s="5"/>
      <c r="KSQ192" s="5"/>
      <c r="KSR192" s="5"/>
      <c r="KSS192" s="5"/>
      <c r="KST192" s="5"/>
      <c r="KSU192" s="5"/>
      <c r="KSV192" s="5"/>
      <c r="KSW192" s="5"/>
      <c r="KSX192" s="5"/>
      <c r="KSY192" s="5"/>
      <c r="KSZ192" s="5"/>
      <c r="KTA192" s="5"/>
      <c r="KTB192" s="5"/>
      <c r="KTC192" s="5"/>
      <c r="KTD192" s="5"/>
      <c r="KTE192" s="5"/>
      <c r="KTF192" s="5"/>
      <c r="KTG192" s="5"/>
      <c r="KTH192" s="5"/>
      <c r="KTI192" s="5"/>
      <c r="KTJ192" s="5"/>
      <c r="KTK192" s="5"/>
      <c r="KTL192" s="5"/>
      <c r="KTM192" s="5"/>
      <c r="KTN192" s="5"/>
      <c r="KTO192" s="5"/>
      <c r="KTP192" s="5"/>
      <c r="KTQ192" s="5"/>
      <c r="KTR192" s="5"/>
      <c r="KTS192" s="5"/>
      <c r="KTT192" s="5"/>
      <c r="KTU192" s="5"/>
      <c r="KTV192" s="5"/>
      <c r="KTW192" s="5"/>
      <c r="KTX192" s="5"/>
      <c r="KTY192" s="5"/>
      <c r="KTZ192" s="5"/>
      <c r="KUA192" s="5"/>
      <c r="KUB192" s="5"/>
      <c r="KUC192" s="5"/>
      <c r="KUD192" s="5"/>
      <c r="KUE192" s="5"/>
      <c r="KUF192" s="5"/>
      <c r="KUG192" s="5"/>
      <c r="KUH192" s="5"/>
      <c r="KUI192" s="5"/>
      <c r="KUJ192" s="5"/>
      <c r="KUK192" s="5"/>
      <c r="KUL192" s="5"/>
      <c r="KUM192" s="5"/>
      <c r="KUN192" s="5"/>
      <c r="KUO192" s="5"/>
      <c r="KUP192" s="5"/>
      <c r="KUQ192" s="5"/>
      <c r="KUR192" s="5"/>
      <c r="KUS192" s="5"/>
      <c r="KUT192" s="5"/>
      <c r="KUU192" s="5"/>
      <c r="KUV192" s="5"/>
      <c r="KUW192" s="5"/>
      <c r="KUX192" s="5"/>
      <c r="KUY192" s="5"/>
      <c r="KUZ192" s="5"/>
      <c r="KVA192" s="5"/>
      <c r="KVB192" s="5"/>
      <c r="KVC192" s="5"/>
      <c r="KVD192" s="5"/>
      <c r="KVE192" s="5"/>
      <c r="KVF192" s="5"/>
      <c r="KVG192" s="5"/>
      <c r="KVH192" s="5"/>
      <c r="KVI192" s="5"/>
      <c r="KVJ192" s="5"/>
      <c r="KVK192" s="5"/>
      <c r="KVL192" s="5"/>
      <c r="KVM192" s="5"/>
      <c r="KVN192" s="5"/>
      <c r="KVO192" s="5"/>
      <c r="KVP192" s="5"/>
      <c r="KVQ192" s="5"/>
      <c r="KVR192" s="5"/>
      <c r="KVS192" s="5"/>
      <c r="KVT192" s="5"/>
      <c r="KVU192" s="5"/>
      <c r="KVV192" s="5"/>
      <c r="KVW192" s="5"/>
      <c r="KVX192" s="5"/>
      <c r="KVY192" s="5"/>
      <c r="KVZ192" s="5"/>
      <c r="KWA192" s="5"/>
      <c r="KWB192" s="5"/>
      <c r="KWC192" s="5"/>
      <c r="KWD192" s="5"/>
      <c r="KWE192" s="5"/>
      <c r="KWF192" s="5"/>
      <c r="KWG192" s="5"/>
      <c r="KWH192" s="5"/>
      <c r="KWI192" s="5"/>
      <c r="KWJ192" s="5"/>
      <c r="KWK192" s="5"/>
      <c r="KWL192" s="5"/>
      <c r="KWM192" s="5"/>
      <c r="KWN192" s="5"/>
      <c r="KWO192" s="5"/>
      <c r="KWP192" s="5"/>
      <c r="KWQ192" s="5"/>
      <c r="KWR192" s="5"/>
      <c r="KWS192" s="5"/>
      <c r="KWT192" s="5"/>
      <c r="KWU192" s="5"/>
      <c r="KWV192" s="5"/>
      <c r="KWW192" s="5"/>
      <c r="KWX192" s="5"/>
      <c r="KWY192" s="5"/>
      <c r="KWZ192" s="5"/>
      <c r="KXA192" s="5"/>
      <c r="KXB192" s="5"/>
      <c r="KXC192" s="5"/>
      <c r="KXD192" s="5"/>
      <c r="KXE192" s="5"/>
      <c r="KXF192" s="5"/>
      <c r="KXG192" s="5"/>
      <c r="KXH192" s="5"/>
      <c r="KXI192" s="5"/>
      <c r="KXJ192" s="5"/>
      <c r="KXK192" s="5"/>
      <c r="KXL192" s="5"/>
      <c r="KXM192" s="5"/>
      <c r="KXN192" s="5"/>
      <c r="KXO192" s="5"/>
      <c r="KXP192" s="5"/>
      <c r="KXQ192" s="5"/>
      <c r="KXR192" s="5"/>
      <c r="KXS192" s="5"/>
      <c r="KXT192" s="5"/>
      <c r="KXU192" s="5"/>
      <c r="KXV192" s="5"/>
      <c r="KXW192" s="5"/>
      <c r="KXX192" s="5"/>
      <c r="KXY192" s="5"/>
      <c r="KXZ192" s="5"/>
      <c r="KYA192" s="5"/>
      <c r="KYB192" s="5"/>
      <c r="KYC192" s="5"/>
      <c r="KYD192" s="5"/>
      <c r="KYE192" s="5"/>
      <c r="KYF192" s="5"/>
      <c r="KYG192" s="5"/>
      <c r="KYH192" s="5"/>
      <c r="KYI192" s="5"/>
      <c r="KYJ192" s="5"/>
      <c r="KYK192" s="5"/>
      <c r="KYL192" s="5"/>
      <c r="KYM192" s="5"/>
      <c r="KYN192" s="5"/>
      <c r="KYO192" s="5"/>
      <c r="KYP192" s="5"/>
      <c r="KYQ192" s="5"/>
      <c r="KYR192" s="5"/>
      <c r="KYS192" s="5"/>
      <c r="KYT192" s="5"/>
      <c r="KYU192" s="5"/>
      <c r="KYV192" s="5"/>
      <c r="KYW192" s="5"/>
      <c r="KYX192" s="5"/>
      <c r="KYY192" s="5"/>
      <c r="KYZ192" s="5"/>
      <c r="KZA192" s="5"/>
      <c r="KZB192" s="5"/>
      <c r="KZC192" s="5"/>
      <c r="KZD192" s="5"/>
      <c r="KZE192" s="5"/>
      <c r="KZF192" s="5"/>
      <c r="KZG192" s="5"/>
      <c r="KZH192" s="5"/>
      <c r="KZI192" s="5"/>
      <c r="KZJ192" s="5"/>
      <c r="KZK192" s="5"/>
      <c r="KZL192" s="5"/>
      <c r="KZM192" s="5"/>
      <c r="KZN192" s="5"/>
      <c r="KZO192" s="5"/>
      <c r="KZP192" s="5"/>
      <c r="KZQ192" s="5"/>
      <c r="KZR192" s="5"/>
      <c r="KZS192" s="5"/>
      <c r="KZT192" s="5"/>
      <c r="KZU192" s="5"/>
      <c r="KZV192" s="5"/>
      <c r="KZW192" s="5"/>
      <c r="KZX192" s="5"/>
      <c r="KZY192" s="5"/>
      <c r="KZZ192" s="5"/>
      <c r="LAA192" s="5"/>
      <c r="LAB192" s="5"/>
      <c r="LAC192" s="5"/>
      <c r="LAD192" s="5"/>
      <c r="LAE192" s="5"/>
      <c r="LAF192" s="5"/>
      <c r="LAG192" s="5"/>
      <c r="LAH192" s="5"/>
      <c r="LAI192" s="5"/>
      <c r="LAJ192" s="5"/>
      <c r="LAK192" s="5"/>
      <c r="LAL192" s="5"/>
      <c r="LAM192" s="5"/>
      <c r="LAN192" s="5"/>
      <c r="LAO192" s="5"/>
      <c r="LAP192" s="5"/>
      <c r="LAQ192" s="5"/>
      <c r="LAR192" s="5"/>
      <c r="LAS192" s="5"/>
      <c r="LAT192" s="5"/>
      <c r="LAU192" s="5"/>
      <c r="LAV192" s="5"/>
      <c r="LAW192" s="5"/>
      <c r="LAX192" s="5"/>
      <c r="LAY192" s="5"/>
      <c r="LAZ192" s="5"/>
      <c r="LBA192" s="5"/>
      <c r="LBB192" s="5"/>
      <c r="LBC192" s="5"/>
      <c r="LBD192" s="5"/>
      <c r="LBE192" s="5"/>
      <c r="LBF192" s="5"/>
      <c r="LBG192" s="5"/>
      <c r="LBH192" s="5"/>
      <c r="LBI192" s="5"/>
      <c r="LBJ192" s="5"/>
      <c r="LBK192" s="5"/>
      <c r="LBL192" s="5"/>
      <c r="LBM192" s="5"/>
      <c r="LBN192" s="5"/>
      <c r="LBO192" s="5"/>
      <c r="LBP192" s="5"/>
      <c r="LBQ192" s="5"/>
      <c r="LBR192" s="5"/>
      <c r="LBS192" s="5"/>
      <c r="LBT192" s="5"/>
      <c r="LBU192" s="5"/>
      <c r="LBV192" s="5"/>
      <c r="LBW192" s="5"/>
      <c r="LBX192" s="5"/>
      <c r="LBY192" s="5"/>
      <c r="LBZ192" s="5"/>
      <c r="LCA192" s="5"/>
      <c r="LCB192" s="5"/>
      <c r="LCC192" s="5"/>
      <c r="LCD192" s="5"/>
      <c r="LCE192" s="5"/>
      <c r="LCF192" s="5"/>
      <c r="LCG192" s="5"/>
      <c r="LCH192" s="5"/>
      <c r="LCI192" s="5"/>
      <c r="LCJ192" s="5"/>
      <c r="LCK192" s="5"/>
      <c r="LCL192" s="5"/>
      <c r="LCM192" s="5"/>
      <c r="LCN192" s="5"/>
      <c r="LCO192" s="5"/>
      <c r="LCP192" s="5"/>
      <c r="LCQ192" s="5"/>
      <c r="LCR192" s="5"/>
      <c r="LCS192" s="5"/>
      <c r="LCT192" s="5"/>
      <c r="LCU192" s="5"/>
      <c r="LCV192" s="5"/>
      <c r="LCW192" s="5"/>
      <c r="LCX192" s="5"/>
      <c r="LCY192" s="5"/>
      <c r="LCZ192" s="5"/>
      <c r="LDA192" s="5"/>
      <c r="LDB192" s="5"/>
      <c r="LDC192" s="5"/>
      <c r="LDD192" s="5"/>
      <c r="LDE192" s="5"/>
      <c r="LDF192" s="5"/>
      <c r="LDG192" s="5"/>
      <c r="LDH192" s="5"/>
      <c r="LDI192" s="5"/>
      <c r="LDJ192" s="5"/>
      <c r="LDK192" s="5"/>
      <c r="LDL192" s="5"/>
      <c r="LDM192" s="5"/>
      <c r="LDN192" s="5"/>
      <c r="LDO192" s="5"/>
      <c r="LDP192" s="5"/>
      <c r="LDQ192" s="5"/>
      <c r="LDR192" s="5"/>
      <c r="LDS192" s="5"/>
      <c r="LDT192" s="5"/>
      <c r="LDU192" s="5"/>
      <c r="LDV192" s="5"/>
      <c r="LDW192" s="5"/>
      <c r="LDX192" s="5"/>
      <c r="LDY192" s="5"/>
      <c r="LDZ192" s="5"/>
      <c r="LEA192" s="5"/>
      <c r="LEB192" s="5"/>
      <c r="LEC192" s="5"/>
      <c r="LED192" s="5"/>
      <c r="LEE192" s="5"/>
      <c r="LEF192" s="5"/>
      <c r="LEG192" s="5"/>
      <c r="LEH192" s="5"/>
      <c r="LEI192" s="5"/>
      <c r="LEJ192" s="5"/>
      <c r="LEK192" s="5"/>
      <c r="LEL192" s="5"/>
      <c r="LEM192" s="5"/>
      <c r="LEN192" s="5"/>
      <c r="LEO192" s="5"/>
      <c r="LEP192" s="5"/>
      <c r="LEQ192" s="5"/>
      <c r="LER192" s="5"/>
      <c r="LES192" s="5"/>
      <c r="LET192" s="5"/>
      <c r="LEU192" s="5"/>
      <c r="LEV192" s="5"/>
      <c r="LEW192" s="5"/>
      <c r="LEX192" s="5"/>
      <c r="LEY192" s="5"/>
      <c r="LEZ192" s="5"/>
      <c r="LFA192" s="5"/>
      <c r="LFB192" s="5"/>
      <c r="LFC192" s="5"/>
      <c r="LFD192" s="5"/>
      <c r="LFE192" s="5"/>
      <c r="LFF192" s="5"/>
      <c r="LFG192" s="5"/>
      <c r="LFH192" s="5"/>
      <c r="LFI192" s="5"/>
      <c r="LFJ192" s="5"/>
      <c r="LFK192" s="5"/>
      <c r="LFL192" s="5"/>
      <c r="LFM192" s="5"/>
      <c r="LFN192" s="5"/>
      <c r="LFO192" s="5"/>
      <c r="LFP192" s="5"/>
      <c r="LFQ192" s="5"/>
      <c r="LFR192" s="5"/>
      <c r="LFS192" s="5"/>
      <c r="LFT192" s="5"/>
      <c r="LFU192" s="5"/>
      <c r="LFV192" s="5"/>
      <c r="LFW192" s="5"/>
      <c r="LFX192" s="5"/>
      <c r="LFY192" s="5"/>
      <c r="LFZ192" s="5"/>
      <c r="LGA192" s="5"/>
      <c r="LGB192" s="5"/>
      <c r="LGC192" s="5"/>
      <c r="LGD192" s="5"/>
      <c r="LGE192" s="5"/>
      <c r="LGF192" s="5"/>
      <c r="LGG192" s="5"/>
      <c r="LGH192" s="5"/>
      <c r="LGI192" s="5"/>
      <c r="LGJ192" s="5"/>
      <c r="LGK192" s="5"/>
      <c r="LGL192" s="5"/>
      <c r="LGM192" s="5"/>
      <c r="LGN192" s="5"/>
      <c r="LGO192" s="5"/>
      <c r="LGP192" s="5"/>
      <c r="LGQ192" s="5"/>
      <c r="LGR192" s="5"/>
      <c r="LGS192" s="5"/>
      <c r="LGT192" s="5"/>
      <c r="LGU192" s="5"/>
      <c r="LGV192" s="5"/>
      <c r="LGW192" s="5"/>
      <c r="LGX192" s="5"/>
      <c r="LGY192" s="5"/>
      <c r="LGZ192" s="5"/>
      <c r="LHA192" s="5"/>
      <c r="LHB192" s="5"/>
      <c r="LHC192" s="5"/>
      <c r="LHD192" s="5"/>
      <c r="LHE192" s="5"/>
      <c r="LHF192" s="5"/>
      <c r="LHG192" s="5"/>
      <c r="LHH192" s="5"/>
      <c r="LHI192" s="5"/>
      <c r="LHJ192" s="5"/>
      <c r="LHK192" s="5"/>
      <c r="LHL192" s="5"/>
      <c r="LHM192" s="5"/>
      <c r="LHN192" s="5"/>
      <c r="LHO192" s="5"/>
      <c r="LHP192" s="5"/>
      <c r="LHQ192" s="5"/>
      <c r="LHR192" s="5"/>
      <c r="LHS192" s="5"/>
      <c r="LHT192" s="5"/>
      <c r="LHU192" s="5"/>
      <c r="LHV192" s="5"/>
      <c r="LHW192" s="5"/>
      <c r="LHX192" s="5"/>
      <c r="LHY192" s="5"/>
      <c r="LHZ192" s="5"/>
      <c r="LIA192" s="5"/>
      <c r="LIB192" s="5"/>
      <c r="LIC192" s="5"/>
      <c r="LID192" s="5"/>
      <c r="LIE192" s="5"/>
      <c r="LIF192" s="5"/>
      <c r="LIG192" s="5"/>
      <c r="LIH192" s="5"/>
      <c r="LII192" s="5"/>
      <c r="LIJ192" s="5"/>
      <c r="LIK192" s="5"/>
      <c r="LIL192" s="5"/>
      <c r="LIM192" s="5"/>
      <c r="LIN192" s="5"/>
      <c r="LIO192" s="5"/>
      <c r="LIP192" s="5"/>
      <c r="LIQ192" s="5"/>
      <c r="LIR192" s="5"/>
      <c r="LIS192" s="5"/>
      <c r="LIT192" s="5"/>
      <c r="LIU192" s="5"/>
      <c r="LIV192" s="5"/>
      <c r="LIW192" s="5"/>
      <c r="LIX192" s="5"/>
      <c r="LIY192" s="5"/>
      <c r="LIZ192" s="5"/>
      <c r="LJA192" s="5"/>
      <c r="LJB192" s="5"/>
      <c r="LJC192" s="5"/>
      <c r="LJD192" s="5"/>
      <c r="LJE192" s="5"/>
      <c r="LJF192" s="5"/>
      <c r="LJG192" s="5"/>
      <c r="LJH192" s="5"/>
      <c r="LJI192" s="5"/>
      <c r="LJJ192" s="5"/>
      <c r="LJK192" s="5"/>
      <c r="LJL192" s="5"/>
      <c r="LJM192" s="5"/>
      <c r="LJN192" s="5"/>
      <c r="LJO192" s="5"/>
      <c r="LJP192" s="5"/>
      <c r="LJQ192" s="5"/>
      <c r="LJR192" s="5"/>
      <c r="LJS192" s="5"/>
      <c r="LJT192" s="5"/>
      <c r="LJU192" s="5"/>
      <c r="LJV192" s="5"/>
      <c r="LJW192" s="5"/>
      <c r="LJX192" s="5"/>
      <c r="LJY192" s="5"/>
      <c r="LJZ192" s="5"/>
      <c r="LKA192" s="5"/>
      <c r="LKB192" s="5"/>
      <c r="LKC192" s="5"/>
      <c r="LKD192" s="5"/>
      <c r="LKE192" s="5"/>
      <c r="LKF192" s="5"/>
      <c r="LKG192" s="5"/>
      <c r="LKH192" s="5"/>
      <c r="LKI192" s="5"/>
      <c r="LKJ192" s="5"/>
      <c r="LKK192" s="5"/>
      <c r="LKL192" s="5"/>
      <c r="LKM192" s="5"/>
      <c r="LKN192" s="5"/>
      <c r="LKO192" s="5"/>
      <c r="LKP192" s="5"/>
      <c r="LKQ192" s="5"/>
      <c r="LKR192" s="5"/>
      <c r="LKS192" s="5"/>
      <c r="LKT192" s="5"/>
      <c r="LKU192" s="5"/>
      <c r="LKV192" s="5"/>
      <c r="LKW192" s="5"/>
      <c r="LKX192" s="5"/>
      <c r="LKY192" s="5"/>
      <c r="LKZ192" s="5"/>
      <c r="LLA192" s="5"/>
      <c r="LLB192" s="5"/>
      <c r="LLC192" s="5"/>
      <c r="LLD192" s="5"/>
      <c r="LLE192" s="5"/>
      <c r="LLF192" s="5"/>
      <c r="LLG192" s="5"/>
      <c r="LLH192" s="5"/>
      <c r="LLI192" s="5"/>
      <c r="LLJ192" s="5"/>
      <c r="LLK192" s="5"/>
      <c r="LLL192" s="5"/>
      <c r="LLM192" s="5"/>
      <c r="LLN192" s="5"/>
      <c r="LLO192" s="5"/>
      <c r="LLP192" s="5"/>
      <c r="LLQ192" s="5"/>
      <c r="LLR192" s="5"/>
      <c r="LLS192" s="5"/>
      <c r="LLT192" s="5"/>
      <c r="LLU192" s="5"/>
      <c r="LLV192" s="5"/>
      <c r="LLW192" s="5"/>
      <c r="LLX192" s="5"/>
      <c r="LLY192" s="5"/>
      <c r="LLZ192" s="5"/>
      <c r="LMA192" s="5"/>
      <c r="LMB192" s="5"/>
      <c r="LMC192" s="5"/>
      <c r="LMD192" s="5"/>
      <c r="LME192" s="5"/>
      <c r="LMF192" s="5"/>
      <c r="LMG192" s="5"/>
      <c r="LMH192" s="5"/>
      <c r="LMI192" s="5"/>
      <c r="LMJ192" s="5"/>
      <c r="LMK192" s="5"/>
      <c r="LML192" s="5"/>
      <c r="LMM192" s="5"/>
      <c r="LMN192" s="5"/>
      <c r="LMO192" s="5"/>
      <c r="LMP192" s="5"/>
      <c r="LMQ192" s="5"/>
      <c r="LMR192" s="5"/>
      <c r="LMS192" s="5"/>
      <c r="LMT192" s="5"/>
      <c r="LMU192" s="5"/>
      <c r="LMV192" s="5"/>
      <c r="LMW192" s="5"/>
      <c r="LMX192" s="5"/>
      <c r="LMY192" s="5"/>
      <c r="LMZ192" s="5"/>
      <c r="LNA192" s="5"/>
      <c r="LNB192" s="5"/>
      <c r="LNC192" s="5"/>
      <c r="LND192" s="5"/>
      <c r="LNE192" s="5"/>
      <c r="LNF192" s="5"/>
      <c r="LNG192" s="5"/>
      <c r="LNH192" s="5"/>
      <c r="LNI192" s="5"/>
      <c r="LNJ192" s="5"/>
      <c r="LNK192" s="5"/>
      <c r="LNL192" s="5"/>
      <c r="LNM192" s="5"/>
      <c r="LNN192" s="5"/>
      <c r="LNO192" s="5"/>
      <c r="LNP192" s="5"/>
      <c r="LNQ192" s="5"/>
      <c r="LNR192" s="5"/>
      <c r="LNS192" s="5"/>
      <c r="LNT192" s="5"/>
      <c r="LNU192" s="5"/>
      <c r="LNV192" s="5"/>
      <c r="LNW192" s="5"/>
      <c r="LNX192" s="5"/>
      <c r="LNY192" s="5"/>
      <c r="LNZ192" s="5"/>
      <c r="LOA192" s="5"/>
      <c r="LOB192" s="5"/>
      <c r="LOC192" s="5"/>
      <c r="LOD192" s="5"/>
      <c r="LOE192" s="5"/>
      <c r="LOF192" s="5"/>
      <c r="LOG192" s="5"/>
      <c r="LOH192" s="5"/>
      <c r="LOI192" s="5"/>
      <c r="LOJ192" s="5"/>
      <c r="LOK192" s="5"/>
      <c r="LOL192" s="5"/>
      <c r="LOM192" s="5"/>
      <c r="LON192" s="5"/>
      <c r="LOO192" s="5"/>
      <c r="LOP192" s="5"/>
      <c r="LOQ192" s="5"/>
      <c r="LOR192" s="5"/>
      <c r="LOS192" s="5"/>
      <c r="LOT192" s="5"/>
      <c r="LOU192" s="5"/>
      <c r="LOV192" s="5"/>
      <c r="LOW192" s="5"/>
      <c r="LOX192" s="5"/>
      <c r="LOY192" s="5"/>
      <c r="LOZ192" s="5"/>
      <c r="LPA192" s="5"/>
      <c r="LPB192" s="5"/>
      <c r="LPC192" s="5"/>
      <c r="LPD192" s="5"/>
      <c r="LPE192" s="5"/>
      <c r="LPF192" s="5"/>
      <c r="LPG192" s="5"/>
      <c r="LPH192" s="5"/>
      <c r="LPI192" s="5"/>
      <c r="LPJ192" s="5"/>
      <c r="LPK192" s="5"/>
      <c r="LPL192" s="5"/>
      <c r="LPM192" s="5"/>
      <c r="LPN192" s="5"/>
      <c r="LPO192" s="5"/>
      <c r="LPP192" s="5"/>
      <c r="LPQ192" s="5"/>
      <c r="LPR192" s="5"/>
      <c r="LPS192" s="5"/>
      <c r="LPT192" s="5"/>
      <c r="LPU192" s="5"/>
      <c r="LPV192" s="5"/>
      <c r="LPW192" s="5"/>
      <c r="LPX192" s="5"/>
      <c r="LPY192" s="5"/>
      <c r="LPZ192" s="5"/>
      <c r="LQA192" s="5"/>
      <c r="LQB192" s="5"/>
      <c r="LQC192" s="5"/>
      <c r="LQD192" s="5"/>
      <c r="LQE192" s="5"/>
      <c r="LQF192" s="5"/>
      <c r="LQG192" s="5"/>
      <c r="LQH192" s="5"/>
      <c r="LQI192" s="5"/>
      <c r="LQJ192" s="5"/>
      <c r="LQK192" s="5"/>
      <c r="LQL192" s="5"/>
      <c r="LQM192" s="5"/>
      <c r="LQN192" s="5"/>
      <c r="LQO192" s="5"/>
      <c r="LQP192" s="5"/>
      <c r="LQQ192" s="5"/>
      <c r="LQR192" s="5"/>
      <c r="LQS192" s="5"/>
      <c r="LQT192" s="5"/>
      <c r="LQU192" s="5"/>
      <c r="LQV192" s="5"/>
      <c r="LQW192" s="5"/>
      <c r="LQX192" s="5"/>
      <c r="LQY192" s="5"/>
      <c r="LQZ192" s="5"/>
      <c r="LRA192" s="5"/>
      <c r="LRB192" s="5"/>
      <c r="LRC192" s="5"/>
      <c r="LRD192" s="5"/>
      <c r="LRE192" s="5"/>
      <c r="LRF192" s="5"/>
      <c r="LRG192" s="5"/>
      <c r="LRH192" s="5"/>
      <c r="LRI192" s="5"/>
      <c r="LRJ192" s="5"/>
      <c r="LRK192" s="5"/>
      <c r="LRL192" s="5"/>
      <c r="LRM192" s="5"/>
      <c r="LRN192" s="5"/>
      <c r="LRO192" s="5"/>
      <c r="LRP192" s="5"/>
      <c r="LRQ192" s="5"/>
      <c r="LRR192" s="5"/>
      <c r="LRS192" s="5"/>
      <c r="LRT192" s="5"/>
      <c r="LRU192" s="5"/>
      <c r="LRV192" s="5"/>
      <c r="LRW192" s="5"/>
      <c r="LRX192" s="5"/>
      <c r="LRY192" s="5"/>
      <c r="LRZ192" s="5"/>
      <c r="LSA192" s="5"/>
      <c r="LSB192" s="5"/>
      <c r="LSC192" s="5"/>
      <c r="LSD192" s="5"/>
      <c r="LSE192" s="5"/>
      <c r="LSF192" s="5"/>
      <c r="LSG192" s="5"/>
      <c r="LSH192" s="5"/>
      <c r="LSI192" s="5"/>
      <c r="LSJ192" s="5"/>
      <c r="LSK192" s="5"/>
      <c r="LSL192" s="5"/>
      <c r="LSM192" s="5"/>
      <c r="LSN192" s="5"/>
      <c r="LSO192" s="5"/>
      <c r="LSP192" s="5"/>
      <c r="LSQ192" s="5"/>
      <c r="LSR192" s="5"/>
      <c r="LSS192" s="5"/>
      <c r="LST192" s="5"/>
      <c r="LSU192" s="5"/>
      <c r="LSV192" s="5"/>
      <c r="LSW192" s="5"/>
      <c r="LSX192" s="5"/>
      <c r="LSY192" s="5"/>
      <c r="LSZ192" s="5"/>
      <c r="LTA192" s="5"/>
      <c r="LTB192" s="5"/>
      <c r="LTC192" s="5"/>
      <c r="LTD192" s="5"/>
      <c r="LTE192" s="5"/>
      <c r="LTF192" s="5"/>
      <c r="LTG192" s="5"/>
      <c r="LTH192" s="5"/>
      <c r="LTI192" s="5"/>
      <c r="LTJ192" s="5"/>
      <c r="LTK192" s="5"/>
      <c r="LTL192" s="5"/>
      <c r="LTM192" s="5"/>
      <c r="LTN192" s="5"/>
      <c r="LTO192" s="5"/>
      <c r="LTP192" s="5"/>
      <c r="LTQ192" s="5"/>
      <c r="LTR192" s="5"/>
      <c r="LTS192" s="5"/>
      <c r="LTT192" s="5"/>
      <c r="LTU192" s="5"/>
      <c r="LTV192" s="5"/>
      <c r="LTW192" s="5"/>
      <c r="LTX192" s="5"/>
      <c r="LTY192" s="5"/>
      <c r="LTZ192" s="5"/>
      <c r="LUA192" s="5"/>
      <c r="LUB192" s="5"/>
      <c r="LUC192" s="5"/>
      <c r="LUD192" s="5"/>
      <c r="LUE192" s="5"/>
      <c r="LUF192" s="5"/>
      <c r="LUG192" s="5"/>
      <c r="LUH192" s="5"/>
      <c r="LUI192" s="5"/>
      <c r="LUJ192" s="5"/>
      <c r="LUK192" s="5"/>
      <c r="LUL192" s="5"/>
      <c r="LUM192" s="5"/>
      <c r="LUN192" s="5"/>
      <c r="LUO192" s="5"/>
      <c r="LUP192" s="5"/>
      <c r="LUQ192" s="5"/>
      <c r="LUR192" s="5"/>
      <c r="LUS192" s="5"/>
      <c r="LUT192" s="5"/>
      <c r="LUU192" s="5"/>
      <c r="LUV192" s="5"/>
      <c r="LUW192" s="5"/>
      <c r="LUX192" s="5"/>
      <c r="LUY192" s="5"/>
      <c r="LUZ192" s="5"/>
      <c r="LVA192" s="5"/>
      <c r="LVB192" s="5"/>
      <c r="LVC192" s="5"/>
      <c r="LVD192" s="5"/>
      <c r="LVE192" s="5"/>
      <c r="LVF192" s="5"/>
      <c r="LVG192" s="5"/>
      <c r="LVH192" s="5"/>
      <c r="LVI192" s="5"/>
      <c r="LVJ192" s="5"/>
      <c r="LVK192" s="5"/>
      <c r="LVL192" s="5"/>
      <c r="LVM192" s="5"/>
      <c r="LVN192" s="5"/>
      <c r="LVO192" s="5"/>
      <c r="LVP192" s="5"/>
      <c r="LVQ192" s="5"/>
      <c r="LVR192" s="5"/>
      <c r="LVS192" s="5"/>
      <c r="LVT192" s="5"/>
      <c r="LVU192" s="5"/>
      <c r="LVV192" s="5"/>
      <c r="LVW192" s="5"/>
      <c r="LVX192" s="5"/>
      <c r="LVY192" s="5"/>
      <c r="LVZ192" s="5"/>
      <c r="LWA192" s="5"/>
      <c r="LWB192" s="5"/>
      <c r="LWC192" s="5"/>
      <c r="LWD192" s="5"/>
      <c r="LWE192" s="5"/>
      <c r="LWF192" s="5"/>
      <c r="LWG192" s="5"/>
      <c r="LWH192" s="5"/>
      <c r="LWI192" s="5"/>
      <c r="LWJ192" s="5"/>
      <c r="LWK192" s="5"/>
      <c r="LWL192" s="5"/>
      <c r="LWM192" s="5"/>
      <c r="LWN192" s="5"/>
      <c r="LWO192" s="5"/>
      <c r="LWP192" s="5"/>
      <c r="LWQ192" s="5"/>
      <c r="LWR192" s="5"/>
      <c r="LWS192" s="5"/>
      <c r="LWT192" s="5"/>
      <c r="LWU192" s="5"/>
      <c r="LWV192" s="5"/>
      <c r="LWW192" s="5"/>
      <c r="LWX192" s="5"/>
      <c r="LWY192" s="5"/>
      <c r="LWZ192" s="5"/>
      <c r="LXA192" s="5"/>
      <c r="LXB192" s="5"/>
      <c r="LXC192" s="5"/>
      <c r="LXD192" s="5"/>
      <c r="LXE192" s="5"/>
      <c r="LXF192" s="5"/>
      <c r="LXG192" s="5"/>
      <c r="LXH192" s="5"/>
      <c r="LXI192" s="5"/>
      <c r="LXJ192" s="5"/>
      <c r="LXK192" s="5"/>
      <c r="LXL192" s="5"/>
      <c r="LXM192" s="5"/>
      <c r="LXN192" s="5"/>
      <c r="LXO192" s="5"/>
      <c r="LXP192" s="5"/>
      <c r="LXQ192" s="5"/>
      <c r="LXR192" s="5"/>
      <c r="LXS192" s="5"/>
      <c r="LXT192" s="5"/>
      <c r="LXU192" s="5"/>
      <c r="LXV192" s="5"/>
      <c r="LXW192" s="5"/>
      <c r="LXX192" s="5"/>
      <c r="LXY192" s="5"/>
      <c r="LXZ192" s="5"/>
      <c r="LYA192" s="5"/>
      <c r="LYB192" s="5"/>
      <c r="LYC192" s="5"/>
      <c r="LYD192" s="5"/>
      <c r="LYE192" s="5"/>
      <c r="LYF192" s="5"/>
      <c r="LYG192" s="5"/>
      <c r="LYH192" s="5"/>
      <c r="LYI192" s="5"/>
      <c r="LYJ192" s="5"/>
      <c r="LYK192" s="5"/>
      <c r="LYL192" s="5"/>
      <c r="LYM192" s="5"/>
      <c r="LYN192" s="5"/>
      <c r="LYO192" s="5"/>
      <c r="LYP192" s="5"/>
      <c r="LYQ192" s="5"/>
      <c r="LYR192" s="5"/>
      <c r="LYS192" s="5"/>
      <c r="LYT192" s="5"/>
      <c r="LYU192" s="5"/>
      <c r="LYV192" s="5"/>
      <c r="LYW192" s="5"/>
      <c r="LYX192" s="5"/>
      <c r="LYY192" s="5"/>
      <c r="LYZ192" s="5"/>
      <c r="LZA192" s="5"/>
      <c r="LZB192" s="5"/>
      <c r="LZC192" s="5"/>
      <c r="LZD192" s="5"/>
      <c r="LZE192" s="5"/>
      <c r="LZF192" s="5"/>
      <c r="LZG192" s="5"/>
      <c r="LZH192" s="5"/>
      <c r="LZI192" s="5"/>
      <c r="LZJ192" s="5"/>
      <c r="LZK192" s="5"/>
      <c r="LZL192" s="5"/>
      <c r="LZM192" s="5"/>
      <c r="LZN192" s="5"/>
      <c r="LZO192" s="5"/>
      <c r="LZP192" s="5"/>
      <c r="LZQ192" s="5"/>
      <c r="LZR192" s="5"/>
      <c r="LZS192" s="5"/>
      <c r="LZT192" s="5"/>
      <c r="LZU192" s="5"/>
      <c r="LZV192" s="5"/>
      <c r="LZW192" s="5"/>
      <c r="LZX192" s="5"/>
      <c r="LZY192" s="5"/>
      <c r="LZZ192" s="5"/>
      <c r="MAA192" s="5"/>
      <c r="MAB192" s="5"/>
      <c r="MAC192" s="5"/>
      <c r="MAD192" s="5"/>
      <c r="MAE192" s="5"/>
      <c r="MAF192" s="5"/>
      <c r="MAG192" s="5"/>
      <c r="MAH192" s="5"/>
      <c r="MAI192" s="5"/>
      <c r="MAJ192" s="5"/>
      <c r="MAK192" s="5"/>
      <c r="MAL192" s="5"/>
      <c r="MAM192" s="5"/>
      <c r="MAN192" s="5"/>
      <c r="MAO192" s="5"/>
      <c r="MAP192" s="5"/>
      <c r="MAQ192" s="5"/>
      <c r="MAR192" s="5"/>
      <c r="MAS192" s="5"/>
      <c r="MAT192" s="5"/>
      <c r="MAU192" s="5"/>
      <c r="MAV192" s="5"/>
      <c r="MAW192" s="5"/>
      <c r="MAX192" s="5"/>
      <c r="MAY192" s="5"/>
      <c r="MAZ192" s="5"/>
      <c r="MBA192" s="5"/>
      <c r="MBB192" s="5"/>
      <c r="MBC192" s="5"/>
      <c r="MBD192" s="5"/>
      <c r="MBE192" s="5"/>
      <c r="MBF192" s="5"/>
      <c r="MBG192" s="5"/>
      <c r="MBH192" s="5"/>
      <c r="MBI192" s="5"/>
      <c r="MBJ192" s="5"/>
      <c r="MBK192" s="5"/>
      <c r="MBL192" s="5"/>
      <c r="MBM192" s="5"/>
      <c r="MBN192" s="5"/>
      <c r="MBO192" s="5"/>
      <c r="MBP192" s="5"/>
      <c r="MBQ192" s="5"/>
      <c r="MBR192" s="5"/>
      <c r="MBS192" s="5"/>
      <c r="MBT192" s="5"/>
      <c r="MBU192" s="5"/>
      <c r="MBV192" s="5"/>
      <c r="MBW192" s="5"/>
      <c r="MBX192" s="5"/>
      <c r="MBY192" s="5"/>
      <c r="MBZ192" s="5"/>
      <c r="MCA192" s="5"/>
      <c r="MCB192" s="5"/>
      <c r="MCC192" s="5"/>
      <c r="MCD192" s="5"/>
      <c r="MCE192" s="5"/>
      <c r="MCF192" s="5"/>
      <c r="MCG192" s="5"/>
      <c r="MCH192" s="5"/>
      <c r="MCI192" s="5"/>
      <c r="MCJ192" s="5"/>
      <c r="MCK192" s="5"/>
      <c r="MCL192" s="5"/>
      <c r="MCM192" s="5"/>
      <c r="MCN192" s="5"/>
      <c r="MCO192" s="5"/>
      <c r="MCP192" s="5"/>
      <c r="MCQ192" s="5"/>
      <c r="MCR192" s="5"/>
      <c r="MCS192" s="5"/>
      <c r="MCT192" s="5"/>
      <c r="MCU192" s="5"/>
      <c r="MCV192" s="5"/>
      <c r="MCW192" s="5"/>
      <c r="MCX192" s="5"/>
      <c r="MCY192" s="5"/>
      <c r="MCZ192" s="5"/>
      <c r="MDA192" s="5"/>
      <c r="MDB192" s="5"/>
      <c r="MDC192" s="5"/>
      <c r="MDD192" s="5"/>
      <c r="MDE192" s="5"/>
      <c r="MDF192" s="5"/>
      <c r="MDG192" s="5"/>
      <c r="MDH192" s="5"/>
      <c r="MDI192" s="5"/>
      <c r="MDJ192" s="5"/>
      <c r="MDK192" s="5"/>
      <c r="MDL192" s="5"/>
      <c r="MDM192" s="5"/>
      <c r="MDN192" s="5"/>
      <c r="MDO192" s="5"/>
      <c r="MDP192" s="5"/>
      <c r="MDQ192" s="5"/>
      <c r="MDR192" s="5"/>
      <c r="MDS192" s="5"/>
      <c r="MDT192" s="5"/>
      <c r="MDU192" s="5"/>
      <c r="MDV192" s="5"/>
      <c r="MDW192" s="5"/>
      <c r="MDX192" s="5"/>
      <c r="MDY192" s="5"/>
      <c r="MDZ192" s="5"/>
      <c r="MEA192" s="5"/>
      <c r="MEB192" s="5"/>
      <c r="MEC192" s="5"/>
      <c r="MED192" s="5"/>
      <c r="MEE192" s="5"/>
      <c r="MEF192" s="5"/>
      <c r="MEG192" s="5"/>
      <c r="MEH192" s="5"/>
      <c r="MEI192" s="5"/>
      <c r="MEJ192" s="5"/>
      <c r="MEK192" s="5"/>
      <c r="MEL192" s="5"/>
      <c r="MEM192" s="5"/>
      <c r="MEN192" s="5"/>
      <c r="MEO192" s="5"/>
      <c r="MEP192" s="5"/>
      <c r="MEQ192" s="5"/>
      <c r="MER192" s="5"/>
      <c r="MES192" s="5"/>
      <c r="MET192" s="5"/>
      <c r="MEU192" s="5"/>
      <c r="MEV192" s="5"/>
      <c r="MEW192" s="5"/>
      <c r="MEX192" s="5"/>
      <c r="MEY192" s="5"/>
      <c r="MEZ192" s="5"/>
      <c r="MFA192" s="5"/>
      <c r="MFB192" s="5"/>
      <c r="MFC192" s="5"/>
      <c r="MFD192" s="5"/>
      <c r="MFE192" s="5"/>
      <c r="MFF192" s="5"/>
      <c r="MFG192" s="5"/>
      <c r="MFH192" s="5"/>
      <c r="MFI192" s="5"/>
      <c r="MFJ192" s="5"/>
      <c r="MFK192" s="5"/>
      <c r="MFL192" s="5"/>
      <c r="MFM192" s="5"/>
      <c r="MFN192" s="5"/>
      <c r="MFO192" s="5"/>
      <c r="MFP192" s="5"/>
      <c r="MFQ192" s="5"/>
      <c r="MFR192" s="5"/>
      <c r="MFS192" s="5"/>
      <c r="MFT192" s="5"/>
      <c r="MFU192" s="5"/>
      <c r="MFV192" s="5"/>
      <c r="MFW192" s="5"/>
      <c r="MFX192" s="5"/>
      <c r="MFY192" s="5"/>
      <c r="MFZ192" s="5"/>
      <c r="MGA192" s="5"/>
      <c r="MGB192" s="5"/>
      <c r="MGC192" s="5"/>
      <c r="MGD192" s="5"/>
      <c r="MGE192" s="5"/>
      <c r="MGF192" s="5"/>
      <c r="MGG192" s="5"/>
      <c r="MGH192" s="5"/>
      <c r="MGI192" s="5"/>
      <c r="MGJ192" s="5"/>
      <c r="MGK192" s="5"/>
      <c r="MGL192" s="5"/>
      <c r="MGM192" s="5"/>
      <c r="MGN192" s="5"/>
      <c r="MGO192" s="5"/>
      <c r="MGP192" s="5"/>
      <c r="MGQ192" s="5"/>
      <c r="MGR192" s="5"/>
      <c r="MGS192" s="5"/>
      <c r="MGT192" s="5"/>
      <c r="MGU192" s="5"/>
      <c r="MGV192" s="5"/>
      <c r="MGW192" s="5"/>
      <c r="MGX192" s="5"/>
      <c r="MGY192" s="5"/>
      <c r="MGZ192" s="5"/>
      <c r="MHA192" s="5"/>
      <c r="MHB192" s="5"/>
      <c r="MHC192" s="5"/>
      <c r="MHD192" s="5"/>
      <c r="MHE192" s="5"/>
      <c r="MHF192" s="5"/>
      <c r="MHG192" s="5"/>
      <c r="MHH192" s="5"/>
      <c r="MHI192" s="5"/>
      <c r="MHJ192" s="5"/>
      <c r="MHK192" s="5"/>
      <c r="MHL192" s="5"/>
      <c r="MHM192" s="5"/>
      <c r="MHN192" s="5"/>
      <c r="MHO192" s="5"/>
      <c r="MHP192" s="5"/>
      <c r="MHQ192" s="5"/>
      <c r="MHR192" s="5"/>
      <c r="MHS192" s="5"/>
      <c r="MHT192" s="5"/>
      <c r="MHU192" s="5"/>
      <c r="MHV192" s="5"/>
      <c r="MHW192" s="5"/>
      <c r="MHX192" s="5"/>
      <c r="MHY192" s="5"/>
      <c r="MHZ192" s="5"/>
      <c r="MIA192" s="5"/>
      <c r="MIB192" s="5"/>
      <c r="MIC192" s="5"/>
      <c r="MID192" s="5"/>
      <c r="MIE192" s="5"/>
      <c r="MIF192" s="5"/>
      <c r="MIG192" s="5"/>
      <c r="MIH192" s="5"/>
      <c r="MII192" s="5"/>
      <c r="MIJ192" s="5"/>
      <c r="MIK192" s="5"/>
      <c r="MIL192" s="5"/>
      <c r="MIM192" s="5"/>
      <c r="MIN192" s="5"/>
      <c r="MIO192" s="5"/>
      <c r="MIP192" s="5"/>
      <c r="MIQ192" s="5"/>
      <c r="MIR192" s="5"/>
      <c r="MIS192" s="5"/>
      <c r="MIT192" s="5"/>
      <c r="MIU192" s="5"/>
      <c r="MIV192" s="5"/>
      <c r="MIW192" s="5"/>
      <c r="MIX192" s="5"/>
      <c r="MIY192" s="5"/>
      <c r="MIZ192" s="5"/>
      <c r="MJA192" s="5"/>
      <c r="MJB192" s="5"/>
      <c r="MJC192" s="5"/>
      <c r="MJD192" s="5"/>
      <c r="MJE192" s="5"/>
      <c r="MJF192" s="5"/>
      <c r="MJG192" s="5"/>
      <c r="MJH192" s="5"/>
      <c r="MJI192" s="5"/>
      <c r="MJJ192" s="5"/>
      <c r="MJK192" s="5"/>
      <c r="MJL192" s="5"/>
      <c r="MJM192" s="5"/>
      <c r="MJN192" s="5"/>
      <c r="MJO192" s="5"/>
      <c r="MJP192" s="5"/>
      <c r="MJQ192" s="5"/>
      <c r="MJR192" s="5"/>
      <c r="MJS192" s="5"/>
      <c r="MJT192" s="5"/>
      <c r="MJU192" s="5"/>
      <c r="MJV192" s="5"/>
      <c r="MJW192" s="5"/>
      <c r="MJX192" s="5"/>
      <c r="MJY192" s="5"/>
      <c r="MJZ192" s="5"/>
      <c r="MKA192" s="5"/>
      <c r="MKB192" s="5"/>
      <c r="MKC192" s="5"/>
      <c r="MKD192" s="5"/>
      <c r="MKE192" s="5"/>
      <c r="MKF192" s="5"/>
      <c r="MKG192" s="5"/>
      <c r="MKH192" s="5"/>
      <c r="MKI192" s="5"/>
      <c r="MKJ192" s="5"/>
      <c r="MKK192" s="5"/>
      <c r="MKL192" s="5"/>
      <c r="MKM192" s="5"/>
      <c r="MKN192" s="5"/>
      <c r="MKO192" s="5"/>
      <c r="MKP192" s="5"/>
      <c r="MKQ192" s="5"/>
      <c r="MKR192" s="5"/>
      <c r="MKS192" s="5"/>
      <c r="MKT192" s="5"/>
      <c r="MKU192" s="5"/>
      <c r="MKV192" s="5"/>
      <c r="MKW192" s="5"/>
      <c r="MKX192" s="5"/>
      <c r="MKY192" s="5"/>
      <c r="MKZ192" s="5"/>
      <c r="MLA192" s="5"/>
      <c r="MLB192" s="5"/>
      <c r="MLC192" s="5"/>
      <c r="MLD192" s="5"/>
      <c r="MLE192" s="5"/>
      <c r="MLF192" s="5"/>
      <c r="MLG192" s="5"/>
      <c r="MLH192" s="5"/>
      <c r="MLI192" s="5"/>
      <c r="MLJ192" s="5"/>
      <c r="MLK192" s="5"/>
      <c r="MLL192" s="5"/>
      <c r="MLM192" s="5"/>
      <c r="MLN192" s="5"/>
      <c r="MLO192" s="5"/>
      <c r="MLP192" s="5"/>
      <c r="MLQ192" s="5"/>
      <c r="MLR192" s="5"/>
      <c r="MLS192" s="5"/>
      <c r="MLT192" s="5"/>
      <c r="MLU192" s="5"/>
      <c r="MLV192" s="5"/>
      <c r="MLW192" s="5"/>
      <c r="MLX192" s="5"/>
      <c r="MLY192" s="5"/>
      <c r="MLZ192" s="5"/>
      <c r="MMA192" s="5"/>
      <c r="MMB192" s="5"/>
      <c r="MMC192" s="5"/>
      <c r="MMD192" s="5"/>
      <c r="MME192" s="5"/>
      <c r="MMF192" s="5"/>
      <c r="MMG192" s="5"/>
      <c r="MMH192" s="5"/>
      <c r="MMI192" s="5"/>
      <c r="MMJ192" s="5"/>
      <c r="MMK192" s="5"/>
      <c r="MML192" s="5"/>
      <c r="MMM192" s="5"/>
      <c r="MMN192" s="5"/>
      <c r="MMO192" s="5"/>
      <c r="MMP192" s="5"/>
      <c r="MMQ192" s="5"/>
      <c r="MMR192" s="5"/>
      <c r="MMS192" s="5"/>
      <c r="MMT192" s="5"/>
      <c r="MMU192" s="5"/>
      <c r="MMV192" s="5"/>
      <c r="MMW192" s="5"/>
      <c r="MMX192" s="5"/>
      <c r="MMY192" s="5"/>
      <c r="MMZ192" s="5"/>
      <c r="MNA192" s="5"/>
      <c r="MNB192" s="5"/>
      <c r="MNC192" s="5"/>
      <c r="MND192" s="5"/>
      <c r="MNE192" s="5"/>
      <c r="MNF192" s="5"/>
      <c r="MNG192" s="5"/>
      <c r="MNH192" s="5"/>
      <c r="MNI192" s="5"/>
      <c r="MNJ192" s="5"/>
      <c r="MNK192" s="5"/>
      <c r="MNL192" s="5"/>
      <c r="MNM192" s="5"/>
      <c r="MNN192" s="5"/>
      <c r="MNO192" s="5"/>
      <c r="MNP192" s="5"/>
      <c r="MNQ192" s="5"/>
      <c r="MNR192" s="5"/>
      <c r="MNS192" s="5"/>
      <c r="MNT192" s="5"/>
      <c r="MNU192" s="5"/>
      <c r="MNV192" s="5"/>
      <c r="MNW192" s="5"/>
      <c r="MNX192" s="5"/>
      <c r="MNY192" s="5"/>
      <c r="MNZ192" s="5"/>
      <c r="MOA192" s="5"/>
      <c r="MOB192" s="5"/>
      <c r="MOC192" s="5"/>
      <c r="MOD192" s="5"/>
      <c r="MOE192" s="5"/>
      <c r="MOF192" s="5"/>
      <c r="MOG192" s="5"/>
      <c r="MOH192" s="5"/>
      <c r="MOI192" s="5"/>
      <c r="MOJ192" s="5"/>
      <c r="MOK192" s="5"/>
      <c r="MOL192" s="5"/>
      <c r="MOM192" s="5"/>
      <c r="MON192" s="5"/>
      <c r="MOO192" s="5"/>
      <c r="MOP192" s="5"/>
      <c r="MOQ192" s="5"/>
      <c r="MOR192" s="5"/>
      <c r="MOS192" s="5"/>
      <c r="MOT192" s="5"/>
      <c r="MOU192" s="5"/>
      <c r="MOV192" s="5"/>
      <c r="MOW192" s="5"/>
      <c r="MOX192" s="5"/>
      <c r="MOY192" s="5"/>
      <c r="MOZ192" s="5"/>
      <c r="MPA192" s="5"/>
      <c r="MPB192" s="5"/>
      <c r="MPC192" s="5"/>
      <c r="MPD192" s="5"/>
      <c r="MPE192" s="5"/>
      <c r="MPF192" s="5"/>
      <c r="MPG192" s="5"/>
      <c r="MPH192" s="5"/>
      <c r="MPI192" s="5"/>
      <c r="MPJ192" s="5"/>
      <c r="MPK192" s="5"/>
      <c r="MPL192" s="5"/>
      <c r="MPM192" s="5"/>
      <c r="MPN192" s="5"/>
      <c r="MPO192" s="5"/>
      <c r="MPP192" s="5"/>
      <c r="MPQ192" s="5"/>
      <c r="MPR192" s="5"/>
      <c r="MPS192" s="5"/>
      <c r="MPT192" s="5"/>
      <c r="MPU192" s="5"/>
      <c r="MPV192" s="5"/>
      <c r="MPW192" s="5"/>
      <c r="MPX192" s="5"/>
      <c r="MPY192" s="5"/>
      <c r="MPZ192" s="5"/>
      <c r="MQA192" s="5"/>
      <c r="MQB192" s="5"/>
      <c r="MQC192" s="5"/>
      <c r="MQD192" s="5"/>
      <c r="MQE192" s="5"/>
      <c r="MQF192" s="5"/>
      <c r="MQG192" s="5"/>
      <c r="MQH192" s="5"/>
      <c r="MQI192" s="5"/>
      <c r="MQJ192" s="5"/>
      <c r="MQK192" s="5"/>
      <c r="MQL192" s="5"/>
      <c r="MQM192" s="5"/>
      <c r="MQN192" s="5"/>
      <c r="MQO192" s="5"/>
      <c r="MQP192" s="5"/>
      <c r="MQQ192" s="5"/>
      <c r="MQR192" s="5"/>
      <c r="MQS192" s="5"/>
      <c r="MQT192" s="5"/>
      <c r="MQU192" s="5"/>
      <c r="MQV192" s="5"/>
      <c r="MQW192" s="5"/>
      <c r="MQX192" s="5"/>
      <c r="MQY192" s="5"/>
      <c r="MQZ192" s="5"/>
      <c r="MRA192" s="5"/>
      <c r="MRB192" s="5"/>
      <c r="MRC192" s="5"/>
      <c r="MRD192" s="5"/>
      <c r="MRE192" s="5"/>
      <c r="MRF192" s="5"/>
      <c r="MRG192" s="5"/>
      <c r="MRH192" s="5"/>
      <c r="MRI192" s="5"/>
      <c r="MRJ192" s="5"/>
      <c r="MRK192" s="5"/>
      <c r="MRL192" s="5"/>
      <c r="MRM192" s="5"/>
      <c r="MRN192" s="5"/>
      <c r="MRO192" s="5"/>
      <c r="MRP192" s="5"/>
      <c r="MRQ192" s="5"/>
      <c r="MRR192" s="5"/>
      <c r="MRS192" s="5"/>
      <c r="MRT192" s="5"/>
      <c r="MRU192" s="5"/>
      <c r="MRV192" s="5"/>
      <c r="MRW192" s="5"/>
      <c r="MRX192" s="5"/>
      <c r="MRY192" s="5"/>
      <c r="MRZ192" s="5"/>
      <c r="MSA192" s="5"/>
      <c r="MSB192" s="5"/>
      <c r="MSC192" s="5"/>
      <c r="MSD192" s="5"/>
      <c r="MSE192" s="5"/>
      <c r="MSF192" s="5"/>
      <c r="MSG192" s="5"/>
      <c r="MSH192" s="5"/>
      <c r="MSI192" s="5"/>
      <c r="MSJ192" s="5"/>
      <c r="MSK192" s="5"/>
      <c r="MSL192" s="5"/>
      <c r="MSM192" s="5"/>
      <c r="MSN192" s="5"/>
      <c r="MSO192" s="5"/>
      <c r="MSP192" s="5"/>
      <c r="MSQ192" s="5"/>
      <c r="MSR192" s="5"/>
      <c r="MSS192" s="5"/>
      <c r="MST192" s="5"/>
      <c r="MSU192" s="5"/>
      <c r="MSV192" s="5"/>
      <c r="MSW192" s="5"/>
      <c r="MSX192" s="5"/>
      <c r="MSY192" s="5"/>
      <c r="MSZ192" s="5"/>
      <c r="MTA192" s="5"/>
      <c r="MTB192" s="5"/>
      <c r="MTC192" s="5"/>
      <c r="MTD192" s="5"/>
      <c r="MTE192" s="5"/>
      <c r="MTF192" s="5"/>
      <c r="MTG192" s="5"/>
      <c r="MTH192" s="5"/>
      <c r="MTI192" s="5"/>
      <c r="MTJ192" s="5"/>
      <c r="MTK192" s="5"/>
      <c r="MTL192" s="5"/>
      <c r="MTM192" s="5"/>
      <c r="MTN192" s="5"/>
      <c r="MTO192" s="5"/>
      <c r="MTP192" s="5"/>
      <c r="MTQ192" s="5"/>
      <c r="MTR192" s="5"/>
      <c r="MTS192" s="5"/>
      <c r="MTT192" s="5"/>
      <c r="MTU192" s="5"/>
      <c r="MTV192" s="5"/>
      <c r="MTW192" s="5"/>
      <c r="MTX192" s="5"/>
      <c r="MTY192" s="5"/>
      <c r="MTZ192" s="5"/>
      <c r="MUA192" s="5"/>
      <c r="MUB192" s="5"/>
      <c r="MUC192" s="5"/>
      <c r="MUD192" s="5"/>
      <c r="MUE192" s="5"/>
      <c r="MUF192" s="5"/>
      <c r="MUG192" s="5"/>
      <c r="MUH192" s="5"/>
      <c r="MUI192" s="5"/>
      <c r="MUJ192" s="5"/>
      <c r="MUK192" s="5"/>
      <c r="MUL192" s="5"/>
      <c r="MUM192" s="5"/>
      <c r="MUN192" s="5"/>
      <c r="MUO192" s="5"/>
      <c r="MUP192" s="5"/>
      <c r="MUQ192" s="5"/>
      <c r="MUR192" s="5"/>
      <c r="MUS192" s="5"/>
      <c r="MUT192" s="5"/>
      <c r="MUU192" s="5"/>
      <c r="MUV192" s="5"/>
      <c r="MUW192" s="5"/>
      <c r="MUX192" s="5"/>
      <c r="MUY192" s="5"/>
      <c r="MUZ192" s="5"/>
      <c r="MVA192" s="5"/>
      <c r="MVB192" s="5"/>
      <c r="MVC192" s="5"/>
      <c r="MVD192" s="5"/>
      <c r="MVE192" s="5"/>
      <c r="MVF192" s="5"/>
      <c r="MVG192" s="5"/>
      <c r="MVH192" s="5"/>
      <c r="MVI192" s="5"/>
      <c r="MVJ192" s="5"/>
      <c r="MVK192" s="5"/>
      <c r="MVL192" s="5"/>
      <c r="MVM192" s="5"/>
      <c r="MVN192" s="5"/>
      <c r="MVO192" s="5"/>
      <c r="MVP192" s="5"/>
      <c r="MVQ192" s="5"/>
      <c r="MVR192" s="5"/>
      <c r="MVS192" s="5"/>
      <c r="MVT192" s="5"/>
      <c r="MVU192" s="5"/>
      <c r="MVV192" s="5"/>
      <c r="MVW192" s="5"/>
      <c r="MVX192" s="5"/>
      <c r="MVY192" s="5"/>
      <c r="MVZ192" s="5"/>
      <c r="MWA192" s="5"/>
      <c r="MWB192" s="5"/>
      <c r="MWC192" s="5"/>
      <c r="MWD192" s="5"/>
      <c r="MWE192" s="5"/>
      <c r="MWF192" s="5"/>
      <c r="MWG192" s="5"/>
      <c r="MWH192" s="5"/>
      <c r="MWI192" s="5"/>
      <c r="MWJ192" s="5"/>
      <c r="MWK192" s="5"/>
      <c r="MWL192" s="5"/>
      <c r="MWM192" s="5"/>
      <c r="MWN192" s="5"/>
      <c r="MWO192" s="5"/>
      <c r="MWP192" s="5"/>
      <c r="MWQ192" s="5"/>
      <c r="MWR192" s="5"/>
      <c r="MWS192" s="5"/>
      <c r="MWT192" s="5"/>
      <c r="MWU192" s="5"/>
      <c r="MWV192" s="5"/>
      <c r="MWW192" s="5"/>
      <c r="MWX192" s="5"/>
      <c r="MWY192" s="5"/>
      <c r="MWZ192" s="5"/>
      <c r="MXA192" s="5"/>
      <c r="MXB192" s="5"/>
      <c r="MXC192" s="5"/>
      <c r="MXD192" s="5"/>
      <c r="MXE192" s="5"/>
      <c r="MXF192" s="5"/>
      <c r="MXG192" s="5"/>
      <c r="MXH192" s="5"/>
      <c r="MXI192" s="5"/>
      <c r="MXJ192" s="5"/>
      <c r="MXK192" s="5"/>
      <c r="MXL192" s="5"/>
      <c r="MXM192" s="5"/>
      <c r="MXN192" s="5"/>
      <c r="MXO192" s="5"/>
      <c r="MXP192" s="5"/>
      <c r="MXQ192" s="5"/>
      <c r="MXR192" s="5"/>
      <c r="MXS192" s="5"/>
      <c r="MXT192" s="5"/>
      <c r="MXU192" s="5"/>
      <c r="MXV192" s="5"/>
      <c r="MXW192" s="5"/>
      <c r="MXX192" s="5"/>
      <c r="MXY192" s="5"/>
      <c r="MXZ192" s="5"/>
      <c r="MYA192" s="5"/>
      <c r="MYB192" s="5"/>
      <c r="MYC192" s="5"/>
      <c r="MYD192" s="5"/>
      <c r="MYE192" s="5"/>
      <c r="MYF192" s="5"/>
      <c r="MYG192" s="5"/>
      <c r="MYH192" s="5"/>
      <c r="MYI192" s="5"/>
      <c r="MYJ192" s="5"/>
      <c r="MYK192" s="5"/>
      <c r="MYL192" s="5"/>
      <c r="MYM192" s="5"/>
      <c r="MYN192" s="5"/>
      <c r="MYO192" s="5"/>
      <c r="MYP192" s="5"/>
      <c r="MYQ192" s="5"/>
      <c r="MYR192" s="5"/>
      <c r="MYS192" s="5"/>
      <c r="MYT192" s="5"/>
      <c r="MYU192" s="5"/>
      <c r="MYV192" s="5"/>
      <c r="MYW192" s="5"/>
      <c r="MYX192" s="5"/>
      <c r="MYY192" s="5"/>
      <c r="MYZ192" s="5"/>
      <c r="MZA192" s="5"/>
      <c r="MZB192" s="5"/>
      <c r="MZC192" s="5"/>
      <c r="MZD192" s="5"/>
      <c r="MZE192" s="5"/>
      <c r="MZF192" s="5"/>
      <c r="MZG192" s="5"/>
      <c r="MZH192" s="5"/>
      <c r="MZI192" s="5"/>
      <c r="MZJ192" s="5"/>
      <c r="MZK192" s="5"/>
      <c r="MZL192" s="5"/>
      <c r="MZM192" s="5"/>
      <c r="MZN192" s="5"/>
      <c r="MZO192" s="5"/>
      <c r="MZP192" s="5"/>
      <c r="MZQ192" s="5"/>
      <c r="MZR192" s="5"/>
      <c r="MZS192" s="5"/>
      <c r="MZT192" s="5"/>
      <c r="MZU192" s="5"/>
      <c r="MZV192" s="5"/>
      <c r="MZW192" s="5"/>
      <c r="MZX192" s="5"/>
      <c r="MZY192" s="5"/>
      <c r="MZZ192" s="5"/>
      <c r="NAA192" s="5"/>
      <c r="NAB192" s="5"/>
      <c r="NAC192" s="5"/>
      <c r="NAD192" s="5"/>
      <c r="NAE192" s="5"/>
      <c r="NAF192" s="5"/>
      <c r="NAG192" s="5"/>
      <c r="NAH192" s="5"/>
      <c r="NAI192" s="5"/>
      <c r="NAJ192" s="5"/>
      <c r="NAK192" s="5"/>
      <c r="NAL192" s="5"/>
      <c r="NAM192" s="5"/>
      <c r="NAN192" s="5"/>
      <c r="NAO192" s="5"/>
      <c r="NAP192" s="5"/>
      <c r="NAQ192" s="5"/>
      <c r="NAR192" s="5"/>
      <c r="NAS192" s="5"/>
      <c r="NAT192" s="5"/>
      <c r="NAU192" s="5"/>
      <c r="NAV192" s="5"/>
      <c r="NAW192" s="5"/>
      <c r="NAX192" s="5"/>
      <c r="NAY192" s="5"/>
      <c r="NAZ192" s="5"/>
      <c r="NBA192" s="5"/>
      <c r="NBB192" s="5"/>
      <c r="NBC192" s="5"/>
      <c r="NBD192" s="5"/>
      <c r="NBE192" s="5"/>
      <c r="NBF192" s="5"/>
      <c r="NBG192" s="5"/>
      <c r="NBH192" s="5"/>
      <c r="NBI192" s="5"/>
      <c r="NBJ192" s="5"/>
      <c r="NBK192" s="5"/>
      <c r="NBL192" s="5"/>
      <c r="NBM192" s="5"/>
      <c r="NBN192" s="5"/>
      <c r="NBO192" s="5"/>
      <c r="NBP192" s="5"/>
      <c r="NBQ192" s="5"/>
      <c r="NBR192" s="5"/>
      <c r="NBS192" s="5"/>
      <c r="NBT192" s="5"/>
      <c r="NBU192" s="5"/>
      <c r="NBV192" s="5"/>
      <c r="NBW192" s="5"/>
      <c r="NBX192" s="5"/>
      <c r="NBY192" s="5"/>
      <c r="NBZ192" s="5"/>
      <c r="NCA192" s="5"/>
      <c r="NCB192" s="5"/>
      <c r="NCC192" s="5"/>
      <c r="NCD192" s="5"/>
      <c r="NCE192" s="5"/>
      <c r="NCF192" s="5"/>
      <c r="NCG192" s="5"/>
      <c r="NCH192" s="5"/>
      <c r="NCI192" s="5"/>
      <c r="NCJ192" s="5"/>
      <c r="NCK192" s="5"/>
      <c r="NCL192" s="5"/>
      <c r="NCM192" s="5"/>
      <c r="NCN192" s="5"/>
      <c r="NCO192" s="5"/>
      <c r="NCP192" s="5"/>
      <c r="NCQ192" s="5"/>
      <c r="NCR192" s="5"/>
      <c r="NCS192" s="5"/>
      <c r="NCT192" s="5"/>
      <c r="NCU192" s="5"/>
      <c r="NCV192" s="5"/>
      <c r="NCW192" s="5"/>
      <c r="NCX192" s="5"/>
      <c r="NCY192" s="5"/>
      <c r="NCZ192" s="5"/>
      <c r="NDA192" s="5"/>
      <c r="NDB192" s="5"/>
      <c r="NDC192" s="5"/>
      <c r="NDD192" s="5"/>
      <c r="NDE192" s="5"/>
      <c r="NDF192" s="5"/>
      <c r="NDG192" s="5"/>
      <c r="NDH192" s="5"/>
      <c r="NDI192" s="5"/>
      <c r="NDJ192" s="5"/>
      <c r="NDK192" s="5"/>
      <c r="NDL192" s="5"/>
      <c r="NDM192" s="5"/>
      <c r="NDN192" s="5"/>
      <c r="NDO192" s="5"/>
      <c r="NDP192" s="5"/>
      <c r="NDQ192" s="5"/>
      <c r="NDR192" s="5"/>
      <c r="NDS192" s="5"/>
      <c r="NDT192" s="5"/>
      <c r="NDU192" s="5"/>
      <c r="NDV192" s="5"/>
      <c r="NDW192" s="5"/>
      <c r="NDX192" s="5"/>
      <c r="NDY192" s="5"/>
      <c r="NDZ192" s="5"/>
      <c r="NEA192" s="5"/>
      <c r="NEB192" s="5"/>
      <c r="NEC192" s="5"/>
      <c r="NED192" s="5"/>
      <c r="NEE192" s="5"/>
      <c r="NEF192" s="5"/>
      <c r="NEG192" s="5"/>
      <c r="NEH192" s="5"/>
      <c r="NEI192" s="5"/>
      <c r="NEJ192" s="5"/>
      <c r="NEK192" s="5"/>
      <c r="NEL192" s="5"/>
      <c r="NEM192" s="5"/>
      <c r="NEN192" s="5"/>
      <c r="NEO192" s="5"/>
      <c r="NEP192" s="5"/>
      <c r="NEQ192" s="5"/>
      <c r="NER192" s="5"/>
      <c r="NES192" s="5"/>
      <c r="NET192" s="5"/>
      <c r="NEU192" s="5"/>
      <c r="NEV192" s="5"/>
      <c r="NEW192" s="5"/>
      <c r="NEX192" s="5"/>
      <c r="NEY192" s="5"/>
      <c r="NEZ192" s="5"/>
      <c r="NFA192" s="5"/>
      <c r="NFB192" s="5"/>
      <c r="NFC192" s="5"/>
      <c r="NFD192" s="5"/>
      <c r="NFE192" s="5"/>
      <c r="NFF192" s="5"/>
      <c r="NFG192" s="5"/>
      <c r="NFH192" s="5"/>
      <c r="NFI192" s="5"/>
      <c r="NFJ192" s="5"/>
      <c r="NFK192" s="5"/>
      <c r="NFL192" s="5"/>
      <c r="NFM192" s="5"/>
      <c r="NFN192" s="5"/>
      <c r="NFO192" s="5"/>
      <c r="NFP192" s="5"/>
      <c r="NFQ192" s="5"/>
      <c r="NFR192" s="5"/>
      <c r="NFS192" s="5"/>
      <c r="NFT192" s="5"/>
      <c r="NFU192" s="5"/>
      <c r="NFV192" s="5"/>
      <c r="NFW192" s="5"/>
      <c r="NFX192" s="5"/>
      <c r="NFY192" s="5"/>
      <c r="NFZ192" s="5"/>
      <c r="NGA192" s="5"/>
      <c r="NGB192" s="5"/>
      <c r="NGC192" s="5"/>
      <c r="NGD192" s="5"/>
      <c r="NGE192" s="5"/>
      <c r="NGF192" s="5"/>
      <c r="NGG192" s="5"/>
      <c r="NGH192" s="5"/>
      <c r="NGI192" s="5"/>
      <c r="NGJ192" s="5"/>
      <c r="NGK192" s="5"/>
      <c r="NGL192" s="5"/>
      <c r="NGM192" s="5"/>
      <c r="NGN192" s="5"/>
      <c r="NGO192" s="5"/>
      <c r="NGP192" s="5"/>
      <c r="NGQ192" s="5"/>
      <c r="NGR192" s="5"/>
      <c r="NGS192" s="5"/>
      <c r="NGT192" s="5"/>
      <c r="NGU192" s="5"/>
      <c r="NGV192" s="5"/>
      <c r="NGW192" s="5"/>
      <c r="NGX192" s="5"/>
      <c r="NGY192" s="5"/>
      <c r="NGZ192" s="5"/>
      <c r="NHA192" s="5"/>
      <c r="NHB192" s="5"/>
      <c r="NHC192" s="5"/>
      <c r="NHD192" s="5"/>
      <c r="NHE192" s="5"/>
      <c r="NHF192" s="5"/>
      <c r="NHG192" s="5"/>
      <c r="NHH192" s="5"/>
      <c r="NHI192" s="5"/>
      <c r="NHJ192" s="5"/>
      <c r="NHK192" s="5"/>
      <c r="NHL192" s="5"/>
      <c r="NHM192" s="5"/>
      <c r="NHN192" s="5"/>
      <c r="NHO192" s="5"/>
      <c r="NHP192" s="5"/>
      <c r="NHQ192" s="5"/>
      <c r="NHR192" s="5"/>
      <c r="NHS192" s="5"/>
      <c r="NHT192" s="5"/>
      <c r="NHU192" s="5"/>
      <c r="NHV192" s="5"/>
      <c r="NHW192" s="5"/>
      <c r="NHX192" s="5"/>
      <c r="NHY192" s="5"/>
      <c r="NHZ192" s="5"/>
      <c r="NIA192" s="5"/>
      <c r="NIB192" s="5"/>
      <c r="NIC192" s="5"/>
      <c r="NID192" s="5"/>
      <c r="NIE192" s="5"/>
      <c r="NIF192" s="5"/>
      <c r="NIG192" s="5"/>
      <c r="NIH192" s="5"/>
      <c r="NII192" s="5"/>
      <c r="NIJ192" s="5"/>
      <c r="NIK192" s="5"/>
      <c r="NIL192" s="5"/>
      <c r="NIM192" s="5"/>
      <c r="NIN192" s="5"/>
      <c r="NIO192" s="5"/>
      <c r="NIP192" s="5"/>
      <c r="NIQ192" s="5"/>
      <c r="NIR192" s="5"/>
      <c r="NIS192" s="5"/>
      <c r="NIT192" s="5"/>
      <c r="NIU192" s="5"/>
      <c r="NIV192" s="5"/>
      <c r="NIW192" s="5"/>
      <c r="NIX192" s="5"/>
      <c r="NIY192" s="5"/>
      <c r="NIZ192" s="5"/>
      <c r="NJA192" s="5"/>
      <c r="NJB192" s="5"/>
      <c r="NJC192" s="5"/>
      <c r="NJD192" s="5"/>
      <c r="NJE192" s="5"/>
      <c r="NJF192" s="5"/>
      <c r="NJG192" s="5"/>
      <c r="NJH192" s="5"/>
      <c r="NJI192" s="5"/>
      <c r="NJJ192" s="5"/>
      <c r="NJK192" s="5"/>
      <c r="NJL192" s="5"/>
      <c r="NJM192" s="5"/>
      <c r="NJN192" s="5"/>
      <c r="NJO192" s="5"/>
      <c r="NJP192" s="5"/>
      <c r="NJQ192" s="5"/>
      <c r="NJR192" s="5"/>
      <c r="NJS192" s="5"/>
      <c r="NJT192" s="5"/>
      <c r="NJU192" s="5"/>
      <c r="NJV192" s="5"/>
      <c r="NJW192" s="5"/>
      <c r="NJX192" s="5"/>
      <c r="NJY192" s="5"/>
      <c r="NJZ192" s="5"/>
      <c r="NKA192" s="5"/>
      <c r="NKB192" s="5"/>
      <c r="NKC192" s="5"/>
      <c r="NKD192" s="5"/>
      <c r="NKE192" s="5"/>
      <c r="NKF192" s="5"/>
      <c r="NKG192" s="5"/>
      <c r="NKH192" s="5"/>
      <c r="NKI192" s="5"/>
      <c r="NKJ192" s="5"/>
      <c r="NKK192" s="5"/>
      <c r="NKL192" s="5"/>
      <c r="NKM192" s="5"/>
      <c r="NKN192" s="5"/>
      <c r="NKO192" s="5"/>
      <c r="NKP192" s="5"/>
      <c r="NKQ192" s="5"/>
      <c r="NKR192" s="5"/>
      <c r="NKS192" s="5"/>
      <c r="NKT192" s="5"/>
      <c r="NKU192" s="5"/>
      <c r="NKV192" s="5"/>
      <c r="NKW192" s="5"/>
      <c r="NKX192" s="5"/>
      <c r="NKY192" s="5"/>
      <c r="NKZ192" s="5"/>
      <c r="NLA192" s="5"/>
      <c r="NLB192" s="5"/>
      <c r="NLC192" s="5"/>
      <c r="NLD192" s="5"/>
      <c r="NLE192" s="5"/>
      <c r="NLF192" s="5"/>
      <c r="NLG192" s="5"/>
      <c r="NLH192" s="5"/>
      <c r="NLI192" s="5"/>
      <c r="NLJ192" s="5"/>
      <c r="NLK192" s="5"/>
      <c r="NLL192" s="5"/>
      <c r="NLM192" s="5"/>
      <c r="NLN192" s="5"/>
      <c r="NLO192" s="5"/>
      <c r="NLP192" s="5"/>
      <c r="NLQ192" s="5"/>
      <c r="NLR192" s="5"/>
      <c r="NLS192" s="5"/>
      <c r="NLT192" s="5"/>
      <c r="NLU192" s="5"/>
      <c r="NLV192" s="5"/>
      <c r="NLW192" s="5"/>
      <c r="NLX192" s="5"/>
      <c r="NLY192" s="5"/>
      <c r="NLZ192" s="5"/>
      <c r="NMA192" s="5"/>
      <c r="NMB192" s="5"/>
      <c r="NMC192" s="5"/>
      <c r="NMD192" s="5"/>
      <c r="NME192" s="5"/>
      <c r="NMF192" s="5"/>
      <c r="NMG192" s="5"/>
      <c r="NMH192" s="5"/>
      <c r="NMI192" s="5"/>
      <c r="NMJ192" s="5"/>
      <c r="NMK192" s="5"/>
      <c r="NML192" s="5"/>
      <c r="NMM192" s="5"/>
      <c r="NMN192" s="5"/>
      <c r="NMO192" s="5"/>
      <c r="NMP192" s="5"/>
      <c r="NMQ192" s="5"/>
      <c r="NMR192" s="5"/>
      <c r="NMS192" s="5"/>
      <c r="NMT192" s="5"/>
      <c r="NMU192" s="5"/>
      <c r="NMV192" s="5"/>
      <c r="NMW192" s="5"/>
      <c r="NMX192" s="5"/>
      <c r="NMY192" s="5"/>
      <c r="NMZ192" s="5"/>
      <c r="NNA192" s="5"/>
      <c r="NNB192" s="5"/>
      <c r="NNC192" s="5"/>
      <c r="NND192" s="5"/>
      <c r="NNE192" s="5"/>
      <c r="NNF192" s="5"/>
      <c r="NNG192" s="5"/>
      <c r="NNH192" s="5"/>
      <c r="NNI192" s="5"/>
      <c r="NNJ192" s="5"/>
      <c r="NNK192" s="5"/>
      <c r="NNL192" s="5"/>
      <c r="NNM192" s="5"/>
      <c r="NNN192" s="5"/>
      <c r="NNO192" s="5"/>
      <c r="NNP192" s="5"/>
      <c r="NNQ192" s="5"/>
      <c r="NNR192" s="5"/>
      <c r="NNS192" s="5"/>
      <c r="NNT192" s="5"/>
      <c r="NNU192" s="5"/>
      <c r="NNV192" s="5"/>
      <c r="NNW192" s="5"/>
      <c r="NNX192" s="5"/>
      <c r="NNY192" s="5"/>
      <c r="NNZ192" s="5"/>
      <c r="NOA192" s="5"/>
      <c r="NOB192" s="5"/>
      <c r="NOC192" s="5"/>
      <c r="NOD192" s="5"/>
      <c r="NOE192" s="5"/>
      <c r="NOF192" s="5"/>
      <c r="NOG192" s="5"/>
      <c r="NOH192" s="5"/>
      <c r="NOI192" s="5"/>
      <c r="NOJ192" s="5"/>
      <c r="NOK192" s="5"/>
      <c r="NOL192" s="5"/>
      <c r="NOM192" s="5"/>
      <c r="NON192" s="5"/>
      <c r="NOO192" s="5"/>
      <c r="NOP192" s="5"/>
      <c r="NOQ192" s="5"/>
      <c r="NOR192" s="5"/>
      <c r="NOS192" s="5"/>
      <c r="NOT192" s="5"/>
      <c r="NOU192" s="5"/>
      <c r="NOV192" s="5"/>
      <c r="NOW192" s="5"/>
      <c r="NOX192" s="5"/>
      <c r="NOY192" s="5"/>
      <c r="NOZ192" s="5"/>
      <c r="NPA192" s="5"/>
      <c r="NPB192" s="5"/>
      <c r="NPC192" s="5"/>
      <c r="NPD192" s="5"/>
      <c r="NPE192" s="5"/>
      <c r="NPF192" s="5"/>
      <c r="NPG192" s="5"/>
      <c r="NPH192" s="5"/>
      <c r="NPI192" s="5"/>
      <c r="NPJ192" s="5"/>
      <c r="NPK192" s="5"/>
      <c r="NPL192" s="5"/>
      <c r="NPM192" s="5"/>
      <c r="NPN192" s="5"/>
      <c r="NPO192" s="5"/>
      <c r="NPP192" s="5"/>
      <c r="NPQ192" s="5"/>
      <c r="NPR192" s="5"/>
      <c r="NPS192" s="5"/>
      <c r="NPT192" s="5"/>
      <c r="NPU192" s="5"/>
      <c r="NPV192" s="5"/>
      <c r="NPW192" s="5"/>
      <c r="NPX192" s="5"/>
      <c r="NPY192" s="5"/>
      <c r="NPZ192" s="5"/>
      <c r="NQA192" s="5"/>
      <c r="NQB192" s="5"/>
      <c r="NQC192" s="5"/>
      <c r="NQD192" s="5"/>
      <c r="NQE192" s="5"/>
      <c r="NQF192" s="5"/>
      <c r="NQG192" s="5"/>
      <c r="NQH192" s="5"/>
      <c r="NQI192" s="5"/>
      <c r="NQJ192" s="5"/>
      <c r="NQK192" s="5"/>
      <c r="NQL192" s="5"/>
      <c r="NQM192" s="5"/>
      <c r="NQN192" s="5"/>
      <c r="NQO192" s="5"/>
      <c r="NQP192" s="5"/>
      <c r="NQQ192" s="5"/>
      <c r="NQR192" s="5"/>
      <c r="NQS192" s="5"/>
      <c r="NQT192" s="5"/>
      <c r="NQU192" s="5"/>
      <c r="NQV192" s="5"/>
      <c r="NQW192" s="5"/>
      <c r="NQX192" s="5"/>
      <c r="NQY192" s="5"/>
      <c r="NQZ192" s="5"/>
      <c r="NRA192" s="5"/>
      <c r="NRB192" s="5"/>
      <c r="NRC192" s="5"/>
      <c r="NRD192" s="5"/>
      <c r="NRE192" s="5"/>
      <c r="NRF192" s="5"/>
      <c r="NRG192" s="5"/>
      <c r="NRH192" s="5"/>
      <c r="NRI192" s="5"/>
      <c r="NRJ192" s="5"/>
      <c r="NRK192" s="5"/>
      <c r="NRL192" s="5"/>
      <c r="NRM192" s="5"/>
      <c r="NRN192" s="5"/>
      <c r="NRO192" s="5"/>
      <c r="NRP192" s="5"/>
      <c r="NRQ192" s="5"/>
      <c r="NRR192" s="5"/>
      <c r="NRS192" s="5"/>
      <c r="NRT192" s="5"/>
      <c r="NRU192" s="5"/>
      <c r="NRV192" s="5"/>
      <c r="NRW192" s="5"/>
      <c r="NRX192" s="5"/>
      <c r="NRY192" s="5"/>
      <c r="NRZ192" s="5"/>
      <c r="NSA192" s="5"/>
      <c r="NSB192" s="5"/>
      <c r="NSC192" s="5"/>
      <c r="NSD192" s="5"/>
      <c r="NSE192" s="5"/>
      <c r="NSF192" s="5"/>
      <c r="NSG192" s="5"/>
      <c r="NSH192" s="5"/>
      <c r="NSI192" s="5"/>
      <c r="NSJ192" s="5"/>
      <c r="NSK192" s="5"/>
      <c r="NSL192" s="5"/>
      <c r="NSM192" s="5"/>
      <c r="NSN192" s="5"/>
      <c r="NSO192" s="5"/>
      <c r="NSP192" s="5"/>
      <c r="NSQ192" s="5"/>
      <c r="NSR192" s="5"/>
      <c r="NSS192" s="5"/>
      <c r="NST192" s="5"/>
      <c r="NSU192" s="5"/>
      <c r="NSV192" s="5"/>
      <c r="NSW192" s="5"/>
      <c r="NSX192" s="5"/>
      <c r="NSY192" s="5"/>
      <c r="NSZ192" s="5"/>
      <c r="NTA192" s="5"/>
      <c r="NTB192" s="5"/>
      <c r="NTC192" s="5"/>
      <c r="NTD192" s="5"/>
      <c r="NTE192" s="5"/>
      <c r="NTF192" s="5"/>
      <c r="NTG192" s="5"/>
      <c r="NTH192" s="5"/>
      <c r="NTI192" s="5"/>
      <c r="NTJ192" s="5"/>
      <c r="NTK192" s="5"/>
      <c r="NTL192" s="5"/>
      <c r="NTM192" s="5"/>
      <c r="NTN192" s="5"/>
      <c r="NTO192" s="5"/>
      <c r="NTP192" s="5"/>
      <c r="NTQ192" s="5"/>
      <c r="NTR192" s="5"/>
      <c r="NTS192" s="5"/>
      <c r="NTT192" s="5"/>
      <c r="NTU192" s="5"/>
      <c r="NTV192" s="5"/>
      <c r="NTW192" s="5"/>
      <c r="NTX192" s="5"/>
      <c r="NTY192" s="5"/>
      <c r="NTZ192" s="5"/>
      <c r="NUA192" s="5"/>
      <c r="NUB192" s="5"/>
      <c r="NUC192" s="5"/>
      <c r="NUD192" s="5"/>
      <c r="NUE192" s="5"/>
      <c r="NUF192" s="5"/>
      <c r="NUG192" s="5"/>
      <c r="NUH192" s="5"/>
      <c r="NUI192" s="5"/>
      <c r="NUJ192" s="5"/>
      <c r="NUK192" s="5"/>
      <c r="NUL192" s="5"/>
      <c r="NUM192" s="5"/>
      <c r="NUN192" s="5"/>
      <c r="NUO192" s="5"/>
      <c r="NUP192" s="5"/>
      <c r="NUQ192" s="5"/>
      <c r="NUR192" s="5"/>
      <c r="NUS192" s="5"/>
      <c r="NUT192" s="5"/>
      <c r="NUU192" s="5"/>
      <c r="NUV192" s="5"/>
      <c r="NUW192" s="5"/>
      <c r="NUX192" s="5"/>
      <c r="NUY192" s="5"/>
      <c r="NUZ192" s="5"/>
      <c r="NVA192" s="5"/>
      <c r="NVB192" s="5"/>
      <c r="NVC192" s="5"/>
      <c r="NVD192" s="5"/>
      <c r="NVE192" s="5"/>
      <c r="NVF192" s="5"/>
      <c r="NVG192" s="5"/>
      <c r="NVH192" s="5"/>
      <c r="NVI192" s="5"/>
      <c r="NVJ192" s="5"/>
      <c r="NVK192" s="5"/>
      <c r="NVL192" s="5"/>
      <c r="NVM192" s="5"/>
      <c r="NVN192" s="5"/>
      <c r="NVO192" s="5"/>
      <c r="NVP192" s="5"/>
      <c r="NVQ192" s="5"/>
      <c r="NVR192" s="5"/>
      <c r="NVS192" s="5"/>
      <c r="NVT192" s="5"/>
      <c r="NVU192" s="5"/>
      <c r="NVV192" s="5"/>
      <c r="NVW192" s="5"/>
      <c r="NVX192" s="5"/>
      <c r="NVY192" s="5"/>
      <c r="NVZ192" s="5"/>
      <c r="NWA192" s="5"/>
      <c r="NWB192" s="5"/>
      <c r="NWC192" s="5"/>
      <c r="NWD192" s="5"/>
      <c r="NWE192" s="5"/>
      <c r="NWF192" s="5"/>
      <c r="NWG192" s="5"/>
      <c r="NWH192" s="5"/>
      <c r="NWI192" s="5"/>
      <c r="NWJ192" s="5"/>
      <c r="NWK192" s="5"/>
      <c r="NWL192" s="5"/>
      <c r="NWM192" s="5"/>
      <c r="NWN192" s="5"/>
      <c r="NWO192" s="5"/>
      <c r="NWP192" s="5"/>
      <c r="NWQ192" s="5"/>
      <c r="NWR192" s="5"/>
      <c r="NWS192" s="5"/>
      <c r="NWT192" s="5"/>
      <c r="NWU192" s="5"/>
      <c r="NWV192" s="5"/>
      <c r="NWW192" s="5"/>
      <c r="NWX192" s="5"/>
      <c r="NWY192" s="5"/>
      <c r="NWZ192" s="5"/>
      <c r="NXA192" s="5"/>
      <c r="NXB192" s="5"/>
      <c r="NXC192" s="5"/>
      <c r="NXD192" s="5"/>
      <c r="NXE192" s="5"/>
      <c r="NXF192" s="5"/>
      <c r="NXG192" s="5"/>
      <c r="NXH192" s="5"/>
      <c r="NXI192" s="5"/>
      <c r="NXJ192" s="5"/>
      <c r="NXK192" s="5"/>
      <c r="NXL192" s="5"/>
      <c r="NXM192" s="5"/>
      <c r="NXN192" s="5"/>
      <c r="NXO192" s="5"/>
      <c r="NXP192" s="5"/>
      <c r="NXQ192" s="5"/>
      <c r="NXR192" s="5"/>
      <c r="NXS192" s="5"/>
      <c r="NXT192" s="5"/>
      <c r="NXU192" s="5"/>
      <c r="NXV192" s="5"/>
      <c r="NXW192" s="5"/>
      <c r="NXX192" s="5"/>
      <c r="NXY192" s="5"/>
      <c r="NXZ192" s="5"/>
      <c r="NYA192" s="5"/>
      <c r="NYB192" s="5"/>
      <c r="NYC192" s="5"/>
      <c r="NYD192" s="5"/>
      <c r="NYE192" s="5"/>
      <c r="NYF192" s="5"/>
      <c r="NYG192" s="5"/>
      <c r="NYH192" s="5"/>
      <c r="NYI192" s="5"/>
      <c r="NYJ192" s="5"/>
      <c r="NYK192" s="5"/>
      <c r="NYL192" s="5"/>
      <c r="NYM192" s="5"/>
      <c r="NYN192" s="5"/>
      <c r="NYO192" s="5"/>
      <c r="NYP192" s="5"/>
      <c r="NYQ192" s="5"/>
      <c r="NYR192" s="5"/>
      <c r="NYS192" s="5"/>
      <c r="NYT192" s="5"/>
      <c r="NYU192" s="5"/>
      <c r="NYV192" s="5"/>
      <c r="NYW192" s="5"/>
      <c r="NYX192" s="5"/>
      <c r="NYY192" s="5"/>
      <c r="NYZ192" s="5"/>
      <c r="NZA192" s="5"/>
      <c r="NZB192" s="5"/>
      <c r="NZC192" s="5"/>
      <c r="NZD192" s="5"/>
      <c r="NZE192" s="5"/>
      <c r="NZF192" s="5"/>
      <c r="NZG192" s="5"/>
      <c r="NZH192" s="5"/>
      <c r="NZI192" s="5"/>
      <c r="NZJ192" s="5"/>
      <c r="NZK192" s="5"/>
      <c r="NZL192" s="5"/>
      <c r="NZM192" s="5"/>
      <c r="NZN192" s="5"/>
      <c r="NZO192" s="5"/>
      <c r="NZP192" s="5"/>
      <c r="NZQ192" s="5"/>
      <c r="NZR192" s="5"/>
      <c r="NZS192" s="5"/>
      <c r="NZT192" s="5"/>
      <c r="NZU192" s="5"/>
      <c r="NZV192" s="5"/>
      <c r="NZW192" s="5"/>
      <c r="NZX192" s="5"/>
      <c r="NZY192" s="5"/>
      <c r="NZZ192" s="5"/>
      <c r="OAA192" s="5"/>
      <c r="OAB192" s="5"/>
      <c r="OAC192" s="5"/>
      <c r="OAD192" s="5"/>
      <c r="OAE192" s="5"/>
      <c r="OAF192" s="5"/>
      <c r="OAG192" s="5"/>
      <c r="OAH192" s="5"/>
      <c r="OAI192" s="5"/>
      <c r="OAJ192" s="5"/>
      <c r="OAK192" s="5"/>
      <c r="OAL192" s="5"/>
      <c r="OAM192" s="5"/>
      <c r="OAN192" s="5"/>
      <c r="OAO192" s="5"/>
      <c r="OAP192" s="5"/>
      <c r="OAQ192" s="5"/>
      <c r="OAR192" s="5"/>
      <c r="OAS192" s="5"/>
      <c r="OAT192" s="5"/>
      <c r="OAU192" s="5"/>
      <c r="OAV192" s="5"/>
      <c r="OAW192" s="5"/>
      <c r="OAX192" s="5"/>
      <c r="OAY192" s="5"/>
      <c r="OAZ192" s="5"/>
      <c r="OBA192" s="5"/>
      <c r="OBB192" s="5"/>
      <c r="OBC192" s="5"/>
      <c r="OBD192" s="5"/>
      <c r="OBE192" s="5"/>
      <c r="OBF192" s="5"/>
      <c r="OBG192" s="5"/>
      <c r="OBH192" s="5"/>
      <c r="OBI192" s="5"/>
      <c r="OBJ192" s="5"/>
      <c r="OBK192" s="5"/>
      <c r="OBL192" s="5"/>
      <c r="OBM192" s="5"/>
      <c r="OBN192" s="5"/>
      <c r="OBO192" s="5"/>
      <c r="OBP192" s="5"/>
      <c r="OBQ192" s="5"/>
      <c r="OBR192" s="5"/>
      <c r="OBS192" s="5"/>
      <c r="OBT192" s="5"/>
      <c r="OBU192" s="5"/>
      <c r="OBV192" s="5"/>
      <c r="OBW192" s="5"/>
      <c r="OBX192" s="5"/>
      <c r="OBY192" s="5"/>
      <c r="OBZ192" s="5"/>
      <c r="OCA192" s="5"/>
      <c r="OCB192" s="5"/>
      <c r="OCC192" s="5"/>
      <c r="OCD192" s="5"/>
      <c r="OCE192" s="5"/>
      <c r="OCF192" s="5"/>
      <c r="OCG192" s="5"/>
      <c r="OCH192" s="5"/>
      <c r="OCI192" s="5"/>
      <c r="OCJ192" s="5"/>
      <c r="OCK192" s="5"/>
      <c r="OCL192" s="5"/>
      <c r="OCM192" s="5"/>
      <c r="OCN192" s="5"/>
      <c r="OCO192" s="5"/>
      <c r="OCP192" s="5"/>
      <c r="OCQ192" s="5"/>
      <c r="OCR192" s="5"/>
      <c r="OCS192" s="5"/>
      <c r="OCT192" s="5"/>
      <c r="OCU192" s="5"/>
      <c r="OCV192" s="5"/>
      <c r="OCW192" s="5"/>
      <c r="OCX192" s="5"/>
      <c r="OCY192" s="5"/>
      <c r="OCZ192" s="5"/>
      <c r="ODA192" s="5"/>
      <c r="ODB192" s="5"/>
      <c r="ODC192" s="5"/>
      <c r="ODD192" s="5"/>
      <c r="ODE192" s="5"/>
      <c r="ODF192" s="5"/>
      <c r="ODG192" s="5"/>
      <c r="ODH192" s="5"/>
      <c r="ODI192" s="5"/>
      <c r="ODJ192" s="5"/>
      <c r="ODK192" s="5"/>
      <c r="ODL192" s="5"/>
      <c r="ODM192" s="5"/>
      <c r="ODN192" s="5"/>
      <c r="ODO192" s="5"/>
      <c r="ODP192" s="5"/>
      <c r="ODQ192" s="5"/>
      <c r="ODR192" s="5"/>
      <c r="ODS192" s="5"/>
      <c r="ODT192" s="5"/>
      <c r="ODU192" s="5"/>
      <c r="ODV192" s="5"/>
      <c r="ODW192" s="5"/>
      <c r="ODX192" s="5"/>
      <c r="ODY192" s="5"/>
      <c r="ODZ192" s="5"/>
      <c r="OEA192" s="5"/>
      <c r="OEB192" s="5"/>
      <c r="OEC192" s="5"/>
      <c r="OED192" s="5"/>
      <c r="OEE192" s="5"/>
      <c r="OEF192" s="5"/>
      <c r="OEG192" s="5"/>
      <c r="OEH192" s="5"/>
      <c r="OEI192" s="5"/>
      <c r="OEJ192" s="5"/>
      <c r="OEK192" s="5"/>
      <c r="OEL192" s="5"/>
      <c r="OEM192" s="5"/>
      <c r="OEN192" s="5"/>
      <c r="OEO192" s="5"/>
      <c r="OEP192" s="5"/>
      <c r="OEQ192" s="5"/>
      <c r="OER192" s="5"/>
      <c r="OES192" s="5"/>
      <c r="OET192" s="5"/>
      <c r="OEU192" s="5"/>
      <c r="OEV192" s="5"/>
      <c r="OEW192" s="5"/>
      <c r="OEX192" s="5"/>
      <c r="OEY192" s="5"/>
      <c r="OEZ192" s="5"/>
      <c r="OFA192" s="5"/>
      <c r="OFB192" s="5"/>
      <c r="OFC192" s="5"/>
      <c r="OFD192" s="5"/>
      <c r="OFE192" s="5"/>
      <c r="OFF192" s="5"/>
      <c r="OFG192" s="5"/>
      <c r="OFH192" s="5"/>
      <c r="OFI192" s="5"/>
      <c r="OFJ192" s="5"/>
      <c r="OFK192" s="5"/>
      <c r="OFL192" s="5"/>
      <c r="OFM192" s="5"/>
      <c r="OFN192" s="5"/>
      <c r="OFO192" s="5"/>
      <c r="OFP192" s="5"/>
      <c r="OFQ192" s="5"/>
      <c r="OFR192" s="5"/>
      <c r="OFS192" s="5"/>
      <c r="OFT192" s="5"/>
      <c r="OFU192" s="5"/>
      <c r="OFV192" s="5"/>
      <c r="OFW192" s="5"/>
      <c r="OFX192" s="5"/>
      <c r="OFY192" s="5"/>
      <c r="OFZ192" s="5"/>
      <c r="OGA192" s="5"/>
      <c r="OGB192" s="5"/>
      <c r="OGC192" s="5"/>
      <c r="OGD192" s="5"/>
      <c r="OGE192" s="5"/>
      <c r="OGF192" s="5"/>
      <c r="OGG192" s="5"/>
      <c r="OGH192" s="5"/>
      <c r="OGI192" s="5"/>
      <c r="OGJ192" s="5"/>
      <c r="OGK192" s="5"/>
      <c r="OGL192" s="5"/>
      <c r="OGM192" s="5"/>
      <c r="OGN192" s="5"/>
      <c r="OGO192" s="5"/>
      <c r="OGP192" s="5"/>
      <c r="OGQ192" s="5"/>
      <c r="OGR192" s="5"/>
      <c r="OGS192" s="5"/>
      <c r="OGT192" s="5"/>
      <c r="OGU192" s="5"/>
      <c r="OGV192" s="5"/>
      <c r="OGW192" s="5"/>
      <c r="OGX192" s="5"/>
      <c r="OGY192" s="5"/>
      <c r="OGZ192" s="5"/>
      <c r="OHA192" s="5"/>
      <c r="OHB192" s="5"/>
      <c r="OHC192" s="5"/>
      <c r="OHD192" s="5"/>
      <c r="OHE192" s="5"/>
      <c r="OHF192" s="5"/>
      <c r="OHG192" s="5"/>
      <c r="OHH192" s="5"/>
      <c r="OHI192" s="5"/>
      <c r="OHJ192" s="5"/>
      <c r="OHK192" s="5"/>
      <c r="OHL192" s="5"/>
      <c r="OHM192" s="5"/>
      <c r="OHN192" s="5"/>
      <c r="OHO192" s="5"/>
      <c r="OHP192" s="5"/>
      <c r="OHQ192" s="5"/>
      <c r="OHR192" s="5"/>
      <c r="OHS192" s="5"/>
      <c r="OHT192" s="5"/>
      <c r="OHU192" s="5"/>
      <c r="OHV192" s="5"/>
      <c r="OHW192" s="5"/>
      <c r="OHX192" s="5"/>
      <c r="OHY192" s="5"/>
      <c r="OHZ192" s="5"/>
      <c r="OIA192" s="5"/>
      <c r="OIB192" s="5"/>
      <c r="OIC192" s="5"/>
      <c r="OID192" s="5"/>
      <c r="OIE192" s="5"/>
      <c r="OIF192" s="5"/>
      <c r="OIG192" s="5"/>
      <c r="OIH192" s="5"/>
      <c r="OII192" s="5"/>
      <c r="OIJ192" s="5"/>
      <c r="OIK192" s="5"/>
      <c r="OIL192" s="5"/>
      <c r="OIM192" s="5"/>
      <c r="OIN192" s="5"/>
      <c r="OIO192" s="5"/>
      <c r="OIP192" s="5"/>
      <c r="OIQ192" s="5"/>
      <c r="OIR192" s="5"/>
      <c r="OIS192" s="5"/>
      <c r="OIT192" s="5"/>
      <c r="OIU192" s="5"/>
      <c r="OIV192" s="5"/>
      <c r="OIW192" s="5"/>
      <c r="OIX192" s="5"/>
      <c r="OIY192" s="5"/>
      <c r="OIZ192" s="5"/>
      <c r="OJA192" s="5"/>
      <c r="OJB192" s="5"/>
      <c r="OJC192" s="5"/>
      <c r="OJD192" s="5"/>
      <c r="OJE192" s="5"/>
      <c r="OJF192" s="5"/>
      <c r="OJG192" s="5"/>
      <c r="OJH192" s="5"/>
      <c r="OJI192" s="5"/>
      <c r="OJJ192" s="5"/>
      <c r="OJK192" s="5"/>
      <c r="OJL192" s="5"/>
      <c r="OJM192" s="5"/>
      <c r="OJN192" s="5"/>
      <c r="OJO192" s="5"/>
      <c r="OJP192" s="5"/>
      <c r="OJQ192" s="5"/>
      <c r="OJR192" s="5"/>
      <c r="OJS192" s="5"/>
      <c r="OJT192" s="5"/>
      <c r="OJU192" s="5"/>
      <c r="OJV192" s="5"/>
      <c r="OJW192" s="5"/>
      <c r="OJX192" s="5"/>
      <c r="OJY192" s="5"/>
      <c r="OJZ192" s="5"/>
      <c r="OKA192" s="5"/>
      <c r="OKB192" s="5"/>
      <c r="OKC192" s="5"/>
      <c r="OKD192" s="5"/>
      <c r="OKE192" s="5"/>
      <c r="OKF192" s="5"/>
      <c r="OKG192" s="5"/>
      <c r="OKH192" s="5"/>
      <c r="OKI192" s="5"/>
      <c r="OKJ192" s="5"/>
      <c r="OKK192" s="5"/>
      <c r="OKL192" s="5"/>
      <c r="OKM192" s="5"/>
      <c r="OKN192" s="5"/>
      <c r="OKO192" s="5"/>
      <c r="OKP192" s="5"/>
      <c r="OKQ192" s="5"/>
      <c r="OKR192" s="5"/>
      <c r="OKS192" s="5"/>
      <c r="OKT192" s="5"/>
      <c r="OKU192" s="5"/>
      <c r="OKV192" s="5"/>
      <c r="OKW192" s="5"/>
      <c r="OKX192" s="5"/>
      <c r="OKY192" s="5"/>
      <c r="OKZ192" s="5"/>
      <c r="OLA192" s="5"/>
      <c r="OLB192" s="5"/>
      <c r="OLC192" s="5"/>
      <c r="OLD192" s="5"/>
      <c r="OLE192" s="5"/>
      <c r="OLF192" s="5"/>
      <c r="OLG192" s="5"/>
      <c r="OLH192" s="5"/>
      <c r="OLI192" s="5"/>
      <c r="OLJ192" s="5"/>
      <c r="OLK192" s="5"/>
      <c r="OLL192" s="5"/>
      <c r="OLM192" s="5"/>
      <c r="OLN192" s="5"/>
      <c r="OLO192" s="5"/>
      <c r="OLP192" s="5"/>
      <c r="OLQ192" s="5"/>
      <c r="OLR192" s="5"/>
      <c r="OLS192" s="5"/>
      <c r="OLT192" s="5"/>
      <c r="OLU192" s="5"/>
      <c r="OLV192" s="5"/>
      <c r="OLW192" s="5"/>
      <c r="OLX192" s="5"/>
      <c r="OLY192" s="5"/>
      <c r="OLZ192" s="5"/>
      <c r="OMA192" s="5"/>
      <c r="OMB192" s="5"/>
      <c r="OMC192" s="5"/>
      <c r="OMD192" s="5"/>
      <c r="OME192" s="5"/>
      <c r="OMF192" s="5"/>
      <c r="OMG192" s="5"/>
      <c r="OMH192" s="5"/>
      <c r="OMI192" s="5"/>
      <c r="OMJ192" s="5"/>
      <c r="OMK192" s="5"/>
      <c r="OML192" s="5"/>
      <c r="OMM192" s="5"/>
      <c r="OMN192" s="5"/>
      <c r="OMO192" s="5"/>
      <c r="OMP192" s="5"/>
      <c r="OMQ192" s="5"/>
      <c r="OMR192" s="5"/>
      <c r="OMS192" s="5"/>
      <c r="OMT192" s="5"/>
      <c r="OMU192" s="5"/>
      <c r="OMV192" s="5"/>
      <c r="OMW192" s="5"/>
      <c r="OMX192" s="5"/>
      <c r="OMY192" s="5"/>
      <c r="OMZ192" s="5"/>
      <c r="ONA192" s="5"/>
      <c r="ONB192" s="5"/>
      <c r="ONC192" s="5"/>
      <c r="OND192" s="5"/>
      <c r="ONE192" s="5"/>
      <c r="ONF192" s="5"/>
      <c r="ONG192" s="5"/>
      <c r="ONH192" s="5"/>
      <c r="ONI192" s="5"/>
      <c r="ONJ192" s="5"/>
      <c r="ONK192" s="5"/>
      <c r="ONL192" s="5"/>
      <c r="ONM192" s="5"/>
      <c r="ONN192" s="5"/>
      <c r="ONO192" s="5"/>
      <c r="ONP192" s="5"/>
      <c r="ONQ192" s="5"/>
      <c r="ONR192" s="5"/>
      <c r="ONS192" s="5"/>
      <c r="ONT192" s="5"/>
      <c r="ONU192" s="5"/>
      <c r="ONV192" s="5"/>
      <c r="ONW192" s="5"/>
      <c r="ONX192" s="5"/>
      <c r="ONY192" s="5"/>
      <c r="ONZ192" s="5"/>
      <c r="OOA192" s="5"/>
      <c r="OOB192" s="5"/>
      <c r="OOC192" s="5"/>
      <c r="OOD192" s="5"/>
      <c r="OOE192" s="5"/>
      <c r="OOF192" s="5"/>
      <c r="OOG192" s="5"/>
      <c r="OOH192" s="5"/>
      <c r="OOI192" s="5"/>
      <c r="OOJ192" s="5"/>
      <c r="OOK192" s="5"/>
      <c r="OOL192" s="5"/>
      <c r="OOM192" s="5"/>
      <c r="OON192" s="5"/>
      <c r="OOO192" s="5"/>
      <c r="OOP192" s="5"/>
      <c r="OOQ192" s="5"/>
      <c r="OOR192" s="5"/>
      <c r="OOS192" s="5"/>
      <c r="OOT192" s="5"/>
      <c r="OOU192" s="5"/>
      <c r="OOV192" s="5"/>
      <c r="OOW192" s="5"/>
      <c r="OOX192" s="5"/>
      <c r="OOY192" s="5"/>
      <c r="OOZ192" s="5"/>
      <c r="OPA192" s="5"/>
      <c r="OPB192" s="5"/>
      <c r="OPC192" s="5"/>
      <c r="OPD192" s="5"/>
      <c r="OPE192" s="5"/>
      <c r="OPF192" s="5"/>
      <c r="OPG192" s="5"/>
      <c r="OPH192" s="5"/>
      <c r="OPI192" s="5"/>
      <c r="OPJ192" s="5"/>
      <c r="OPK192" s="5"/>
      <c r="OPL192" s="5"/>
      <c r="OPM192" s="5"/>
      <c r="OPN192" s="5"/>
      <c r="OPO192" s="5"/>
      <c r="OPP192" s="5"/>
      <c r="OPQ192" s="5"/>
      <c r="OPR192" s="5"/>
      <c r="OPS192" s="5"/>
      <c r="OPT192" s="5"/>
      <c r="OPU192" s="5"/>
      <c r="OPV192" s="5"/>
      <c r="OPW192" s="5"/>
      <c r="OPX192" s="5"/>
      <c r="OPY192" s="5"/>
      <c r="OPZ192" s="5"/>
      <c r="OQA192" s="5"/>
      <c r="OQB192" s="5"/>
      <c r="OQC192" s="5"/>
      <c r="OQD192" s="5"/>
      <c r="OQE192" s="5"/>
      <c r="OQF192" s="5"/>
      <c r="OQG192" s="5"/>
      <c r="OQH192" s="5"/>
      <c r="OQI192" s="5"/>
      <c r="OQJ192" s="5"/>
      <c r="OQK192" s="5"/>
      <c r="OQL192" s="5"/>
      <c r="OQM192" s="5"/>
      <c r="OQN192" s="5"/>
      <c r="OQO192" s="5"/>
      <c r="OQP192" s="5"/>
      <c r="OQQ192" s="5"/>
      <c r="OQR192" s="5"/>
      <c r="OQS192" s="5"/>
      <c r="OQT192" s="5"/>
      <c r="OQU192" s="5"/>
      <c r="OQV192" s="5"/>
      <c r="OQW192" s="5"/>
      <c r="OQX192" s="5"/>
      <c r="OQY192" s="5"/>
      <c r="OQZ192" s="5"/>
      <c r="ORA192" s="5"/>
      <c r="ORB192" s="5"/>
      <c r="ORC192" s="5"/>
      <c r="ORD192" s="5"/>
      <c r="ORE192" s="5"/>
      <c r="ORF192" s="5"/>
      <c r="ORG192" s="5"/>
      <c r="ORH192" s="5"/>
      <c r="ORI192" s="5"/>
      <c r="ORJ192" s="5"/>
      <c r="ORK192" s="5"/>
      <c r="ORL192" s="5"/>
      <c r="ORM192" s="5"/>
      <c r="ORN192" s="5"/>
      <c r="ORO192" s="5"/>
      <c r="ORP192" s="5"/>
      <c r="ORQ192" s="5"/>
      <c r="ORR192" s="5"/>
      <c r="ORS192" s="5"/>
      <c r="ORT192" s="5"/>
      <c r="ORU192" s="5"/>
      <c r="ORV192" s="5"/>
      <c r="ORW192" s="5"/>
      <c r="ORX192" s="5"/>
      <c r="ORY192" s="5"/>
      <c r="ORZ192" s="5"/>
      <c r="OSA192" s="5"/>
      <c r="OSB192" s="5"/>
      <c r="OSC192" s="5"/>
      <c r="OSD192" s="5"/>
      <c r="OSE192" s="5"/>
      <c r="OSF192" s="5"/>
      <c r="OSG192" s="5"/>
      <c r="OSH192" s="5"/>
      <c r="OSI192" s="5"/>
      <c r="OSJ192" s="5"/>
      <c r="OSK192" s="5"/>
      <c r="OSL192" s="5"/>
      <c r="OSM192" s="5"/>
      <c r="OSN192" s="5"/>
      <c r="OSO192" s="5"/>
      <c r="OSP192" s="5"/>
      <c r="OSQ192" s="5"/>
      <c r="OSR192" s="5"/>
      <c r="OSS192" s="5"/>
      <c r="OST192" s="5"/>
      <c r="OSU192" s="5"/>
      <c r="OSV192" s="5"/>
      <c r="OSW192" s="5"/>
      <c r="OSX192" s="5"/>
      <c r="OSY192" s="5"/>
      <c r="OSZ192" s="5"/>
      <c r="OTA192" s="5"/>
      <c r="OTB192" s="5"/>
      <c r="OTC192" s="5"/>
      <c r="OTD192" s="5"/>
      <c r="OTE192" s="5"/>
      <c r="OTF192" s="5"/>
      <c r="OTG192" s="5"/>
      <c r="OTH192" s="5"/>
      <c r="OTI192" s="5"/>
      <c r="OTJ192" s="5"/>
      <c r="OTK192" s="5"/>
      <c r="OTL192" s="5"/>
      <c r="OTM192" s="5"/>
      <c r="OTN192" s="5"/>
      <c r="OTO192" s="5"/>
      <c r="OTP192" s="5"/>
      <c r="OTQ192" s="5"/>
      <c r="OTR192" s="5"/>
      <c r="OTS192" s="5"/>
      <c r="OTT192" s="5"/>
      <c r="OTU192" s="5"/>
      <c r="OTV192" s="5"/>
      <c r="OTW192" s="5"/>
      <c r="OTX192" s="5"/>
      <c r="OTY192" s="5"/>
      <c r="OTZ192" s="5"/>
      <c r="OUA192" s="5"/>
      <c r="OUB192" s="5"/>
      <c r="OUC192" s="5"/>
      <c r="OUD192" s="5"/>
      <c r="OUE192" s="5"/>
      <c r="OUF192" s="5"/>
      <c r="OUG192" s="5"/>
      <c r="OUH192" s="5"/>
      <c r="OUI192" s="5"/>
      <c r="OUJ192" s="5"/>
      <c r="OUK192" s="5"/>
      <c r="OUL192" s="5"/>
      <c r="OUM192" s="5"/>
      <c r="OUN192" s="5"/>
      <c r="OUO192" s="5"/>
      <c r="OUP192" s="5"/>
      <c r="OUQ192" s="5"/>
      <c r="OUR192" s="5"/>
      <c r="OUS192" s="5"/>
      <c r="OUT192" s="5"/>
      <c r="OUU192" s="5"/>
      <c r="OUV192" s="5"/>
      <c r="OUW192" s="5"/>
      <c r="OUX192" s="5"/>
      <c r="OUY192" s="5"/>
      <c r="OUZ192" s="5"/>
      <c r="OVA192" s="5"/>
      <c r="OVB192" s="5"/>
      <c r="OVC192" s="5"/>
      <c r="OVD192" s="5"/>
      <c r="OVE192" s="5"/>
      <c r="OVF192" s="5"/>
      <c r="OVG192" s="5"/>
      <c r="OVH192" s="5"/>
      <c r="OVI192" s="5"/>
      <c r="OVJ192" s="5"/>
      <c r="OVK192" s="5"/>
      <c r="OVL192" s="5"/>
      <c r="OVM192" s="5"/>
      <c r="OVN192" s="5"/>
      <c r="OVO192" s="5"/>
      <c r="OVP192" s="5"/>
      <c r="OVQ192" s="5"/>
      <c r="OVR192" s="5"/>
      <c r="OVS192" s="5"/>
      <c r="OVT192" s="5"/>
      <c r="OVU192" s="5"/>
      <c r="OVV192" s="5"/>
      <c r="OVW192" s="5"/>
      <c r="OVX192" s="5"/>
      <c r="OVY192" s="5"/>
      <c r="OVZ192" s="5"/>
      <c r="OWA192" s="5"/>
      <c r="OWB192" s="5"/>
      <c r="OWC192" s="5"/>
      <c r="OWD192" s="5"/>
      <c r="OWE192" s="5"/>
      <c r="OWF192" s="5"/>
      <c r="OWG192" s="5"/>
      <c r="OWH192" s="5"/>
      <c r="OWI192" s="5"/>
      <c r="OWJ192" s="5"/>
      <c r="OWK192" s="5"/>
      <c r="OWL192" s="5"/>
      <c r="OWM192" s="5"/>
      <c r="OWN192" s="5"/>
      <c r="OWO192" s="5"/>
      <c r="OWP192" s="5"/>
      <c r="OWQ192" s="5"/>
      <c r="OWR192" s="5"/>
      <c r="OWS192" s="5"/>
      <c r="OWT192" s="5"/>
      <c r="OWU192" s="5"/>
      <c r="OWV192" s="5"/>
      <c r="OWW192" s="5"/>
      <c r="OWX192" s="5"/>
      <c r="OWY192" s="5"/>
      <c r="OWZ192" s="5"/>
      <c r="OXA192" s="5"/>
      <c r="OXB192" s="5"/>
      <c r="OXC192" s="5"/>
      <c r="OXD192" s="5"/>
      <c r="OXE192" s="5"/>
      <c r="OXF192" s="5"/>
      <c r="OXG192" s="5"/>
      <c r="OXH192" s="5"/>
      <c r="OXI192" s="5"/>
      <c r="OXJ192" s="5"/>
      <c r="OXK192" s="5"/>
      <c r="OXL192" s="5"/>
      <c r="OXM192" s="5"/>
      <c r="OXN192" s="5"/>
      <c r="OXO192" s="5"/>
      <c r="OXP192" s="5"/>
      <c r="OXQ192" s="5"/>
      <c r="OXR192" s="5"/>
      <c r="OXS192" s="5"/>
      <c r="OXT192" s="5"/>
      <c r="OXU192" s="5"/>
      <c r="OXV192" s="5"/>
      <c r="OXW192" s="5"/>
      <c r="OXX192" s="5"/>
      <c r="OXY192" s="5"/>
      <c r="OXZ192" s="5"/>
      <c r="OYA192" s="5"/>
      <c r="OYB192" s="5"/>
      <c r="OYC192" s="5"/>
      <c r="OYD192" s="5"/>
      <c r="OYE192" s="5"/>
      <c r="OYF192" s="5"/>
      <c r="OYG192" s="5"/>
      <c r="OYH192" s="5"/>
      <c r="OYI192" s="5"/>
      <c r="OYJ192" s="5"/>
      <c r="OYK192" s="5"/>
      <c r="OYL192" s="5"/>
      <c r="OYM192" s="5"/>
      <c r="OYN192" s="5"/>
      <c r="OYO192" s="5"/>
      <c r="OYP192" s="5"/>
      <c r="OYQ192" s="5"/>
      <c r="OYR192" s="5"/>
      <c r="OYS192" s="5"/>
      <c r="OYT192" s="5"/>
      <c r="OYU192" s="5"/>
      <c r="OYV192" s="5"/>
      <c r="OYW192" s="5"/>
      <c r="OYX192" s="5"/>
      <c r="OYY192" s="5"/>
      <c r="OYZ192" s="5"/>
      <c r="OZA192" s="5"/>
      <c r="OZB192" s="5"/>
      <c r="OZC192" s="5"/>
      <c r="OZD192" s="5"/>
      <c r="OZE192" s="5"/>
      <c r="OZF192" s="5"/>
      <c r="OZG192" s="5"/>
      <c r="OZH192" s="5"/>
      <c r="OZI192" s="5"/>
      <c r="OZJ192" s="5"/>
      <c r="OZK192" s="5"/>
      <c r="OZL192" s="5"/>
      <c r="OZM192" s="5"/>
      <c r="OZN192" s="5"/>
      <c r="OZO192" s="5"/>
      <c r="OZP192" s="5"/>
      <c r="OZQ192" s="5"/>
      <c r="OZR192" s="5"/>
      <c r="OZS192" s="5"/>
      <c r="OZT192" s="5"/>
      <c r="OZU192" s="5"/>
      <c r="OZV192" s="5"/>
      <c r="OZW192" s="5"/>
      <c r="OZX192" s="5"/>
      <c r="OZY192" s="5"/>
      <c r="OZZ192" s="5"/>
      <c r="PAA192" s="5"/>
      <c r="PAB192" s="5"/>
      <c r="PAC192" s="5"/>
      <c r="PAD192" s="5"/>
      <c r="PAE192" s="5"/>
      <c r="PAF192" s="5"/>
      <c r="PAG192" s="5"/>
      <c r="PAH192" s="5"/>
      <c r="PAI192" s="5"/>
      <c r="PAJ192" s="5"/>
      <c r="PAK192" s="5"/>
      <c r="PAL192" s="5"/>
      <c r="PAM192" s="5"/>
      <c r="PAN192" s="5"/>
      <c r="PAO192" s="5"/>
      <c r="PAP192" s="5"/>
      <c r="PAQ192" s="5"/>
      <c r="PAR192" s="5"/>
      <c r="PAS192" s="5"/>
      <c r="PAT192" s="5"/>
      <c r="PAU192" s="5"/>
      <c r="PAV192" s="5"/>
      <c r="PAW192" s="5"/>
      <c r="PAX192" s="5"/>
      <c r="PAY192" s="5"/>
      <c r="PAZ192" s="5"/>
      <c r="PBA192" s="5"/>
      <c r="PBB192" s="5"/>
      <c r="PBC192" s="5"/>
      <c r="PBD192" s="5"/>
      <c r="PBE192" s="5"/>
      <c r="PBF192" s="5"/>
      <c r="PBG192" s="5"/>
      <c r="PBH192" s="5"/>
      <c r="PBI192" s="5"/>
      <c r="PBJ192" s="5"/>
      <c r="PBK192" s="5"/>
      <c r="PBL192" s="5"/>
      <c r="PBM192" s="5"/>
      <c r="PBN192" s="5"/>
      <c r="PBO192" s="5"/>
      <c r="PBP192" s="5"/>
      <c r="PBQ192" s="5"/>
      <c r="PBR192" s="5"/>
      <c r="PBS192" s="5"/>
      <c r="PBT192" s="5"/>
      <c r="PBU192" s="5"/>
      <c r="PBV192" s="5"/>
      <c r="PBW192" s="5"/>
      <c r="PBX192" s="5"/>
      <c r="PBY192" s="5"/>
      <c r="PBZ192" s="5"/>
      <c r="PCA192" s="5"/>
      <c r="PCB192" s="5"/>
      <c r="PCC192" s="5"/>
      <c r="PCD192" s="5"/>
      <c r="PCE192" s="5"/>
      <c r="PCF192" s="5"/>
      <c r="PCG192" s="5"/>
      <c r="PCH192" s="5"/>
      <c r="PCI192" s="5"/>
      <c r="PCJ192" s="5"/>
      <c r="PCK192" s="5"/>
      <c r="PCL192" s="5"/>
      <c r="PCM192" s="5"/>
      <c r="PCN192" s="5"/>
      <c r="PCO192" s="5"/>
      <c r="PCP192" s="5"/>
      <c r="PCQ192" s="5"/>
      <c r="PCR192" s="5"/>
      <c r="PCS192" s="5"/>
      <c r="PCT192" s="5"/>
      <c r="PCU192" s="5"/>
      <c r="PCV192" s="5"/>
      <c r="PCW192" s="5"/>
      <c r="PCX192" s="5"/>
      <c r="PCY192" s="5"/>
      <c r="PCZ192" s="5"/>
      <c r="PDA192" s="5"/>
      <c r="PDB192" s="5"/>
      <c r="PDC192" s="5"/>
      <c r="PDD192" s="5"/>
      <c r="PDE192" s="5"/>
      <c r="PDF192" s="5"/>
      <c r="PDG192" s="5"/>
      <c r="PDH192" s="5"/>
      <c r="PDI192" s="5"/>
      <c r="PDJ192" s="5"/>
      <c r="PDK192" s="5"/>
      <c r="PDL192" s="5"/>
      <c r="PDM192" s="5"/>
      <c r="PDN192" s="5"/>
      <c r="PDO192" s="5"/>
      <c r="PDP192" s="5"/>
      <c r="PDQ192" s="5"/>
      <c r="PDR192" s="5"/>
      <c r="PDS192" s="5"/>
      <c r="PDT192" s="5"/>
      <c r="PDU192" s="5"/>
      <c r="PDV192" s="5"/>
      <c r="PDW192" s="5"/>
      <c r="PDX192" s="5"/>
      <c r="PDY192" s="5"/>
      <c r="PDZ192" s="5"/>
      <c r="PEA192" s="5"/>
      <c r="PEB192" s="5"/>
      <c r="PEC192" s="5"/>
      <c r="PED192" s="5"/>
      <c r="PEE192" s="5"/>
      <c r="PEF192" s="5"/>
      <c r="PEG192" s="5"/>
      <c r="PEH192" s="5"/>
      <c r="PEI192" s="5"/>
      <c r="PEJ192" s="5"/>
      <c r="PEK192" s="5"/>
      <c r="PEL192" s="5"/>
      <c r="PEM192" s="5"/>
      <c r="PEN192" s="5"/>
      <c r="PEO192" s="5"/>
      <c r="PEP192" s="5"/>
      <c r="PEQ192" s="5"/>
      <c r="PER192" s="5"/>
      <c r="PES192" s="5"/>
      <c r="PET192" s="5"/>
      <c r="PEU192" s="5"/>
      <c r="PEV192" s="5"/>
      <c r="PEW192" s="5"/>
      <c r="PEX192" s="5"/>
      <c r="PEY192" s="5"/>
      <c r="PEZ192" s="5"/>
      <c r="PFA192" s="5"/>
      <c r="PFB192" s="5"/>
      <c r="PFC192" s="5"/>
      <c r="PFD192" s="5"/>
      <c r="PFE192" s="5"/>
      <c r="PFF192" s="5"/>
      <c r="PFG192" s="5"/>
      <c r="PFH192" s="5"/>
      <c r="PFI192" s="5"/>
      <c r="PFJ192" s="5"/>
      <c r="PFK192" s="5"/>
      <c r="PFL192" s="5"/>
      <c r="PFM192" s="5"/>
      <c r="PFN192" s="5"/>
      <c r="PFO192" s="5"/>
      <c r="PFP192" s="5"/>
      <c r="PFQ192" s="5"/>
      <c r="PFR192" s="5"/>
      <c r="PFS192" s="5"/>
      <c r="PFT192" s="5"/>
      <c r="PFU192" s="5"/>
      <c r="PFV192" s="5"/>
      <c r="PFW192" s="5"/>
      <c r="PFX192" s="5"/>
      <c r="PFY192" s="5"/>
      <c r="PFZ192" s="5"/>
      <c r="PGA192" s="5"/>
      <c r="PGB192" s="5"/>
      <c r="PGC192" s="5"/>
      <c r="PGD192" s="5"/>
      <c r="PGE192" s="5"/>
      <c r="PGF192" s="5"/>
      <c r="PGG192" s="5"/>
      <c r="PGH192" s="5"/>
      <c r="PGI192" s="5"/>
      <c r="PGJ192" s="5"/>
      <c r="PGK192" s="5"/>
      <c r="PGL192" s="5"/>
      <c r="PGM192" s="5"/>
      <c r="PGN192" s="5"/>
      <c r="PGO192" s="5"/>
      <c r="PGP192" s="5"/>
      <c r="PGQ192" s="5"/>
      <c r="PGR192" s="5"/>
      <c r="PGS192" s="5"/>
      <c r="PGT192" s="5"/>
      <c r="PGU192" s="5"/>
      <c r="PGV192" s="5"/>
      <c r="PGW192" s="5"/>
      <c r="PGX192" s="5"/>
      <c r="PGY192" s="5"/>
      <c r="PGZ192" s="5"/>
      <c r="PHA192" s="5"/>
      <c r="PHB192" s="5"/>
      <c r="PHC192" s="5"/>
      <c r="PHD192" s="5"/>
      <c r="PHE192" s="5"/>
      <c r="PHF192" s="5"/>
      <c r="PHG192" s="5"/>
      <c r="PHH192" s="5"/>
      <c r="PHI192" s="5"/>
      <c r="PHJ192" s="5"/>
      <c r="PHK192" s="5"/>
      <c r="PHL192" s="5"/>
      <c r="PHM192" s="5"/>
      <c r="PHN192" s="5"/>
      <c r="PHO192" s="5"/>
      <c r="PHP192" s="5"/>
      <c r="PHQ192" s="5"/>
      <c r="PHR192" s="5"/>
      <c r="PHS192" s="5"/>
      <c r="PHT192" s="5"/>
      <c r="PHU192" s="5"/>
      <c r="PHV192" s="5"/>
      <c r="PHW192" s="5"/>
      <c r="PHX192" s="5"/>
      <c r="PHY192" s="5"/>
      <c r="PHZ192" s="5"/>
      <c r="PIA192" s="5"/>
      <c r="PIB192" s="5"/>
      <c r="PIC192" s="5"/>
      <c r="PID192" s="5"/>
      <c r="PIE192" s="5"/>
      <c r="PIF192" s="5"/>
      <c r="PIG192" s="5"/>
      <c r="PIH192" s="5"/>
      <c r="PII192" s="5"/>
      <c r="PIJ192" s="5"/>
      <c r="PIK192" s="5"/>
      <c r="PIL192" s="5"/>
      <c r="PIM192" s="5"/>
      <c r="PIN192" s="5"/>
      <c r="PIO192" s="5"/>
      <c r="PIP192" s="5"/>
      <c r="PIQ192" s="5"/>
      <c r="PIR192" s="5"/>
      <c r="PIS192" s="5"/>
      <c r="PIT192" s="5"/>
      <c r="PIU192" s="5"/>
      <c r="PIV192" s="5"/>
      <c r="PIW192" s="5"/>
      <c r="PIX192" s="5"/>
      <c r="PIY192" s="5"/>
      <c r="PIZ192" s="5"/>
      <c r="PJA192" s="5"/>
      <c r="PJB192" s="5"/>
      <c r="PJC192" s="5"/>
      <c r="PJD192" s="5"/>
      <c r="PJE192" s="5"/>
      <c r="PJF192" s="5"/>
      <c r="PJG192" s="5"/>
      <c r="PJH192" s="5"/>
      <c r="PJI192" s="5"/>
      <c r="PJJ192" s="5"/>
      <c r="PJK192" s="5"/>
      <c r="PJL192" s="5"/>
      <c r="PJM192" s="5"/>
      <c r="PJN192" s="5"/>
      <c r="PJO192" s="5"/>
      <c r="PJP192" s="5"/>
      <c r="PJQ192" s="5"/>
      <c r="PJR192" s="5"/>
      <c r="PJS192" s="5"/>
      <c r="PJT192" s="5"/>
      <c r="PJU192" s="5"/>
      <c r="PJV192" s="5"/>
      <c r="PJW192" s="5"/>
      <c r="PJX192" s="5"/>
      <c r="PJY192" s="5"/>
      <c r="PJZ192" s="5"/>
      <c r="PKA192" s="5"/>
      <c r="PKB192" s="5"/>
      <c r="PKC192" s="5"/>
      <c r="PKD192" s="5"/>
      <c r="PKE192" s="5"/>
      <c r="PKF192" s="5"/>
      <c r="PKG192" s="5"/>
      <c r="PKH192" s="5"/>
      <c r="PKI192" s="5"/>
      <c r="PKJ192" s="5"/>
      <c r="PKK192" s="5"/>
      <c r="PKL192" s="5"/>
      <c r="PKM192" s="5"/>
      <c r="PKN192" s="5"/>
      <c r="PKO192" s="5"/>
      <c r="PKP192" s="5"/>
      <c r="PKQ192" s="5"/>
      <c r="PKR192" s="5"/>
      <c r="PKS192" s="5"/>
      <c r="PKT192" s="5"/>
      <c r="PKU192" s="5"/>
      <c r="PKV192" s="5"/>
      <c r="PKW192" s="5"/>
      <c r="PKX192" s="5"/>
      <c r="PKY192" s="5"/>
      <c r="PKZ192" s="5"/>
      <c r="PLA192" s="5"/>
      <c r="PLB192" s="5"/>
      <c r="PLC192" s="5"/>
      <c r="PLD192" s="5"/>
      <c r="PLE192" s="5"/>
      <c r="PLF192" s="5"/>
      <c r="PLG192" s="5"/>
      <c r="PLH192" s="5"/>
      <c r="PLI192" s="5"/>
      <c r="PLJ192" s="5"/>
      <c r="PLK192" s="5"/>
      <c r="PLL192" s="5"/>
      <c r="PLM192" s="5"/>
      <c r="PLN192" s="5"/>
      <c r="PLO192" s="5"/>
      <c r="PLP192" s="5"/>
      <c r="PLQ192" s="5"/>
      <c r="PLR192" s="5"/>
      <c r="PLS192" s="5"/>
      <c r="PLT192" s="5"/>
      <c r="PLU192" s="5"/>
      <c r="PLV192" s="5"/>
      <c r="PLW192" s="5"/>
      <c r="PLX192" s="5"/>
      <c r="PLY192" s="5"/>
      <c r="PLZ192" s="5"/>
      <c r="PMA192" s="5"/>
      <c r="PMB192" s="5"/>
      <c r="PMC192" s="5"/>
      <c r="PMD192" s="5"/>
      <c r="PME192" s="5"/>
      <c r="PMF192" s="5"/>
      <c r="PMG192" s="5"/>
      <c r="PMH192" s="5"/>
      <c r="PMI192" s="5"/>
      <c r="PMJ192" s="5"/>
      <c r="PMK192" s="5"/>
      <c r="PML192" s="5"/>
      <c r="PMM192" s="5"/>
      <c r="PMN192" s="5"/>
      <c r="PMO192" s="5"/>
      <c r="PMP192" s="5"/>
      <c r="PMQ192" s="5"/>
      <c r="PMR192" s="5"/>
      <c r="PMS192" s="5"/>
      <c r="PMT192" s="5"/>
      <c r="PMU192" s="5"/>
      <c r="PMV192" s="5"/>
      <c r="PMW192" s="5"/>
      <c r="PMX192" s="5"/>
      <c r="PMY192" s="5"/>
      <c r="PMZ192" s="5"/>
      <c r="PNA192" s="5"/>
      <c r="PNB192" s="5"/>
      <c r="PNC192" s="5"/>
      <c r="PND192" s="5"/>
      <c r="PNE192" s="5"/>
      <c r="PNF192" s="5"/>
      <c r="PNG192" s="5"/>
      <c r="PNH192" s="5"/>
      <c r="PNI192" s="5"/>
      <c r="PNJ192" s="5"/>
      <c r="PNK192" s="5"/>
      <c r="PNL192" s="5"/>
      <c r="PNM192" s="5"/>
      <c r="PNN192" s="5"/>
      <c r="PNO192" s="5"/>
      <c r="PNP192" s="5"/>
      <c r="PNQ192" s="5"/>
      <c r="PNR192" s="5"/>
      <c r="PNS192" s="5"/>
      <c r="PNT192" s="5"/>
      <c r="PNU192" s="5"/>
      <c r="PNV192" s="5"/>
      <c r="PNW192" s="5"/>
      <c r="PNX192" s="5"/>
      <c r="PNY192" s="5"/>
      <c r="PNZ192" s="5"/>
      <c r="POA192" s="5"/>
      <c r="POB192" s="5"/>
      <c r="POC192" s="5"/>
      <c r="POD192" s="5"/>
      <c r="POE192" s="5"/>
      <c r="POF192" s="5"/>
      <c r="POG192" s="5"/>
      <c r="POH192" s="5"/>
      <c r="POI192" s="5"/>
      <c r="POJ192" s="5"/>
      <c r="POK192" s="5"/>
      <c r="POL192" s="5"/>
      <c r="POM192" s="5"/>
      <c r="PON192" s="5"/>
      <c r="POO192" s="5"/>
      <c r="POP192" s="5"/>
      <c r="POQ192" s="5"/>
      <c r="POR192" s="5"/>
      <c r="POS192" s="5"/>
      <c r="POT192" s="5"/>
      <c r="POU192" s="5"/>
      <c r="POV192" s="5"/>
      <c r="POW192" s="5"/>
      <c r="POX192" s="5"/>
      <c r="POY192" s="5"/>
      <c r="POZ192" s="5"/>
      <c r="PPA192" s="5"/>
      <c r="PPB192" s="5"/>
      <c r="PPC192" s="5"/>
      <c r="PPD192" s="5"/>
      <c r="PPE192" s="5"/>
      <c r="PPF192" s="5"/>
      <c r="PPG192" s="5"/>
      <c r="PPH192" s="5"/>
      <c r="PPI192" s="5"/>
      <c r="PPJ192" s="5"/>
      <c r="PPK192" s="5"/>
      <c r="PPL192" s="5"/>
      <c r="PPM192" s="5"/>
      <c r="PPN192" s="5"/>
      <c r="PPO192" s="5"/>
      <c r="PPP192" s="5"/>
      <c r="PPQ192" s="5"/>
      <c r="PPR192" s="5"/>
      <c r="PPS192" s="5"/>
      <c r="PPT192" s="5"/>
      <c r="PPU192" s="5"/>
      <c r="PPV192" s="5"/>
      <c r="PPW192" s="5"/>
      <c r="PPX192" s="5"/>
      <c r="PPY192" s="5"/>
      <c r="PPZ192" s="5"/>
      <c r="PQA192" s="5"/>
      <c r="PQB192" s="5"/>
      <c r="PQC192" s="5"/>
      <c r="PQD192" s="5"/>
      <c r="PQE192" s="5"/>
      <c r="PQF192" s="5"/>
      <c r="PQG192" s="5"/>
      <c r="PQH192" s="5"/>
      <c r="PQI192" s="5"/>
      <c r="PQJ192" s="5"/>
      <c r="PQK192" s="5"/>
      <c r="PQL192" s="5"/>
      <c r="PQM192" s="5"/>
      <c r="PQN192" s="5"/>
      <c r="PQO192" s="5"/>
      <c r="PQP192" s="5"/>
      <c r="PQQ192" s="5"/>
      <c r="PQR192" s="5"/>
      <c r="PQS192" s="5"/>
      <c r="PQT192" s="5"/>
      <c r="PQU192" s="5"/>
      <c r="PQV192" s="5"/>
      <c r="PQW192" s="5"/>
      <c r="PQX192" s="5"/>
      <c r="PQY192" s="5"/>
      <c r="PQZ192" s="5"/>
      <c r="PRA192" s="5"/>
      <c r="PRB192" s="5"/>
      <c r="PRC192" s="5"/>
      <c r="PRD192" s="5"/>
      <c r="PRE192" s="5"/>
      <c r="PRF192" s="5"/>
      <c r="PRG192" s="5"/>
      <c r="PRH192" s="5"/>
      <c r="PRI192" s="5"/>
      <c r="PRJ192" s="5"/>
      <c r="PRK192" s="5"/>
      <c r="PRL192" s="5"/>
      <c r="PRM192" s="5"/>
      <c r="PRN192" s="5"/>
      <c r="PRO192" s="5"/>
      <c r="PRP192" s="5"/>
      <c r="PRQ192" s="5"/>
      <c r="PRR192" s="5"/>
      <c r="PRS192" s="5"/>
      <c r="PRT192" s="5"/>
      <c r="PRU192" s="5"/>
      <c r="PRV192" s="5"/>
      <c r="PRW192" s="5"/>
      <c r="PRX192" s="5"/>
      <c r="PRY192" s="5"/>
      <c r="PRZ192" s="5"/>
      <c r="PSA192" s="5"/>
      <c r="PSB192" s="5"/>
      <c r="PSC192" s="5"/>
      <c r="PSD192" s="5"/>
      <c r="PSE192" s="5"/>
      <c r="PSF192" s="5"/>
      <c r="PSG192" s="5"/>
      <c r="PSH192" s="5"/>
      <c r="PSI192" s="5"/>
      <c r="PSJ192" s="5"/>
      <c r="PSK192" s="5"/>
      <c r="PSL192" s="5"/>
      <c r="PSM192" s="5"/>
      <c r="PSN192" s="5"/>
      <c r="PSO192" s="5"/>
      <c r="PSP192" s="5"/>
      <c r="PSQ192" s="5"/>
      <c r="PSR192" s="5"/>
      <c r="PSS192" s="5"/>
      <c r="PST192" s="5"/>
      <c r="PSU192" s="5"/>
      <c r="PSV192" s="5"/>
      <c r="PSW192" s="5"/>
      <c r="PSX192" s="5"/>
      <c r="PSY192" s="5"/>
      <c r="PSZ192" s="5"/>
      <c r="PTA192" s="5"/>
      <c r="PTB192" s="5"/>
      <c r="PTC192" s="5"/>
      <c r="PTD192" s="5"/>
      <c r="PTE192" s="5"/>
      <c r="PTF192" s="5"/>
      <c r="PTG192" s="5"/>
      <c r="PTH192" s="5"/>
      <c r="PTI192" s="5"/>
      <c r="PTJ192" s="5"/>
      <c r="PTK192" s="5"/>
      <c r="PTL192" s="5"/>
      <c r="PTM192" s="5"/>
      <c r="PTN192" s="5"/>
      <c r="PTO192" s="5"/>
      <c r="PTP192" s="5"/>
      <c r="PTQ192" s="5"/>
      <c r="PTR192" s="5"/>
      <c r="PTS192" s="5"/>
      <c r="PTT192" s="5"/>
      <c r="PTU192" s="5"/>
      <c r="PTV192" s="5"/>
      <c r="PTW192" s="5"/>
      <c r="PTX192" s="5"/>
      <c r="PTY192" s="5"/>
      <c r="PTZ192" s="5"/>
      <c r="PUA192" s="5"/>
      <c r="PUB192" s="5"/>
      <c r="PUC192" s="5"/>
      <c r="PUD192" s="5"/>
      <c r="PUE192" s="5"/>
      <c r="PUF192" s="5"/>
      <c r="PUG192" s="5"/>
      <c r="PUH192" s="5"/>
      <c r="PUI192" s="5"/>
      <c r="PUJ192" s="5"/>
      <c r="PUK192" s="5"/>
      <c r="PUL192" s="5"/>
      <c r="PUM192" s="5"/>
      <c r="PUN192" s="5"/>
      <c r="PUO192" s="5"/>
      <c r="PUP192" s="5"/>
      <c r="PUQ192" s="5"/>
      <c r="PUR192" s="5"/>
      <c r="PUS192" s="5"/>
      <c r="PUT192" s="5"/>
      <c r="PUU192" s="5"/>
      <c r="PUV192" s="5"/>
      <c r="PUW192" s="5"/>
      <c r="PUX192" s="5"/>
      <c r="PUY192" s="5"/>
      <c r="PUZ192" s="5"/>
      <c r="PVA192" s="5"/>
      <c r="PVB192" s="5"/>
      <c r="PVC192" s="5"/>
      <c r="PVD192" s="5"/>
      <c r="PVE192" s="5"/>
      <c r="PVF192" s="5"/>
      <c r="PVG192" s="5"/>
      <c r="PVH192" s="5"/>
      <c r="PVI192" s="5"/>
      <c r="PVJ192" s="5"/>
      <c r="PVK192" s="5"/>
      <c r="PVL192" s="5"/>
      <c r="PVM192" s="5"/>
      <c r="PVN192" s="5"/>
      <c r="PVO192" s="5"/>
      <c r="PVP192" s="5"/>
      <c r="PVQ192" s="5"/>
      <c r="PVR192" s="5"/>
      <c r="PVS192" s="5"/>
      <c r="PVT192" s="5"/>
      <c r="PVU192" s="5"/>
      <c r="PVV192" s="5"/>
      <c r="PVW192" s="5"/>
      <c r="PVX192" s="5"/>
      <c r="PVY192" s="5"/>
      <c r="PVZ192" s="5"/>
      <c r="PWA192" s="5"/>
      <c r="PWB192" s="5"/>
      <c r="PWC192" s="5"/>
      <c r="PWD192" s="5"/>
      <c r="PWE192" s="5"/>
      <c r="PWF192" s="5"/>
      <c r="PWG192" s="5"/>
      <c r="PWH192" s="5"/>
      <c r="PWI192" s="5"/>
      <c r="PWJ192" s="5"/>
      <c r="PWK192" s="5"/>
      <c r="PWL192" s="5"/>
      <c r="PWM192" s="5"/>
      <c r="PWN192" s="5"/>
      <c r="PWO192" s="5"/>
      <c r="PWP192" s="5"/>
      <c r="PWQ192" s="5"/>
      <c r="PWR192" s="5"/>
      <c r="PWS192" s="5"/>
      <c r="PWT192" s="5"/>
      <c r="PWU192" s="5"/>
      <c r="PWV192" s="5"/>
      <c r="PWW192" s="5"/>
      <c r="PWX192" s="5"/>
      <c r="PWY192" s="5"/>
      <c r="PWZ192" s="5"/>
      <c r="PXA192" s="5"/>
      <c r="PXB192" s="5"/>
      <c r="PXC192" s="5"/>
      <c r="PXD192" s="5"/>
      <c r="PXE192" s="5"/>
      <c r="PXF192" s="5"/>
      <c r="PXG192" s="5"/>
      <c r="PXH192" s="5"/>
      <c r="PXI192" s="5"/>
      <c r="PXJ192" s="5"/>
      <c r="PXK192" s="5"/>
      <c r="PXL192" s="5"/>
      <c r="PXM192" s="5"/>
      <c r="PXN192" s="5"/>
      <c r="PXO192" s="5"/>
      <c r="PXP192" s="5"/>
      <c r="PXQ192" s="5"/>
      <c r="PXR192" s="5"/>
      <c r="PXS192" s="5"/>
      <c r="PXT192" s="5"/>
      <c r="PXU192" s="5"/>
      <c r="PXV192" s="5"/>
      <c r="PXW192" s="5"/>
      <c r="PXX192" s="5"/>
      <c r="PXY192" s="5"/>
      <c r="PXZ192" s="5"/>
      <c r="PYA192" s="5"/>
      <c r="PYB192" s="5"/>
      <c r="PYC192" s="5"/>
      <c r="PYD192" s="5"/>
      <c r="PYE192" s="5"/>
      <c r="PYF192" s="5"/>
      <c r="PYG192" s="5"/>
      <c r="PYH192" s="5"/>
      <c r="PYI192" s="5"/>
      <c r="PYJ192" s="5"/>
      <c r="PYK192" s="5"/>
      <c r="PYL192" s="5"/>
      <c r="PYM192" s="5"/>
      <c r="PYN192" s="5"/>
      <c r="PYO192" s="5"/>
      <c r="PYP192" s="5"/>
      <c r="PYQ192" s="5"/>
      <c r="PYR192" s="5"/>
      <c r="PYS192" s="5"/>
      <c r="PYT192" s="5"/>
      <c r="PYU192" s="5"/>
      <c r="PYV192" s="5"/>
      <c r="PYW192" s="5"/>
      <c r="PYX192" s="5"/>
      <c r="PYY192" s="5"/>
      <c r="PYZ192" s="5"/>
      <c r="PZA192" s="5"/>
      <c r="PZB192" s="5"/>
      <c r="PZC192" s="5"/>
      <c r="PZD192" s="5"/>
      <c r="PZE192" s="5"/>
      <c r="PZF192" s="5"/>
      <c r="PZG192" s="5"/>
      <c r="PZH192" s="5"/>
      <c r="PZI192" s="5"/>
      <c r="PZJ192" s="5"/>
      <c r="PZK192" s="5"/>
      <c r="PZL192" s="5"/>
      <c r="PZM192" s="5"/>
      <c r="PZN192" s="5"/>
      <c r="PZO192" s="5"/>
      <c r="PZP192" s="5"/>
      <c r="PZQ192" s="5"/>
      <c r="PZR192" s="5"/>
      <c r="PZS192" s="5"/>
      <c r="PZT192" s="5"/>
      <c r="PZU192" s="5"/>
      <c r="PZV192" s="5"/>
      <c r="PZW192" s="5"/>
      <c r="PZX192" s="5"/>
      <c r="PZY192" s="5"/>
      <c r="PZZ192" s="5"/>
      <c r="QAA192" s="5"/>
      <c r="QAB192" s="5"/>
      <c r="QAC192" s="5"/>
      <c r="QAD192" s="5"/>
      <c r="QAE192" s="5"/>
      <c r="QAF192" s="5"/>
      <c r="QAG192" s="5"/>
      <c r="QAH192" s="5"/>
      <c r="QAI192" s="5"/>
      <c r="QAJ192" s="5"/>
      <c r="QAK192" s="5"/>
      <c r="QAL192" s="5"/>
      <c r="QAM192" s="5"/>
      <c r="QAN192" s="5"/>
      <c r="QAO192" s="5"/>
      <c r="QAP192" s="5"/>
      <c r="QAQ192" s="5"/>
      <c r="QAR192" s="5"/>
      <c r="QAS192" s="5"/>
      <c r="QAT192" s="5"/>
      <c r="QAU192" s="5"/>
      <c r="QAV192" s="5"/>
      <c r="QAW192" s="5"/>
      <c r="QAX192" s="5"/>
      <c r="QAY192" s="5"/>
      <c r="QAZ192" s="5"/>
      <c r="QBA192" s="5"/>
      <c r="QBB192" s="5"/>
      <c r="QBC192" s="5"/>
      <c r="QBD192" s="5"/>
      <c r="QBE192" s="5"/>
      <c r="QBF192" s="5"/>
      <c r="QBG192" s="5"/>
      <c r="QBH192" s="5"/>
      <c r="QBI192" s="5"/>
      <c r="QBJ192" s="5"/>
      <c r="QBK192" s="5"/>
      <c r="QBL192" s="5"/>
      <c r="QBM192" s="5"/>
      <c r="QBN192" s="5"/>
      <c r="QBO192" s="5"/>
      <c r="QBP192" s="5"/>
      <c r="QBQ192" s="5"/>
      <c r="QBR192" s="5"/>
      <c r="QBS192" s="5"/>
      <c r="QBT192" s="5"/>
      <c r="QBU192" s="5"/>
      <c r="QBV192" s="5"/>
      <c r="QBW192" s="5"/>
      <c r="QBX192" s="5"/>
      <c r="QBY192" s="5"/>
      <c r="QBZ192" s="5"/>
      <c r="QCA192" s="5"/>
      <c r="QCB192" s="5"/>
      <c r="QCC192" s="5"/>
      <c r="QCD192" s="5"/>
      <c r="QCE192" s="5"/>
      <c r="QCF192" s="5"/>
      <c r="QCG192" s="5"/>
      <c r="QCH192" s="5"/>
      <c r="QCI192" s="5"/>
      <c r="QCJ192" s="5"/>
      <c r="QCK192" s="5"/>
      <c r="QCL192" s="5"/>
      <c r="QCM192" s="5"/>
      <c r="QCN192" s="5"/>
      <c r="QCO192" s="5"/>
      <c r="QCP192" s="5"/>
      <c r="QCQ192" s="5"/>
      <c r="QCR192" s="5"/>
      <c r="QCS192" s="5"/>
      <c r="QCT192" s="5"/>
      <c r="QCU192" s="5"/>
      <c r="QCV192" s="5"/>
      <c r="QCW192" s="5"/>
      <c r="QCX192" s="5"/>
      <c r="QCY192" s="5"/>
      <c r="QCZ192" s="5"/>
      <c r="QDA192" s="5"/>
      <c r="QDB192" s="5"/>
      <c r="QDC192" s="5"/>
      <c r="QDD192" s="5"/>
      <c r="QDE192" s="5"/>
      <c r="QDF192" s="5"/>
      <c r="QDG192" s="5"/>
      <c r="QDH192" s="5"/>
      <c r="QDI192" s="5"/>
      <c r="QDJ192" s="5"/>
      <c r="QDK192" s="5"/>
      <c r="QDL192" s="5"/>
      <c r="QDM192" s="5"/>
      <c r="QDN192" s="5"/>
      <c r="QDO192" s="5"/>
      <c r="QDP192" s="5"/>
      <c r="QDQ192" s="5"/>
      <c r="QDR192" s="5"/>
      <c r="QDS192" s="5"/>
      <c r="QDT192" s="5"/>
      <c r="QDU192" s="5"/>
      <c r="QDV192" s="5"/>
      <c r="QDW192" s="5"/>
      <c r="QDX192" s="5"/>
      <c r="QDY192" s="5"/>
      <c r="QDZ192" s="5"/>
      <c r="QEA192" s="5"/>
      <c r="QEB192" s="5"/>
      <c r="QEC192" s="5"/>
      <c r="QED192" s="5"/>
      <c r="QEE192" s="5"/>
      <c r="QEF192" s="5"/>
      <c r="QEG192" s="5"/>
      <c r="QEH192" s="5"/>
      <c r="QEI192" s="5"/>
      <c r="QEJ192" s="5"/>
      <c r="QEK192" s="5"/>
      <c r="QEL192" s="5"/>
      <c r="QEM192" s="5"/>
      <c r="QEN192" s="5"/>
      <c r="QEO192" s="5"/>
      <c r="QEP192" s="5"/>
      <c r="QEQ192" s="5"/>
      <c r="QER192" s="5"/>
      <c r="QES192" s="5"/>
      <c r="QET192" s="5"/>
      <c r="QEU192" s="5"/>
      <c r="QEV192" s="5"/>
      <c r="QEW192" s="5"/>
      <c r="QEX192" s="5"/>
      <c r="QEY192" s="5"/>
      <c r="QEZ192" s="5"/>
      <c r="QFA192" s="5"/>
      <c r="QFB192" s="5"/>
      <c r="QFC192" s="5"/>
      <c r="QFD192" s="5"/>
      <c r="QFE192" s="5"/>
      <c r="QFF192" s="5"/>
      <c r="QFG192" s="5"/>
      <c r="QFH192" s="5"/>
      <c r="QFI192" s="5"/>
      <c r="QFJ192" s="5"/>
      <c r="QFK192" s="5"/>
      <c r="QFL192" s="5"/>
      <c r="QFM192" s="5"/>
      <c r="QFN192" s="5"/>
      <c r="QFO192" s="5"/>
      <c r="QFP192" s="5"/>
      <c r="QFQ192" s="5"/>
      <c r="QFR192" s="5"/>
      <c r="QFS192" s="5"/>
      <c r="QFT192" s="5"/>
      <c r="QFU192" s="5"/>
      <c r="QFV192" s="5"/>
      <c r="QFW192" s="5"/>
      <c r="QFX192" s="5"/>
      <c r="QFY192" s="5"/>
      <c r="QFZ192" s="5"/>
      <c r="QGA192" s="5"/>
      <c r="QGB192" s="5"/>
      <c r="QGC192" s="5"/>
      <c r="QGD192" s="5"/>
      <c r="QGE192" s="5"/>
      <c r="QGF192" s="5"/>
      <c r="QGG192" s="5"/>
      <c r="QGH192" s="5"/>
      <c r="QGI192" s="5"/>
      <c r="QGJ192" s="5"/>
      <c r="QGK192" s="5"/>
      <c r="QGL192" s="5"/>
      <c r="QGM192" s="5"/>
      <c r="QGN192" s="5"/>
      <c r="QGO192" s="5"/>
      <c r="QGP192" s="5"/>
      <c r="QGQ192" s="5"/>
      <c r="QGR192" s="5"/>
      <c r="QGS192" s="5"/>
      <c r="QGT192" s="5"/>
      <c r="QGU192" s="5"/>
      <c r="QGV192" s="5"/>
      <c r="QGW192" s="5"/>
      <c r="QGX192" s="5"/>
      <c r="QGY192" s="5"/>
      <c r="QGZ192" s="5"/>
      <c r="QHA192" s="5"/>
      <c r="QHB192" s="5"/>
      <c r="QHC192" s="5"/>
      <c r="QHD192" s="5"/>
      <c r="QHE192" s="5"/>
      <c r="QHF192" s="5"/>
      <c r="QHG192" s="5"/>
      <c r="QHH192" s="5"/>
      <c r="QHI192" s="5"/>
      <c r="QHJ192" s="5"/>
      <c r="QHK192" s="5"/>
      <c r="QHL192" s="5"/>
      <c r="QHM192" s="5"/>
      <c r="QHN192" s="5"/>
      <c r="QHO192" s="5"/>
      <c r="QHP192" s="5"/>
      <c r="QHQ192" s="5"/>
      <c r="QHR192" s="5"/>
      <c r="QHS192" s="5"/>
      <c r="QHT192" s="5"/>
      <c r="QHU192" s="5"/>
      <c r="QHV192" s="5"/>
      <c r="QHW192" s="5"/>
      <c r="QHX192" s="5"/>
      <c r="QHY192" s="5"/>
      <c r="QHZ192" s="5"/>
      <c r="QIA192" s="5"/>
      <c r="QIB192" s="5"/>
      <c r="QIC192" s="5"/>
      <c r="QID192" s="5"/>
      <c r="QIE192" s="5"/>
      <c r="QIF192" s="5"/>
      <c r="QIG192" s="5"/>
      <c r="QIH192" s="5"/>
      <c r="QII192" s="5"/>
      <c r="QIJ192" s="5"/>
      <c r="QIK192" s="5"/>
      <c r="QIL192" s="5"/>
      <c r="QIM192" s="5"/>
      <c r="QIN192" s="5"/>
      <c r="QIO192" s="5"/>
      <c r="QIP192" s="5"/>
      <c r="QIQ192" s="5"/>
      <c r="QIR192" s="5"/>
      <c r="QIS192" s="5"/>
      <c r="QIT192" s="5"/>
      <c r="QIU192" s="5"/>
      <c r="QIV192" s="5"/>
      <c r="QIW192" s="5"/>
      <c r="QIX192" s="5"/>
      <c r="QIY192" s="5"/>
      <c r="QIZ192" s="5"/>
      <c r="QJA192" s="5"/>
      <c r="QJB192" s="5"/>
      <c r="QJC192" s="5"/>
      <c r="QJD192" s="5"/>
      <c r="QJE192" s="5"/>
      <c r="QJF192" s="5"/>
      <c r="QJG192" s="5"/>
      <c r="QJH192" s="5"/>
      <c r="QJI192" s="5"/>
      <c r="QJJ192" s="5"/>
      <c r="QJK192" s="5"/>
      <c r="QJL192" s="5"/>
      <c r="QJM192" s="5"/>
      <c r="QJN192" s="5"/>
      <c r="QJO192" s="5"/>
      <c r="QJP192" s="5"/>
      <c r="QJQ192" s="5"/>
      <c r="QJR192" s="5"/>
      <c r="QJS192" s="5"/>
      <c r="QJT192" s="5"/>
      <c r="QJU192" s="5"/>
      <c r="QJV192" s="5"/>
      <c r="QJW192" s="5"/>
      <c r="QJX192" s="5"/>
      <c r="QJY192" s="5"/>
      <c r="QJZ192" s="5"/>
      <c r="QKA192" s="5"/>
      <c r="QKB192" s="5"/>
      <c r="QKC192" s="5"/>
      <c r="QKD192" s="5"/>
      <c r="QKE192" s="5"/>
      <c r="QKF192" s="5"/>
      <c r="QKG192" s="5"/>
      <c r="QKH192" s="5"/>
      <c r="QKI192" s="5"/>
      <c r="QKJ192" s="5"/>
      <c r="QKK192" s="5"/>
      <c r="QKL192" s="5"/>
      <c r="QKM192" s="5"/>
      <c r="QKN192" s="5"/>
      <c r="QKO192" s="5"/>
      <c r="QKP192" s="5"/>
      <c r="QKQ192" s="5"/>
      <c r="QKR192" s="5"/>
      <c r="QKS192" s="5"/>
      <c r="QKT192" s="5"/>
      <c r="QKU192" s="5"/>
      <c r="QKV192" s="5"/>
      <c r="QKW192" s="5"/>
      <c r="QKX192" s="5"/>
      <c r="QKY192" s="5"/>
      <c r="QKZ192" s="5"/>
      <c r="QLA192" s="5"/>
      <c r="QLB192" s="5"/>
      <c r="QLC192" s="5"/>
      <c r="QLD192" s="5"/>
      <c r="QLE192" s="5"/>
      <c r="QLF192" s="5"/>
      <c r="QLG192" s="5"/>
      <c r="QLH192" s="5"/>
      <c r="QLI192" s="5"/>
      <c r="QLJ192" s="5"/>
      <c r="QLK192" s="5"/>
      <c r="QLL192" s="5"/>
      <c r="QLM192" s="5"/>
      <c r="QLN192" s="5"/>
      <c r="QLO192" s="5"/>
      <c r="QLP192" s="5"/>
      <c r="QLQ192" s="5"/>
      <c r="QLR192" s="5"/>
      <c r="QLS192" s="5"/>
      <c r="QLT192" s="5"/>
      <c r="QLU192" s="5"/>
      <c r="QLV192" s="5"/>
      <c r="QLW192" s="5"/>
      <c r="QLX192" s="5"/>
      <c r="QLY192" s="5"/>
      <c r="QLZ192" s="5"/>
      <c r="QMA192" s="5"/>
      <c r="QMB192" s="5"/>
      <c r="QMC192" s="5"/>
      <c r="QMD192" s="5"/>
      <c r="QME192" s="5"/>
      <c r="QMF192" s="5"/>
      <c r="QMG192" s="5"/>
      <c r="QMH192" s="5"/>
      <c r="QMI192" s="5"/>
      <c r="QMJ192" s="5"/>
      <c r="QMK192" s="5"/>
      <c r="QML192" s="5"/>
      <c r="QMM192" s="5"/>
      <c r="QMN192" s="5"/>
      <c r="QMO192" s="5"/>
      <c r="QMP192" s="5"/>
      <c r="QMQ192" s="5"/>
      <c r="QMR192" s="5"/>
      <c r="QMS192" s="5"/>
      <c r="QMT192" s="5"/>
      <c r="QMU192" s="5"/>
      <c r="QMV192" s="5"/>
      <c r="QMW192" s="5"/>
      <c r="QMX192" s="5"/>
      <c r="QMY192" s="5"/>
      <c r="QMZ192" s="5"/>
      <c r="QNA192" s="5"/>
      <c r="QNB192" s="5"/>
      <c r="QNC192" s="5"/>
      <c r="QND192" s="5"/>
      <c r="QNE192" s="5"/>
      <c r="QNF192" s="5"/>
      <c r="QNG192" s="5"/>
      <c r="QNH192" s="5"/>
      <c r="QNI192" s="5"/>
      <c r="QNJ192" s="5"/>
      <c r="QNK192" s="5"/>
      <c r="QNL192" s="5"/>
      <c r="QNM192" s="5"/>
      <c r="QNN192" s="5"/>
      <c r="QNO192" s="5"/>
      <c r="QNP192" s="5"/>
      <c r="QNQ192" s="5"/>
      <c r="QNR192" s="5"/>
      <c r="QNS192" s="5"/>
      <c r="QNT192" s="5"/>
      <c r="QNU192" s="5"/>
      <c r="QNV192" s="5"/>
      <c r="QNW192" s="5"/>
      <c r="QNX192" s="5"/>
      <c r="QNY192" s="5"/>
      <c r="QNZ192" s="5"/>
      <c r="QOA192" s="5"/>
      <c r="QOB192" s="5"/>
      <c r="QOC192" s="5"/>
      <c r="QOD192" s="5"/>
      <c r="QOE192" s="5"/>
      <c r="QOF192" s="5"/>
      <c r="QOG192" s="5"/>
      <c r="QOH192" s="5"/>
      <c r="QOI192" s="5"/>
      <c r="QOJ192" s="5"/>
      <c r="QOK192" s="5"/>
      <c r="QOL192" s="5"/>
      <c r="QOM192" s="5"/>
      <c r="QON192" s="5"/>
      <c r="QOO192" s="5"/>
      <c r="QOP192" s="5"/>
      <c r="QOQ192" s="5"/>
      <c r="QOR192" s="5"/>
      <c r="QOS192" s="5"/>
      <c r="QOT192" s="5"/>
      <c r="QOU192" s="5"/>
      <c r="QOV192" s="5"/>
      <c r="QOW192" s="5"/>
      <c r="QOX192" s="5"/>
      <c r="QOY192" s="5"/>
      <c r="QOZ192" s="5"/>
      <c r="QPA192" s="5"/>
      <c r="QPB192" s="5"/>
      <c r="QPC192" s="5"/>
      <c r="QPD192" s="5"/>
      <c r="QPE192" s="5"/>
      <c r="QPF192" s="5"/>
      <c r="QPG192" s="5"/>
      <c r="QPH192" s="5"/>
      <c r="QPI192" s="5"/>
      <c r="QPJ192" s="5"/>
      <c r="QPK192" s="5"/>
      <c r="QPL192" s="5"/>
      <c r="QPM192" s="5"/>
      <c r="QPN192" s="5"/>
      <c r="QPO192" s="5"/>
      <c r="QPP192" s="5"/>
      <c r="QPQ192" s="5"/>
      <c r="QPR192" s="5"/>
      <c r="QPS192" s="5"/>
      <c r="QPT192" s="5"/>
      <c r="QPU192" s="5"/>
      <c r="QPV192" s="5"/>
      <c r="QPW192" s="5"/>
      <c r="QPX192" s="5"/>
      <c r="QPY192" s="5"/>
      <c r="QPZ192" s="5"/>
      <c r="QQA192" s="5"/>
      <c r="QQB192" s="5"/>
      <c r="QQC192" s="5"/>
      <c r="QQD192" s="5"/>
      <c r="QQE192" s="5"/>
      <c r="QQF192" s="5"/>
      <c r="QQG192" s="5"/>
      <c r="QQH192" s="5"/>
      <c r="QQI192" s="5"/>
      <c r="QQJ192" s="5"/>
      <c r="QQK192" s="5"/>
      <c r="QQL192" s="5"/>
      <c r="QQM192" s="5"/>
      <c r="QQN192" s="5"/>
      <c r="QQO192" s="5"/>
      <c r="QQP192" s="5"/>
      <c r="QQQ192" s="5"/>
      <c r="QQR192" s="5"/>
      <c r="QQS192" s="5"/>
      <c r="QQT192" s="5"/>
      <c r="QQU192" s="5"/>
      <c r="QQV192" s="5"/>
      <c r="QQW192" s="5"/>
      <c r="QQX192" s="5"/>
      <c r="QQY192" s="5"/>
      <c r="QQZ192" s="5"/>
      <c r="QRA192" s="5"/>
      <c r="QRB192" s="5"/>
      <c r="QRC192" s="5"/>
      <c r="QRD192" s="5"/>
      <c r="QRE192" s="5"/>
      <c r="QRF192" s="5"/>
      <c r="QRG192" s="5"/>
      <c r="QRH192" s="5"/>
      <c r="QRI192" s="5"/>
      <c r="QRJ192" s="5"/>
      <c r="QRK192" s="5"/>
      <c r="QRL192" s="5"/>
      <c r="QRM192" s="5"/>
      <c r="QRN192" s="5"/>
      <c r="QRO192" s="5"/>
      <c r="QRP192" s="5"/>
      <c r="QRQ192" s="5"/>
      <c r="QRR192" s="5"/>
      <c r="QRS192" s="5"/>
      <c r="QRT192" s="5"/>
      <c r="QRU192" s="5"/>
      <c r="QRV192" s="5"/>
      <c r="QRW192" s="5"/>
      <c r="QRX192" s="5"/>
      <c r="QRY192" s="5"/>
      <c r="QRZ192" s="5"/>
      <c r="QSA192" s="5"/>
      <c r="QSB192" s="5"/>
      <c r="QSC192" s="5"/>
      <c r="QSD192" s="5"/>
      <c r="QSE192" s="5"/>
      <c r="QSF192" s="5"/>
      <c r="QSG192" s="5"/>
      <c r="QSH192" s="5"/>
      <c r="QSI192" s="5"/>
      <c r="QSJ192" s="5"/>
      <c r="QSK192" s="5"/>
      <c r="QSL192" s="5"/>
      <c r="QSM192" s="5"/>
      <c r="QSN192" s="5"/>
      <c r="QSO192" s="5"/>
      <c r="QSP192" s="5"/>
      <c r="QSQ192" s="5"/>
      <c r="QSR192" s="5"/>
      <c r="QSS192" s="5"/>
      <c r="QST192" s="5"/>
      <c r="QSU192" s="5"/>
      <c r="QSV192" s="5"/>
      <c r="QSW192" s="5"/>
      <c r="QSX192" s="5"/>
      <c r="QSY192" s="5"/>
      <c r="QSZ192" s="5"/>
      <c r="QTA192" s="5"/>
      <c r="QTB192" s="5"/>
      <c r="QTC192" s="5"/>
      <c r="QTD192" s="5"/>
      <c r="QTE192" s="5"/>
      <c r="QTF192" s="5"/>
      <c r="QTG192" s="5"/>
      <c r="QTH192" s="5"/>
      <c r="QTI192" s="5"/>
      <c r="QTJ192" s="5"/>
      <c r="QTK192" s="5"/>
      <c r="QTL192" s="5"/>
      <c r="QTM192" s="5"/>
      <c r="QTN192" s="5"/>
      <c r="QTO192" s="5"/>
      <c r="QTP192" s="5"/>
      <c r="QTQ192" s="5"/>
      <c r="QTR192" s="5"/>
      <c r="QTS192" s="5"/>
      <c r="QTT192" s="5"/>
      <c r="QTU192" s="5"/>
      <c r="QTV192" s="5"/>
      <c r="QTW192" s="5"/>
      <c r="QTX192" s="5"/>
      <c r="QTY192" s="5"/>
      <c r="QTZ192" s="5"/>
      <c r="QUA192" s="5"/>
      <c r="QUB192" s="5"/>
      <c r="QUC192" s="5"/>
      <c r="QUD192" s="5"/>
      <c r="QUE192" s="5"/>
      <c r="QUF192" s="5"/>
      <c r="QUG192" s="5"/>
      <c r="QUH192" s="5"/>
      <c r="QUI192" s="5"/>
      <c r="QUJ192" s="5"/>
      <c r="QUK192" s="5"/>
      <c r="QUL192" s="5"/>
      <c r="QUM192" s="5"/>
      <c r="QUN192" s="5"/>
      <c r="QUO192" s="5"/>
      <c r="QUP192" s="5"/>
      <c r="QUQ192" s="5"/>
      <c r="QUR192" s="5"/>
      <c r="QUS192" s="5"/>
      <c r="QUT192" s="5"/>
      <c r="QUU192" s="5"/>
      <c r="QUV192" s="5"/>
      <c r="QUW192" s="5"/>
      <c r="QUX192" s="5"/>
      <c r="QUY192" s="5"/>
      <c r="QUZ192" s="5"/>
      <c r="QVA192" s="5"/>
      <c r="QVB192" s="5"/>
      <c r="QVC192" s="5"/>
      <c r="QVD192" s="5"/>
      <c r="QVE192" s="5"/>
      <c r="QVF192" s="5"/>
      <c r="QVG192" s="5"/>
      <c r="QVH192" s="5"/>
      <c r="QVI192" s="5"/>
      <c r="QVJ192" s="5"/>
      <c r="QVK192" s="5"/>
      <c r="QVL192" s="5"/>
      <c r="QVM192" s="5"/>
      <c r="QVN192" s="5"/>
      <c r="QVO192" s="5"/>
      <c r="QVP192" s="5"/>
      <c r="QVQ192" s="5"/>
      <c r="QVR192" s="5"/>
      <c r="QVS192" s="5"/>
      <c r="QVT192" s="5"/>
      <c r="QVU192" s="5"/>
      <c r="QVV192" s="5"/>
      <c r="QVW192" s="5"/>
      <c r="QVX192" s="5"/>
      <c r="QVY192" s="5"/>
      <c r="QVZ192" s="5"/>
      <c r="QWA192" s="5"/>
      <c r="QWB192" s="5"/>
      <c r="QWC192" s="5"/>
      <c r="QWD192" s="5"/>
      <c r="QWE192" s="5"/>
      <c r="QWF192" s="5"/>
      <c r="QWG192" s="5"/>
      <c r="QWH192" s="5"/>
      <c r="QWI192" s="5"/>
      <c r="QWJ192" s="5"/>
      <c r="QWK192" s="5"/>
      <c r="QWL192" s="5"/>
      <c r="QWM192" s="5"/>
      <c r="QWN192" s="5"/>
      <c r="QWO192" s="5"/>
      <c r="QWP192" s="5"/>
      <c r="QWQ192" s="5"/>
      <c r="QWR192" s="5"/>
      <c r="QWS192" s="5"/>
      <c r="QWT192" s="5"/>
      <c r="QWU192" s="5"/>
      <c r="QWV192" s="5"/>
      <c r="QWW192" s="5"/>
      <c r="QWX192" s="5"/>
      <c r="QWY192" s="5"/>
      <c r="QWZ192" s="5"/>
      <c r="QXA192" s="5"/>
      <c r="QXB192" s="5"/>
      <c r="QXC192" s="5"/>
      <c r="QXD192" s="5"/>
      <c r="QXE192" s="5"/>
      <c r="QXF192" s="5"/>
      <c r="QXG192" s="5"/>
      <c r="QXH192" s="5"/>
      <c r="QXI192" s="5"/>
      <c r="QXJ192" s="5"/>
      <c r="QXK192" s="5"/>
      <c r="QXL192" s="5"/>
      <c r="QXM192" s="5"/>
      <c r="QXN192" s="5"/>
      <c r="QXO192" s="5"/>
      <c r="QXP192" s="5"/>
      <c r="QXQ192" s="5"/>
      <c r="QXR192" s="5"/>
      <c r="QXS192" s="5"/>
      <c r="QXT192" s="5"/>
      <c r="QXU192" s="5"/>
      <c r="QXV192" s="5"/>
      <c r="QXW192" s="5"/>
      <c r="QXX192" s="5"/>
      <c r="QXY192" s="5"/>
      <c r="QXZ192" s="5"/>
      <c r="QYA192" s="5"/>
      <c r="QYB192" s="5"/>
      <c r="QYC192" s="5"/>
      <c r="QYD192" s="5"/>
      <c r="QYE192" s="5"/>
      <c r="QYF192" s="5"/>
      <c r="QYG192" s="5"/>
      <c r="QYH192" s="5"/>
      <c r="QYI192" s="5"/>
      <c r="QYJ192" s="5"/>
      <c r="QYK192" s="5"/>
      <c r="QYL192" s="5"/>
      <c r="QYM192" s="5"/>
      <c r="QYN192" s="5"/>
      <c r="QYO192" s="5"/>
      <c r="QYP192" s="5"/>
      <c r="QYQ192" s="5"/>
      <c r="QYR192" s="5"/>
      <c r="QYS192" s="5"/>
      <c r="QYT192" s="5"/>
      <c r="QYU192" s="5"/>
      <c r="QYV192" s="5"/>
      <c r="QYW192" s="5"/>
      <c r="QYX192" s="5"/>
      <c r="QYY192" s="5"/>
      <c r="QYZ192" s="5"/>
      <c r="QZA192" s="5"/>
      <c r="QZB192" s="5"/>
      <c r="QZC192" s="5"/>
      <c r="QZD192" s="5"/>
      <c r="QZE192" s="5"/>
      <c r="QZF192" s="5"/>
      <c r="QZG192" s="5"/>
      <c r="QZH192" s="5"/>
      <c r="QZI192" s="5"/>
      <c r="QZJ192" s="5"/>
      <c r="QZK192" s="5"/>
      <c r="QZL192" s="5"/>
      <c r="QZM192" s="5"/>
      <c r="QZN192" s="5"/>
      <c r="QZO192" s="5"/>
      <c r="QZP192" s="5"/>
      <c r="QZQ192" s="5"/>
      <c r="QZR192" s="5"/>
      <c r="QZS192" s="5"/>
      <c r="QZT192" s="5"/>
      <c r="QZU192" s="5"/>
      <c r="QZV192" s="5"/>
      <c r="QZW192" s="5"/>
      <c r="QZX192" s="5"/>
      <c r="QZY192" s="5"/>
      <c r="QZZ192" s="5"/>
      <c r="RAA192" s="5"/>
      <c r="RAB192" s="5"/>
      <c r="RAC192" s="5"/>
      <c r="RAD192" s="5"/>
      <c r="RAE192" s="5"/>
      <c r="RAF192" s="5"/>
      <c r="RAG192" s="5"/>
      <c r="RAH192" s="5"/>
      <c r="RAI192" s="5"/>
      <c r="RAJ192" s="5"/>
      <c r="RAK192" s="5"/>
      <c r="RAL192" s="5"/>
      <c r="RAM192" s="5"/>
      <c r="RAN192" s="5"/>
      <c r="RAO192" s="5"/>
      <c r="RAP192" s="5"/>
      <c r="RAQ192" s="5"/>
      <c r="RAR192" s="5"/>
      <c r="RAS192" s="5"/>
      <c r="RAT192" s="5"/>
      <c r="RAU192" s="5"/>
      <c r="RAV192" s="5"/>
      <c r="RAW192" s="5"/>
      <c r="RAX192" s="5"/>
      <c r="RAY192" s="5"/>
      <c r="RAZ192" s="5"/>
      <c r="RBA192" s="5"/>
      <c r="RBB192" s="5"/>
      <c r="RBC192" s="5"/>
      <c r="RBD192" s="5"/>
      <c r="RBE192" s="5"/>
      <c r="RBF192" s="5"/>
      <c r="RBG192" s="5"/>
      <c r="RBH192" s="5"/>
      <c r="RBI192" s="5"/>
      <c r="RBJ192" s="5"/>
      <c r="RBK192" s="5"/>
      <c r="RBL192" s="5"/>
      <c r="RBM192" s="5"/>
      <c r="RBN192" s="5"/>
      <c r="RBO192" s="5"/>
      <c r="RBP192" s="5"/>
      <c r="RBQ192" s="5"/>
      <c r="RBR192" s="5"/>
      <c r="RBS192" s="5"/>
      <c r="RBT192" s="5"/>
      <c r="RBU192" s="5"/>
      <c r="RBV192" s="5"/>
      <c r="RBW192" s="5"/>
      <c r="RBX192" s="5"/>
      <c r="RBY192" s="5"/>
      <c r="RBZ192" s="5"/>
      <c r="RCA192" s="5"/>
      <c r="RCB192" s="5"/>
      <c r="RCC192" s="5"/>
      <c r="RCD192" s="5"/>
      <c r="RCE192" s="5"/>
      <c r="RCF192" s="5"/>
      <c r="RCG192" s="5"/>
      <c r="RCH192" s="5"/>
      <c r="RCI192" s="5"/>
      <c r="RCJ192" s="5"/>
      <c r="RCK192" s="5"/>
      <c r="RCL192" s="5"/>
      <c r="RCM192" s="5"/>
      <c r="RCN192" s="5"/>
      <c r="RCO192" s="5"/>
      <c r="RCP192" s="5"/>
      <c r="RCQ192" s="5"/>
      <c r="RCR192" s="5"/>
      <c r="RCS192" s="5"/>
      <c r="RCT192" s="5"/>
      <c r="RCU192" s="5"/>
      <c r="RCV192" s="5"/>
      <c r="RCW192" s="5"/>
      <c r="RCX192" s="5"/>
      <c r="RCY192" s="5"/>
      <c r="RCZ192" s="5"/>
      <c r="RDA192" s="5"/>
      <c r="RDB192" s="5"/>
      <c r="RDC192" s="5"/>
      <c r="RDD192" s="5"/>
      <c r="RDE192" s="5"/>
      <c r="RDF192" s="5"/>
      <c r="RDG192" s="5"/>
      <c r="RDH192" s="5"/>
      <c r="RDI192" s="5"/>
      <c r="RDJ192" s="5"/>
      <c r="RDK192" s="5"/>
      <c r="RDL192" s="5"/>
      <c r="RDM192" s="5"/>
      <c r="RDN192" s="5"/>
      <c r="RDO192" s="5"/>
      <c r="RDP192" s="5"/>
      <c r="RDQ192" s="5"/>
      <c r="RDR192" s="5"/>
      <c r="RDS192" s="5"/>
      <c r="RDT192" s="5"/>
      <c r="RDU192" s="5"/>
      <c r="RDV192" s="5"/>
      <c r="RDW192" s="5"/>
      <c r="RDX192" s="5"/>
      <c r="RDY192" s="5"/>
      <c r="RDZ192" s="5"/>
      <c r="REA192" s="5"/>
      <c r="REB192" s="5"/>
      <c r="REC192" s="5"/>
      <c r="RED192" s="5"/>
      <c r="REE192" s="5"/>
      <c r="REF192" s="5"/>
      <c r="REG192" s="5"/>
      <c r="REH192" s="5"/>
      <c r="REI192" s="5"/>
      <c r="REJ192" s="5"/>
      <c r="REK192" s="5"/>
      <c r="REL192" s="5"/>
      <c r="REM192" s="5"/>
      <c r="REN192" s="5"/>
      <c r="REO192" s="5"/>
      <c r="REP192" s="5"/>
      <c r="REQ192" s="5"/>
      <c r="RER192" s="5"/>
      <c r="RES192" s="5"/>
      <c r="RET192" s="5"/>
      <c r="REU192" s="5"/>
      <c r="REV192" s="5"/>
      <c r="REW192" s="5"/>
      <c r="REX192" s="5"/>
      <c r="REY192" s="5"/>
      <c r="REZ192" s="5"/>
      <c r="RFA192" s="5"/>
      <c r="RFB192" s="5"/>
      <c r="RFC192" s="5"/>
      <c r="RFD192" s="5"/>
      <c r="RFE192" s="5"/>
      <c r="RFF192" s="5"/>
      <c r="RFG192" s="5"/>
      <c r="RFH192" s="5"/>
      <c r="RFI192" s="5"/>
      <c r="RFJ192" s="5"/>
      <c r="RFK192" s="5"/>
      <c r="RFL192" s="5"/>
      <c r="RFM192" s="5"/>
      <c r="RFN192" s="5"/>
      <c r="RFO192" s="5"/>
      <c r="RFP192" s="5"/>
      <c r="RFQ192" s="5"/>
      <c r="RFR192" s="5"/>
      <c r="RFS192" s="5"/>
      <c r="RFT192" s="5"/>
      <c r="RFU192" s="5"/>
      <c r="RFV192" s="5"/>
      <c r="RFW192" s="5"/>
      <c r="RFX192" s="5"/>
      <c r="RFY192" s="5"/>
      <c r="RFZ192" s="5"/>
      <c r="RGA192" s="5"/>
      <c r="RGB192" s="5"/>
      <c r="RGC192" s="5"/>
      <c r="RGD192" s="5"/>
      <c r="RGE192" s="5"/>
      <c r="RGF192" s="5"/>
      <c r="RGG192" s="5"/>
      <c r="RGH192" s="5"/>
      <c r="RGI192" s="5"/>
      <c r="RGJ192" s="5"/>
      <c r="RGK192" s="5"/>
      <c r="RGL192" s="5"/>
      <c r="RGM192" s="5"/>
      <c r="RGN192" s="5"/>
      <c r="RGO192" s="5"/>
      <c r="RGP192" s="5"/>
      <c r="RGQ192" s="5"/>
      <c r="RGR192" s="5"/>
      <c r="RGS192" s="5"/>
      <c r="RGT192" s="5"/>
      <c r="RGU192" s="5"/>
      <c r="RGV192" s="5"/>
      <c r="RGW192" s="5"/>
      <c r="RGX192" s="5"/>
      <c r="RGY192" s="5"/>
      <c r="RGZ192" s="5"/>
      <c r="RHA192" s="5"/>
      <c r="RHB192" s="5"/>
      <c r="RHC192" s="5"/>
      <c r="RHD192" s="5"/>
      <c r="RHE192" s="5"/>
      <c r="RHF192" s="5"/>
      <c r="RHG192" s="5"/>
      <c r="RHH192" s="5"/>
      <c r="RHI192" s="5"/>
      <c r="RHJ192" s="5"/>
      <c r="RHK192" s="5"/>
      <c r="RHL192" s="5"/>
      <c r="RHM192" s="5"/>
      <c r="RHN192" s="5"/>
      <c r="RHO192" s="5"/>
      <c r="RHP192" s="5"/>
      <c r="RHQ192" s="5"/>
      <c r="RHR192" s="5"/>
      <c r="RHS192" s="5"/>
      <c r="RHT192" s="5"/>
      <c r="RHU192" s="5"/>
      <c r="RHV192" s="5"/>
      <c r="RHW192" s="5"/>
      <c r="RHX192" s="5"/>
      <c r="RHY192" s="5"/>
      <c r="RHZ192" s="5"/>
      <c r="RIA192" s="5"/>
      <c r="RIB192" s="5"/>
      <c r="RIC192" s="5"/>
      <c r="RID192" s="5"/>
      <c r="RIE192" s="5"/>
      <c r="RIF192" s="5"/>
      <c r="RIG192" s="5"/>
      <c r="RIH192" s="5"/>
      <c r="RII192" s="5"/>
      <c r="RIJ192" s="5"/>
      <c r="RIK192" s="5"/>
      <c r="RIL192" s="5"/>
      <c r="RIM192" s="5"/>
      <c r="RIN192" s="5"/>
      <c r="RIO192" s="5"/>
      <c r="RIP192" s="5"/>
      <c r="RIQ192" s="5"/>
      <c r="RIR192" s="5"/>
      <c r="RIS192" s="5"/>
      <c r="RIT192" s="5"/>
      <c r="RIU192" s="5"/>
      <c r="RIV192" s="5"/>
      <c r="RIW192" s="5"/>
      <c r="RIX192" s="5"/>
      <c r="RIY192" s="5"/>
      <c r="RIZ192" s="5"/>
      <c r="RJA192" s="5"/>
      <c r="RJB192" s="5"/>
      <c r="RJC192" s="5"/>
      <c r="RJD192" s="5"/>
      <c r="RJE192" s="5"/>
      <c r="RJF192" s="5"/>
      <c r="RJG192" s="5"/>
      <c r="RJH192" s="5"/>
      <c r="RJI192" s="5"/>
      <c r="RJJ192" s="5"/>
      <c r="RJK192" s="5"/>
      <c r="RJL192" s="5"/>
      <c r="RJM192" s="5"/>
      <c r="RJN192" s="5"/>
      <c r="RJO192" s="5"/>
      <c r="RJP192" s="5"/>
      <c r="RJQ192" s="5"/>
      <c r="RJR192" s="5"/>
      <c r="RJS192" s="5"/>
      <c r="RJT192" s="5"/>
      <c r="RJU192" s="5"/>
      <c r="RJV192" s="5"/>
      <c r="RJW192" s="5"/>
      <c r="RJX192" s="5"/>
      <c r="RJY192" s="5"/>
      <c r="RJZ192" s="5"/>
      <c r="RKA192" s="5"/>
      <c r="RKB192" s="5"/>
      <c r="RKC192" s="5"/>
      <c r="RKD192" s="5"/>
      <c r="RKE192" s="5"/>
      <c r="RKF192" s="5"/>
      <c r="RKG192" s="5"/>
      <c r="RKH192" s="5"/>
      <c r="RKI192" s="5"/>
      <c r="RKJ192" s="5"/>
      <c r="RKK192" s="5"/>
      <c r="RKL192" s="5"/>
      <c r="RKM192" s="5"/>
      <c r="RKN192" s="5"/>
      <c r="RKO192" s="5"/>
      <c r="RKP192" s="5"/>
      <c r="RKQ192" s="5"/>
      <c r="RKR192" s="5"/>
      <c r="RKS192" s="5"/>
      <c r="RKT192" s="5"/>
      <c r="RKU192" s="5"/>
      <c r="RKV192" s="5"/>
      <c r="RKW192" s="5"/>
      <c r="RKX192" s="5"/>
      <c r="RKY192" s="5"/>
      <c r="RKZ192" s="5"/>
      <c r="RLA192" s="5"/>
      <c r="RLB192" s="5"/>
      <c r="RLC192" s="5"/>
      <c r="RLD192" s="5"/>
      <c r="RLE192" s="5"/>
      <c r="RLF192" s="5"/>
      <c r="RLG192" s="5"/>
      <c r="RLH192" s="5"/>
      <c r="RLI192" s="5"/>
      <c r="RLJ192" s="5"/>
      <c r="RLK192" s="5"/>
      <c r="RLL192" s="5"/>
      <c r="RLM192" s="5"/>
      <c r="RLN192" s="5"/>
      <c r="RLO192" s="5"/>
      <c r="RLP192" s="5"/>
      <c r="RLQ192" s="5"/>
      <c r="RLR192" s="5"/>
      <c r="RLS192" s="5"/>
      <c r="RLT192" s="5"/>
      <c r="RLU192" s="5"/>
      <c r="RLV192" s="5"/>
      <c r="RLW192" s="5"/>
      <c r="RLX192" s="5"/>
      <c r="RLY192" s="5"/>
      <c r="RLZ192" s="5"/>
      <c r="RMA192" s="5"/>
      <c r="RMB192" s="5"/>
      <c r="RMC192" s="5"/>
      <c r="RMD192" s="5"/>
      <c r="RME192" s="5"/>
      <c r="RMF192" s="5"/>
      <c r="RMG192" s="5"/>
      <c r="RMH192" s="5"/>
      <c r="RMI192" s="5"/>
      <c r="RMJ192" s="5"/>
      <c r="RMK192" s="5"/>
      <c r="RML192" s="5"/>
      <c r="RMM192" s="5"/>
      <c r="RMN192" s="5"/>
      <c r="RMO192" s="5"/>
      <c r="RMP192" s="5"/>
      <c r="RMQ192" s="5"/>
      <c r="RMR192" s="5"/>
      <c r="RMS192" s="5"/>
      <c r="RMT192" s="5"/>
      <c r="RMU192" s="5"/>
      <c r="RMV192" s="5"/>
      <c r="RMW192" s="5"/>
      <c r="RMX192" s="5"/>
      <c r="RMY192" s="5"/>
      <c r="RMZ192" s="5"/>
      <c r="RNA192" s="5"/>
      <c r="RNB192" s="5"/>
      <c r="RNC192" s="5"/>
      <c r="RND192" s="5"/>
      <c r="RNE192" s="5"/>
      <c r="RNF192" s="5"/>
      <c r="RNG192" s="5"/>
      <c r="RNH192" s="5"/>
      <c r="RNI192" s="5"/>
      <c r="RNJ192" s="5"/>
      <c r="RNK192" s="5"/>
      <c r="RNL192" s="5"/>
      <c r="RNM192" s="5"/>
      <c r="RNN192" s="5"/>
      <c r="RNO192" s="5"/>
      <c r="RNP192" s="5"/>
      <c r="RNQ192" s="5"/>
      <c r="RNR192" s="5"/>
      <c r="RNS192" s="5"/>
      <c r="RNT192" s="5"/>
      <c r="RNU192" s="5"/>
      <c r="RNV192" s="5"/>
      <c r="RNW192" s="5"/>
      <c r="RNX192" s="5"/>
      <c r="RNY192" s="5"/>
      <c r="RNZ192" s="5"/>
      <c r="ROA192" s="5"/>
      <c r="ROB192" s="5"/>
      <c r="ROC192" s="5"/>
      <c r="ROD192" s="5"/>
      <c r="ROE192" s="5"/>
      <c r="ROF192" s="5"/>
      <c r="ROG192" s="5"/>
      <c r="ROH192" s="5"/>
      <c r="ROI192" s="5"/>
      <c r="ROJ192" s="5"/>
      <c r="ROK192" s="5"/>
      <c r="ROL192" s="5"/>
      <c r="ROM192" s="5"/>
      <c r="RON192" s="5"/>
      <c r="ROO192" s="5"/>
      <c r="ROP192" s="5"/>
      <c r="ROQ192" s="5"/>
      <c r="ROR192" s="5"/>
      <c r="ROS192" s="5"/>
      <c r="ROT192" s="5"/>
      <c r="ROU192" s="5"/>
      <c r="ROV192" s="5"/>
      <c r="ROW192" s="5"/>
      <c r="ROX192" s="5"/>
      <c r="ROY192" s="5"/>
      <c r="ROZ192" s="5"/>
      <c r="RPA192" s="5"/>
      <c r="RPB192" s="5"/>
      <c r="RPC192" s="5"/>
      <c r="RPD192" s="5"/>
      <c r="RPE192" s="5"/>
      <c r="RPF192" s="5"/>
      <c r="RPG192" s="5"/>
      <c r="RPH192" s="5"/>
      <c r="RPI192" s="5"/>
      <c r="RPJ192" s="5"/>
      <c r="RPK192" s="5"/>
      <c r="RPL192" s="5"/>
      <c r="RPM192" s="5"/>
      <c r="RPN192" s="5"/>
      <c r="RPO192" s="5"/>
      <c r="RPP192" s="5"/>
      <c r="RPQ192" s="5"/>
      <c r="RPR192" s="5"/>
      <c r="RPS192" s="5"/>
      <c r="RPT192" s="5"/>
      <c r="RPU192" s="5"/>
      <c r="RPV192" s="5"/>
      <c r="RPW192" s="5"/>
      <c r="RPX192" s="5"/>
      <c r="RPY192" s="5"/>
      <c r="RPZ192" s="5"/>
      <c r="RQA192" s="5"/>
      <c r="RQB192" s="5"/>
      <c r="RQC192" s="5"/>
      <c r="RQD192" s="5"/>
      <c r="RQE192" s="5"/>
      <c r="RQF192" s="5"/>
      <c r="RQG192" s="5"/>
      <c r="RQH192" s="5"/>
      <c r="RQI192" s="5"/>
      <c r="RQJ192" s="5"/>
      <c r="RQK192" s="5"/>
      <c r="RQL192" s="5"/>
      <c r="RQM192" s="5"/>
      <c r="RQN192" s="5"/>
      <c r="RQO192" s="5"/>
      <c r="RQP192" s="5"/>
      <c r="RQQ192" s="5"/>
      <c r="RQR192" s="5"/>
      <c r="RQS192" s="5"/>
      <c r="RQT192" s="5"/>
      <c r="RQU192" s="5"/>
      <c r="RQV192" s="5"/>
      <c r="RQW192" s="5"/>
      <c r="RQX192" s="5"/>
      <c r="RQY192" s="5"/>
      <c r="RQZ192" s="5"/>
      <c r="RRA192" s="5"/>
      <c r="RRB192" s="5"/>
      <c r="RRC192" s="5"/>
      <c r="RRD192" s="5"/>
      <c r="RRE192" s="5"/>
      <c r="RRF192" s="5"/>
      <c r="RRG192" s="5"/>
      <c r="RRH192" s="5"/>
      <c r="RRI192" s="5"/>
      <c r="RRJ192" s="5"/>
      <c r="RRK192" s="5"/>
      <c r="RRL192" s="5"/>
      <c r="RRM192" s="5"/>
      <c r="RRN192" s="5"/>
      <c r="RRO192" s="5"/>
      <c r="RRP192" s="5"/>
      <c r="RRQ192" s="5"/>
      <c r="RRR192" s="5"/>
      <c r="RRS192" s="5"/>
      <c r="RRT192" s="5"/>
      <c r="RRU192" s="5"/>
      <c r="RRV192" s="5"/>
      <c r="RRW192" s="5"/>
      <c r="RRX192" s="5"/>
      <c r="RRY192" s="5"/>
      <c r="RRZ192" s="5"/>
      <c r="RSA192" s="5"/>
      <c r="RSB192" s="5"/>
      <c r="RSC192" s="5"/>
      <c r="RSD192" s="5"/>
      <c r="RSE192" s="5"/>
      <c r="RSF192" s="5"/>
      <c r="RSG192" s="5"/>
      <c r="RSH192" s="5"/>
      <c r="RSI192" s="5"/>
      <c r="RSJ192" s="5"/>
      <c r="RSK192" s="5"/>
      <c r="RSL192" s="5"/>
      <c r="RSM192" s="5"/>
      <c r="RSN192" s="5"/>
      <c r="RSO192" s="5"/>
      <c r="RSP192" s="5"/>
      <c r="RSQ192" s="5"/>
      <c r="RSR192" s="5"/>
      <c r="RSS192" s="5"/>
      <c r="RST192" s="5"/>
      <c r="RSU192" s="5"/>
      <c r="RSV192" s="5"/>
      <c r="RSW192" s="5"/>
      <c r="RSX192" s="5"/>
      <c r="RSY192" s="5"/>
      <c r="RSZ192" s="5"/>
      <c r="RTA192" s="5"/>
      <c r="RTB192" s="5"/>
      <c r="RTC192" s="5"/>
      <c r="RTD192" s="5"/>
      <c r="RTE192" s="5"/>
      <c r="RTF192" s="5"/>
      <c r="RTG192" s="5"/>
      <c r="RTH192" s="5"/>
      <c r="RTI192" s="5"/>
      <c r="RTJ192" s="5"/>
      <c r="RTK192" s="5"/>
      <c r="RTL192" s="5"/>
      <c r="RTM192" s="5"/>
      <c r="RTN192" s="5"/>
      <c r="RTO192" s="5"/>
      <c r="RTP192" s="5"/>
      <c r="RTQ192" s="5"/>
      <c r="RTR192" s="5"/>
      <c r="RTS192" s="5"/>
      <c r="RTT192" s="5"/>
      <c r="RTU192" s="5"/>
      <c r="RTV192" s="5"/>
      <c r="RTW192" s="5"/>
      <c r="RTX192" s="5"/>
      <c r="RTY192" s="5"/>
      <c r="RTZ192" s="5"/>
      <c r="RUA192" s="5"/>
      <c r="RUB192" s="5"/>
      <c r="RUC192" s="5"/>
      <c r="RUD192" s="5"/>
      <c r="RUE192" s="5"/>
      <c r="RUF192" s="5"/>
      <c r="RUG192" s="5"/>
      <c r="RUH192" s="5"/>
      <c r="RUI192" s="5"/>
      <c r="RUJ192" s="5"/>
      <c r="RUK192" s="5"/>
      <c r="RUL192" s="5"/>
      <c r="RUM192" s="5"/>
      <c r="RUN192" s="5"/>
      <c r="RUO192" s="5"/>
      <c r="RUP192" s="5"/>
      <c r="RUQ192" s="5"/>
      <c r="RUR192" s="5"/>
      <c r="RUS192" s="5"/>
      <c r="RUT192" s="5"/>
      <c r="RUU192" s="5"/>
      <c r="RUV192" s="5"/>
      <c r="RUW192" s="5"/>
      <c r="RUX192" s="5"/>
      <c r="RUY192" s="5"/>
      <c r="RUZ192" s="5"/>
      <c r="RVA192" s="5"/>
      <c r="RVB192" s="5"/>
      <c r="RVC192" s="5"/>
      <c r="RVD192" s="5"/>
      <c r="RVE192" s="5"/>
      <c r="RVF192" s="5"/>
      <c r="RVG192" s="5"/>
      <c r="RVH192" s="5"/>
      <c r="RVI192" s="5"/>
      <c r="RVJ192" s="5"/>
      <c r="RVK192" s="5"/>
      <c r="RVL192" s="5"/>
      <c r="RVM192" s="5"/>
      <c r="RVN192" s="5"/>
      <c r="RVO192" s="5"/>
      <c r="RVP192" s="5"/>
      <c r="RVQ192" s="5"/>
      <c r="RVR192" s="5"/>
      <c r="RVS192" s="5"/>
      <c r="RVT192" s="5"/>
      <c r="RVU192" s="5"/>
      <c r="RVV192" s="5"/>
      <c r="RVW192" s="5"/>
      <c r="RVX192" s="5"/>
      <c r="RVY192" s="5"/>
      <c r="RVZ192" s="5"/>
      <c r="RWA192" s="5"/>
      <c r="RWB192" s="5"/>
      <c r="RWC192" s="5"/>
      <c r="RWD192" s="5"/>
      <c r="RWE192" s="5"/>
      <c r="RWF192" s="5"/>
      <c r="RWG192" s="5"/>
      <c r="RWH192" s="5"/>
      <c r="RWI192" s="5"/>
      <c r="RWJ192" s="5"/>
      <c r="RWK192" s="5"/>
      <c r="RWL192" s="5"/>
      <c r="RWM192" s="5"/>
      <c r="RWN192" s="5"/>
      <c r="RWO192" s="5"/>
      <c r="RWP192" s="5"/>
      <c r="RWQ192" s="5"/>
      <c r="RWR192" s="5"/>
      <c r="RWS192" s="5"/>
      <c r="RWT192" s="5"/>
      <c r="RWU192" s="5"/>
      <c r="RWV192" s="5"/>
      <c r="RWW192" s="5"/>
      <c r="RWX192" s="5"/>
      <c r="RWY192" s="5"/>
      <c r="RWZ192" s="5"/>
      <c r="RXA192" s="5"/>
      <c r="RXB192" s="5"/>
      <c r="RXC192" s="5"/>
      <c r="RXD192" s="5"/>
      <c r="RXE192" s="5"/>
      <c r="RXF192" s="5"/>
      <c r="RXG192" s="5"/>
      <c r="RXH192" s="5"/>
      <c r="RXI192" s="5"/>
      <c r="RXJ192" s="5"/>
      <c r="RXK192" s="5"/>
      <c r="RXL192" s="5"/>
      <c r="RXM192" s="5"/>
      <c r="RXN192" s="5"/>
      <c r="RXO192" s="5"/>
      <c r="RXP192" s="5"/>
      <c r="RXQ192" s="5"/>
      <c r="RXR192" s="5"/>
      <c r="RXS192" s="5"/>
      <c r="RXT192" s="5"/>
      <c r="RXU192" s="5"/>
      <c r="RXV192" s="5"/>
      <c r="RXW192" s="5"/>
      <c r="RXX192" s="5"/>
      <c r="RXY192" s="5"/>
      <c r="RXZ192" s="5"/>
      <c r="RYA192" s="5"/>
      <c r="RYB192" s="5"/>
      <c r="RYC192" s="5"/>
      <c r="RYD192" s="5"/>
      <c r="RYE192" s="5"/>
      <c r="RYF192" s="5"/>
      <c r="RYG192" s="5"/>
      <c r="RYH192" s="5"/>
      <c r="RYI192" s="5"/>
      <c r="RYJ192" s="5"/>
      <c r="RYK192" s="5"/>
      <c r="RYL192" s="5"/>
      <c r="RYM192" s="5"/>
      <c r="RYN192" s="5"/>
      <c r="RYO192" s="5"/>
      <c r="RYP192" s="5"/>
      <c r="RYQ192" s="5"/>
      <c r="RYR192" s="5"/>
      <c r="RYS192" s="5"/>
      <c r="RYT192" s="5"/>
      <c r="RYU192" s="5"/>
      <c r="RYV192" s="5"/>
      <c r="RYW192" s="5"/>
      <c r="RYX192" s="5"/>
      <c r="RYY192" s="5"/>
      <c r="RYZ192" s="5"/>
      <c r="RZA192" s="5"/>
      <c r="RZB192" s="5"/>
      <c r="RZC192" s="5"/>
      <c r="RZD192" s="5"/>
      <c r="RZE192" s="5"/>
      <c r="RZF192" s="5"/>
      <c r="RZG192" s="5"/>
      <c r="RZH192" s="5"/>
      <c r="RZI192" s="5"/>
      <c r="RZJ192" s="5"/>
      <c r="RZK192" s="5"/>
      <c r="RZL192" s="5"/>
      <c r="RZM192" s="5"/>
      <c r="RZN192" s="5"/>
      <c r="RZO192" s="5"/>
      <c r="RZP192" s="5"/>
      <c r="RZQ192" s="5"/>
      <c r="RZR192" s="5"/>
      <c r="RZS192" s="5"/>
      <c r="RZT192" s="5"/>
      <c r="RZU192" s="5"/>
      <c r="RZV192" s="5"/>
      <c r="RZW192" s="5"/>
      <c r="RZX192" s="5"/>
      <c r="RZY192" s="5"/>
      <c r="RZZ192" s="5"/>
      <c r="SAA192" s="5"/>
      <c r="SAB192" s="5"/>
      <c r="SAC192" s="5"/>
      <c r="SAD192" s="5"/>
      <c r="SAE192" s="5"/>
      <c r="SAF192" s="5"/>
      <c r="SAG192" s="5"/>
      <c r="SAH192" s="5"/>
      <c r="SAI192" s="5"/>
      <c r="SAJ192" s="5"/>
      <c r="SAK192" s="5"/>
      <c r="SAL192" s="5"/>
      <c r="SAM192" s="5"/>
      <c r="SAN192" s="5"/>
      <c r="SAO192" s="5"/>
      <c r="SAP192" s="5"/>
      <c r="SAQ192" s="5"/>
      <c r="SAR192" s="5"/>
      <c r="SAS192" s="5"/>
      <c r="SAT192" s="5"/>
      <c r="SAU192" s="5"/>
      <c r="SAV192" s="5"/>
      <c r="SAW192" s="5"/>
      <c r="SAX192" s="5"/>
      <c r="SAY192" s="5"/>
      <c r="SAZ192" s="5"/>
      <c r="SBA192" s="5"/>
      <c r="SBB192" s="5"/>
      <c r="SBC192" s="5"/>
      <c r="SBD192" s="5"/>
      <c r="SBE192" s="5"/>
      <c r="SBF192" s="5"/>
      <c r="SBG192" s="5"/>
      <c r="SBH192" s="5"/>
      <c r="SBI192" s="5"/>
      <c r="SBJ192" s="5"/>
      <c r="SBK192" s="5"/>
      <c r="SBL192" s="5"/>
      <c r="SBM192" s="5"/>
      <c r="SBN192" s="5"/>
      <c r="SBO192" s="5"/>
      <c r="SBP192" s="5"/>
      <c r="SBQ192" s="5"/>
      <c r="SBR192" s="5"/>
      <c r="SBS192" s="5"/>
      <c r="SBT192" s="5"/>
      <c r="SBU192" s="5"/>
      <c r="SBV192" s="5"/>
      <c r="SBW192" s="5"/>
      <c r="SBX192" s="5"/>
      <c r="SBY192" s="5"/>
      <c r="SBZ192" s="5"/>
      <c r="SCA192" s="5"/>
      <c r="SCB192" s="5"/>
      <c r="SCC192" s="5"/>
      <c r="SCD192" s="5"/>
      <c r="SCE192" s="5"/>
      <c r="SCF192" s="5"/>
      <c r="SCG192" s="5"/>
      <c r="SCH192" s="5"/>
      <c r="SCI192" s="5"/>
      <c r="SCJ192" s="5"/>
      <c r="SCK192" s="5"/>
      <c r="SCL192" s="5"/>
      <c r="SCM192" s="5"/>
      <c r="SCN192" s="5"/>
      <c r="SCO192" s="5"/>
      <c r="SCP192" s="5"/>
      <c r="SCQ192" s="5"/>
      <c r="SCR192" s="5"/>
      <c r="SCS192" s="5"/>
      <c r="SCT192" s="5"/>
      <c r="SCU192" s="5"/>
      <c r="SCV192" s="5"/>
      <c r="SCW192" s="5"/>
      <c r="SCX192" s="5"/>
      <c r="SCY192" s="5"/>
      <c r="SCZ192" s="5"/>
      <c r="SDA192" s="5"/>
      <c r="SDB192" s="5"/>
      <c r="SDC192" s="5"/>
      <c r="SDD192" s="5"/>
      <c r="SDE192" s="5"/>
      <c r="SDF192" s="5"/>
      <c r="SDG192" s="5"/>
      <c r="SDH192" s="5"/>
      <c r="SDI192" s="5"/>
      <c r="SDJ192" s="5"/>
      <c r="SDK192" s="5"/>
      <c r="SDL192" s="5"/>
      <c r="SDM192" s="5"/>
      <c r="SDN192" s="5"/>
      <c r="SDO192" s="5"/>
      <c r="SDP192" s="5"/>
      <c r="SDQ192" s="5"/>
      <c r="SDR192" s="5"/>
      <c r="SDS192" s="5"/>
      <c r="SDT192" s="5"/>
      <c r="SDU192" s="5"/>
      <c r="SDV192" s="5"/>
      <c r="SDW192" s="5"/>
      <c r="SDX192" s="5"/>
      <c r="SDY192" s="5"/>
      <c r="SDZ192" s="5"/>
      <c r="SEA192" s="5"/>
      <c r="SEB192" s="5"/>
      <c r="SEC192" s="5"/>
      <c r="SED192" s="5"/>
      <c r="SEE192" s="5"/>
      <c r="SEF192" s="5"/>
      <c r="SEG192" s="5"/>
      <c r="SEH192" s="5"/>
      <c r="SEI192" s="5"/>
      <c r="SEJ192" s="5"/>
      <c r="SEK192" s="5"/>
      <c r="SEL192" s="5"/>
      <c r="SEM192" s="5"/>
      <c r="SEN192" s="5"/>
      <c r="SEO192" s="5"/>
      <c r="SEP192" s="5"/>
      <c r="SEQ192" s="5"/>
      <c r="SER192" s="5"/>
      <c r="SES192" s="5"/>
      <c r="SET192" s="5"/>
      <c r="SEU192" s="5"/>
      <c r="SEV192" s="5"/>
      <c r="SEW192" s="5"/>
      <c r="SEX192" s="5"/>
      <c r="SEY192" s="5"/>
      <c r="SEZ192" s="5"/>
      <c r="SFA192" s="5"/>
      <c r="SFB192" s="5"/>
      <c r="SFC192" s="5"/>
      <c r="SFD192" s="5"/>
      <c r="SFE192" s="5"/>
      <c r="SFF192" s="5"/>
      <c r="SFG192" s="5"/>
      <c r="SFH192" s="5"/>
      <c r="SFI192" s="5"/>
      <c r="SFJ192" s="5"/>
      <c r="SFK192" s="5"/>
      <c r="SFL192" s="5"/>
      <c r="SFM192" s="5"/>
      <c r="SFN192" s="5"/>
      <c r="SFO192" s="5"/>
      <c r="SFP192" s="5"/>
      <c r="SFQ192" s="5"/>
      <c r="SFR192" s="5"/>
      <c r="SFS192" s="5"/>
      <c r="SFT192" s="5"/>
      <c r="SFU192" s="5"/>
      <c r="SFV192" s="5"/>
      <c r="SFW192" s="5"/>
      <c r="SFX192" s="5"/>
      <c r="SFY192" s="5"/>
      <c r="SFZ192" s="5"/>
      <c r="SGA192" s="5"/>
      <c r="SGB192" s="5"/>
      <c r="SGC192" s="5"/>
      <c r="SGD192" s="5"/>
      <c r="SGE192" s="5"/>
      <c r="SGF192" s="5"/>
      <c r="SGG192" s="5"/>
      <c r="SGH192" s="5"/>
      <c r="SGI192" s="5"/>
      <c r="SGJ192" s="5"/>
      <c r="SGK192" s="5"/>
      <c r="SGL192" s="5"/>
      <c r="SGM192" s="5"/>
      <c r="SGN192" s="5"/>
      <c r="SGO192" s="5"/>
      <c r="SGP192" s="5"/>
      <c r="SGQ192" s="5"/>
      <c r="SGR192" s="5"/>
      <c r="SGS192" s="5"/>
      <c r="SGT192" s="5"/>
      <c r="SGU192" s="5"/>
      <c r="SGV192" s="5"/>
      <c r="SGW192" s="5"/>
      <c r="SGX192" s="5"/>
      <c r="SGY192" s="5"/>
      <c r="SGZ192" s="5"/>
      <c r="SHA192" s="5"/>
      <c r="SHB192" s="5"/>
      <c r="SHC192" s="5"/>
      <c r="SHD192" s="5"/>
      <c r="SHE192" s="5"/>
      <c r="SHF192" s="5"/>
      <c r="SHG192" s="5"/>
      <c r="SHH192" s="5"/>
      <c r="SHI192" s="5"/>
      <c r="SHJ192" s="5"/>
      <c r="SHK192" s="5"/>
      <c r="SHL192" s="5"/>
      <c r="SHM192" s="5"/>
      <c r="SHN192" s="5"/>
      <c r="SHO192" s="5"/>
      <c r="SHP192" s="5"/>
      <c r="SHQ192" s="5"/>
      <c r="SHR192" s="5"/>
      <c r="SHS192" s="5"/>
      <c r="SHT192" s="5"/>
      <c r="SHU192" s="5"/>
      <c r="SHV192" s="5"/>
      <c r="SHW192" s="5"/>
      <c r="SHX192" s="5"/>
      <c r="SHY192" s="5"/>
      <c r="SHZ192" s="5"/>
      <c r="SIA192" s="5"/>
      <c r="SIB192" s="5"/>
      <c r="SIC192" s="5"/>
      <c r="SID192" s="5"/>
      <c r="SIE192" s="5"/>
      <c r="SIF192" s="5"/>
      <c r="SIG192" s="5"/>
      <c r="SIH192" s="5"/>
      <c r="SII192" s="5"/>
      <c r="SIJ192" s="5"/>
      <c r="SIK192" s="5"/>
      <c r="SIL192" s="5"/>
      <c r="SIM192" s="5"/>
      <c r="SIN192" s="5"/>
      <c r="SIO192" s="5"/>
      <c r="SIP192" s="5"/>
      <c r="SIQ192" s="5"/>
      <c r="SIR192" s="5"/>
      <c r="SIS192" s="5"/>
      <c r="SIT192" s="5"/>
      <c r="SIU192" s="5"/>
      <c r="SIV192" s="5"/>
      <c r="SIW192" s="5"/>
      <c r="SIX192" s="5"/>
      <c r="SIY192" s="5"/>
      <c r="SIZ192" s="5"/>
      <c r="SJA192" s="5"/>
      <c r="SJB192" s="5"/>
      <c r="SJC192" s="5"/>
      <c r="SJD192" s="5"/>
      <c r="SJE192" s="5"/>
      <c r="SJF192" s="5"/>
      <c r="SJG192" s="5"/>
      <c r="SJH192" s="5"/>
      <c r="SJI192" s="5"/>
      <c r="SJJ192" s="5"/>
      <c r="SJK192" s="5"/>
      <c r="SJL192" s="5"/>
      <c r="SJM192" s="5"/>
      <c r="SJN192" s="5"/>
      <c r="SJO192" s="5"/>
      <c r="SJP192" s="5"/>
      <c r="SJQ192" s="5"/>
      <c r="SJR192" s="5"/>
      <c r="SJS192" s="5"/>
      <c r="SJT192" s="5"/>
      <c r="SJU192" s="5"/>
      <c r="SJV192" s="5"/>
      <c r="SJW192" s="5"/>
      <c r="SJX192" s="5"/>
      <c r="SJY192" s="5"/>
      <c r="SJZ192" s="5"/>
      <c r="SKA192" s="5"/>
      <c r="SKB192" s="5"/>
      <c r="SKC192" s="5"/>
      <c r="SKD192" s="5"/>
      <c r="SKE192" s="5"/>
      <c r="SKF192" s="5"/>
      <c r="SKG192" s="5"/>
      <c r="SKH192" s="5"/>
      <c r="SKI192" s="5"/>
      <c r="SKJ192" s="5"/>
      <c r="SKK192" s="5"/>
      <c r="SKL192" s="5"/>
      <c r="SKM192" s="5"/>
      <c r="SKN192" s="5"/>
      <c r="SKO192" s="5"/>
      <c r="SKP192" s="5"/>
      <c r="SKQ192" s="5"/>
      <c r="SKR192" s="5"/>
      <c r="SKS192" s="5"/>
      <c r="SKT192" s="5"/>
      <c r="SKU192" s="5"/>
      <c r="SKV192" s="5"/>
      <c r="SKW192" s="5"/>
      <c r="SKX192" s="5"/>
      <c r="SKY192" s="5"/>
      <c r="SKZ192" s="5"/>
      <c r="SLA192" s="5"/>
      <c r="SLB192" s="5"/>
      <c r="SLC192" s="5"/>
      <c r="SLD192" s="5"/>
      <c r="SLE192" s="5"/>
      <c r="SLF192" s="5"/>
      <c r="SLG192" s="5"/>
      <c r="SLH192" s="5"/>
      <c r="SLI192" s="5"/>
      <c r="SLJ192" s="5"/>
      <c r="SLK192" s="5"/>
      <c r="SLL192" s="5"/>
      <c r="SLM192" s="5"/>
      <c r="SLN192" s="5"/>
      <c r="SLO192" s="5"/>
      <c r="SLP192" s="5"/>
      <c r="SLQ192" s="5"/>
      <c r="SLR192" s="5"/>
      <c r="SLS192" s="5"/>
      <c r="SLT192" s="5"/>
      <c r="SLU192" s="5"/>
      <c r="SLV192" s="5"/>
      <c r="SLW192" s="5"/>
      <c r="SLX192" s="5"/>
      <c r="SLY192" s="5"/>
      <c r="SLZ192" s="5"/>
      <c r="SMA192" s="5"/>
      <c r="SMB192" s="5"/>
      <c r="SMC192" s="5"/>
      <c r="SMD192" s="5"/>
      <c r="SME192" s="5"/>
      <c r="SMF192" s="5"/>
      <c r="SMG192" s="5"/>
      <c r="SMH192" s="5"/>
      <c r="SMI192" s="5"/>
      <c r="SMJ192" s="5"/>
      <c r="SMK192" s="5"/>
      <c r="SML192" s="5"/>
      <c r="SMM192" s="5"/>
      <c r="SMN192" s="5"/>
      <c r="SMO192" s="5"/>
      <c r="SMP192" s="5"/>
      <c r="SMQ192" s="5"/>
      <c r="SMR192" s="5"/>
      <c r="SMS192" s="5"/>
      <c r="SMT192" s="5"/>
      <c r="SMU192" s="5"/>
      <c r="SMV192" s="5"/>
      <c r="SMW192" s="5"/>
      <c r="SMX192" s="5"/>
      <c r="SMY192" s="5"/>
      <c r="SMZ192" s="5"/>
      <c r="SNA192" s="5"/>
      <c r="SNB192" s="5"/>
      <c r="SNC192" s="5"/>
      <c r="SND192" s="5"/>
      <c r="SNE192" s="5"/>
      <c r="SNF192" s="5"/>
      <c r="SNG192" s="5"/>
      <c r="SNH192" s="5"/>
      <c r="SNI192" s="5"/>
      <c r="SNJ192" s="5"/>
      <c r="SNK192" s="5"/>
      <c r="SNL192" s="5"/>
      <c r="SNM192" s="5"/>
      <c r="SNN192" s="5"/>
      <c r="SNO192" s="5"/>
      <c r="SNP192" s="5"/>
      <c r="SNQ192" s="5"/>
      <c r="SNR192" s="5"/>
      <c r="SNS192" s="5"/>
      <c r="SNT192" s="5"/>
      <c r="SNU192" s="5"/>
      <c r="SNV192" s="5"/>
      <c r="SNW192" s="5"/>
      <c r="SNX192" s="5"/>
      <c r="SNY192" s="5"/>
      <c r="SNZ192" s="5"/>
      <c r="SOA192" s="5"/>
      <c r="SOB192" s="5"/>
      <c r="SOC192" s="5"/>
      <c r="SOD192" s="5"/>
      <c r="SOE192" s="5"/>
      <c r="SOF192" s="5"/>
      <c r="SOG192" s="5"/>
      <c r="SOH192" s="5"/>
      <c r="SOI192" s="5"/>
      <c r="SOJ192" s="5"/>
      <c r="SOK192" s="5"/>
      <c r="SOL192" s="5"/>
      <c r="SOM192" s="5"/>
      <c r="SON192" s="5"/>
      <c r="SOO192" s="5"/>
      <c r="SOP192" s="5"/>
      <c r="SOQ192" s="5"/>
      <c r="SOR192" s="5"/>
      <c r="SOS192" s="5"/>
      <c r="SOT192" s="5"/>
      <c r="SOU192" s="5"/>
      <c r="SOV192" s="5"/>
      <c r="SOW192" s="5"/>
      <c r="SOX192" s="5"/>
      <c r="SOY192" s="5"/>
      <c r="SOZ192" s="5"/>
      <c r="SPA192" s="5"/>
      <c r="SPB192" s="5"/>
      <c r="SPC192" s="5"/>
      <c r="SPD192" s="5"/>
      <c r="SPE192" s="5"/>
      <c r="SPF192" s="5"/>
      <c r="SPG192" s="5"/>
      <c r="SPH192" s="5"/>
      <c r="SPI192" s="5"/>
      <c r="SPJ192" s="5"/>
      <c r="SPK192" s="5"/>
      <c r="SPL192" s="5"/>
      <c r="SPM192" s="5"/>
      <c r="SPN192" s="5"/>
      <c r="SPO192" s="5"/>
      <c r="SPP192" s="5"/>
      <c r="SPQ192" s="5"/>
      <c r="SPR192" s="5"/>
      <c r="SPS192" s="5"/>
      <c r="SPT192" s="5"/>
      <c r="SPU192" s="5"/>
      <c r="SPV192" s="5"/>
      <c r="SPW192" s="5"/>
      <c r="SPX192" s="5"/>
      <c r="SPY192" s="5"/>
      <c r="SPZ192" s="5"/>
      <c r="SQA192" s="5"/>
      <c r="SQB192" s="5"/>
      <c r="SQC192" s="5"/>
      <c r="SQD192" s="5"/>
      <c r="SQE192" s="5"/>
      <c r="SQF192" s="5"/>
      <c r="SQG192" s="5"/>
      <c r="SQH192" s="5"/>
      <c r="SQI192" s="5"/>
      <c r="SQJ192" s="5"/>
      <c r="SQK192" s="5"/>
      <c r="SQL192" s="5"/>
      <c r="SQM192" s="5"/>
      <c r="SQN192" s="5"/>
      <c r="SQO192" s="5"/>
      <c r="SQP192" s="5"/>
      <c r="SQQ192" s="5"/>
      <c r="SQR192" s="5"/>
      <c r="SQS192" s="5"/>
      <c r="SQT192" s="5"/>
      <c r="SQU192" s="5"/>
      <c r="SQV192" s="5"/>
      <c r="SQW192" s="5"/>
      <c r="SQX192" s="5"/>
      <c r="SQY192" s="5"/>
      <c r="SQZ192" s="5"/>
      <c r="SRA192" s="5"/>
      <c r="SRB192" s="5"/>
      <c r="SRC192" s="5"/>
      <c r="SRD192" s="5"/>
      <c r="SRE192" s="5"/>
      <c r="SRF192" s="5"/>
      <c r="SRG192" s="5"/>
      <c r="SRH192" s="5"/>
      <c r="SRI192" s="5"/>
      <c r="SRJ192" s="5"/>
      <c r="SRK192" s="5"/>
      <c r="SRL192" s="5"/>
      <c r="SRM192" s="5"/>
      <c r="SRN192" s="5"/>
      <c r="SRO192" s="5"/>
      <c r="SRP192" s="5"/>
      <c r="SRQ192" s="5"/>
      <c r="SRR192" s="5"/>
      <c r="SRS192" s="5"/>
      <c r="SRT192" s="5"/>
      <c r="SRU192" s="5"/>
      <c r="SRV192" s="5"/>
      <c r="SRW192" s="5"/>
      <c r="SRX192" s="5"/>
      <c r="SRY192" s="5"/>
      <c r="SRZ192" s="5"/>
      <c r="SSA192" s="5"/>
      <c r="SSB192" s="5"/>
      <c r="SSC192" s="5"/>
      <c r="SSD192" s="5"/>
      <c r="SSE192" s="5"/>
      <c r="SSF192" s="5"/>
      <c r="SSG192" s="5"/>
      <c r="SSH192" s="5"/>
      <c r="SSI192" s="5"/>
      <c r="SSJ192" s="5"/>
      <c r="SSK192" s="5"/>
      <c r="SSL192" s="5"/>
      <c r="SSM192" s="5"/>
      <c r="SSN192" s="5"/>
      <c r="SSO192" s="5"/>
      <c r="SSP192" s="5"/>
      <c r="SSQ192" s="5"/>
      <c r="SSR192" s="5"/>
      <c r="SSS192" s="5"/>
      <c r="SST192" s="5"/>
      <c r="SSU192" s="5"/>
      <c r="SSV192" s="5"/>
      <c r="SSW192" s="5"/>
      <c r="SSX192" s="5"/>
      <c r="SSY192" s="5"/>
      <c r="SSZ192" s="5"/>
      <c r="STA192" s="5"/>
      <c r="STB192" s="5"/>
      <c r="STC192" s="5"/>
      <c r="STD192" s="5"/>
      <c r="STE192" s="5"/>
      <c r="STF192" s="5"/>
      <c r="STG192" s="5"/>
      <c r="STH192" s="5"/>
      <c r="STI192" s="5"/>
      <c r="STJ192" s="5"/>
      <c r="STK192" s="5"/>
      <c r="STL192" s="5"/>
      <c r="STM192" s="5"/>
      <c r="STN192" s="5"/>
      <c r="STO192" s="5"/>
      <c r="STP192" s="5"/>
      <c r="STQ192" s="5"/>
      <c r="STR192" s="5"/>
      <c r="STS192" s="5"/>
      <c r="STT192" s="5"/>
      <c r="STU192" s="5"/>
      <c r="STV192" s="5"/>
      <c r="STW192" s="5"/>
      <c r="STX192" s="5"/>
      <c r="STY192" s="5"/>
      <c r="STZ192" s="5"/>
      <c r="SUA192" s="5"/>
      <c r="SUB192" s="5"/>
      <c r="SUC192" s="5"/>
      <c r="SUD192" s="5"/>
      <c r="SUE192" s="5"/>
      <c r="SUF192" s="5"/>
      <c r="SUG192" s="5"/>
      <c r="SUH192" s="5"/>
      <c r="SUI192" s="5"/>
      <c r="SUJ192" s="5"/>
      <c r="SUK192" s="5"/>
      <c r="SUL192" s="5"/>
      <c r="SUM192" s="5"/>
      <c r="SUN192" s="5"/>
      <c r="SUO192" s="5"/>
      <c r="SUP192" s="5"/>
      <c r="SUQ192" s="5"/>
      <c r="SUR192" s="5"/>
      <c r="SUS192" s="5"/>
      <c r="SUT192" s="5"/>
      <c r="SUU192" s="5"/>
      <c r="SUV192" s="5"/>
      <c r="SUW192" s="5"/>
      <c r="SUX192" s="5"/>
      <c r="SUY192" s="5"/>
      <c r="SUZ192" s="5"/>
      <c r="SVA192" s="5"/>
      <c r="SVB192" s="5"/>
      <c r="SVC192" s="5"/>
      <c r="SVD192" s="5"/>
      <c r="SVE192" s="5"/>
      <c r="SVF192" s="5"/>
      <c r="SVG192" s="5"/>
      <c r="SVH192" s="5"/>
      <c r="SVI192" s="5"/>
      <c r="SVJ192" s="5"/>
      <c r="SVK192" s="5"/>
      <c r="SVL192" s="5"/>
      <c r="SVM192" s="5"/>
      <c r="SVN192" s="5"/>
      <c r="SVO192" s="5"/>
      <c r="SVP192" s="5"/>
      <c r="SVQ192" s="5"/>
      <c r="SVR192" s="5"/>
      <c r="SVS192" s="5"/>
      <c r="SVT192" s="5"/>
      <c r="SVU192" s="5"/>
      <c r="SVV192" s="5"/>
      <c r="SVW192" s="5"/>
      <c r="SVX192" s="5"/>
      <c r="SVY192" s="5"/>
      <c r="SVZ192" s="5"/>
      <c r="SWA192" s="5"/>
      <c r="SWB192" s="5"/>
      <c r="SWC192" s="5"/>
      <c r="SWD192" s="5"/>
      <c r="SWE192" s="5"/>
      <c r="SWF192" s="5"/>
      <c r="SWG192" s="5"/>
      <c r="SWH192" s="5"/>
      <c r="SWI192" s="5"/>
      <c r="SWJ192" s="5"/>
      <c r="SWK192" s="5"/>
      <c r="SWL192" s="5"/>
      <c r="SWM192" s="5"/>
      <c r="SWN192" s="5"/>
      <c r="SWO192" s="5"/>
      <c r="SWP192" s="5"/>
      <c r="SWQ192" s="5"/>
      <c r="SWR192" s="5"/>
      <c r="SWS192" s="5"/>
      <c r="SWT192" s="5"/>
      <c r="SWU192" s="5"/>
      <c r="SWV192" s="5"/>
      <c r="SWW192" s="5"/>
      <c r="SWX192" s="5"/>
      <c r="SWY192" s="5"/>
      <c r="SWZ192" s="5"/>
      <c r="SXA192" s="5"/>
      <c r="SXB192" s="5"/>
      <c r="SXC192" s="5"/>
      <c r="SXD192" s="5"/>
      <c r="SXE192" s="5"/>
      <c r="SXF192" s="5"/>
      <c r="SXG192" s="5"/>
      <c r="SXH192" s="5"/>
      <c r="SXI192" s="5"/>
      <c r="SXJ192" s="5"/>
      <c r="SXK192" s="5"/>
      <c r="SXL192" s="5"/>
      <c r="SXM192" s="5"/>
      <c r="SXN192" s="5"/>
      <c r="SXO192" s="5"/>
      <c r="SXP192" s="5"/>
      <c r="SXQ192" s="5"/>
      <c r="SXR192" s="5"/>
      <c r="SXS192" s="5"/>
      <c r="SXT192" s="5"/>
      <c r="SXU192" s="5"/>
      <c r="SXV192" s="5"/>
      <c r="SXW192" s="5"/>
      <c r="SXX192" s="5"/>
      <c r="SXY192" s="5"/>
      <c r="SXZ192" s="5"/>
      <c r="SYA192" s="5"/>
      <c r="SYB192" s="5"/>
      <c r="SYC192" s="5"/>
      <c r="SYD192" s="5"/>
      <c r="SYE192" s="5"/>
      <c r="SYF192" s="5"/>
      <c r="SYG192" s="5"/>
      <c r="SYH192" s="5"/>
      <c r="SYI192" s="5"/>
      <c r="SYJ192" s="5"/>
      <c r="SYK192" s="5"/>
      <c r="SYL192" s="5"/>
      <c r="SYM192" s="5"/>
      <c r="SYN192" s="5"/>
      <c r="SYO192" s="5"/>
      <c r="SYP192" s="5"/>
      <c r="SYQ192" s="5"/>
      <c r="SYR192" s="5"/>
      <c r="SYS192" s="5"/>
      <c r="SYT192" s="5"/>
      <c r="SYU192" s="5"/>
      <c r="SYV192" s="5"/>
      <c r="SYW192" s="5"/>
      <c r="SYX192" s="5"/>
      <c r="SYY192" s="5"/>
      <c r="SYZ192" s="5"/>
      <c r="SZA192" s="5"/>
      <c r="SZB192" s="5"/>
      <c r="SZC192" s="5"/>
      <c r="SZD192" s="5"/>
      <c r="SZE192" s="5"/>
      <c r="SZF192" s="5"/>
      <c r="SZG192" s="5"/>
      <c r="SZH192" s="5"/>
      <c r="SZI192" s="5"/>
      <c r="SZJ192" s="5"/>
      <c r="SZK192" s="5"/>
      <c r="SZL192" s="5"/>
      <c r="SZM192" s="5"/>
      <c r="SZN192" s="5"/>
      <c r="SZO192" s="5"/>
      <c r="SZP192" s="5"/>
      <c r="SZQ192" s="5"/>
      <c r="SZR192" s="5"/>
      <c r="SZS192" s="5"/>
      <c r="SZT192" s="5"/>
      <c r="SZU192" s="5"/>
      <c r="SZV192" s="5"/>
      <c r="SZW192" s="5"/>
      <c r="SZX192" s="5"/>
      <c r="SZY192" s="5"/>
      <c r="SZZ192" s="5"/>
      <c r="TAA192" s="5"/>
      <c r="TAB192" s="5"/>
      <c r="TAC192" s="5"/>
      <c r="TAD192" s="5"/>
      <c r="TAE192" s="5"/>
      <c r="TAF192" s="5"/>
      <c r="TAG192" s="5"/>
      <c r="TAH192" s="5"/>
      <c r="TAI192" s="5"/>
      <c r="TAJ192" s="5"/>
      <c r="TAK192" s="5"/>
      <c r="TAL192" s="5"/>
      <c r="TAM192" s="5"/>
      <c r="TAN192" s="5"/>
      <c r="TAO192" s="5"/>
      <c r="TAP192" s="5"/>
      <c r="TAQ192" s="5"/>
      <c r="TAR192" s="5"/>
      <c r="TAS192" s="5"/>
      <c r="TAT192" s="5"/>
      <c r="TAU192" s="5"/>
      <c r="TAV192" s="5"/>
      <c r="TAW192" s="5"/>
      <c r="TAX192" s="5"/>
      <c r="TAY192" s="5"/>
      <c r="TAZ192" s="5"/>
      <c r="TBA192" s="5"/>
      <c r="TBB192" s="5"/>
      <c r="TBC192" s="5"/>
      <c r="TBD192" s="5"/>
      <c r="TBE192" s="5"/>
      <c r="TBF192" s="5"/>
      <c r="TBG192" s="5"/>
      <c r="TBH192" s="5"/>
      <c r="TBI192" s="5"/>
      <c r="TBJ192" s="5"/>
      <c r="TBK192" s="5"/>
      <c r="TBL192" s="5"/>
      <c r="TBM192" s="5"/>
      <c r="TBN192" s="5"/>
      <c r="TBO192" s="5"/>
      <c r="TBP192" s="5"/>
      <c r="TBQ192" s="5"/>
      <c r="TBR192" s="5"/>
      <c r="TBS192" s="5"/>
      <c r="TBT192" s="5"/>
      <c r="TBU192" s="5"/>
      <c r="TBV192" s="5"/>
      <c r="TBW192" s="5"/>
      <c r="TBX192" s="5"/>
      <c r="TBY192" s="5"/>
      <c r="TBZ192" s="5"/>
      <c r="TCA192" s="5"/>
      <c r="TCB192" s="5"/>
      <c r="TCC192" s="5"/>
      <c r="TCD192" s="5"/>
      <c r="TCE192" s="5"/>
      <c r="TCF192" s="5"/>
      <c r="TCG192" s="5"/>
      <c r="TCH192" s="5"/>
      <c r="TCI192" s="5"/>
      <c r="TCJ192" s="5"/>
      <c r="TCK192" s="5"/>
      <c r="TCL192" s="5"/>
      <c r="TCM192" s="5"/>
      <c r="TCN192" s="5"/>
      <c r="TCO192" s="5"/>
      <c r="TCP192" s="5"/>
      <c r="TCQ192" s="5"/>
      <c r="TCR192" s="5"/>
      <c r="TCS192" s="5"/>
      <c r="TCT192" s="5"/>
      <c r="TCU192" s="5"/>
      <c r="TCV192" s="5"/>
      <c r="TCW192" s="5"/>
      <c r="TCX192" s="5"/>
      <c r="TCY192" s="5"/>
      <c r="TCZ192" s="5"/>
      <c r="TDA192" s="5"/>
      <c r="TDB192" s="5"/>
      <c r="TDC192" s="5"/>
      <c r="TDD192" s="5"/>
      <c r="TDE192" s="5"/>
      <c r="TDF192" s="5"/>
      <c r="TDG192" s="5"/>
      <c r="TDH192" s="5"/>
      <c r="TDI192" s="5"/>
      <c r="TDJ192" s="5"/>
      <c r="TDK192" s="5"/>
      <c r="TDL192" s="5"/>
      <c r="TDM192" s="5"/>
      <c r="TDN192" s="5"/>
      <c r="TDO192" s="5"/>
      <c r="TDP192" s="5"/>
      <c r="TDQ192" s="5"/>
      <c r="TDR192" s="5"/>
      <c r="TDS192" s="5"/>
      <c r="TDT192" s="5"/>
      <c r="TDU192" s="5"/>
      <c r="TDV192" s="5"/>
      <c r="TDW192" s="5"/>
      <c r="TDX192" s="5"/>
      <c r="TDY192" s="5"/>
      <c r="TDZ192" s="5"/>
      <c r="TEA192" s="5"/>
      <c r="TEB192" s="5"/>
      <c r="TEC192" s="5"/>
      <c r="TED192" s="5"/>
      <c r="TEE192" s="5"/>
      <c r="TEF192" s="5"/>
      <c r="TEG192" s="5"/>
      <c r="TEH192" s="5"/>
      <c r="TEI192" s="5"/>
      <c r="TEJ192" s="5"/>
      <c r="TEK192" s="5"/>
      <c r="TEL192" s="5"/>
      <c r="TEM192" s="5"/>
      <c r="TEN192" s="5"/>
      <c r="TEO192" s="5"/>
      <c r="TEP192" s="5"/>
      <c r="TEQ192" s="5"/>
      <c r="TER192" s="5"/>
      <c r="TES192" s="5"/>
      <c r="TET192" s="5"/>
      <c r="TEU192" s="5"/>
      <c r="TEV192" s="5"/>
      <c r="TEW192" s="5"/>
      <c r="TEX192" s="5"/>
      <c r="TEY192" s="5"/>
      <c r="TEZ192" s="5"/>
      <c r="TFA192" s="5"/>
      <c r="TFB192" s="5"/>
      <c r="TFC192" s="5"/>
      <c r="TFD192" s="5"/>
      <c r="TFE192" s="5"/>
      <c r="TFF192" s="5"/>
      <c r="TFG192" s="5"/>
      <c r="TFH192" s="5"/>
      <c r="TFI192" s="5"/>
      <c r="TFJ192" s="5"/>
      <c r="TFK192" s="5"/>
      <c r="TFL192" s="5"/>
      <c r="TFM192" s="5"/>
      <c r="TFN192" s="5"/>
      <c r="TFO192" s="5"/>
      <c r="TFP192" s="5"/>
      <c r="TFQ192" s="5"/>
      <c r="TFR192" s="5"/>
      <c r="TFS192" s="5"/>
      <c r="TFT192" s="5"/>
      <c r="TFU192" s="5"/>
      <c r="TFV192" s="5"/>
      <c r="TFW192" s="5"/>
      <c r="TFX192" s="5"/>
      <c r="TFY192" s="5"/>
      <c r="TFZ192" s="5"/>
      <c r="TGA192" s="5"/>
      <c r="TGB192" s="5"/>
      <c r="TGC192" s="5"/>
      <c r="TGD192" s="5"/>
      <c r="TGE192" s="5"/>
      <c r="TGF192" s="5"/>
      <c r="TGG192" s="5"/>
      <c r="TGH192" s="5"/>
      <c r="TGI192" s="5"/>
      <c r="TGJ192" s="5"/>
      <c r="TGK192" s="5"/>
      <c r="TGL192" s="5"/>
      <c r="TGM192" s="5"/>
      <c r="TGN192" s="5"/>
      <c r="TGO192" s="5"/>
      <c r="TGP192" s="5"/>
      <c r="TGQ192" s="5"/>
      <c r="TGR192" s="5"/>
      <c r="TGS192" s="5"/>
      <c r="TGT192" s="5"/>
      <c r="TGU192" s="5"/>
      <c r="TGV192" s="5"/>
      <c r="TGW192" s="5"/>
      <c r="TGX192" s="5"/>
      <c r="TGY192" s="5"/>
      <c r="TGZ192" s="5"/>
      <c r="THA192" s="5"/>
      <c r="THB192" s="5"/>
      <c r="THC192" s="5"/>
      <c r="THD192" s="5"/>
      <c r="THE192" s="5"/>
      <c r="THF192" s="5"/>
      <c r="THG192" s="5"/>
      <c r="THH192" s="5"/>
      <c r="THI192" s="5"/>
      <c r="THJ192" s="5"/>
      <c r="THK192" s="5"/>
      <c r="THL192" s="5"/>
      <c r="THM192" s="5"/>
      <c r="THN192" s="5"/>
      <c r="THO192" s="5"/>
      <c r="THP192" s="5"/>
      <c r="THQ192" s="5"/>
      <c r="THR192" s="5"/>
      <c r="THS192" s="5"/>
      <c r="THT192" s="5"/>
      <c r="THU192" s="5"/>
      <c r="THV192" s="5"/>
      <c r="THW192" s="5"/>
      <c r="THX192" s="5"/>
      <c r="THY192" s="5"/>
      <c r="THZ192" s="5"/>
      <c r="TIA192" s="5"/>
      <c r="TIB192" s="5"/>
      <c r="TIC192" s="5"/>
      <c r="TID192" s="5"/>
      <c r="TIE192" s="5"/>
      <c r="TIF192" s="5"/>
      <c r="TIG192" s="5"/>
      <c r="TIH192" s="5"/>
      <c r="TII192" s="5"/>
      <c r="TIJ192" s="5"/>
      <c r="TIK192" s="5"/>
      <c r="TIL192" s="5"/>
      <c r="TIM192" s="5"/>
      <c r="TIN192" s="5"/>
      <c r="TIO192" s="5"/>
      <c r="TIP192" s="5"/>
      <c r="TIQ192" s="5"/>
      <c r="TIR192" s="5"/>
      <c r="TIS192" s="5"/>
      <c r="TIT192" s="5"/>
      <c r="TIU192" s="5"/>
      <c r="TIV192" s="5"/>
      <c r="TIW192" s="5"/>
      <c r="TIX192" s="5"/>
      <c r="TIY192" s="5"/>
      <c r="TIZ192" s="5"/>
      <c r="TJA192" s="5"/>
      <c r="TJB192" s="5"/>
      <c r="TJC192" s="5"/>
      <c r="TJD192" s="5"/>
      <c r="TJE192" s="5"/>
      <c r="TJF192" s="5"/>
      <c r="TJG192" s="5"/>
      <c r="TJH192" s="5"/>
      <c r="TJI192" s="5"/>
      <c r="TJJ192" s="5"/>
      <c r="TJK192" s="5"/>
      <c r="TJL192" s="5"/>
      <c r="TJM192" s="5"/>
      <c r="TJN192" s="5"/>
      <c r="TJO192" s="5"/>
      <c r="TJP192" s="5"/>
      <c r="TJQ192" s="5"/>
      <c r="TJR192" s="5"/>
      <c r="TJS192" s="5"/>
      <c r="TJT192" s="5"/>
      <c r="TJU192" s="5"/>
      <c r="TJV192" s="5"/>
      <c r="TJW192" s="5"/>
      <c r="TJX192" s="5"/>
      <c r="TJY192" s="5"/>
      <c r="TJZ192" s="5"/>
      <c r="TKA192" s="5"/>
      <c r="TKB192" s="5"/>
      <c r="TKC192" s="5"/>
      <c r="TKD192" s="5"/>
      <c r="TKE192" s="5"/>
      <c r="TKF192" s="5"/>
      <c r="TKG192" s="5"/>
      <c r="TKH192" s="5"/>
      <c r="TKI192" s="5"/>
      <c r="TKJ192" s="5"/>
      <c r="TKK192" s="5"/>
      <c r="TKL192" s="5"/>
      <c r="TKM192" s="5"/>
      <c r="TKN192" s="5"/>
      <c r="TKO192" s="5"/>
      <c r="TKP192" s="5"/>
      <c r="TKQ192" s="5"/>
      <c r="TKR192" s="5"/>
      <c r="TKS192" s="5"/>
      <c r="TKT192" s="5"/>
      <c r="TKU192" s="5"/>
      <c r="TKV192" s="5"/>
      <c r="TKW192" s="5"/>
      <c r="TKX192" s="5"/>
      <c r="TKY192" s="5"/>
      <c r="TKZ192" s="5"/>
      <c r="TLA192" s="5"/>
      <c r="TLB192" s="5"/>
      <c r="TLC192" s="5"/>
      <c r="TLD192" s="5"/>
      <c r="TLE192" s="5"/>
      <c r="TLF192" s="5"/>
      <c r="TLG192" s="5"/>
      <c r="TLH192" s="5"/>
      <c r="TLI192" s="5"/>
      <c r="TLJ192" s="5"/>
      <c r="TLK192" s="5"/>
      <c r="TLL192" s="5"/>
      <c r="TLM192" s="5"/>
      <c r="TLN192" s="5"/>
      <c r="TLO192" s="5"/>
      <c r="TLP192" s="5"/>
      <c r="TLQ192" s="5"/>
      <c r="TLR192" s="5"/>
      <c r="TLS192" s="5"/>
      <c r="TLT192" s="5"/>
      <c r="TLU192" s="5"/>
      <c r="TLV192" s="5"/>
      <c r="TLW192" s="5"/>
      <c r="TLX192" s="5"/>
      <c r="TLY192" s="5"/>
      <c r="TLZ192" s="5"/>
      <c r="TMA192" s="5"/>
      <c r="TMB192" s="5"/>
      <c r="TMC192" s="5"/>
      <c r="TMD192" s="5"/>
      <c r="TME192" s="5"/>
      <c r="TMF192" s="5"/>
      <c r="TMG192" s="5"/>
      <c r="TMH192" s="5"/>
      <c r="TMI192" s="5"/>
      <c r="TMJ192" s="5"/>
      <c r="TMK192" s="5"/>
      <c r="TML192" s="5"/>
      <c r="TMM192" s="5"/>
      <c r="TMN192" s="5"/>
      <c r="TMO192" s="5"/>
      <c r="TMP192" s="5"/>
      <c r="TMQ192" s="5"/>
      <c r="TMR192" s="5"/>
      <c r="TMS192" s="5"/>
      <c r="TMT192" s="5"/>
      <c r="TMU192" s="5"/>
      <c r="TMV192" s="5"/>
      <c r="TMW192" s="5"/>
      <c r="TMX192" s="5"/>
      <c r="TMY192" s="5"/>
      <c r="TMZ192" s="5"/>
      <c r="TNA192" s="5"/>
      <c r="TNB192" s="5"/>
      <c r="TNC192" s="5"/>
      <c r="TND192" s="5"/>
      <c r="TNE192" s="5"/>
      <c r="TNF192" s="5"/>
      <c r="TNG192" s="5"/>
      <c r="TNH192" s="5"/>
      <c r="TNI192" s="5"/>
      <c r="TNJ192" s="5"/>
      <c r="TNK192" s="5"/>
      <c r="TNL192" s="5"/>
      <c r="TNM192" s="5"/>
      <c r="TNN192" s="5"/>
      <c r="TNO192" s="5"/>
      <c r="TNP192" s="5"/>
      <c r="TNQ192" s="5"/>
      <c r="TNR192" s="5"/>
      <c r="TNS192" s="5"/>
      <c r="TNT192" s="5"/>
      <c r="TNU192" s="5"/>
      <c r="TNV192" s="5"/>
      <c r="TNW192" s="5"/>
      <c r="TNX192" s="5"/>
      <c r="TNY192" s="5"/>
      <c r="TNZ192" s="5"/>
      <c r="TOA192" s="5"/>
      <c r="TOB192" s="5"/>
      <c r="TOC192" s="5"/>
      <c r="TOD192" s="5"/>
      <c r="TOE192" s="5"/>
      <c r="TOF192" s="5"/>
      <c r="TOG192" s="5"/>
      <c r="TOH192" s="5"/>
      <c r="TOI192" s="5"/>
      <c r="TOJ192" s="5"/>
      <c r="TOK192" s="5"/>
      <c r="TOL192" s="5"/>
      <c r="TOM192" s="5"/>
      <c r="TON192" s="5"/>
      <c r="TOO192" s="5"/>
      <c r="TOP192" s="5"/>
      <c r="TOQ192" s="5"/>
      <c r="TOR192" s="5"/>
      <c r="TOS192" s="5"/>
      <c r="TOT192" s="5"/>
      <c r="TOU192" s="5"/>
      <c r="TOV192" s="5"/>
      <c r="TOW192" s="5"/>
      <c r="TOX192" s="5"/>
      <c r="TOY192" s="5"/>
      <c r="TOZ192" s="5"/>
      <c r="TPA192" s="5"/>
      <c r="TPB192" s="5"/>
      <c r="TPC192" s="5"/>
      <c r="TPD192" s="5"/>
      <c r="TPE192" s="5"/>
      <c r="TPF192" s="5"/>
      <c r="TPG192" s="5"/>
      <c r="TPH192" s="5"/>
      <c r="TPI192" s="5"/>
      <c r="TPJ192" s="5"/>
      <c r="TPK192" s="5"/>
      <c r="TPL192" s="5"/>
      <c r="TPM192" s="5"/>
      <c r="TPN192" s="5"/>
      <c r="TPO192" s="5"/>
      <c r="TPP192" s="5"/>
      <c r="TPQ192" s="5"/>
      <c r="TPR192" s="5"/>
      <c r="TPS192" s="5"/>
      <c r="TPT192" s="5"/>
      <c r="TPU192" s="5"/>
      <c r="TPV192" s="5"/>
      <c r="TPW192" s="5"/>
      <c r="TPX192" s="5"/>
      <c r="TPY192" s="5"/>
      <c r="TPZ192" s="5"/>
      <c r="TQA192" s="5"/>
      <c r="TQB192" s="5"/>
      <c r="TQC192" s="5"/>
      <c r="TQD192" s="5"/>
      <c r="TQE192" s="5"/>
      <c r="TQF192" s="5"/>
      <c r="TQG192" s="5"/>
      <c r="TQH192" s="5"/>
      <c r="TQI192" s="5"/>
      <c r="TQJ192" s="5"/>
      <c r="TQK192" s="5"/>
      <c r="TQL192" s="5"/>
      <c r="TQM192" s="5"/>
      <c r="TQN192" s="5"/>
      <c r="TQO192" s="5"/>
      <c r="TQP192" s="5"/>
      <c r="TQQ192" s="5"/>
      <c r="TQR192" s="5"/>
      <c r="TQS192" s="5"/>
      <c r="TQT192" s="5"/>
      <c r="TQU192" s="5"/>
      <c r="TQV192" s="5"/>
      <c r="TQW192" s="5"/>
      <c r="TQX192" s="5"/>
      <c r="TQY192" s="5"/>
      <c r="TQZ192" s="5"/>
      <c r="TRA192" s="5"/>
      <c r="TRB192" s="5"/>
      <c r="TRC192" s="5"/>
      <c r="TRD192" s="5"/>
      <c r="TRE192" s="5"/>
      <c r="TRF192" s="5"/>
      <c r="TRG192" s="5"/>
      <c r="TRH192" s="5"/>
      <c r="TRI192" s="5"/>
      <c r="TRJ192" s="5"/>
      <c r="TRK192" s="5"/>
      <c r="TRL192" s="5"/>
      <c r="TRM192" s="5"/>
      <c r="TRN192" s="5"/>
      <c r="TRO192" s="5"/>
      <c r="TRP192" s="5"/>
      <c r="TRQ192" s="5"/>
      <c r="TRR192" s="5"/>
      <c r="TRS192" s="5"/>
      <c r="TRT192" s="5"/>
      <c r="TRU192" s="5"/>
      <c r="TRV192" s="5"/>
      <c r="TRW192" s="5"/>
      <c r="TRX192" s="5"/>
      <c r="TRY192" s="5"/>
      <c r="TRZ192" s="5"/>
      <c r="TSA192" s="5"/>
      <c r="TSB192" s="5"/>
      <c r="TSC192" s="5"/>
      <c r="TSD192" s="5"/>
      <c r="TSE192" s="5"/>
      <c r="TSF192" s="5"/>
      <c r="TSG192" s="5"/>
      <c r="TSH192" s="5"/>
      <c r="TSI192" s="5"/>
      <c r="TSJ192" s="5"/>
      <c r="TSK192" s="5"/>
      <c r="TSL192" s="5"/>
      <c r="TSM192" s="5"/>
      <c r="TSN192" s="5"/>
      <c r="TSO192" s="5"/>
      <c r="TSP192" s="5"/>
      <c r="TSQ192" s="5"/>
      <c r="TSR192" s="5"/>
      <c r="TSS192" s="5"/>
      <c r="TST192" s="5"/>
      <c r="TSU192" s="5"/>
      <c r="TSV192" s="5"/>
      <c r="TSW192" s="5"/>
      <c r="TSX192" s="5"/>
      <c r="TSY192" s="5"/>
      <c r="TSZ192" s="5"/>
      <c r="TTA192" s="5"/>
      <c r="TTB192" s="5"/>
      <c r="TTC192" s="5"/>
      <c r="TTD192" s="5"/>
      <c r="TTE192" s="5"/>
      <c r="TTF192" s="5"/>
      <c r="TTG192" s="5"/>
      <c r="TTH192" s="5"/>
      <c r="TTI192" s="5"/>
      <c r="TTJ192" s="5"/>
      <c r="TTK192" s="5"/>
      <c r="TTL192" s="5"/>
      <c r="TTM192" s="5"/>
      <c r="TTN192" s="5"/>
      <c r="TTO192" s="5"/>
      <c r="TTP192" s="5"/>
      <c r="TTQ192" s="5"/>
      <c r="TTR192" s="5"/>
      <c r="TTS192" s="5"/>
      <c r="TTT192" s="5"/>
      <c r="TTU192" s="5"/>
      <c r="TTV192" s="5"/>
      <c r="TTW192" s="5"/>
      <c r="TTX192" s="5"/>
      <c r="TTY192" s="5"/>
      <c r="TTZ192" s="5"/>
      <c r="TUA192" s="5"/>
      <c r="TUB192" s="5"/>
      <c r="TUC192" s="5"/>
      <c r="TUD192" s="5"/>
      <c r="TUE192" s="5"/>
      <c r="TUF192" s="5"/>
      <c r="TUG192" s="5"/>
      <c r="TUH192" s="5"/>
      <c r="TUI192" s="5"/>
      <c r="TUJ192" s="5"/>
      <c r="TUK192" s="5"/>
      <c r="TUL192" s="5"/>
      <c r="TUM192" s="5"/>
      <c r="TUN192" s="5"/>
      <c r="TUO192" s="5"/>
      <c r="TUP192" s="5"/>
      <c r="TUQ192" s="5"/>
      <c r="TUR192" s="5"/>
      <c r="TUS192" s="5"/>
      <c r="TUT192" s="5"/>
      <c r="TUU192" s="5"/>
      <c r="TUV192" s="5"/>
      <c r="TUW192" s="5"/>
      <c r="TUX192" s="5"/>
      <c r="TUY192" s="5"/>
      <c r="TUZ192" s="5"/>
      <c r="TVA192" s="5"/>
      <c r="TVB192" s="5"/>
      <c r="TVC192" s="5"/>
      <c r="TVD192" s="5"/>
      <c r="TVE192" s="5"/>
      <c r="TVF192" s="5"/>
      <c r="TVG192" s="5"/>
      <c r="TVH192" s="5"/>
      <c r="TVI192" s="5"/>
      <c r="TVJ192" s="5"/>
      <c r="TVK192" s="5"/>
      <c r="TVL192" s="5"/>
      <c r="TVM192" s="5"/>
      <c r="TVN192" s="5"/>
      <c r="TVO192" s="5"/>
      <c r="TVP192" s="5"/>
      <c r="TVQ192" s="5"/>
      <c r="TVR192" s="5"/>
      <c r="TVS192" s="5"/>
      <c r="TVT192" s="5"/>
      <c r="TVU192" s="5"/>
      <c r="TVV192" s="5"/>
      <c r="TVW192" s="5"/>
      <c r="TVX192" s="5"/>
      <c r="TVY192" s="5"/>
      <c r="TVZ192" s="5"/>
      <c r="TWA192" s="5"/>
      <c r="TWB192" s="5"/>
      <c r="TWC192" s="5"/>
      <c r="TWD192" s="5"/>
      <c r="TWE192" s="5"/>
      <c r="TWF192" s="5"/>
      <c r="TWG192" s="5"/>
      <c r="TWH192" s="5"/>
      <c r="TWI192" s="5"/>
      <c r="TWJ192" s="5"/>
      <c r="TWK192" s="5"/>
      <c r="TWL192" s="5"/>
      <c r="TWM192" s="5"/>
      <c r="TWN192" s="5"/>
      <c r="TWO192" s="5"/>
      <c r="TWP192" s="5"/>
      <c r="TWQ192" s="5"/>
      <c r="TWR192" s="5"/>
      <c r="TWS192" s="5"/>
      <c r="TWT192" s="5"/>
      <c r="TWU192" s="5"/>
      <c r="TWV192" s="5"/>
      <c r="TWW192" s="5"/>
      <c r="TWX192" s="5"/>
      <c r="TWY192" s="5"/>
      <c r="TWZ192" s="5"/>
      <c r="TXA192" s="5"/>
      <c r="TXB192" s="5"/>
      <c r="TXC192" s="5"/>
      <c r="TXD192" s="5"/>
      <c r="TXE192" s="5"/>
      <c r="TXF192" s="5"/>
      <c r="TXG192" s="5"/>
      <c r="TXH192" s="5"/>
      <c r="TXI192" s="5"/>
      <c r="TXJ192" s="5"/>
      <c r="TXK192" s="5"/>
      <c r="TXL192" s="5"/>
      <c r="TXM192" s="5"/>
      <c r="TXN192" s="5"/>
      <c r="TXO192" s="5"/>
      <c r="TXP192" s="5"/>
      <c r="TXQ192" s="5"/>
      <c r="TXR192" s="5"/>
      <c r="TXS192" s="5"/>
      <c r="TXT192" s="5"/>
      <c r="TXU192" s="5"/>
      <c r="TXV192" s="5"/>
      <c r="TXW192" s="5"/>
      <c r="TXX192" s="5"/>
      <c r="TXY192" s="5"/>
      <c r="TXZ192" s="5"/>
      <c r="TYA192" s="5"/>
      <c r="TYB192" s="5"/>
      <c r="TYC192" s="5"/>
      <c r="TYD192" s="5"/>
      <c r="TYE192" s="5"/>
      <c r="TYF192" s="5"/>
      <c r="TYG192" s="5"/>
      <c r="TYH192" s="5"/>
      <c r="TYI192" s="5"/>
      <c r="TYJ192" s="5"/>
      <c r="TYK192" s="5"/>
      <c r="TYL192" s="5"/>
      <c r="TYM192" s="5"/>
      <c r="TYN192" s="5"/>
      <c r="TYO192" s="5"/>
      <c r="TYP192" s="5"/>
      <c r="TYQ192" s="5"/>
      <c r="TYR192" s="5"/>
      <c r="TYS192" s="5"/>
      <c r="TYT192" s="5"/>
      <c r="TYU192" s="5"/>
      <c r="TYV192" s="5"/>
      <c r="TYW192" s="5"/>
      <c r="TYX192" s="5"/>
      <c r="TYY192" s="5"/>
      <c r="TYZ192" s="5"/>
      <c r="TZA192" s="5"/>
      <c r="TZB192" s="5"/>
      <c r="TZC192" s="5"/>
      <c r="TZD192" s="5"/>
      <c r="TZE192" s="5"/>
      <c r="TZF192" s="5"/>
      <c r="TZG192" s="5"/>
      <c r="TZH192" s="5"/>
      <c r="TZI192" s="5"/>
      <c r="TZJ192" s="5"/>
      <c r="TZK192" s="5"/>
      <c r="TZL192" s="5"/>
      <c r="TZM192" s="5"/>
      <c r="TZN192" s="5"/>
      <c r="TZO192" s="5"/>
      <c r="TZP192" s="5"/>
      <c r="TZQ192" s="5"/>
      <c r="TZR192" s="5"/>
      <c r="TZS192" s="5"/>
      <c r="TZT192" s="5"/>
      <c r="TZU192" s="5"/>
      <c r="TZV192" s="5"/>
      <c r="TZW192" s="5"/>
      <c r="TZX192" s="5"/>
      <c r="TZY192" s="5"/>
      <c r="TZZ192" s="5"/>
      <c r="UAA192" s="5"/>
      <c r="UAB192" s="5"/>
      <c r="UAC192" s="5"/>
      <c r="UAD192" s="5"/>
      <c r="UAE192" s="5"/>
      <c r="UAF192" s="5"/>
      <c r="UAG192" s="5"/>
      <c r="UAH192" s="5"/>
      <c r="UAI192" s="5"/>
      <c r="UAJ192" s="5"/>
      <c r="UAK192" s="5"/>
      <c r="UAL192" s="5"/>
      <c r="UAM192" s="5"/>
      <c r="UAN192" s="5"/>
      <c r="UAO192" s="5"/>
      <c r="UAP192" s="5"/>
      <c r="UAQ192" s="5"/>
      <c r="UAR192" s="5"/>
      <c r="UAS192" s="5"/>
      <c r="UAT192" s="5"/>
      <c r="UAU192" s="5"/>
      <c r="UAV192" s="5"/>
      <c r="UAW192" s="5"/>
      <c r="UAX192" s="5"/>
      <c r="UAY192" s="5"/>
      <c r="UAZ192" s="5"/>
      <c r="UBA192" s="5"/>
      <c r="UBB192" s="5"/>
      <c r="UBC192" s="5"/>
      <c r="UBD192" s="5"/>
      <c r="UBE192" s="5"/>
      <c r="UBF192" s="5"/>
      <c r="UBG192" s="5"/>
      <c r="UBH192" s="5"/>
      <c r="UBI192" s="5"/>
      <c r="UBJ192" s="5"/>
      <c r="UBK192" s="5"/>
      <c r="UBL192" s="5"/>
      <c r="UBM192" s="5"/>
      <c r="UBN192" s="5"/>
      <c r="UBO192" s="5"/>
      <c r="UBP192" s="5"/>
      <c r="UBQ192" s="5"/>
      <c r="UBR192" s="5"/>
      <c r="UBS192" s="5"/>
      <c r="UBT192" s="5"/>
      <c r="UBU192" s="5"/>
      <c r="UBV192" s="5"/>
      <c r="UBW192" s="5"/>
      <c r="UBX192" s="5"/>
      <c r="UBY192" s="5"/>
      <c r="UBZ192" s="5"/>
      <c r="UCA192" s="5"/>
      <c r="UCB192" s="5"/>
      <c r="UCC192" s="5"/>
      <c r="UCD192" s="5"/>
      <c r="UCE192" s="5"/>
      <c r="UCF192" s="5"/>
      <c r="UCG192" s="5"/>
      <c r="UCH192" s="5"/>
      <c r="UCI192" s="5"/>
      <c r="UCJ192" s="5"/>
      <c r="UCK192" s="5"/>
      <c r="UCL192" s="5"/>
      <c r="UCM192" s="5"/>
      <c r="UCN192" s="5"/>
      <c r="UCO192" s="5"/>
      <c r="UCP192" s="5"/>
      <c r="UCQ192" s="5"/>
      <c r="UCR192" s="5"/>
      <c r="UCS192" s="5"/>
      <c r="UCT192" s="5"/>
      <c r="UCU192" s="5"/>
      <c r="UCV192" s="5"/>
      <c r="UCW192" s="5"/>
      <c r="UCX192" s="5"/>
      <c r="UCY192" s="5"/>
      <c r="UCZ192" s="5"/>
      <c r="UDA192" s="5"/>
      <c r="UDB192" s="5"/>
      <c r="UDC192" s="5"/>
      <c r="UDD192" s="5"/>
      <c r="UDE192" s="5"/>
      <c r="UDF192" s="5"/>
      <c r="UDG192" s="5"/>
      <c r="UDH192" s="5"/>
      <c r="UDI192" s="5"/>
      <c r="UDJ192" s="5"/>
      <c r="UDK192" s="5"/>
      <c r="UDL192" s="5"/>
      <c r="UDM192" s="5"/>
      <c r="UDN192" s="5"/>
      <c r="UDO192" s="5"/>
      <c r="UDP192" s="5"/>
      <c r="UDQ192" s="5"/>
      <c r="UDR192" s="5"/>
      <c r="UDS192" s="5"/>
      <c r="UDT192" s="5"/>
      <c r="UDU192" s="5"/>
      <c r="UDV192" s="5"/>
      <c r="UDW192" s="5"/>
      <c r="UDX192" s="5"/>
      <c r="UDY192" s="5"/>
      <c r="UDZ192" s="5"/>
      <c r="UEA192" s="5"/>
      <c r="UEB192" s="5"/>
      <c r="UEC192" s="5"/>
      <c r="UED192" s="5"/>
      <c r="UEE192" s="5"/>
      <c r="UEF192" s="5"/>
      <c r="UEG192" s="5"/>
      <c r="UEH192" s="5"/>
      <c r="UEI192" s="5"/>
      <c r="UEJ192" s="5"/>
      <c r="UEK192" s="5"/>
      <c r="UEL192" s="5"/>
      <c r="UEM192" s="5"/>
      <c r="UEN192" s="5"/>
      <c r="UEO192" s="5"/>
      <c r="UEP192" s="5"/>
      <c r="UEQ192" s="5"/>
      <c r="UER192" s="5"/>
      <c r="UES192" s="5"/>
      <c r="UET192" s="5"/>
      <c r="UEU192" s="5"/>
      <c r="UEV192" s="5"/>
      <c r="UEW192" s="5"/>
      <c r="UEX192" s="5"/>
      <c r="UEY192" s="5"/>
      <c r="UEZ192" s="5"/>
      <c r="UFA192" s="5"/>
      <c r="UFB192" s="5"/>
      <c r="UFC192" s="5"/>
      <c r="UFD192" s="5"/>
      <c r="UFE192" s="5"/>
      <c r="UFF192" s="5"/>
      <c r="UFG192" s="5"/>
      <c r="UFH192" s="5"/>
      <c r="UFI192" s="5"/>
      <c r="UFJ192" s="5"/>
      <c r="UFK192" s="5"/>
      <c r="UFL192" s="5"/>
      <c r="UFM192" s="5"/>
      <c r="UFN192" s="5"/>
      <c r="UFO192" s="5"/>
      <c r="UFP192" s="5"/>
      <c r="UFQ192" s="5"/>
      <c r="UFR192" s="5"/>
      <c r="UFS192" s="5"/>
      <c r="UFT192" s="5"/>
      <c r="UFU192" s="5"/>
      <c r="UFV192" s="5"/>
      <c r="UFW192" s="5"/>
      <c r="UFX192" s="5"/>
      <c r="UFY192" s="5"/>
      <c r="UFZ192" s="5"/>
      <c r="UGA192" s="5"/>
      <c r="UGB192" s="5"/>
      <c r="UGC192" s="5"/>
      <c r="UGD192" s="5"/>
      <c r="UGE192" s="5"/>
      <c r="UGF192" s="5"/>
      <c r="UGG192" s="5"/>
      <c r="UGH192" s="5"/>
      <c r="UGI192" s="5"/>
      <c r="UGJ192" s="5"/>
      <c r="UGK192" s="5"/>
      <c r="UGL192" s="5"/>
      <c r="UGM192" s="5"/>
      <c r="UGN192" s="5"/>
      <c r="UGO192" s="5"/>
      <c r="UGP192" s="5"/>
      <c r="UGQ192" s="5"/>
      <c r="UGR192" s="5"/>
      <c r="UGS192" s="5"/>
      <c r="UGT192" s="5"/>
      <c r="UGU192" s="5"/>
      <c r="UGV192" s="5"/>
      <c r="UGW192" s="5"/>
      <c r="UGX192" s="5"/>
      <c r="UGY192" s="5"/>
      <c r="UGZ192" s="5"/>
      <c r="UHA192" s="5"/>
      <c r="UHB192" s="5"/>
      <c r="UHC192" s="5"/>
      <c r="UHD192" s="5"/>
      <c r="UHE192" s="5"/>
      <c r="UHF192" s="5"/>
      <c r="UHG192" s="5"/>
      <c r="UHH192" s="5"/>
      <c r="UHI192" s="5"/>
      <c r="UHJ192" s="5"/>
      <c r="UHK192" s="5"/>
      <c r="UHL192" s="5"/>
      <c r="UHM192" s="5"/>
      <c r="UHN192" s="5"/>
      <c r="UHO192" s="5"/>
      <c r="UHP192" s="5"/>
      <c r="UHQ192" s="5"/>
      <c r="UHR192" s="5"/>
      <c r="UHS192" s="5"/>
      <c r="UHT192" s="5"/>
      <c r="UHU192" s="5"/>
      <c r="UHV192" s="5"/>
      <c r="UHW192" s="5"/>
      <c r="UHX192" s="5"/>
      <c r="UHY192" s="5"/>
      <c r="UHZ192" s="5"/>
      <c r="UIA192" s="5"/>
      <c r="UIB192" s="5"/>
      <c r="UIC192" s="5"/>
      <c r="UID192" s="5"/>
      <c r="UIE192" s="5"/>
      <c r="UIF192" s="5"/>
      <c r="UIG192" s="5"/>
      <c r="UIH192" s="5"/>
      <c r="UII192" s="5"/>
      <c r="UIJ192" s="5"/>
      <c r="UIK192" s="5"/>
      <c r="UIL192" s="5"/>
      <c r="UIM192" s="5"/>
      <c r="UIN192" s="5"/>
      <c r="UIO192" s="5"/>
      <c r="UIP192" s="5"/>
      <c r="UIQ192" s="5"/>
      <c r="UIR192" s="5"/>
      <c r="UIS192" s="5"/>
      <c r="UIT192" s="5"/>
      <c r="UIU192" s="5"/>
      <c r="UIV192" s="5"/>
      <c r="UIW192" s="5"/>
      <c r="UIX192" s="5"/>
      <c r="UIY192" s="5"/>
      <c r="UIZ192" s="5"/>
      <c r="UJA192" s="5"/>
      <c r="UJB192" s="5"/>
      <c r="UJC192" s="5"/>
      <c r="UJD192" s="5"/>
      <c r="UJE192" s="5"/>
      <c r="UJF192" s="5"/>
      <c r="UJG192" s="5"/>
      <c r="UJH192" s="5"/>
      <c r="UJI192" s="5"/>
      <c r="UJJ192" s="5"/>
      <c r="UJK192" s="5"/>
      <c r="UJL192" s="5"/>
      <c r="UJM192" s="5"/>
      <c r="UJN192" s="5"/>
      <c r="UJO192" s="5"/>
      <c r="UJP192" s="5"/>
      <c r="UJQ192" s="5"/>
      <c r="UJR192" s="5"/>
      <c r="UJS192" s="5"/>
      <c r="UJT192" s="5"/>
      <c r="UJU192" s="5"/>
      <c r="UJV192" s="5"/>
      <c r="UJW192" s="5"/>
      <c r="UJX192" s="5"/>
      <c r="UJY192" s="5"/>
      <c r="UJZ192" s="5"/>
      <c r="UKA192" s="5"/>
      <c r="UKB192" s="5"/>
      <c r="UKC192" s="5"/>
      <c r="UKD192" s="5"/>
      <c r="UKE192" s="5"/>
      <c r="UKF192" s="5"/>
      <c r="UKG192" s="5"/>
      <c r="UKH192" s="5"/>
      <c r="UKI192" s="5"/>
      <c r="UKJ192" s="5"/>
      <c r="UKK192" s="5"/>
      <c r="UKL192" s="5"/>
      <c r="UKM192" s="5"/>
      <c r="UKN192" s="5"/>
      <c r="UKO192" s="5"/>
      <c r="UKP192" s="5"/>
      <c r="UKQ192" s="5"/>
      <c r="UKR192" s="5"/>
      <c r="UKS192" s="5"/>
      <c r="UKT192" s="5"/>
      <c r="UKU192" s="5"/>
      <c r="UKV192" s="5"/>
      <c r="UKW192" s="5"/>
      <c r="UKX192" s="5"/>
      <c r="UKY192" s="5"/>
      <c r="UKZ192" s="5"/>
      <c r="ULA192" s="5"/>
      <c r="ULB192" s="5"/>
      <c r="ULC192" s="5"/>
      <c r="ULD192" s="5"/>
      <c r="ULE192" s="5"/>
      <c r="ULF192" s="5"/>
      <c r="ULG192" s="5"/>
      <c r="ULH192" s="5"/>
      <c r="ULI192" s="5"/>
      <c r="ULJ192" s="5"/>
      <c r="ULK192" s="5"/>
      <c r="ULL192" s="5"/>
      <c r="ULM192" s="5"/>
      <c r="ULN192" s="5"/>
      <c r="ULO192" s="5"/>
      <c r="ULP192" s="5"/>
      <c r="ULQ192" s="5"/>
      <c r="ULR192" s="5"/>
      <c r="ULS192" s="5"/>
      <c r="ULT192" s="5"/>
      <c r="ULU192" s="5"/>
      <c r="ULV192" s="5"/>
      <c r="ULW192" s="5"/>
      <c r="ULX192" s="5"/>
      <c r="ULY192" s="5"/>
      <c r="ULZ192" s="5"/>
      <c r="UMA192" s="5"/>
      <c r="UMB192" s="5"/>
      <c r="UMC192" s="5"/>
      <c r="UMD192" s="5"/>
      <c r="UME192" s="5"/>
      <c r="UMF192" s="5"/>
      <c r="UMG192" s="5"/>
      <c r="UMH192" s="5"/>
      <c r="UMI192" s="5"/>
      <c r="UMJ192" s="5"/>
      <c r="UMK192" s="5"/>
      <c r="UML192" s="5"/>
      <c r="UMM192" s="5"/>
      <c r="UMN192" s="5"/>
      <c r="UMO192" s="5"/>
      <c r="UMP192" s="5"/>
      <c r="UMQ192" s="5"/>
      <c r="UMR192" s="5"/>
      <c r="UMS192" s="5"/>
      <c r="UMT192" s="5"/>
      <c r="UMU192" s="5"/>
      <c r="UMV192" s="5"/>
      <c r="UMW192" s="5"/>
      <c r="UMX192" s="5"/>
      <c r="UMY192" s="5"/>
      <c r="UMZ192" s="5"/>
      <c r="UNA192" s="5"/>
      <c r="UNB192" s="5"/>
      <c r="UNC192" s="5"/>
      <c r="UND192" s="5"/>
      <c r="UNE192" s="5"/>
      <c r="UNF192" s="5"/>
      <c r="UNG192" s="5"/>
      <c r="UNH192" s="5"/>
      <c r="UNI192" s="5"/>
      <c r="UNJ192" s="5"/>
      <c r="UNK192" s="5"/>
      <c r="UNL192" s="5"/>
      <c r="UNM192" s="5"/>
      <c r="UNN192" s="5"/>
      <c r="UNO192" s="5"/>
      <c r="UNP192" s="5"/>
      <c r="UNQ192" s="5"/>
      <c r="UNR192" s="5"/>
      <c r="UNS192" s="5"/>
      <c r="UNT192" s="5"/>
      <c r="UNU192" s="5"/>
      <c r="UNV192" s="5"/>
      <c r="UNW192" s="5"/>
      <c r="UNX192" s="5"/>
      <c r="UNY192" s="5"/>
      <c r="UNZ192" s="5"/>
      <c r="UOA192" s="5"/>
      <c r="UOB192" s="5"/>
      <c r="UOC192" s="5"/>
      <c r="UOD192" s="5"/>
      <c r="UOE192" s="5"/>
      <c r="UOF192" s="5"/>
      <c r="UOG192" s="5"/>
      <c r="UOH192" s="5"/>
      <c r="UOI192" s="5"/>
      <c r="UOJ192" s="5"/>
      <c r="UOK192" s="5"/>
      <c r="UOL192" s="5"/>
      <c r="UOM192" s="5"/>
      <c r="UON192" s="5"/>
      <c r="UOO192" s="5"/>
      <c r="UOP192" s="5"/>
      <c r="UOQ192" s="5"/>
      <c r="UOR192" s="5"/>
      <c r="UOS192" s="5"/>
      <c r="UOT192" s="5"/>
      <c r="UOU192" s="5"/>
      <c r="UOV192" s="5"/>
      <c r="UOW192" s="5"/>
      <c r="UOX192" s="5"/>
      <c r="UOY192" s="5"/>
      <c r="UOZ192" s="5"/>
      <c r="UPA192" s="5"/>
      <c r="UPB192" s="5"/>
      <c r="UPC192" s="5"/>
      <c r="UPD192" s="5"/>
      <c r="UPE192" s="5"/>
      <c r="UPF192" s="5"/>
      <c r="UPG192" s="5"/>
      <c r="UPH192" s="5"/>
      <c r="UPI192" s="5"/>
      <c r="UPJ192" s="5"/>
      <c r="UPK192" s="5"/>
      <c r="UPL192" s="5"/>
      <c r="UPM192" s="5"/>
      <c r="UPN192" s="5"/>
      <c r="UPO192" s="5"/>
      <c r="UPP192" s="5"/>
      <c r="UPQ192" s="5"/>
      <c r="UPR192" s="5"/>
      <c r="UPS192" s="5"/>
      <c r="UPT192" s="5"/>
      <c r="UPU192" s="5"/>
      <c r="UPV192" s="5"/>
      <c r="UPW192" s="5"/>
      <c r="UPX192" s="5"/>
      <c r="UPY192" s="5"/>
      <c r="UPZ192" s="5"/>
      <c r="UQA192" s="5"/>
      <c r="UQB192" s="5"/>
      <c r="UQC192" s="5"/>
      <c r="UQD192" s="5"/>
      <c r="UQE192" s="5"/>
      <c r="UQF192" s="5"/>
      <c r="UQG192" s="5"/>
      <c r="UQH192" s="5"/>
      <c r="UQI192" s="5"/>
      <c r="UQJ192" s="5"/>
      <c r="UQK192" s="5"/>
      <c r="UQL192" s="5"/>
      <c r="UQM192" s="5"/>
      <c r="UQN192" s="5"/>
      <c r="UQO192" s="5"/>
      <c r="UQP192" s="5"/>
      <c r="UQQ192" s="5"/>
      <c r="UQR192" s="5"/>
      <c r="UQS192" s="5"/>
      <c r="UQT192" s="5"/>
      <c r="UQU192" s="5"/>
      <c r="UQV192" s="5"/>
      <c r="UQW192" s="5"/>
      <c r="UQX192" s="5"/>
      <c r="UQY192" s="5"/>
      <c r="UQZ192" s="5"/>
      <c r="URA192" s="5"/>
      <c r="URB192" s="5"/>
      <c r="URC192" s="5"/>
      <c r="URD192" s="5"/>
      <c r="URE192" s="5"/>
      <c r="URF192" s="5"/>
      <c r="URG192" s="5"/>
      <c r="URH192" s="5"/>
      <c r="URI192" s="5"/>
      <c r="URJ192" s="5"/>
      <c r="URK192" s="5"/>
      <c r="URL192" s="5"/>
      <c r="URM192" s="5"/>
      <c r="URN192" s="5"/>
      <c r="URO192" s="5"/>
      <c r="URP192" s="5"/>
      <c r="URQ192" s="5"/>
      <c r="URR192" s="5"/>
      <c r="URS192" s="5"/>
      <c r="URT192" s="5"/>
      <c r="URU192" s="5"/>
      <c r="URV192" s="5"/>
      <c r="URW192" s="5"/>
      <c r="URX192" s="5"/>
      <c r="URY192" s="5"/>
      <c r="URZ192" s="5"/>
      <c r="USA192" s="5"/>
      <c r="USB192" s="5"/>
      <c r="USC192" s="5"/>
      <c r="USD192" s="5"/>
      <c r="USE192" s="5"/>
      <c r="USF192" s="5"/>
      <c r="USG192" s="5"/>
      <c r="USH192" s="5"/>
      <c r="USI192" s="5"/>
      <c r="USJ192" s="5"/>
      <c r="USK192" s="5"/>
      <c r="USL192" s="5"/>
      <c r="USM192" s="5"/>
      <c r="USN192" s="5"/>
      <c r="USO192" s="5"/>
      <c r="USP192" s="5"/>
      <c r="USQ192" s="5"/>
      <c r="USR192" s="5"/>
      <c r="USS192" s="5"/>
      <c r="UST192" s="5"/>
      <c r="USU192" s="5"/>
      <c r="USV192" s="5"/>
      <c r="USW192" s="5"/>
      <c r="USX192" s="5"/>
      <c r="USY192" s="5"/>
      <c r="USZ192" s="5"/>
      <c r="UTA192" s="5"/>
      <c r="UTB192" s="5"/>
      <c r="UTC192" s="5"/>
      <c r="UTD192" s="5"/>
      <c r="UTE192" s="5"/>
      <c r="UTF192" s="5"/>
      <c r="UTG192" s="5"/>
      <c r="UTH192" s="5"/>
      <c r="UTI192" s="5"/>
      <c r="UTJ192" s="5"/>
      <c r="UTK192" s="5"/>
      <c r="UTL192" s="5"/>
      <c r="UTM192" s="5"/>
      <c r="UTN192" s="5"/>
      <c r="UTO192" s="5"/>
      <c r="UTP192" s="5"/>
      <c r="UTQ192" s="5"/>
      <c r="UTR192" s="5"/>
      <c r="UTS192" s="5"/>
      <c r="UTT192" s="5"/>
      <c r="UTU192" s="5"/>
      <c r="UTV192" s="5"/>
      <c r="UTW192" s="5"/>
      <c r="UTX192" s="5"/>
      <c r="UTY192" s="5"/>
      <c r="UTZ192" s="5"/>
      <c r="UUA192" s="5"/>
      <c r="UUB192" s="5"/>
      <c r="UUC192" s="5"/>
      <c r="UUD192" s="5"/>
      <c r="UUE192" s="5"/>
      <c r="UUF192" s="5"/>
      <c r="UUG192" s="5"/>
      <c r="UUH192" s="5"/>
      <c r="UUI192" s="5"/>
      <c r="UUJ192" s="5"/>
      <c r="UUK192" s="5"/>
      <c r="UUL192" s="5"/>
      <c r="UUM192" s="5"/>
      <c r="UUN192" s="5"/>
      <c r="UUO192" s="5"/>
      <c r="UUP192" s="5"/>
      <c r="UUQ192" s="5"/>
      <c r="UUR192" s="5"/>
      <c r="UUS192" s="5"/>
      <c r="UUT192" s="5"/>
      <c r="UUU192" s="5"/>
      <c r="UUV192" s="5"/>
      <c r="UUW192" s="5"/>
      <c r="UUX192" s="5"/>
      <c r="UUY192" s="5"/>
      <c r="UUZ192" s="5"/>
      <c r="UVA192" s="5"/>
      <c r="UVB192" s="5"/>
      <c r="UVC192" s="5"/>
      <c r="UVD192" s="5"/>
      <c r="UVE192" s="5"/>
      <c r="UVF192" s="5"/>
      <c r="UVG192" s="5"/>
      <c r="UVH192" s="5"/>
      <c r="UVI192" s="5"/>
      <c r="UVJ192" s="5"/>
      <c r="UVK192" s="5"/>
      <c r="UVL192" s="5"/>
      <c r="UVM192" s="5"/>
      <c r="UVN192" s="5"/>
      <c r="UVO192" s="5"/>
      <c r="UVP192" s="5"/>
      <c r="UVQ192" s="5"/>
      <c r="UVR192" s="5"/>
      <c r="UVS192" s="5"/>
      <c r="UVT192" s="5"/>
      <c r="UVU192" s="5"/>
      <c r="UVV192" s="5"/>
      <c r="UVW192" s="5"/>
      <c r="UVX192" s="5"/>
      <c r="UVY192" s="5"/>
      <c r="UVZ192" s="5"/>
      <c r="UWA192" s="5"/>
      <c r="UWB192" s="5"/>
      <c r="UWC192" s="5"/>
      <c r="UWD192" s="5"/>
      <c r="UWE192" s="5"/>
      <c r="UWF192" s="5"/>
      <c r="UWG192" s="5"/>
      <c r="UWH192" s="5"/>
      <c r="UWI192" s="5"/>
      <c r="UWJ192" s="5"/>
      <c r="UWK192" s="5"/>
      <c r="UWL192" s="5"/>
      <c r="UWM192" s="5"/>
      <c r="UWN192" s="5"/>
      <c r="UWO192" s="5"/>
      <c r="UWP192" s="5"/>
      <c r="UWQ192" s="5"/>
      <c r="UWR192" s="5"/>
      <c r="UWS192" s="5"/>
      <c r="UWT192" s="5"/>
      <c r="UWU192" s="5"/>
      <c r="UWV192" s="5"/>
      <c r="UWW192" s="5"/>
      <c r="UWX192" s="5"/>
      <c r="UWY192" s="5"/>
      <c r="UWZ192" s="5"/>
      <c r="UXA192" s="5"/>
      <c r="UXB192" s="5"/>
      <c r="UXC192" s="5"/>
      <c r="UXD192" s="5"/>
      <c r="UXE192" s="5"/>
      <c r="UXF192" s="5"/>
      <c r="UXG192" s="5"/>
      <c r="UXH192" s="5"/>
      <c r="UXI192" s="5"/>
      <c r="UXJ192" s="5"/>
      <c r="UXK192" s="5"/>
      <c r="UXL192" s="5"/>
      <c r="UXM192" s="5"/>
      <c r="UXN192" s="5"/>
      <c r="UXO192" s="5"/>
      <c r="UXP192" s="5"/>
      <c r="UXQ192" s="5"/>
      <c r="UXR192" s="5"/>
      <c r="UXS192" s="5"/>
      <c r="UXT192" s="5"/>
      <c r="UXU192" s="5"/>
      <c r="UXV192" s="5"/>
      <c r="UXW192" s="5"/>
      <c r="UXX192" s="5"/>
      <c r="UXY192" s="5"/>
      <c r="UXZ192" s="5"/>
      <c r="UYA192" s="5"/>
      <c r="UYB192" s="5"/>
      <c r="UYC192" s="5"/>
      <c r="UYD192" s="5"/>
      <c r="UYE192" s="5"/>
      <c r="UYF192" s="5"/>
      <c r="UYG192" s="5"/>
      <c r="UYH192" s="5"/>
      <c r="UYI192" s="5"/>
      <c r="UYJ192" s="5"/>
      <c r="UYK192" s="5"/>
      <c r="UYL192" s="5"/>
      <c r="UYM192" s="5"/>
      <c r="UYN192" s="5"/>
      <c r="UYO192" s="5"/>
      <c r="UYP192" s="5"/>
      <c r="UYQ192" s="5"/>
      <c r="UYR192" s="5"/>
      <c r="UYS192" s="5"/>
      <c r="UYT192" s="5"/>
      <c r="UYU192" s="5"/>
      <c r="UYV192" s="5"/>
      <c r="UYW192" s="5"/>
      <c r="UYX192" s="5"/>
      <c r="UYY192" s="5"/>
      <c r="UYZ192" s="5"/>
      <c r="UZA192" s="5"/>
      <c r="UZB192" s="5"/>
      <c r="UZC192" s="5"/>
      <c r="UZD192" s="5"/>
      <c r="UZE192" s="5"/>
      <c r="UZF192" s="5"/>
      <c r="UZG192" s="5"/>
      <c r="UZH192" s="5"/>
      <c r="UZI192" s="5"/>
      <c r="UZJ192" s="5"/>
      <c r="UZK192" s="5"/>
      <c r="UZL192" s="5"/>
      <c r="UZM192" s="5"/>
      <c r="UZN192" s="5"/>
      <c r="UZO192" s="5"/>
      <c r="UZP192" s="5"/>
      <c r="UZQ192" s="5"/>
      <c r="UZR192" s="5"/>
      <c r="UZS192" s="5"/>
      <c r="UZT192" s="5"/>
      <c r="UZU192" s="5"/>
      <c r="UZV192" s="5"/>
      <c r="UZW192" s="5"/>
      <c r="UZX192" s="5"/>
      <c r="UZY192" s="5"/>
      <c r="UZZ192" s="5"/>
      <c r="VAA192" s="5"/>
      <c r="VAB192" s="5"/>
      <c r="VAC192" s="5"/>
      <c r="VAD192" s="5"/>
      <c r="VAE192" s="5"/>
      <c r="VAF192" s="5"/>
      <c r="VAG192" s="5"/>
      <c r="VAH192" s="5"/>
      <c r="VAI192" s="5"/>
      <c r="VAJ192" s="5"/>
      <c r="VAK192" s="5"/>
      <c r="VAL192" s="5"/>
      <c r="VAM192" s="5"/>
      <c r="VAN192" s="5"/>
      <c r="VAO192" s="5"/>
      <c r="VAP192" s="5"/>
      <c r="VAQ192" s="5"/>
      <c r="VAR192" s="5"/>
      <c r="VAS192" s="5"/>
      <c r="VAT192" s="5"/>
      <c r="VAU192" s="5"/>
      <c r="VAV192" s="5"/>
      <c r="VAW192" s="5"/>
      <c r="VAX192" s="5"/>
      <c r="VAY192" s="5"/>
      <c r="VAZ192" s="5"/>
      <c r="VBA192" s="5"/>
      <c r="VBB192" s="5"/>
      <c r="VBC192" s="5"/>
      <c r="VBD192" s="5"/>
      <c r="VBE192" s="5"/>
      <c r="VBF192" s="5"/>
      <c r="VBG192" s="5"/>
      <c r="VBH192" s="5"/>
      <c r="VBI192" s="5"/>
      <c r="VBJ192" s="5"/>
      <c r="VBK192" s="5"/>
      <c r="VBL192" s="5"/>
      <c r="VBM192" s="5"/>
      <c r="VBN192" s="5"/>
      <c r="VBO192" s="5"/>
      <c r="VBP192" s="5"/>
      <c r="VBQ192" s="5"/>
      <c r="VBR192" s="5"/>
      <c r="VBS192" s="5"/>
      <c r="VBT192" s="5"/>
      <c r="VBU192" s="5"/>
      <c r="VBV192" s="5"/>
      <c r="VBW192" s="5"/>
      <c r="VBX192" s="5"/>
      <c r="VBY192" s="5"/>
      <c r="VBZ192" s="5"/>
      <c r="VCA192" s="5"/>
      <c r="VCB192" s="5"/>
      <c r="VCC192" s="5"/>
      <c r="VCD192" s="5"/>
      <c r="VCE192" s="5"/>
      <c r="VCF192" s="5"/>
      <c r="VCG192" s="5"/>
      <c r="VCH192" s="5"/>
      <c r="VCI192" s="5"/>
      <c r="VCJ192" s="5"/>
      <c r="VCK192" s="5"/>
      <c r="VCL192" s="5"/>
      <c r="VCM192" s="5"/>
      <c r="VCN192" s="5"/>
      <c r="VCO192" s="5"/>
      <c r="VCP192" s="5"/>
      <c r="VCQ192" s="5"/>
      <c r="VCR192" s="5"/>
      <c r="VCS192" s="5"/>
      <c r="VCT192" s="5"/>
      <c r="VCU192" s="5"/>
      <c r="VCV192" s="5"/>
      <c r="VCW192" s="5"/>
      <c r="VCX192" s="5"/>
      <c r="VCY192" s="5"/>
      <c r="VCZ192" s="5"/>
      <c r="VDA192" s="5"/>
      <c r="VDB192" s="5"/>
      <c r="VDC192" s="5"/>
      <c r="VDD192" s="5"/>
      <c r="VDE192" s="5"/>
      <c r="VDF192" s="5"/>
      <c r="VDG192" s="5"/>
      <c r="VDH192" s="5"/>
      <c r="VDI192" s="5"/>
      <c r="VDJ192" s="5"/>
      <c r="VDK192" s="5"/>
      <c r="VDL192" s="5"/>
      <c r="VDM192" s="5"/>
      <c r="VDN192" s="5"/>
      <c r="VDO192" s="5"/>
      <c r="VDP192" s="5"/>
      <c r="VDQ192" s="5"/>
      <c r="VDR192" s="5"/>
      <c r="VDS192" s="5"/>
      <c r="VDT192" s="5"/>
      <c r="VDU192" s="5"/>
      <c r="VDV192" s="5"/>
      <c r="VDW192" s="5"/>
      <c r="VDX192" s="5"/>
      <c r="VDY192" s="5"/>
      <c r="VDZ192" s="5"/>
      <c r="VEA192" s="5"/>
      <c r="VEB192" s="5"/>
      <c r="VEC192" s="5"/>
      <c r="VED192" s="5"/>
      <c r="VEE192" s="5"/>
      <c r="VEF192" s="5"/>
      <c r="VEG192" s="5"/>
      <c r="VEH192" s="5"/>
      <c r="VEI192" s="5"/>
      <c r="VEJ192" s="5"/>
      <c r="VEK192" s="5"/>
      <c r="VEL192" s="5"/>
      <c r="VEM192" s="5"/>
      <c r="VEN192" s="5"/>
      <c r="VEO192" s="5"/>
      <c r="VEP192" s="5"/>
      <c r="VEQ192" s="5"/>
      <c r="VER192" s="5"/>
      <c r="VES192" s="5"/>
      <c r="VET192" s="5"/>
      <c r="VEU192" s="5"/>
      <c r="VEV192" s="5"/>
      <c r="VEW192" s="5"/>
      <c r="VEX192" s="5"/>
      <c r="VEY192" s="5"/>
      <c r="VEZ192" s="5"/>
      <c r="VFA192" s="5"/>
      <c r="VFB192" s="5"/>
      <c r="VFC192" s="5"/>
      <c r="VFD192" s="5"/>
      <c r="VFE192" s="5"/>
      <c r="VFF192" s="5"/>
      <c r="VFG192" s="5"/>
      <c r="VFH192" s="5"/>
      <c r="VFI192" s="5"/>
      <c r="VFJ192" s="5"/>
      <c r="VFK192" s="5"/>
      <c r="VFL192" s="5"/>
      <c r="VFM192" s="5"/>
      <c r="VFN192" s="5"/>
      <c r="VFO192" s="5"/>
      <c r="VFP192" s="5"/>
      <c r="VFQ192" s="5"/>
      <c r="VFR192" s="5"/>
      <c r="VFS192" s="5"/>
      <c r="VFT192" s="5"/>
      <c r="VFU192" s="5"/>
      <c r="VFV192" s="5"/>
      <c r="VFW192" s="5"/>
      <c r="VFX192" s="5"/>
      <c r="VFY192" s="5"/>
      <c r="VFZ192" s="5"/>
      <c r="VGA192" s="5"/>
      <c r="VGB192" s="5"/>
      <c r="VGC192" s="5"/>
      <c r="VGD192" s="5"/>
      <c r="VGE192" s="5"/>
      <c r="VGF192" s="5"/>
      <c r="VGG192" s="5"/>
      <c r="VGH192" s="5"/>
      <c r="VGI192" s="5"/>
      <c r="VGJ192" s="5"/>
      <c r="VGK192" s="5"/>
      <c r="VGL192" s="5"/>
      <c r="VGM192" s="5"/>
      <c r="VGN192" s="5"/>
      <c r="VGO192" s="5"/>
      <c r="VGP192" s="5"/>
      <c r="VGQ192" s="5"/>
      <c r="VGR192" s="5"/>
      <c r="VGS192" s="5"/>
      <c r="VGT192" s="5"/>
      <c r="VGU192" s="5"/>
      <c r="VGV192" s="5"/>
      <c r="VGW192" s="5"/>
      <c r="VGX192" s="5"/>
      <c r="VGY192" s="5"/>
      <c r="VGZ192" s="5"/>
      <c r="VHA192" s="5"/>
      <c r="VHB192" s="5"/>
      <c r="VHC192" s="5"/>
      <c r="VHD192" s="5"/>
      <c r="VHE192" s="5"/>
      <c r="VHF192" s="5"/>
      <c r="VHG192" s="5"/>
      <c r="VHH192" s="5"/>
      <c r="VHI192" s="5"/>
      <c r="VHJ192" s="5"/>
      <c r="VHK192" s="5"/>
      <c r="VHL192" s="5"/>
      <c r="VHM192" s="5"/>
      <c r="VHN192" s="5"/>
      <c r="VHO192" s="5"/>
      <c r="VHP192" s="5"/>
      <c r="VHQ192" s="5"/>
      <c r="VHR192" s="5"/>
      <c r="VHS192" s="5"/>
      <c r="VHT192" s="5"/>
      <c r="VHU192" s="5"/>
      <c r="VHV192" s="5"/>
      <c r="VHW192" s="5"/>
      <c r="VHX192" s="5"/>
      <c r="VHY192" s="5"/>
      <c r="VHZ192" s="5"/>
      <c r="VIA192" s="5"/>
      <c r="VIB192" s="5"/>
      <c r="VIC192" s="5"/>
      <c r="VID192" s="5"/>
      <c r="VIE192" s="5"/>
      <c r="VIF192" s="5"/>
      <c r="VIG192" s="5"/>
      <c r="VIH192" s="5"/>
      <c r="VII192" s="5"/>
      <c r="VIJ192" s="5"/>
      <c r="VIK192" s="5"/>
      <c r="VIL192" s="5"/>
      <c r="VIM192" s="5"/>
      <c r="VIN192" s="5"/>
      <c r="VIO192" s="5"/>
      <c r="VIP192" s="5"/>
      <c r="VIQ192" s="5"/>
      <c r="VIR192" s="5"/>
      <c r="VIS192" s="5"/>
      <c r="VIT192" s="5"/>
      <c r="VIU192" s="5"/>
      <c r="VIV192" s="5"/>
      <c r="VIW192" s="5"/>
      <c r="VIX192" s="5"/>
      <c r="VIY192" s="5"/>
      <c r="VIZ192" s="5"/>
      <c r="VJA192" s="5"/>
      <c r="VJB192" s="5"/>
      <c r="VJC192" s="5"/>
      <c r="VJD192" s="5"/>
      <c r="VJE192" s="5"/>
      <c r="VJF192" s="5"/>
      <c r="VJG192" s="5"/>
      <c r="VJH192" s="5"/>
      <c r="VJI192" s="5"/>
      <c r="VJJ192" s="5"/>
      <c r="VJK192" s="5"/>
      <c r="VJL192" s="5"/>
      <c r="VJM192" s="5"/>
      <c r="VJN192" s="5"/>
      <c r="VJO192" s="5"/>
      <c r="VJP192" s="5"/>
      <c r="VJQ192" s="5"/>
      <c r="VJR192" s="5"/>
      <c r="VJS192" s="5"/>
      <c r="VJT192" s="5"/>
      <c r="VJU192" s="5"/>
      <c r="VJV192" s="5"/>
      <c r="VJW192" s="5"/>
      <c r="VJX192" s="5"/>
      <c r="VJY192" s="5"/>
      <c r="VJZ192" s="5"/>
      <c r="VKA192" s="5"/>
      <c r="VKB192" s="5"/>
      <c r="VKC192" s="5"/>
      <c r="VKD192" s="5"/>
      <c r="VKE192" s="5"/>
      <c r="VKF192" s="5"/>
      <c r="VKG192" s="5"/>
      <c r="VKH192" s="5"/>
      <c r="VKI192" s="5"/>
      <c r="VKJ192" s="5"/>
      <c r="VKK192" s="5"/>
      <c r="VKL192" s="5"/>
      <c r="VKM192" s="5"/>
      <c r="VKN192" s="5"/>
      <c r="VKO192" s="5"/>
      <c r="VKP192" s="5"/>
      <c r="VKQ192" s="5"/>
      <c r="VKR192" s="5"/>
      <c r="VKS192" s="5"/>
      <c r="VKT192" s="5"/>
      <c r="VKU192" s="5"/>
      <c r="VKV192" s="5"/>
      <c r="VKW192" s="5"/>
      <c r="VKX192" s="5"/>
      <c r="VKY192" s="5"/>
      <c r="VKZ192" s="5"/>
      <c r="VLA192" s="5"/>
      <c r="VLB192" s="5"/>
      <c r="VLC192" s="5"/>
      <c r="VLD192" s="5"/>
      <c r="VLE192" s="5"/>
      <c r="VLF192" s="5"/>
      <c r="VLG192" s="5"/>
      <c r="VLH192" s="5"/>
      <c r="VLI192" s="5"/>
      <c r="VLJ192" s="5"/>
      <c r="VLK192" s="5"/>
      <c r="VLL192" s="5"/>
      <c r="VLM192" s="5"/>
      <c r="VLN192" s="5"/>
      <c r="VLO192" s="5"/>
      <c r="VLP192" s="5"/>
      <c r="VLQ192" s="5"/>
      <c r="VLR192" s="5"/>
      <c r="VLS192" s="5"/>
      <c r="VLT192" s="5"/>
      <c r="VLU192" s="5"/>
      <c r="VLV192" s="5"/>
      <c r="VLW192" s="5"/>
      <c r="VLX192" s="5"/>
      <c r="VLY192" s="5"/>
      <c r="VLZ192" s="5"/>
      <c r="VMA192" s="5"/>
      <c r="VMB192" s="5"/>
      <c r="VMC192" s="5"/>
      <c r="VMD192" s="5"/>
      <c r="VME192" s="5"/>
      <c r="VMF192" s="5"/>
      <c r="VMG192" s="5"/>
      <c r="VMH192" s="5"/>
      <c r="VMI192" s="5"/>
      <c r="VMJ192" s="5"/>
      <c r="VMK192" s="5"/>
      <c r="VML192" s="5"/>
      <c r="VMM192" s="5"/>
      <c r="VMN192" s="5"/>
      <c r="VMO192" s="5"/>
      <c r="VMP192" s="5"/>
      <c r="VMQ192" s="5"/>
      <c r="VMR192" s="5"/>
      <c r="VMS192" s="5"/>
      <c r="VMT192" s="5"/>
      <c r="VMU192" s="5"/>
      <c r="VMV192" s="5"/>
      <c r="VMW192" s="5"/>
      <c r="VMX192" s="5"/>
      <c r="VMY192" s="5"/>
      <c r="VMZ192" s="5"/>
      <c r="VNA192" s="5"/>
      <c r="VNB192" s="5"/>
      <c r="VNC192" s="5"/>
      <c r="VND192" s="5"/>
      <c r="VNE192" s="5"/>
      <c r="VNF192" s="5"/>
      <c r="VNG192" s="5"/>
      <c r="VNH192" s="5"/>
      <c r="VNI192" s="5"/>
      <c r="VNJ192" s="5"/>
      <c r="VNK192" s="5"/>
      <c r="VNL192" s="5"/>
      <c r="VNM192" s="5"/>
      <c r="VNN192" s="5"/>
      <c r="VNO192" s="5"/>
      <c r="VNP192" s="5"/>
      <c r="VNQ192" s="5"/>
      <c r="VNR192" s="5"/>
      <c r="VNS192" s="5"/>
      <c r="VNT192" s="5"/>
      <c r="VNU192" s="5"/>
      <c r="VNV192" s="5"/>
      <c r="VNW192" s="5"/>
      <c r="VNX192" s="5"/>
      <c r="VNY192" s="5"/>
      <c r="VNZ192" s="5"/>
      <c r="VOA192" s="5"/>
      <c r="VOB192" s="5"/>
      <c r="VOC192" s="5"/>
      <c r="VOD192" s="5"/>
      <c r="VOE192" s="5"/>
      <c r="VOF192" s="5"/>
      <c r="VOG192" s="5"/>
      <c r="VOH192" s="5"/>
      <c r="VOI192" s="5"/>
      <c r="VOJ192" s="5"/>
      <c r="VOK192" s="5"/>
      <c r="VOL192" s="5"/>
      <c r="VOM192" s="5"/>
      <c r="VON192" s="5"/>
      <c r="VOO192" s="5"/>
      <c r="VOP192" s="5"/>
      <c r="VOQ192" s="5"/>
      <c r="VOR192" s="5"/>
      <c r="VOS192" s="5"/>
      <c r="VOT192" s="5"/>
      <c r="VOU192" s="5"/>
      <c r="VOV192" s="5"/>
      <c r="VOW192" s="5"/>
      <c r="VOX192" s="5"/>
      <c r="VOY192" s="5"/>
      <c r="VOZ192" s="5"/>
      <c r="VPA192" s="5"/>
      <c r="VPB192" s="5"/>
      <c r="VPC192" s="5"/>
      <c r="VPD192" s="5"/>
      <c r="VPE192" s="5"/>
      <c r="VPF192" s="5"/>
      <c r="VPG192" s="5"/>
      <c r="VPH192" s="5"/>
      <c r="VPI192" s="5"/>
      <c r="VPJ192" s="5"/>
      <c r="VPK192" s="5"/>
      <c r="VPL192" s="5"/>
      <c r="VPM192" s="5"/>
      <c r="VPN192" s="5"/>
      <c r="VPO192" s="5"/>
      <c r="VPP192" s="5"/>
      <c r="VPQ192" s="5"/>
      <c r="VPR192" s="5"/>
      <c r="VPS192" s="5"/>
      <c r="VPT192" s="5"/>
      <c r="VPU192" s="5"/>
      <c r="VPV192" s="5"/>
      <c r="VPW192" s="5"/>
      <c r="VPX192" s="5"/>
      <c r="VPY192" s="5"/>
      <c r="VPZ192" s="5"/>
      <c r="VQA192" s="5"/>
      <c r="VQB192" s="5"/>
      <c r="VQC192" s="5"/>
      <c r="VQD192" s="5"/>
      <c r="VQE192" s="5"/>
      <c r="VQF192" s="5"/>
      <c r="VQG192" s="5"/>
      <c r="VQH192" s="5"/>
      <c r="VQI192" s="5"/>
      <c r="VQJ192" s="5"/>
      <c r="VQK192" s="5"/>
      <c r="VQL192" s="5"/>
      <c r="VQM192" s="5"/>
      <c r="VQN192" s="5"/>
      <c r="VQO192" s="5"/>
      <c r="VQP192" s="5"/>
      <c r="VQQ192" s="5"/>
      <c r="VQR192" s="5"/>
      <c r="VQS192" s="5"/>
      <c r="VQT192" s="5"/>
      <c r="VQU192" s="5"/>
      <c r="VQV192" s="5"/>
      <c r="VQW192" s="5"/>
      <c r="VQX192" s="5"/>
      <c r="VQY192" s="5"/>
      <c r="VQZ192" s="5"/>
      <c r="VRA192" s="5"/>
      <c r="VRB192" s="5"/>
      <c r="VRC192" s="5"/>
      <c r="VRD192" s="5"/>
      <c r="VRE192" s="5"/>
      <c r="VRF192" s="5"/>
      <c r="VRG192" s="5"/>
      <c r="VRH192" s="5"/>
      <c r="VRI192" s="5"/>
      <c r="VRJ192" s="5"/>
      <c r="VRK192" s="5"/>
      <c r="VRL192" s="5"/>
      <c r="VRM192" s="5"/>
      <c r="VRN192" s="5"/>
      <c r="VRO192" s="5"/>
      <c r="VRP192" s="5"/>
      <c r="VRQ192" s="5"/>
      <c r="VRR192" s="5"/>
      <c r="VRS192" s="5"/>
      <c r="VRT192" s="5"/>
      <c r="VRU192" s="5"/>
      <c r="VRV192" s="5"/>
      <c r="VRW192" s="5"/>
      <c r="VRX192" s="5"/>
      <c r="VRY192" s="5"/>
      <c r="VRZ192" s="5"/>
      <c r="VSA192" s="5"/>
      <c r="VSB192" s="5"/>
      <c r="VSC192" s="5"/>
      <c r="VSD192" s="5"/>
      <c r="VSE192" s="5"/>
      <c r="VSF192" s="5"/>
      <c r="VSG192" s="5"/>
      <c r="VSH192" s="5"/>
      <c r="VSI192" s="5"/>
      <c r="VSJ192" s="5"/>
      <c r="VSK192" s="5"/>
      <c r="VSL192" s="5"/>
      <c r="VSM192" s="5"/>
      <c r="VSN192" s="5"/>
      <c r="VSO192" s="5"/>
      <c r="VSP192" s="5"/>
      <c r="VSQ192" s="5"/>
      <c r="VSR192" s="5"/>
      <c r="VSS192" s="5"/>
      <c r="VST192" s="5"/>
      <c r="VSU192" s="5"/>
      <c r="VSV192" s="5"/>
      <c r="VSW192" s="5"/>
      <c r="VSX192" s="5"/>
      <c r="VSY192" s="5"/>
      <c r="VSZ192" s="5"/>
      <c r="VTA192" s="5"/>
      <c r="VTB192" s="5"/>
      <c r="VTC192" s="5"/>
      <c r="VTD192" s="5"/>
      <c r="VTE192" s="5"/>
      <c r="VTF192" s="5"/>
      <c r="VTG192" s="5"/>
      <c r="VTH192" s="5"/>
      <c r="VTI192" s="5"/>
      <c r="VTJ192" s="5"/>
      <c r="VTK192" s="5"/>
      <c r="VTL192" s="5"/>
      <c r="VTM192" s="5"/>
      <c r="VTN192" s="5"/>
      <c r="VTO192" s="5"/>
      <c r="VTP192" s="5"/>
      <c r="VTQ192" s="5"/>
      <c r="VTR192" s="5"/>
      <c r="VTS192" s="5"/>
      <c r="VTT192" s="5"/>
      <c r="VTU192" s="5"/>
      <c r="VTV192" s="5"/>
      <c r="VTW192" s="5"/>
      <c r="VTX192" s="5"/>
      <c r="VTY192" s="5"/>
      <c r="VTZ192" s="5"/>
      <c r="VUA192" s="5"/>
      <c r="VUB192" s="5"/>
      <c r="VUC192" s="5"/>
      <c r="VUD192" s="5"/>
      <c r="VUE192" s="5"/>
      <c r="VUF192" s="5"/>
      <c r="VUG192" s="5"/>
      <c r="VUH192" s="5"/>
      <c r="VUI192" s="5"/>
      <c r="VUJ192" s="5"/>
      <c r="VUK192" s="5"/>
      <c r="VUL192" s="5"/>
      <c r="VUM192" s="5"/>
      <c r="VUN192" s="5"/>
      <c r="VUO192" s="5"/>
      <c r="VUP192" s="5"/>
      <c r="VUQ192" s="5"/>
      <c r="VUR192" s="5"/>
      <c r="VUS192" s="5"/>
      <c r="VUT192" s="5"/>
      <c r="VUU192" s="5"/>
      <c r="VUV192" s="5"/>
      <c r="VUW192" s="5"/>
      <c r="VUX192" s="5"/>
      <c r="VUY192" s="5"/>
      <c r="VUZ192" s="5"/>
      <c r="VVA192" s="5"/>
      <c r="VVB192" s="5"/>
      <c r="VVC192" s="5"/>
      <c r="VVD192" s="5"/>
      <c r="VVE192" s="5"/>
      <c r="VVF192" s="5"/>
      <c r="VVG192" s="5"/>
      <c r="VVH192" s="5"/>
      <c r="VVI192" s="5"/>
      <c r="VVJ192" s="5"/>
      <c r="VVK192" s="5"/>
      <c r="VVL192" s="5"/>
      <c r="VVM192" s="5"/>
      <c r="VVN192" s="5"/>
      <c r="VVO192" s="5"/>
      <c r="VVP192" s="5"/>
      <c r="VVQ192" s="5"/>
      <c r="VVR192" s="5"/>
      <c r="VVS192" s="5"/>
      <c r="VVT192" s="5"/>
      <c r="VVU192" s="5"/>
      <c r="VVV192" s="5"/>
      <c r="VVW192" s="5"/>
      <c r="VVX192" s="5"/>
      <c r="VVY192" s="5"/>
      <c r="VVZ192" s="5"/>
      <c r="VWA192" s="5"/>
      <c r="VWB192" s="5"/>
      <c r="VWC192" s="5"/>
      <c r="VWD192" s="5"/>
      <c r="VWE192" s="5"/>
      <c r="VWF192" s="5"/>
      <c r="VWG192" s="5"/>
      <c r="VWH192" s="5"/>
      <c r="VWI192" s="5"/>
      <c r="VWJ192" s="5"/>
      <c r="VWK192" s="5"/>
      <c r="VWL192" s="5"/>
      <c r="VWM192" s="5"/>
      <c r="VWN192" s="5"/>
      <c r="VWO192" s="5"/>
      <c r="VWP192" s="5"/>
      <c r="VWQ192" s="5"/>
      <c r="VWR192" s="5"/>
      <c r="VWS192" s="5"/>
      <c r="VWT192" s="5"/>
      <c r="VWU192" s="5"/>
      <c r="VWV192" s="5"/>
      <c r="VWW192" s="5"/>
      <c r="VWX192" s="5"/>
      <c r="VWY192" s="5"/>
      <c r="VWZ192" s="5"/>
      <c r="VXA192" s="5"/>
      <c r="VXB192" s="5"/>
      <c r="VXC192" s="5"/>
      <c r="VXD192" s="5"/>
      <c r="VXE192" s="5"/>
      <c r="VXF192" s="5"/>
      <c r="VXG192" s="5"/>
      <c r="VXH192" s="5"/>
      <c r="VXI192" s="5"/>
      <c r="VXJ192" s="5"/>
      <c r="VXK192" s="5"/>
      <c r="VXL192" s="5"/>
      <c r="VXM192" s="5"/>
      <c r="VXN192" s="5"/>
      <c r="VXO192" s="5"/>
      <c r="VXP192" s="5"/>
      <c r="VXQ192" s="5"/>
      <c r="VXR192" s="5"/>
      <c r="VXS192" s="5"/>
      <c r="VXT192" s="5"/>
      <c r="VXU192" s="5"/>
      <c r="VXV192" s="5"/>
      <c r="VXW192" s="5"/>
      <c r="VXX192" s="5"/>
      <c r="VXY192" s="5"/>
      <c r="VXZ192" s="5"/>
      <c r="VYA192" s="5"/>
      <c r="VYB192" s="5"/>
      <c r="VYC192" s="5"/>
      <c r="VYD192" s="5"/>
      <c r="VYE192" s="5"/>
      <c r="VYF192" s="5"/>
      <c r="VYG192" s="5"/>
      <c r="VYH192" s="5"/>
      <c r="VYI192" s="5"/>
      <c r="VYJ192" s="5"/>
      <c r="VYK192" s="5"/>
      <c r="VYL192" s="5"/>
      <c r="VYM192" s="5"/>
      <c r="VYN192" s="5"/>
      <c r="VYO192" s="5"/>
      <c r="VYP192" s="5"/>
      <c r="VYQ192" s="5"/>
      <c r="VYR192" s="5"/>
      <c r="VYS192" s="5"/>
      <c r="VYT192" s="5"/>
      <c r="VYU192" s="5"/>
      <c r="VYV192" s="5"/>
      <c r="VYW192" s="5"/>
      <c r="VYX192" s="5"/>
      <c r="VYY192" s="5"/>
      <c r="VYZ192" s="5"/>
      <c r="VZA192" s="5"/>
      <c r="VZB192" s="5"/>
      <c r="VZC192" s="5"/>
      <c r="VZD192" s="5"/>
      <c r="VZE192" s="5"/>
      <c r="VZF192" s="5"/>
      <c r="VZG192" s="5"/>
      <c r="VZH192" s="5"/>
      <c r="VZI192" s="5"/>
      <c r="VZJ192" s="5"/>
      <c r="VZK192" s="5"/>
      <c r="VZL192" s="5"/>
      <c r="VZM192" s="5"/>
      <c r="VZN192" s="5"/>
      <c r="VZO192" s="5"/>
      <c r="VZP192" s="5"/>
      <c r="VZQ192" s="5"/>
      <c r="VZR192" s="5"/>
      <c r="VZS192" s="5"/>
      <c r="VZT192" s="5"/>
      <c r="VZU192" s="5"/>
      <c r="VZV192" s="5"/>
      <c r="VZW192" s="5"/>
      <c r="VZX192" s="5"/>
      <c r="VZY192" s="5"/>
      <c r="VZZ192" s="5"/>
      <c r="WAA192" s="5"/>
      <c r="WAB192" s="5"/>
      <c r="WAC192" s="5"/>
      <c r="WAD192" s="5"/>
      <c r="WAE192" s="5"/>
      <c r="WAF192" s="5"/>
      <c r="WAG192" s="5"/>
      <c r="WAH192" s="5"/>
      <c r="WAI192" s="5"/>
      <c r="WAJ192" s="5"/>
      <c r="WAK192" s="5"/>
      <c r="WAL192" s="5"/>
      <c r="WAM192" s="5"/>
      <c r="WAN192" s="5"/>
      <c r="WAO192" s="5"/>
      <c r="WAP192" s="5"/>
      <c r="WAQ192" s="5"/>
      <c r="WAR192" s="5"/>
      <c r="WAS192" s="5"/>
      <c r="WAT192" s="5"/>
      <c r="WAU192" s="5"/>
      <c r="WAV192" s="5"/>
      <c r="WAW192" s="5"/>
      <c r="WAX192" s="5"/>
      <c r="WAY192" s="5"/>
      <c r="WAZ192" s="5"/>
      <c r="WBA192" s="5"/>
      <c r="WBB192" s="5"/>
      <c r="WBC192" s="5"/>
      <c r="WBD192" s="5"/>
      <c r="WBE192" s="5"/>
      <c r="WBF192" s="5"/>
      <c r="WBG192" s="5"/>
      <c r="WBH192" s="5"/>
      <c r="WBI192" s="5"/>
      <c r="WBJ192" s="5"/>
      <c r="WBK192" s="5"/>
      <c r="WBL192" s="5"/>
      <c r="WBM192" s="5"/>
      <c r="WBN192" s="5"/>
      <c r="WBO192" s="5"/>
      <c r="WBP192" s="5"/>
      <c r="WBQ192" s="5"/>
      <c r="WBR192" s="5"/>
      <c r="WBS192" s="5"/>
      <c r="WBT192" s="5"/>
      <c r="WBU192" s="5"/>
      <c r="WBV192" s="5"/>
      <c r="WBW192" s="5"/>
      <c r="WBX192" s="5"/>
      <c r="WBY192" s="5"/>
      <c r="WBZ192" s="5"/>
      <c r="WCA192" s="5"/>
      <c r="WCB192" s="5"/>
      <c r="WCC192" s="5"/>
      <c r="WCD192" s="5"/>
      <c r="WCE192" s="5"/>
      <c r="WCF192" s="5"/>
      <c r="WCG192" s="5"/>
      <c r="WCH192" s="5"/>
      <c r="WCI192" s="5"/>
      <c r="WCJ192" s="5"/>
      <c r="WCK192" s="5"/>
      <c r="WCL192" s="5"/>
      <c r="WCM192" s="5"/>
      <c r="WCN192" s="5"/>
      <c r="WCO192" s="5"/>
      <c r="WCP192" s="5"/>
      <c r="WCQ192" s="5"/>
      <c r="WCR192" s="5"/>
      <c r="WCS192" s="5"/>
      <c r="WCT192" s="5"/>
      <c r="WCU192" s="5"/>
      <c r="WCV192" s="5"/>
      <c r="WCW192" s="5"/>
      <c r="WCX192" s="5"/>
      <c r="WCY192" s="5"/>
      <c r="WCZ192" s="5"/>
      <c r="WDA192" s="5"/>
      <c r="WDB192" s="5"/>
      <c r="WDC192" s="5"/>
      <c r="WDD192" s="5"/>
      <c r="WDE192" s="5"/>
      <c r="WDF192" s="5"/>
      <c r="WDG192" s="5"/>
      <c r="WDH192" s="5"/>
      <c r="WDI192" s="5"/>
      <c r="WDJ192" s="5"/>
      <c r="WDK192" s="5"/>
      <c r="WDL192" s="5"/>
      <c r="WDM192" s="5"/>
      <c r="WDN192" s="5"/>
      <c r="WDO192" s="5"/>
      <c r="WDP192" s="5"/>
      <c r="WDQ192" s="5"/>
      <c r="WDR192" s="5"/>
      <c r="WDS192" s="5"/>
      <c r="WDT192" s="5"/>
      <c r="WDU192" s="5"/>
      <c r="WDV192" s="5"/>
      <c r="WDW192" s="5"/>
      <c r="WDX192" s="5"/>
      <c r="WDY192" s="5"/>
      <c r="WDZ192" s="5"/>
      <c r="WEA192" s="5"/>
      <c r="WEB192" s="5"/>
      <c r="WEC192" s="5"/>
      <c r="WED192" s="5"/>
      <c r="WEE192" s="5"/>
      <c r="WEF192" s="5"/>
      <c r="WEG192" s="5"/>
      <c r="WEH192" s="5"/>
      <c r="WEI192" s="5"/>
      <c r="WEJ192" s="5"/>
      <c r="WEK192" s="5"/>
      <c r="WEL192" s="5"/>
      <c r="WEM192" s="5"/>
      <c r="WEN192" s="5"/>
      <c r="WEO192" s="5"/>
      <c r="WEP192" s="5"/>
      <c r="WEQ192" s="5"/>
      <c r="WER192" s="5"/>
      <c r="WES192" s="5"/>
      <c r="WET192" s="5"/>
      <c r="WEU192" s="5"/>
      <c r="WEV192" s="5"/>
      <c r="WEW192" s="5"/>
      <c r="WEX192" s="5"/>
      <c r="WEY192" s="5"/>
      <c r="WEZ192" s="5"/>
      <c r="WFA192" s="5"/>
      <c r="WFB192" s="5"/>
      <c r="WFC192" s="5"/>
      <c r="WFD192" s="5"/>
      <c r="WFE192" s="5"/>
      <c r="WFF192" s="5"/>
      <c r="WFG192" s="5"/>
      <c r="WFH192" s="5"/>
      <c r="WFI192" s="5"/>
      <c r="WFJ192" s="5"/>
      <c r="WFK192" s="5"/>
      <c r="WFL192" s="5"/>
      <c r="WFM192" s="5"/>
      <c r="WFN192" s="5"/>
      <c r="WFO192" s="5"/>
      <c r="WFP192" s="5"/>
      <c r="WFQ192" s="5"/>
      <c r="WFR192" s="5"/>
      <c r="WFS192" s="5"/>
      <c r="WFT192" s="5"/>
      <c r="WFU192" s="5"/>
      <c r="WFV192" s="5"/>
      <c r="WFW192" s="5"/>
      <c r="WFX192" s="5"/>
      <c r="WFY192" s="5"/>
      <c r="WFZ192" s="5"/>
      <c r="WGA192" s="5"/>
      <c r="WGB192" s="5"/>
      <c r="WGC192" s="5"/>
      <c r="WGD192" s="5"/>
      <c r="WGE192" s="5"/>
      <c r="WGF192" s="5"/>
      <c r="WGG192" s="5"/>
      <c r="WGH192" s="5"/>
      <c r="WGI192" s="5"/>
      <c r="WGJ192" s="5"/>
      <c r="WGK192" s="5"/>
      <c r="WGL192" s="5"/>
      <c r="WGM192" s="5"/>
      <c r="WGN192" s="5"/>
      <c r="WGO192" s="5"/>
      <c r="WGP192" s="5"/>
      <c r="WGQ192" s="5"/>
      <c r="WGR192" s="5"/>
      <c r="WGS192" s="5"/>
      <c r="WGT192" s="5"/>
      <c r="WGU192" s="5"/>
      <c r="WGV192" s="5"/>
      <c r="WGW192" s="5"/>
      <c r="WGX192" s="5"/>
      <c r="WGY192" s="5"/>
      <c r="WGZ192" s="5"/>
      <c r="WHA192" s="5"/>
      <c r="WHB192" s="5"/>
      <c r="WHC192" s="5"/>
      <c r="WHD192" s="5"/>
      <c r="WHE192" s="5"/>
      <c r="WHF192" s="5"/>
      <c r="WHG192" s="5"/>
      <c r="WHH192" s="5"/>
      <c r="WHI192" s="5"/>
      <c r="WHJ192" s="5"/>
      <c r="WHK192" s="5"/>
      <c r="WHL192" s="5"/>
      <c r="WHM192" s="5"/>
      <c r="WHN192" s="5"/>
      <c r="WHO192" s="5"/>
      <c r="WHP192" s="5"/>
      <c r="WHQ192" s="5"/>
      <c r="WHR192" s="5"/>
      <c r="WHS192" s="5"/>
      <c r="WHT192" s="5"/>
      <c r="WHU192" s="5"/>
      <c r="WHV192" s="5"/>
      <c r="WHW192" s="5"/>
      <c r="WHX192" s="5"/>
      <c r="WHY192" s="5"/>
      <c r="WHZ192" s="5"/>
      <c r="WIA192" s="5"/>
      <c r="WIB192" s="5"/>
      <c r="WIC192" s="5"/>
      <c r="WID192" s="5"/>
      <c r="WIE192" s="5"/>
      <c r="WIF192" s="5"/>
      <c r="WIG192" s="5"/>
      <c r="WIH192" s="5"/>
      <c r="WII192" s="5"/>
      <c r="WIJ192" s="5"/>
      <c r="WIK192" s="5"/>
      <c r="WIL192" s="5"/>
      <c r="WIM192" s="5"/>
      <c r="WIN192" s="5"/>
      <c r="WIO192" s="5"/>
      <c r="WIP192" s="5"/>
      <c r="WIQ192" s="5"/>
      <c r="WIR192" s="5"/>
      <c r="WIS192" s="5"/>
      <c r="WIT192" s="5"/>
      <c r="WIU192" s="5"/>
      <c r="WIV192" s="5"/>
      <c r="WIW192" s="5"/>
      <c r="WIX192" s="5"/>
      <c r="WIY192" s="5"/>
      <c r="WIZ192" s="5"/>
      <c r="WJA192" s="5"/>
      <c r="WJB192" s="5"/>
      <c r="WJC192" s="5"/>
      <c r="WJD192" s="5"/>
      <c r="WJE192" s="5"/>
      <c r="WJF192" s="5"/>
      <c r="WJG192" s="5"/>
      <c r="WJH192" s="5"/>
      <c r="WJI192" s="5"/>
      <c r="WJJ192" s="5"/>
      <c r="WJK192" s="5"/>
      <c r="WJL192" s="5"/>
      <c r="WJM192" s="5"/>
      <c r="WJN192" s="5"/>
      <c r="WJO192" s="5"/>
      <c r="WJP192" s="5"/>
      <c r="WJQ192" s="5"/>
      <c r="WJR192" s="5"/>
      <c r="WJS192" s="5"/>
      <c r="WJT192" s="5"/>
      <c r="WJU192" s="5"/>
      <c r="WJV192" s="5"/>
      <c r="WJW192" s="5"/>
      <c r="WJX192" s="5"/>
      <c r="WJY192" s="5"/>
      <c r="WJZ192" s="5"/>
      <c r="WKA192" s="5"/>
      <c r="WKB192" s="5"/>
      <c r="WKC192" s="5"/>
      <c r="WKD192" s="5"/>
      <c r="WKE192" s="5"/>
      <c r="WKF192" s="5"/>
      <c r="WKG192" s="5"/>
      <c r="WKH192" s="5"/>
      <c r="WKI192" s="5"/>
      <c r="WKJ192" s="5"/>
      <c r="WKK192" s="5"/>
      <c r="WKL192" s="5"/>
      <c r="WKM192" s="5"/>
      <c r="WKN192" s="5"/>
      <c r="WKO192" s="5"/>
      <c r="WKP192" s="5"/>
      <c r="WKQ192" s="5"/>
      <c r="WKR192" s="5"/>
      <c r="WKS192" s="5"/>
      <c r="WKT192" s="5"/>
      <c r="WKU192" s="5"/>
      <c r="WKV192" s="5"/>
      <c r="WKW192" s="5"/>
      <c r="WKX192" s="5"/>
      <c r="WKY192" s="5"/>
      <c r="WKZ192" s="5"/>
      <c r="WLA192" s="5"/>
      <c r="WLB192" s="5"/>
      <c r="WLC192" s="5"/>
      <c r="WLD192" s="5"/>
      <c r="WLE192" s="5"/>
      <c r="WLF192" s="5"/>
      <c r="WLG192" s="5"/>
      <c r="WLH192" s="5"/>
      <c r="WLI192" s="5"/>
      <c r="WLJ192" s="5"/>
      <c r="WLK192" s="5"/>
      <c r="WLL192" s="5"/>
      <c r="WLM192" s="5"/>
      <c r="WLN192" s="5"/>
      <c r="WLO192" s="5"/>
      <c r="WLP192" s="5"/>
      <c r="WLQ192" s="5"/>
      <c r="WLR192" s="5"/>
      <c r="WLS192" s="5"/>
      <c r="WLT192" s="5"/>
      <c r="WLU192" s="5"/>
      <c r="WLV192" s="5"/>
      <c r="WLW192" s="5"/>
      <c r="WLX192" s="5"/>
      <c r="WLY192" s="5"/>
      <c r="WLZ192" s="5"/>
      <c r="WMA192" s="5"/>
      <c r="WMB192" s="5"/>
      <c r="WMC192" s="5"/>
      <c r="WMD192" s="5"/>
      <c r="WME192" s="5"/>
      <c r="WMF192" s="5"/>
      <c r="WMG192" s="5"/>
      <c r="WMH192" s="5"/>
      <c r="WMI192" s="5"/>
      <c r="WMJ192" s="5"/>
      <c r="WMK192" s="5"/>
      <c r="WML192" s="5"/>
      <c r="WMM192" s="5"/>
      <c r="WMN192" s="5"/>
      <c r="WMO192" s="5"/>
      <c r="WMP192" s="5"/>
      <c r="WMQ192" s="5"/>
      <c r="WMR192" s="5"/>
      <c r="WMS192" s="5"/>
      <c r="WMT192" s="5"/>
      <c r="WMU192" s="5"/>
      <c r="WMV192" s="5"/>
      <c r="WMW192" s="5"/>
      <c r="WMX192" s="5"/>
      <c r="WMY192" s="5"/>
      <c r="WMZ192" s="5"/>
      <c r="WNA192" s="5"/>
      <c r="WNB192" s="5"/>
      <c r="WNC192" s="5"/>
      <c r="WND192" s="5"/>
      <c r="WNE192" s="5"/>
      <c r="WNF192" s="5"/>
      <c r="WNG192" s="5"/>
      <c r="WNH192" s="5"/>
      <c r="WNI192" s="5"/>
      <c r="WNJ192" s="5"/>
      <c r="WNK192" s="5"/>
      <c r="WNL192" s="5"/>
      <c r="WNM192" s="5"/>
      <c r="WNN192" s="5"/>
      <c r="WNO192" s="5"/>
      <c r="WNP192" s="5"/>
      <c r="WNQ192" s="5"/>
      <c r="WNR192" s="5"/>
      <c r="WNS192" s="5"/>
      <c r="WNT192" s="5"/>
      <c r="WNU192" s="5"/>
      <c r="WNV192" s="5"/>
      <c r="WNW192" s="5"/>
      <c r="WNX192" s="5"/>
      <c r="WNY192" s="5"/>
      <c r="WNZ192" s="5"/>
      <c r="WOA192" s="5"/>
      <c r="WOB192" s="5"/>
      <c r="WOC192" s="5"/>
      <c r="WOD192" s="5"/>
      <c r="WOE192" s="5"/>
      <c r="WOF192" s="5"/>
      <c r="WOG192" s="5"/>
      <c r="WOH192" s="5"/>
      <c r="WOI192" s="5"/>
      <c r="WOJ192" s="5"/>
      <c r="WOK192" s="5"/>
      <c r="WOL192" s="5"/>
      <c r="WOM192" s="5"/>
      <c r="WON192" s="5"/>
      <c r="WOO192" s="5"/>
      <c r="WOP192" s="5"/>
      <c r="WOQ192" s="5"/>
      <c r="WOR192" s="5"/>
      <c r="WOS192" s="5"/>
      <c r="WOT192" s="5"/>
      <c r="WOU192" s="5"/>
      <c r="WOV192" s="5"/>
      <c r="WOW192" s="5"/>
      <c r="WOX192" s="5"/>
      <c r="WOY192" s="5"/>
      <c r="WOZ192" s="5"/>
      <c r="WPA192" s="5"/>
      <c r="WPB192" s="5"/>
      <c r="WPC192" s="5"/>
      <c r="WPD192" s="5"/>
      <c r="WPE192" s="5"/>
      <c r="WPF192" s="5"/>
      <c r="WPG192" s="5"/>
      <c r="WPH192" s="5"/>
      <c r="WPI192" s="5"/>
      <c r="WPJ192" s="5"/>
      <c r="WPK192" s="5"/>
      <c r="WPL192" s="5"/>
      <c r="WPM192" s="5"/>
      <c r="WPN192" s="5"/>
      <c r="WPO192" s="5"/>
      <c r="WPP192" s="5"/>
      <c r="WPQ192" s="5"/>
      <c r="WPR192" s="5"/>
      <c r="WPS192" s="5"/>
      <c r="WPT192" s="5"/>
      <c r="WPU192" s="5"/>
      <c r="WPV192" s="5"/>
      <c r="WPW192" s="5"/>
      <c r="WPX192" s="5"/>
      <c r="WPY192" s="5"/>
      <c r="WPZ192" s="5"/>
      <c r="WQA192" s="5"/>
      <c r="WQB192" s="5"/>
      <c r="WQC192" s="5"/>
      <c r="WQD192" s="5"/>
      <c r="WQE192" s="5"/>
      <c r="WQF192" s="5"/>
      <c r="WQG192" s="5"/>
      <c r="WQH192" s="5"/>
      <c r="WQI192" s="5"/>
      <c r="WQJ192" s="5"/>
      <c r="WQK192" s="5"/>
      <c r="WQL192" s="5"/>
      <c r="WQM192" s="5"/>
      <c r="WQN192" s="5"/>
      <c r="WQO192" s="5"/>
      <c r="WQP192" s="5"/>
      <c r="WQQ192" s="5"/>
      <c r="WQR192" s="5"/>
      <c r="WQS192" s="5"/>
      <c r="WQT192" s="5"/>
      <c r="WQU192" s="5"/>
      <c r="WQV192" s="5"/>
      <c r="WQW192" s="5"/>
      <c r="WQX192" s="5"/>
      <c r="WQY192" s="5"/>
      <c r="WQZ192" s="5"/>
      <c r="WRA192" s="5"/>
      <c r="WRB192" s="5"/>
      <c r="WRC192" s="5"/>
      <c r="WRD192" s="5"/>
      <c r="WRE192" s="5"/>
      <c r="WRF192" s="5"/>
      <c r="WRG192" s="5"/>
      <c r="WRH192" s="5"/>
      <c r="WRI192" s="5"/>
      <c r="WRJ192" s="5"/>
      <c r="WRK192" s="5"/>
      <c r="WRL192" s="5"/>
      <c r="WRM192" s="5"/>
      <c r="WRN192" s="5"/>
      <c r="WRO192" s="5"/>
      <c r="WRP192" s="5"/>
      <c r="WRQ192" s="5"/>
      <c r="WRR192" s="5"/>
      <c r="WRS192" s="5"/>
      <c r="WRT192" s="5"/>
      <c r="WRU192" s="5"/>
      <c r="WRV192" s="5"/>
      <c r="WRW192" s="5"/>
      <c r="WRX192" s="5"/>
      <c r="WRY192" s="5"/>
      <c r="WRZ192" s="5"/>
      <c r="WSA192" s="5"/>
      <c r="WSB192" s="5"/>
      <c r="WSC192" s="5"/>
      <c r="WSD192" s="5"/>
      <c r="WSE192" s="5"/>
      <c r="WSF192" s="5"/>
      <c r="WSG192" s="5"/>
      <c r="WSH192" s="5"/>
      <c r="WSI192" s="5"/>
      <c r="WSJ192" s="5"/>
      <c r="WSK192" s="5"/>
      <c r="WSL192" s="5"/>
      <c r="WSM192" s="5"/>
      <c r="WSN192" s="5"/>
      <c r="WSO192" s="5"/>
      <c r="WSP192" s="5"/>
      <c r="WSQ192" s="5"/>
      <c r="WSR192" s="5"/>
      <c r="WSS192" s="5"/>
      <c r="WST192" s="5"/>
      <c r="WSU192" s="5"/>
      <c r="WSV192" s="5"/>
      <c r="WSW192" s="5"/>
      <c r="WSX192" s="5"/>
      <c r="WSY192" s="5"/>
      <c r="WSZ192" s="5"/>
      <c r="WTA192" s="5"/>
      <c r="WTB192" s="5"/>
      <c r="WTC192" s="5"/>
      <c r="WTD192" s="5"/>
      <c r="WTE192" s="5"/>
      <c r="WTF192" s="5"/>
      <c r="WTG192" s="5"/>
      <c r="WTH192" s="5"/>
      <c r="WTI192" s="5"/>
      <c r="WTJ192" s="5"/>
      <c r="WTK192" s="5"/>
      <c r="WTL192" s="5"/>
      <c r="WTM192" s="5"/>
      <c r="WTN192" s="5"/>
      <c r="WTO192" s="5"/>
      <c r="WTP192" s="5"/>
      <c r="WTQ192" s="5"/>
      <c r="WTR192" s="5"/>
      <c r="WTS192" s="5"/>
      <c r="WTT192" s="5"/>
      <c r="WTU192" s="5"/>
      <c r="WTV192" s="5"/>
      <c r="WTW192" s="5"/>
      <c r="WTX192" s="5"/>
      <c r="WTY192" s="5"/>
      <c r="WTZ192" s="5"/>
      <c r="WUA192" s="5"/>
      <c r="WUB192" s="5"/>
      <c r="WUC192" s="5"/>
      <c r="WUD192" s="5"/>
      <c r="WUE192" s="5"/>
      <c r="WUF192" s="5"/>
      <c r="WUG192" s="5"/>
      <c r="WUH192" s="5"/>
      <c r="WUI192" s="5"/>
      <c r="WUJ192" s="5"/>
      <c r="WUK192" s="5"/>
      <c r="WUL192" s="5"/>
      <c r="WUM192" s="5"/>
      <c r="WUN192" s="5"/>
      <c r="WUO192" s="5"/>
      <c r="WUP192" s="5"/>
      <c r="WUQ192" s="5"/>
      <c r="WUR192" s="5"/>
      <c r="WUS192" s="5"/>
      <c r="WUT192" s="5"/>
      <c r="WUU192" s="5"/>
      <c r="WUV192" s="5"/>
      <c r="WUW192" s="5"/>
      <c r="WUX192" s="5"/>
      <c r="WUY192" s="5"/>
      <c r="WUZ192" s="5"/>
      <c r="WVA192" s="5"/>
      <c r="WVB192" s="5"/>
      <c r="WVC192" s="5"/>
      <c r="WVD192" s="5"/>
      <c r="WVE192" s="5"/>
      <c r="WVF192" s="5"/>
      <c r="WVG192" s="5"/>
      <c r="WVH192" s="5"/>
      <c r="WVI192" s="5"/>
      <c r="WVJ192" s="5"/>
      <c r="WVK192" s="5"/>
      <c r="WVL192" s="5"/>
      <c r="WVM192" s="5"/>
      <c r="WVN192" s="5"/>
      <c r="WVO192" s="5"/>
      <c r="WVP192" s="5"/>
      <c r="WVQ192" s="5"/>
      <c r="WVR192" s="5"/>
      <c r="WVS192" s="5"/>
      <c r="WVT192" s="5"/>
      <c r="WVU192" s="5"/>
      <c r="WVV192" s="5"/>
      <c r="WVW192" s="5"/>
      <c r="WVX192" s="5"/>
      <c r="WVY192" s="5"/>
      <c r="WVZ192" s="5"/>
      <c r="WWA192" s="5"/>
      <c r="WWB192" s="5"/>
      <c r="WWC192" s="5"/>
      <c r="WWD192" s="5"/>
      <c r="WWE192" s="5"/>
      <c r="WWF192" s="5"/>
      <c r="WWG192" s="5"/>
      <c r="WWH192" s="5"/>
      <c r="WWI192" s="5"/>
      <c r="WWJ192" s="5"/>
      <c r="WWK192" s="5"/>
      <c r="WWL192" s="5"/>
      <c r="WWM192" s="5"/>
      <c r="WWN192" s="5"/>
      <c r="WWO192" s="5"/>
      <c r="WWP192" s="5"/>
      <c r="WWQ192" s="5"/>
      <c r="WWR192" s="5"/>
      <c r="WWS192" s="5"/>
      <c r="WWT192" s="5"/>
      <c r="WWU192" s="5"/>
      <c r="WWV192" s="5"/>
      <c r="WWW192" s="5"/>
      <c r="WWX192" s="5"/>
      <c r="WWY192" s="5"/>
      <c r="WWZ192" s="5"/>
      <c r="WXA192" s="5"/>
      <c r="WXB192" s="5"/>
      <c r="WXC192" s="5"/>
      <c r="WXD192" s="5"/>
      <c r="WXE192" s="5"/>
      <c r="WXF192" s="5"/>
      <c r="WXG192" s="5"/>
      <c r="WXH192" s="5"/>
      <c r="WXI192" s="5"/>
      <c r="WXJ192" s="5"/>
      <c r="WXK192" s="5"/>
      <c r="WXL192" s="5"/>
      <c r="WXM192" s="5"/>
      <c r="WXN192" s="5"/>
      <c r="WXO192" s="5"/>
      <c r="WXP192" s="5"/>
      <c r="WXQ192" s="5"/>
      <c r="WXR192" s="5"/>
      <c r="WXS192" s="5"/>
      <c r="WXT192" s="5"/>
      <c r="WXU192" s="5"/>
      <c r="WXV192" s="5"/>
      <c r="WXW192" s="5"/>
      <c r="WXX192" s="5"/>
      <c r="WXY192" s="5"/>
      <c r="WXZ192" s="5"/>
      <c r="WYA192" s="5"/>
      <c r="WYB192" s="5"/>
      <c r="WYC192" s="5"/>
      <c r="WYD192" s="5"/>
      <c r="WYE192" s="5"/>
      <c r="WYF192" s="5"/>
      <c r="WYG192" s="5"/>
      <c r="WYH192" s="5"/>
      <c r="WYI192" s="5"/>
      <c r="WYJ192" s="5"/>
      <c r="WYK192" s="5"/>
      <c r="WYL192" s="5"/>
      <c r="WYM192" s="5"/>
      <c r="WYN192" s="5"/>
      <c r="WYO192" s="5"/>
      <c r="WYP192" s="5"/>
      <c r="WYQ192" s="5"/>
      <c r="WYR192" s="5"/>
      <c r="WYS192" s="5"/>
      <c r="WYT192" s="5"/>
      <c r="WYU192" s="5"/>
      <c r="WYV192" s="5"/>
      <c r="WYW192" s="5"/>
      <c r="WYX192" s="5"/>
      <c r="WYY192" s="5"/>
      <c r="WYZ192" s="5"/>
      <c r="WZA192" s="5"/>
      <c r="WZB192" s="5"/>
      <c r="WZC192" s="5"/>
      <c r="WZD192" s="5"/>
      <c r="WZE192" s="5"/>
      <c r="WZF192" s="5"/>
      <c r="WZG192" s="5"/>
      <c r="WZH192" s="5"/>
      <c r="WZI192" s="5"/>
      <c r="WZJ192" s="5"/>
      <c r="WZK192" s="5"/>
      <c r="WZL192" s="5"/>
      <c r="WZM192" s="5"/>
      <c r="WZN192" s="5"/>
      <c r="WZO192" s="5"/>
      <c r="WZP192" s="5"/>
      <c r="WZQ192" s="5"/>
      <c r="WZR192" s="5"/>
      <c r="WZS192" s="5"/>
      <c r="WZT192" s="5"/>
      <c r="WZU192" s="5"/>
      <c r="WZV192" s="5"/>
      <c r="WZW192" s="5"/>
      <c r="WZX192" s="5"/>
      <c r="WZY192" s="5"/>
      <c r="WZZ192" s="5"/>
      <c r="XAA192" s="5"/>
      <c r="XAB192" s="5"/>
      <c r="XAC192" s="5"/>
      <c r="XAD192" s="5"/>
      <c r="XAE192" s="5"/>
      <c r="XAF192" s="5"/>
      <c r="XAG192" s="5"/>
      <c r="XAH192" s="5"/>
      <c r="XAI192" s="5"/>
      <c r="XAJ192" s="5"/>
      <c r="XAK192" s="5"/>
      <c r="XAL192" s="5"/>
      <c r="XAM192" s="5"/>
      <c r="XAN192" s="5"/>
      <c r="XAO192" s="5"/>
      <c r="XAP192" s="5"/>
      <c r="XAQ192" s="5"/>
      <c r="XAR192" s="5"/>
      <c r="XAS192" s="5"/>
      <c r="XAT192" s="5"/>
      <c r="XAU192" s="5"/>
      <c r="XAV192" s="5"/>
      <c r="XAW192" s="5"/>
      <c r="XAX192" s="5"/>
      <c r="XAY192" s="5"/>
      <c r="XAZ192" s="5"/>
      <c r="XBA192" s="5"/>
      <c r="XBB192" s="5"/>
      <c r="XBC192" s="5"/>
      <c r="XBD192" s="5"/>
      <c r="XBE192" s="5"/>
      <c r="XBF192" s="5"/>
      <c r="XBG192" s="5"/>
      <c r="XBH192" s="5"/>
      <c r="XBI192" s="5"/>
      <c r="XBJ192" s="5"/>
      <c r="XBK192" s="5"/>
      <c r="XBL192" s="5"/>
      <c r="XBM192" s="5"/>
      <c r="XBN192" s="5"/>
      <c r="XBO192" s="5"/>
      <c r="XBP192" s="5"/>
      <c r="XBQ192" s="5"/>
      <c r="XBR192" s="5"/>
      <c r="XBS192" s="5"/>
      <c r="XBT192" s="5"/>
      <c r="XBU192" s="5"/>
      <c r="XBV192" s="5"/>
      <c r="XBW192" s="5"/>
      <c r="XBX192" s="5"/>
      <c r="XBY192" s="5"/>
      <c r="XBZ192" s="5"/>
      <c r="XCA192" s="5"/>
      <c r="XCB192" s="5"/>
      <c r="XCC192" s="5"/>
      <c r="XCD192" s="5"/>
      <c r="XCE192" s="5"/>
      <c r="XCF192" s="5"/>
      <c r="XCG192" s="5"/>
      <c r="XCH192" s="5"/>
      <c r="XCI192" s="5"/>
      <c r="XCJ192" s="5"/>
      <c r="XCK192" s="5"/>
      <c r="XCL192" s="5"/>
      <c r="XCM192" s="5"/>
      <c r="XCN192" s="5"/>
      <c r="XCO192" s="5"/>
      <c r="XCP192" s="5"/>
      <c r="XCQ192" s="5"/>
      <c r="XCR192" s="5"/>
      <c r="XCS192" s="5"/>
      <c r="XCT192" s="5"/>
      <c r="XCU192" s="5"/>
      <c r="XCV192" s="5"/>
      <c r="XCW192" s="5"/>
      <c r="XCX192" s="5"/>
      <c r="XCY192" s="5"/>
      <c r="XCZ192" s="5"/>
      <c r="XDA192" s="5"/>
      <c r="XDB192" s="5"/>
      <c r="XDC192" s="5"/>
      <c r="XDD192" s="5"/>
      <c r="XDE192" s="5"/>
      <c r="XDF192" s="5"/>
      <c r="XDG192" s="5"/>
      <c r="XDH192" s="5"/>
      <c r="XDI192" s="5"/>
      <c r="XDJ192" s="5"/>
      <c r="XDK192" s="5"/>
      <c r="XDL192" s="5"/>
      <c r="XDM192" s="5"/>
      <c r="XDN192" s="5"/>
      <c r="XDO192" s="5"/>
      <c r="XDP192" s="5"/>
      <c r="XDQ192" s="5"/>
      <c r="XDR192" s="5"/>
      <c r="XDS192" s="5"/>
      <c r="XDT192" s="5"/>
      <c r="XDU192" s="5"/>
      <c r="XDV192" s="5"/>
      <c r="XDW192" s="5"/>
      <c r="XDX192" s="5"/>
      <c r="XDY192" s="5"/>
      <c r="XDZ192" s="5"/>
      <c r="XEA192" s="5"/>
      <c r="XEB192" s="5"/>
      <c r="XEC192" s="5"/>
      <c r="XED192" s="5"/>
      <c r="XEE192" s="5"/>
      <c r="XEF192" s="5"/>
      <c r="XEG192" s="5"/>
      <c r="XEH192" s="5"/>
      <c r="XEI192" s="5"/>
      <c r="XEJ192" s="5"/>
      <c r="XEK192" s="5"/>
      <c r="XEL192" s="5"/>
      <c r="XEM192" s="5"/>
      <c r="XEN192" s="5"/>
      <c r="XEO192" s="5"/>
      <c r="XEP192" s="5"/>
    </row>
    <row r="193" spans="2:16370" ht="15.75" hidden="1" x14ac:dyDescent="0.25">
      <c r="B193" s="381"/>
      <c r="C193" s="381" t="s">
        <v>472</v>
      </c>
      <c r="D193" s="1988" t="e">
        <f>(H28*1.03*D28/365)*3.054/0.6/((0.00795*F36)-0.0014)/18.4</f>
        <v>#DIV/0!</v>
      </c>
      <c r="E193" s="1096">
        <f>0*3.054/0.6/(0.00795*D38-0.0014)/18.4</f>
        <v>0</v>
      </c>
      <c r="F193" s="1096">
        <f>0*3.054/0.6/(0.00795*D39-0.0014)/18.4</f>
        <v>0</v>
      </c>
      <c r="G193" s="1096">
        <f>0*3.054/0.6/(0.00795*D38-0.0014)/18.4</f>
        <v>0</v>
      </c>
      <c r="H193" s="1096">
        <f>0*3.054/0.6/(0.00795*D38-0.0014)/18.4</f>
        <v>0</v>
      </c>
      <c r="I193" s="381"/>
      <c r="J193" s="381"/>
      <c r="K193" s="386" t="s">
        <v>269</v>
      </c>
      <c r="L193" s="382"/>
      <c r="M193" s="5"/>
      <c r="N193" s="5"/>
      <c r="O193" s="5"/>
      <c r="P193" s="5"/>
      <c r="Q193" s="5"/>
      <c r="R193" s="5"/>
      <c r="S193" s="5"/>
      <c r="T193" s="5"/>
      <c r="U193" s="5"/>
      <c r="V193" s="5"/>
      <c r="W193" s="5"/>
      <c r="X193" s="5"/>
      <c r="Y193" s="5"/>
      <c r="Z193" s="5"/>
      <c r="AA193" s="5"/>
      <c r="AB193" s="5"/>
      <c r="AC193" s="5"/>
      <c r="AD193" s="5"/>
      <c r="AE193" s="358"/>
      <c r="AF193" s="358"/>
      <c r="AJ193" s="360"/>
      <c r="AK193" s="360"/>
      <c r="AL193" s="360"/>
      <c r="AM193" s="360"/>
      <c r="AN193" s="360"/>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c r="BHB193" s="5"/>
      <c r="BHC193" s="5"/>
      <c r="BHD193" s="5"/>
      <c r="BHE193" s="5"/>
      <c r="BHF193" s="5"/>
      <c r="BHG193" s="5"/>
      <c r="BHH193" s="5"/>
      <c r="BHI193" s="5"/>
      <c r="BHJ193" s="5"/>
      <c r="BHK193" s="5"/>
      <c r="BHL193" s="5"/>
      <c r="BHM193" s="5"/>
      <c r="BHN193" s="5"/>
      <c r="BHO193" s="5"/>
      <c r="BHP193" s="5"/>
      <c r="BHQ193" s="5"/>
      <c r="BHR193" s="5"/>
      <c r="BHS193" s="5"/>
      <c r="BHT193" s="5"/>
      <c r="BHU193" s="5"/>
      <c r="BHV193" s="5"/>
      <c r="BHW193" s="5"/>
      <c r="BHX193" s="5"/>
      <c r="BHY193" s="5"/>
      <c r="BHZ193" s="5"/>
      <c r="BIA193" s="5"/>
      <c r="BIB193" s="5"/>
      <c r="BIC193" s="5"/>
      <c r="BID193" s="5"/>
      <c r="BIE193" s="5"/>
      <c r="BIF193" s="5"/>
      <c r="BIG193" s="5"/>
      <c r="BIH193" s="5"/>
      <c r="BII193" s="5"/>
      <c r="BIJ193" s="5"/>
      <c r="BIK193" s="5"/>
      <c r="BIL193" s="5"/>
      <c r="BIM193" s="5"/>
      <c r="BIN193" s="5"/>
      <c r="BIO193" s="5"/>
      <c r="BIP193" s="5"/>
      <c r="BIQ193" s="5"/>
      <c r="BIR193" s="5"/>
      <c r="BIS193" s="5"/>
      <c r="BIT193" s="5"/>
      <c r="BIU193" s="5"/>
      <c r="BIV193" s="5"/>
      <c r="BIW193" s="5"/>
      <c r="BIX193" s="5"/>
      <c r="BIY193" s="5"/>
      <c r="BIZ193" s="5"/>
      <c r="BJA193" s="5"/>
      <c r="BJB193" s="5"/>
      <c r="BJC193" s="5"/>
      <c r="BJD193" s="5"/>
      <c r="BJE193" s="5"/>
      <c r="BJF193" s="5"/>
      <c r="BJG193" s="5"/>
      <c r="BJH193" s="5"/>
      <c r="BJI193" s="5"/>
      <c r="BJJ193" s="5"/>
      <c r="BJK193" s="5"/>
      <c r="BJL193" s="5"/>
      <c r="BJM193" s="5"/>
      <c r="BJN193" s="5"/>
      <c r="BJO193" s="5"/>
      <c r="BJP193" s="5"/>
      <c r="BJQ193" s="5"/>
      <c r="BJR193" s="5"/>
      <c r="BJS193" s="5"/>
      <c r="BJT193" s="5"/>
      <c r="BJU193" s="5"/>
      <c r="BJV193" s="5"/>
      <c r="BJW193" s="5"/>
      <c r="BJX193" s="5"/>
      <c r="BJY193" s="5"/>
      <c r="BJZ193" s="5"/>
      <c r="BKA193" s="5"/>
      <c r="BKB193" s="5"/>
      <c r="BKC193" s="5"/>
      <c r="BKD193" s="5"/>
      <c r="BKE193" s="5"/>
      <c r="BKF193" s="5"/>
      <c r="BKG193" s="5"/>
      <c r="BKH193" s="5"/>
      <c r="BKI193" s="5"/>
      <c r="BKJ193" s="5"/>
      <c r="BKK193" s="5"/>
      <c r="BKL193" s="5"/>
      <c r="BKM193" s="5"/>
      <c r="BKN193" s="5"/>
      <c r="BKO193" s="5"/>
      <c r="BKP193" s="5"/>
      <c r="BKQ193" s="5"/>
      <c r="BKR193" s="5"/>
      <c r="BKS193" s="5"/>
      <c r="BKT193" s="5"/>
      <c r="BKU193" s="5"/>
      <c r="BKV193" s="5"/>
      <c r="BKW193" s="5"/>
      <c r="BKX193" s="5"/>
      <c r="BKY193" s="5"/>
      <c r="BKZ193" s="5"/>
      <c r="BLA193" s="5"/>
      <c r="BLB193" s="5"/>
      <c r="BLC193" s="5"/>
      <c r="BLD193" s="5"/>
      <c r="BLE193" s="5"/>
      <c r="BLF193" s="5"/>
      <c r="BLG193" s="5"/>
      <c r="BLH193" s="5"/>
      <c r="BLI193" s="5"/>
      <c r="BLJ193" s="5"/>
      <c r="BLK193" s="5"/>
      <c r="BLL193" s="5"/>
      <c r="BLM193" s="5"/>
      <c r="BLN193" s="5"/>
      <c r="BLO193" s="5"/>
      <c r="BLP193" s="5"/>
      <c r="BLQ193" s="5"/>
      <c r="BLR193" s="5"/>
      <c r="BLS193" s="5"/>
      <c r="BLT193" s="5"/>
      <c r="BLU193" s="5"/>
      <c r="BLV193" s="5"/>
      <c r="BLW193" s="5"/>
      <c r="BLX193" s="5"/>
      <c r="BLY193" s="5"/>
      <c r="BLZ193" s="5"/>
      <c r="BMA193" s="5"/>
      <c r="BMB193" s="5"/>
      <c r="BMC193" s="5"/>
      <c r="BMD193" s="5"/>
      <c r="BME193" s="5"/>
      <c r="BMF193" s="5"/>
      <c r="BMG193" s="5"/>
      <c r="BMH193" s="5"/>
      <c r="BMI193" s="5"/>
      <c r="BMJ193" s="5"/>
      <c r="BMK193" s="5"/>
      <c r="BML193" s="5"/>
      <c r="BMM193" s="5"/>
      <c r="BMN193" s="5"/>
      <c r="BMO193" s="5"/>
      <c r="BMP193" s="5"/>
      <c r="BMQ193" s="5"/>
      <c r="BMR193" s="5"/>
      <c r="BMS193" s="5"/>
      <c r="BMT193" s="5"/>
      <c r="BMU193" s="5"/>
      <c r="BMV193" s="5"/>
      <c r="BMW193" s="5"/>
      <c r="BMX193" s="5"/>
      <c r="BMY193" s="5"/>
      <c r="BMZ193" s="5"/>
      <c r="BNA193" s="5"/>
      <c r="BNB193" s="5"/>
      <c r="BNC193" s="5"/>
      <c r="BND193" s="5"/>
      <c r="BNE193" s="5"/>
      <c r="BNF193" s="5"/>
      <c r="BNG193" s="5"/>
      <c r="BNH193" s="5"/>
      <c r="BNI193" s="5"/>
      <c r="BNJ193" s="5"/>
      <c r="BNK193" s="5"/>
      <c r="BNL193" s="5"/>
      <c r="BNM193" s="5"/>
      <c r="BNN193" s="5"/>
      <c r="BNO193" s="5"/>
      <c r="BNP193" s="5"/>
      <c r="BNQ193" s="5"/>
      <c r="BNR193" s="5"/>
      <c r="BNS193" s="5"/>
      <c r="BNT193" s="5"/>
      <c r="BNU193" s="5"/>
      <c r="BNV193" s="5"/>
      <c r="BNW193" s="5"/>
      <c r="BNX193" s="5"/>
      <c r="BNY193" s="5"/>
      <c r="BNZ193" s="5"/>
      <c r="BOA193" s="5"/>
      <c r="BOB193" s="5"/>
      <c r="BOC193" s="5"/>
      <c r="BOD193" s="5"/>
      <c r="BOE193" s="5"/>
      <c r="BOF193" s="5"/>
      <c r="BOG193" s="5"/>
      <c r="BOH193" s="5"/>
      <c r="BOI193" s="5"/>
      <c r="BOJ193" s="5"/>
      <c r="BOK193" s="5"/>
      <c r="BOL193" s="5"/>
      <c r="BOM193" s="5"/>
      <c r="BON193" s="5"/>
      <c r="BOO193" s="5"/>
      <c r="BOP193" s="5"/>
      <c r="BOQ193" s="5"/>
      <c r="BOR193" s="5"/>
      <c r="BOS193" s="5"/>
      <c r="BOT193" s="5"/>
      <c r="BOU193" s="5"/>
      <c r="BOV193" s="5"/>
      <c r="BOW193" s="5"/>
      <c r="BOX193" s="5"/>
      <c r="BOY193" s="5"/>
      <c r="BOZ193" s="5"/>
      <c r="BPA193" s="5"/>
      <c r="BPB193" s="5"/>
      <c r="BPC193" s="5"/>
      <c r="BPD193" s="5"/>
      <c r="BPE193" s="5"/>
      <c r="BPF193" s="5"/>
      <c r="BPG193" s="5"/>
      <c r="BPH193" s="5"/>
      <c r="BPI193" s="5"/>
      <c r="BPJ193" s="5"/>
      <c r="BPK193" s="5"/>
      <c r="BPL193" s="5"/>
      <c r="BPM193" s="5"/>
      <c r="BPN193" s="5"/>
      <c r="BPO193" s="5"/>
      <c r="BPP193" s="5"/>
      <c r="BPQ193" s="5"/>
      <c r="BPR193" s="5"/>
      <c r="BPS193" s="5"/>
      <c r="BPT193" s="5"/>
      <c r="BPU193" s="5"/>
      <c r="BPV193" s="5"/>
      <c r="BPW193" s="5"/>
      <c r="BPX193" s="5"/>
      <c r="BPY193" s="5"/>
      <c r="BPZ193" s="5"/>
      <c r="BQA193" s="5"/>
      <c r="BQB193" s="5"/>
      <c r="BQC193" s="5"/>
      <c r="BQD193" s="5"/>
      <c r="BQE193" s="5"/>
      <c r="BQF193" s="5"/>
      <c r="BQG193" s="5"/>
      <c r="BQH193" s="5"/>
      <c r="BQI193" s="5"/>
      <c r="BQJ193" s="5"/>
      <c r="BQK193" s="5"/>
      <c r="BQL193" s="5"/>
      <c r="BQM193" s="5"/>
      <c r="BQN193" s="5"/>
      <c r="BQO193" s="5"/>
      <c r="BQP193" s="5"/>
      <c r="BQQ193" s="5"/>
      <c r="BQR193" s="5"/>
      <c r="BQS193" s="5"/>
      <c r="BQT193" s="5"/>
      <c r="BQU193" s="5"/>
      <c r="BQV193" s="5"/>
      <c r="BQW193" s="5"/>
      <c r="BQX193" s="5"/>
      <c r="BQY193" s="5"/>
      <c r="BQZ193" s="5"/>
      <c r="BRA193" s="5"/>
      <c r="BRB193" s="5"/>
      <c r="BRC193" s="5"/>
      <c r="BRD193" s="5"/>
      <c r="BRE193" s="5"/>
      <c r="BRF193" s="5"/>
      <c r="BRG193" s="5"/>
      <c r="BRH193" s="5"/>
      <c r="BRI193" s="5"/>
      <c r="BRJ193" s="5"/>
      <c r="BRK193" s="5"/>
      <c r="BRL193" s="5"/>
      <c r="BRM193" s="5"/>
      <c r="BRN193" s="5"/>
      <c r="BRO193" s="5"/>
      <c r="BRP193" s="5"/>
      <c r="BRQ193" s="5"/>
      <c r="BRR193" s="5"/>
      <c r="BRS193" s="5"/>
      <c r="BRT193" s="5"/>
      <c r="BRU193" s="5"/>
      <c r="BRV193" s="5"/>
      <c r="BRW193" s="5"/>
      <c r="BRX193" s="5"/>
      <c r="BRY193" s="5"/>
      <c r="BRZ193" s="5"/>
      <c r="BSA193" s="5"/>
      <c r="BSB193" s="5"/>
      <c r="BSC193" s="5"/>
      <c r="BSD193" s="5"/>
      <c r="BSE193" s="5"/>
      <c r="BSF193" s="5"/>
      <c r="BSG193" s="5"/>
      <c r="BSH193" s="5"/>
      <c r="BSI193" s="5"/>
      <c r="BSJ193" s="5"/>
      <c r="BSK193" s="5"/>
      <c r="BSL193" s="5"/>
      <c r="BSM193" s="5"/>
      <c r="BSN193" s="5"/>
      <c r="BSO193" s="5"/>
      <c r="BSP193" s="5"/>
      <c r="BSQ193" s="5"/>
      <c r="BSR193" s="5"/>
      <c r="BSS193" s="5"/>
      <c r="BST193" s="5"/>
      <c r="BSU193" s="5"/>
      <c r="BSV193" s="5"/>
      <c r="BSW193" s="5"/>
      <c r="BSX193" s="5"/>
      <c r="BSY193" s="5"/>
      <c r="BSZ193" s="5"/>
      <c r="BTA193" s="5"/>
      <c r="BTB193" s="5"/>
      <c r="BTC193" s="5"/>
      <c r="BTD193" s="5"/>
      <c r="BTE193" s="5"/>
      <c r="BTF193" s="5"/>
      <c r="BTG193" s="5"/>
      <c r="BTH193" s="5"/>
      <c r="BTI193" s="5"/>
      <c r="BTJ193" s="5"/>
      <c r="BTK193" s="5"/>
      <c r="BTL193" s="5"/>
      <c r="BTM193" s="5"/>
      <c r="BTN193" s="5"/>
      <c r="BTO193" s="5"/>
      <c r="BTP193" s="5"/>
      <c r="BTQ193" s="5"/>
      <c r="BTR193" s="5"/>
      <c r="BTS193" s="5"/>
      <c r="BTT193" s="5"/>
      <c r="BTU193" s="5"/>
      <c r="BTV193" s="5"/>
      <c r="BTW193" s="5"/>
      <c r="BTX193" s="5"/>
      <c r="BTY193" s="5"/>
      <c r="BTZ193" s="5"/>
      <c r="BUA193" s="5"/>
      <c r="BUB193" s="5"/>
      <c r="BUC193" s="5"/>
      <c r="BUD193" s="5"/>
      <c r="BUE193" s="5"/>
      <c r="BUF193" s="5"/>
      <c r="BUG193" s="5"/>
      <c r="BUH193" s="5"/>
      <c r="BUI193" s="5"/>
      <c r="BUJ193" s="5"/>
      <c r="BUK193" s="5"/>
      <c r="BUL193" s="5"/>
      <c r="BUM193" s="5"/>
      <c r="BUN193" s="5"/>
      <c r="BUO193" s="5"/>
      <c r="BUP193" s="5"/>
      <c r="BUQ193" s="5"/>
      <c r="BUR193" s="5"/>
      <c r="BUS193" s="5"/>
      <c r="BUT193" s="5"/>
      <c r="BUU193" s="5"/>
      <c r="BUV193" s="5"/>
      <c r="BUW193" s="5"/>
      <c r="BUX193" s="5"/>
      <c r="BUY193" s="5"/>
      <c r="BUZ193" s="5"/>
      <c r="BVA193" s="5"/>
      <c r="BVB193" s="5"/>
      <c r="BVC193" s="5"/>
      <c r="BVD193" s="5"/>
      <c r="BVE193" s="5"/>
      <c r="BVF193" s="5"/>
      <c r="BVG193" s="5"/>
      <c r="BVH193" s="5"/>
      <c r="BVI193" s="5"/>
      <c r="BVJ193" s="5"/>
      <c r="BVK193" s="5"/>
      <c r="BVL193" s="5"/>
      <c r="BVM193" s="5"/>
      <c r="BVN193" s="5"/>
      <c r="BVO193" s="5"/>
      <c r="BVP193" s="5"/>
      <c r="BVQ193" s="5"/>
      <c r="BVR193" s="5"/>
      <c r="BVS193" s="5"/>
      <c r="BVT193" s="5"/>
      <c r="BVU193" s="5"/>
      <c r="BVV193" s="5"/>
      <c r="BVW193" s="5"/>
      <c r="BVX193" s="5"/>
      <c r="BVY193" s="5"/>
      <c r="BVZ193" s="5"/>
      <c r="BWA193" s="5"/>
      <c r="BWB193" s="5"/>
      <c r="BWC193" s="5"/>
      <c r="BWD193" s="5"/>
      <c r="BWE193" s="5"/>
      <c r="BWF193" s="5"/>
      <c r="BWG193" s="5"/>
      <c r="BWH193" s="5"/>
      <c r="BWI193" s="5"/>
      <c r="BWJ193" s="5"/>
      <c r="BWK193" s="5"/>
      <c r="BWL193" s="5"/>
      <c r="BWM193" s="5"/>
      <c r="BWN193" s="5"/>
      <c r="BWO193" s="5"/>
      <c r="BWP193" s="5"/>
      <c r="BWQ193" s="5"/>
      <c r="BWR193" s="5"/>
      <c r="BWS193" s="5"/>
      <c r="BWT193" s="5"/>
      <c r="BWU193" s="5"/>
      <c r="BWV193" s="5"/>
      <c r="BWW193" s="5"/>
      <c r="BWX193" s="5"/>
      <c r="BWY193" s="5"/>
      <c r="BWZ193" s="5"/>
      <c r="BXA193" s="5"/>
      <c r="BXB193" s="5"/>
      <c r="BXC193" s="5"/>
      <c r="BXD193" s="5"/>
      <c r="BXE193" s="5"/>
      <c r="BXF193" s="5"/>
      <c r="BXG193" s="5"/>
      <c r="BXH193" s="5"/>
      <c r="BXI193" s="5"/>
      <c r="BXJ193" s="5"/>
      <c r="BXK193" s="5"/>
      <c r="BXL193" s="5"/>
      <c r="BXM193" s="5"/>
      <c r="BXN193" s="5"/>
      <c r="BXO193" s="5"/>
      <c r="BXP193" s="5"/>
      <c r="BXQ193" s="5"/>
      <c r="BXR193" s="5"/>
      <c r="BXS193" s="5"/>
      <c r="BXT193" s="5"/>
      <c r="BXU193" s="5"/>
      <c r="BXV193" s="5"/>
      <c r="BXW193" s="5"/>
      <c r="BXX193" s="5"/>
      <c r="BXY193" s="5"/>
      <c r="BXZ193" s="5"/>
      <c r="BYA193" s="5"/>
      <c r="BYB193" s="5"/>
      <c r="BYC193" s="5"/>
      <c r="BYD193" s="5"/>
      <c r="BYE193" s="5"/>
      <c r="BYF193" s="5"/>
      <c r="BYG193" s="5"/>
      <c r="BYH193" s="5"/>
      <c r="BYI193" s="5"/>
      <c r="BYJ193" s="5"/>
      <c r="BYK193" s="5"/>
      <c r="BYL193" s="5"/>
      <c r="BYM193" s="5"/>
      <c r="BYN193" s="5"/>
      <c r="BYO193" s="5"/>
      <c r="BYP193" s="5"/>
      <c r="BYQ193" s="5"/>
      <c r="BYR193" s="5"/>
      <c r="BYS193" s="5"/>
      <c r="BYT193" s="5"/>
      <c r="BYU193" s="5"/>
      <c r="BYV193" s="5"/>
      <c r="BYW193" s="5"/>
      <c r="BYX193" s="5"/>
      <c r="BYY193" s="5"/>
      <c r="BYZ193" s="5"/>
      <c r="BZA193" s="5"/>
      <c r="BZB193" s="5"/>
      <c r="BZC193" s="5"/>
      <c r="BZD193" s="5"/>
      <c r="BZE193" s="5"/>
      <c r="BZF193" s="5"/>
      <c r="BZG193" s="5"/>
      <c r="BZH193" s="5"/>
      <c r="BZI193" s="5"/>
      <c r="BZJ193" s="5"/>
      <c r="BZK193" s="5"/>
      <c r="BZL193" s="5"/>
      <c r="BZM193" s="5"/>
      <c r="BZN193" s="5"/>
      <c r="BZO193" s="5"/>
      <c r="BZP193" s="5"/>
      <c r="BZQ193" s="5"/>
      <c r="BZR193" s="5"/>
      <c r="BZS193" s="5"/>
      <c r="BZT193" s="5"/>
      <c r="BZU193" s="5"/>
      <c r="BZV193" s="5"/>
      <c r="BZW193" s="5"/>
      <c r="BZX193" s="5"/>
      <c r="BZY193" s="5"/>
      <c r="BZZ193" s="5"/>
      <c r="CAA193" s="5"/>
      <c r="CAB193" s="5"/>
      <c r="CAC193" s="5"/>
      <c r="CAD193" s="5"/>
      <c r="CAE193" s="5"/>
      <c r="CAF193" s="5"/>
      <c r="CAG193" s="5"/>
      <c r="CAH193" s="5"/>
      <c r="CAI193" s="5"/>
      <c r="CAJ193" s="5"/>
      <c r="CAK193" s="5"/>
      <c r="CAL193" s="5"/>
      <c r="CAM193" s="5"/>
      <c r="CAN193" s="5"/>
      <c r="CAO193" s="5"/>
      <c r="CAP193" s="5"/>
      <c r="CAQ193" s="5"/>
      <c r="CAR193" s="5"/>
      <c r="CAS193" s="5"/>
      <c r="CAT193" s="5"/>
      <c r="CAU193" s="5"/>
      <c r="CAV193" s="5"/>
      <c r="CAW193" s="5"/>
      <c r="CAX193" s="5"/>
      <c r="CAY193" s="5"/>
      <c r="CAZ193" s="5"/>
      <c r="CBA193" s="5"/>
      <c r="CBB193" s="5"/>
      <c r="CBC193" s="5"/>
      <c r="CBD193" s="5"/>
      <c r="CBE193" s="5"/>
      <c r="CBF193" s="5"/>
      <c r="CBG193" s="5"/>
      <c r="CBH193" s="5"/>
      <c r="CBI193" s="5"/>
      <c r="CBJ193" s="5"/>
      <c r="CBK193" s="5"/>
      <c r="CBL193" s="5"/>
      <c r="CBM193" s="5"/>
      <c r="CBN193" s="5"/>
      <c r="CBO193" s="5"/>
      <c r="CBP193" s="5"/>
      <c r="CBQ193" s="5"/>
      <c r="CBR193" s="5"/>
      <c r="CBS193" s="5"/>
      <c r="CBT193" s="5"/>
      <c r="CBU193" s="5"/>
      <c r="CBV193" s="5"/>
      <c r="CBW193" s="5"/>
      <c r="CBX193" s="5"/>
      <c r="CBY193" s="5"/>
      <c r="CBZ193" s="5"/>
      <c r="CCA193" s="5"/>
      <c r="CCB193" s="5"/>
      <c r="CCC193" s="5"/>
      <c r="CCD193" s="5"/>
      <c r="CCE193" s="5"/>
      <c r="CCF193" s="5"/>
      <c r="CCG193" s="5"/>
      <c r="CCH193" s="5"/>
      <c r="CCI193" s="5"/>
      <c r="CCJ193" s="5"/>
      <c r="CCK193" s="5"/>
      <c r="CCL193" s="5"/>
      <c r="CCM193" s="5"/>
      <c r="CCN193" s="5"/>
      <c r="CCO193" s="5"/>
      <c r="CCP193" s="5"/>
      <c r="CCQ193" s="5"/>
      <c r="CCR193" s="5"/>
      <c r="CCS193" s="5"/>
      <c r="CCT193" s="5"/>
      <c r="CCU193" s="5"/>
      <c r="CCV193" s="5"/>
      <c r="CCW193" s="5"/>
      <c r="CCX193" s="5"/>
      <c r="CCY193" s="5"/>
      <c r="CCZ193" s="5"/>
      <c r="CDA193" s="5"/>
      <c r="CDB193" s="5"/>
      <c r="CDC193" s="5"/>
      <c r="CDD193" s="5"/>
      <c r="CDE193" s="5"/>
      <c r="CDF193" s="5"/>
      <c r="CDG193" s="5"/>
      <c r="CDH193" s="5"/>
      <c r="CDI193" s="5"/>
      <c r="CDJ193" s="5"/>
      <c r="CDK193" s="5"/>
      <c r="CDL193" s="5"/>
      <c r="CDM193" s="5"/>
      <c r="CDN193" s="5"/>
      <c r="CDO193" s="5"/>
      <c r="CDP193" s="5"/>
      <c r="CDQ193" s="5"/>
      <c r="CDR193" s="5"/>
      <c r="CDS193" s="5"/>
      <c r="CDT193" s="5"/>
      <c r="CDU193" s="5"/>
      <c r="CDV193" s="5"/>
      <c r="CDW193" s="5"/>
      <c r="CDX193" s="5"/>
      <c r="CDY193" s="5"/>
      <c r="CDZ193" s="5"/>
      <c r="CEA193" s="5"/>
      <c r="CEB193" s="5"/>
      <c r="CEC193" s="5"/>
      <c r="CED193" s="5"/>
      <c r="CEE193" s="5"/>
      <c r="CEF193" s="5"/>
      <c r="CEG193" s="5"/>
      <c r="CEH193" s="5"/>
      <c r="CEI193" s="5"/>
      <c r="CEJ193" s="5"/>
      <c r="CEK193" s="5"/>
      <c r="CEL193" s="5"/>
      <c r="CEM193" s="5"/>
      <c r="CEN193" s="5"/>
      <c r="CEO193" s="5"/>
      <c r="CEP193" s="5"/>
      <c r="CEQ193" s="5"/>
      <c r="CER193" s="5"/>
      <c r="CES193" s="5"/>
      <c r="CET193" s="5"/>
      <c r="CEU193" s="5"/>
      <c r="CEV193" s="5"/>
      <c r="CEW193" s="5"/>
      <c r="CEX193" s="5"/>
      <c r="CEY193" s="5"/>
      <c r="CEZ193" s="5"/>
      <c r="CFA193" s="5"/>
      <c r="CFB193" s="5"/>
      <c r="CFC193" s="5"/>
      <c r="CFD193" s="5"/>
      <c r="CFE193" s="5"/>
      <c r="CFF193" s="5"/>
      <c r="CFG193" s="5"/>
      <c r="CFH193" s="5"/>
      <c r="CFI193" s="5"/>
      <c r="CFJ193" s="5"/>
      <c r="CFK193" s="5"/>
      <c r="CFL193" s="5"/>
      <c r="CFM193" s="5"/>
      <c r="CFN193" s="5"/>
      <c r="CFO193" s="5"/>
      <c r="CFP193" s="5"/>
      <c r="CFQ193" s="5"/>
      <c r="CFR193" s="5"/>
      <c r="CFS193" s="5"/>
      <c r="CFT193" s="5"/>
      <c r="CFU193" s="5"/>
      <c r="CFV193" s="5"/>
      <c r="CFW193" s="5"/>
      <c r="CFX193" s="5"/>
      <c r="CFY193" s="5"/>
      <c r="CFZ193" s="5"/>
      <c r="CGA193" s="5"/>
      <c r="CGB193" s="5"/>
      <c r="CGC193" s="5"/>
      <c r="CGD193" s="5"/>
      <c r="CGE193" s="5"/>
      <c r="CGF193" s="5"/>
      <c r="CGG193" s="5"/>
      <c r="CGH193" s="5"/>
      <c r="CGI193" s="5"/>
      <c r="CGJ193" s="5"/>
      <c r="CGK193" s="5"/>
      <c r="CGL193" s="5"/>
      <c r="CGM193" s="5"/>
      <c r="CGN193" s="5"/>
      <c r="CGO193" s="5"/>
      <c r="CGP193" s="5"/>
      <c r="CGQ193" s="5"/>
      <c r="CGR193" s="5"/>
      <c r="CGS193" s="5"/>
      <c r="CGT193" s="5"/>
      <c r="CGU193" s="5"/>
      <c r="CGV193" s="5"/>
      <c r="CGW193" s="5"/>
      <c r="CGX193" s="5"/>
      <c r="CGY193" s="5"/>
      <c r="CGZ193" s="5"/>
      <c r="CHA193" s="5"/>
      <c r="CHB193" s="5"/>
      <c r="CHC193" s="5"/>
      <c r="CHD193" s="5"/>
      <c r="CHE193" s="5"/>
      <c r="CHF193" s="5"/>
      <c r="CHG193" s="5"/>
      <c r="CHH193" s="5"/>
      <c r="CHI193" s="5"/>
      <c r="CHJ193" s="5"/>
      <c r="CHK193" s="5"/>
      <c r="CHL193" s="5"/>
      <c r="CHM193" s="5"/>
      <c r="CHN193" s="5"/>
      <c r="CHO193" s="5"/>
      <c r="CHP193" s="5"/>
      <c r="CHQ193" s="5"/>
      <c r="CHR193" s="5"/>
      <c r="CHS193" s="5"/>
      <c r="CHT193" s="5"/>
      <c r="CHU193" s="5"/>
      <c r="CHV193" s="5"/>
      <c r="CHW193" s="5"/>
      <c r="CHX193" s="5"/>
      <c r="CHY193" s="5"/>
      <c r="CHZ193" s="5"/>
      <c r="CIA193" s="5"/>
      <c r="CIB193" s="5"/>
      <c r="CIC193" s="5"/>
      <c r="CID193" s="5"/>
      <c r="CIE193" s="5"/>
      <c r="CIF193" s="5"/>
      <c r="CIG193" s="5"/>
      <c r="CIH193" s="5"/>
      <c r="CII193" s="5"/>
      <c r="CIJ193" s="5"/>
      <c r="CIK193" s="5"/>
      <c r="CIL193" s="5"/>
      <c r="CIM193" s="5"/>
      <c r="CIN193" s="5"/>
      <c r="CIO193" s="5"/>
      <c r="CIP193" s="5"/>
      <c r="CIQ193" s="5"/>
      <c r="CIR193" s="5"/>
      <c r="CIS193" s="5"/>
      <c r="CIT193" s="5"/>
      <c r="CIU193" s="5"/>
      <c r="CIV193" s="5"/>
      <c r="CIW193" s="5"/>
      <c r="CIX193" s="5"/>
      <c r="CIY193" s="5"/>
      <c r="CIZ193" s="5"/>
      <c r="CJA193" s="5"/>
      <c r="CJB193" s="5"/>
      <c r="CJC193" s="5"/>
      <c r="CJD193" s="5"/>
      <c r="CJE193" s="5"/>
      <c r="CJF193" s="5"/>
      <c r="CJG193" s="5"/>
      <c r="CJH193" s="5"/>
      <c r="CJI193" s="5"/>
      <c r="CJJ193" s="5"/>
      <c r="CJK193" s="5"/>
      <c r="CJL193" s="5"/>
      <c r="CJM193" s="5"/>
      <c r="CJN193" s="5"/>
      <c r="CJO193" s="5"/>
      <c r="CJP193" s="5"/>
      <c r="CJQ193" s="5"/>
      <c r="CJR193" s="5"/>
      <c r="CJS193" s="5"/>
      <c r="CJT193" s="5"/>
      <c r="CJU193" s="5"/>
      <c r="CJV193" s="5"/>
      <c r="CJW193" s="5"/>
      <c r="CJX193" s="5"/>
      <c r="CJY193" s="5"/>
      <c r="CJZ193" s="5"/>
      <c r="CKA193" s="5"/>
      <c r="CKB193" s="5"/>
      <c r="CKC193" s="5"/>
      <c r="CKD193" s="5"/>
      <c r="CKE193" s="5"/>
      <c r="CKF193" s="5"/>
      <c r="CKG193" s="5"/>
      <c r="CKH193" s="5"/>
      <c r="CKI193" s="5"/>
      <c r="CKJ193" s="5"/>
      <c r="CKK193" s="5"/>
      <c r="CKL193" s="5"/>
      <c r="CKM193" s="5"/>
      <c r="CKN193" s="5"/>
      <c r="CKO193" s="5"/>
      <c r="CKP193" s="5"/>
      <c r="CKQ193" s="5"/>
      <c r="CKR193" s="5"/>
      <c r="CKS193" s="5"/>
      <c r="CKT193" s="5"/>
      <c r="CKU193" s="5"/>
      <c r="CKV193" s="5"/>
      <c r="CKW193" s="5"/>
      <c r="CKX193" s="5"/>
      <c r="CKY193" s="5"/>
      <c r="CKZ193" s="5"/>
      <c r="CLA193" s="5"/>
      <c r="CLB193" s="5"/>
      <c r="CLC193" s="5"/>
      <c r="CLD193" s="5"/>
      <c r="CLE193" s="5"/>
      <c r="CLF193" s="5"/>
      <c r="CLG193" s="5"/>
      <c r="CLH193" s="5"/>
      <c r="CLI193" s="5"/>
      <c r="CLJ193" s="5"/>
      <c r="CLK193" s="5"/>
      <c r="CLL193" s="5"/>
      <c r="CLM193" s="5"/>
      <c r="CLN193" s="5"/>
      <c r="CLO193" s="5"/>
      <c r="CLP193" s="5"/>
      <c r="CLQ193" s="5"/>
      <c r="CLR193" s="5"/>
      <c r="CLS193" s="5"/>
      <c r="CLT193" s="5"/>
      <c r="CLU193" s="5"/>
      <c r="CLV193" s="5"/>
      <c r="CLW193" s="5"/>
      <c r="CLX193" s="5"/>
      <c r="CLY193" s="5"/>
      <c r="CLZ193" s="5"/>
      <c r="CMA193" s="5"/>
      <c r="CMB193" s="5"/>
      <c r="CMC193" s="5"/>
      <c r="CMD193" s="5"/>
      <c r="CME193" s="5"/>
      <c r="CMF193" s="5"/>
      <c r="CMG193" s="5"/>
      <c r="CMH193" s="5"/>
      <c r="CMI193" s="5"/>
      <c r="CMJ193" s="5"/>
      <c r="CMK193" s="5"/>
      <c r="CML193" s="5"/>
      <c r="CMM193" s="5"/>
      <c r="CMN193" s="5"/>
      <c r="CMO193" s="5"/>
      <c r="CMP193" s="5"/>
      <c r="CMQ193" s="5"/>
      <c r="CMR193" s="5"/>
      <c r="CMS193" s="5"/>
      <c r="CMT193" s="5"/>
      <c r="CMU193" s="5"/>
      <c r="CMV193" s="5"/>
      <c r="CMW193" s="5"/>
      <c r="CMX193" s="5"/>
      <c r="CMY193" s="5"/>
      <c r="CMZ193" s="5"/>
      <c r="CNA193" s="5"/>
      <c r="CNB193" s="5"/>
      <c r="CNC193" s="5"/>
      <c r="CND193" s="5"/>
      <c r="CNE193" s="5"/>
      <c r="CNF193" s="5"/>
      <c r="CNG193" s="5"/>
      <c r="CNH193" s="5"/>
      <c r="CNI193" s="5"/>
      <c r="CNJ193" s="5"/>
      <c r="CNK193" s="5"/>
      <c r="CNL193" s="5"/>
      <c r="CNM193" s="5"/>
      <c r="CNN193" s="5"/>
      <c r="CNO193" s="5"/>
      <c r="CNP193" s="5"/>
      <c r="CNQ193" s="5"/>
      <c r="CNR193" s="5"/>
      <c r="CNS193" s="5"/>
      <c r="CNT193" s="5"/>
      <c r="CNU193" s="5"/>
      <c r="CNV193" s="5"/>
      <c r="CNW193" s="5"/>
      <c r="CNX193" s="5"/>
      <c r="CNY193" s="5"/>
      <c r="CNZ193" s="5"/>
      <c r="COA193" s="5"/>
      <c r="COB193" s="5"/>
      <c r="COC193" s="5"/>
      <c r="COD193" s="5"/>
      <c r="COE193" s="5"/>
      <c r="COF193" s="5"/>
      <c r="COG193" s="5"/>
      <c r="COH193" s="5"/>
      <c r="COI193" s="5"/>
      <c r="COJ193" s="5"/>
      <c r="COK193" s="5"/>
      <c r="COL193" s="5"/>
      <c r="COM193" s="5"/>
      <c r="CON193" s="5"/>
      <c r="COO193" s="5"/>
      <c r="COP193" s="5"/>
      <c r="COQ193" s="5"/>
      <c r="COR193" s="5"/>
      <c r="COS193" s="5"/>
      <c r="COT193" s="5"/>
      <c r="COU193" s="5"/>
      <c r="COV193" s="5"/>
      <c r="COW193" s="5"/>
      <c r="COX193" s="5"/>
      <c r="COY193" s="5"/>
      <c r="COZ193" s="5"/>
      <c r="CPA193" s="5"/>
      <c r="CPB193" s="5"/>
      <c r="CPC193" s="5"/>
      <c r="CPD193" s="5"/>
      <c r="CPE193" s="5"/>
      <c r="CPF193" s="5"/>
      <c r="CPG193" s="5"/>
      <c r="CPH193" s="5"/>
      <c r="CPI193" s="5"/>
      <c r="CPJ193" s="5"/>
      <c r="CPK193" s="5"/>
      <c r="CPL193" s="5"/>
      <c r="CPM193" s="5"/>
      <c r="CPN193" s="5"/>
      <c r="CPO193" s="5"/>
      <c r="CPP193" s="5"/>
      <c r="CPQ193" s="5"/>
      <c r="CPR193" s="5"/>
      <c r="CPS193" s="5"/>
      <c r="CPT193" s="5"/>
      <c r="CPU193" s="5"/>
      <c r="CPV193" s="5"/>
      <c r="CPW193" s="5"/>
      <c r="CPX193" s="5"/>
      <c r="CPY193" s="5"/>
      <c r="CPZ193" s="5"/>
      <c r="CQA193" s="5"/>
      <c r="CQB193" s="5"/>
      <c r="CQC193" s="5"/>
      <c r="CQD193" s="5"/>
      <c r="CQE193" s="5"/>
      <c r="CQF193" s="5"/>
      <c r="CQG193" s="5"/>
      <c r="CQH193" s="5"/>
      <c r="CQI193" s="5"/>
      <c r="CQJ193" s="5"/>
      <c r="CQK193" s="5"/>
      <c r="CQL193" s="5"/>
      <c r="CQM193" s="5"/>
      <c r="CQN193" s="5"/>
      <c r="CQO193" s="5"/>
      <c r="CQP193" s="5"/>
      <c r="CQQ193" s="5"/>
      <c r="CQR193" s="5"/>
      <c r="CQS193" s="5"/>
      <c r="CQT193" s="5"/>
      <c r="CQU193" s="5"/>
      <c r="CQV193" s="5"/>
      <c r="CQW193" s="5"/>
      <c r="CQX193" s="5"/>
      <c r="CQY193" s="5"/>
      <c r="CQZ193" s="5"/>
      <c r="CRA193" s="5"/>
      <c r="CRB193" s="5"/>
      <c r="CRC193" s="5"/>
      <c r="CRD193" s="5"/>
      <c r="CRE193" s="5"/>
      <c r="CRF193" s="5"/>
      <c r="CRG193" s="5"/>
      <c r="CRH193" s="5"/>
      <c r="CRI193" s="5"/>
      <c r="CRJ193" s="5"/>
      <c r="CRK193" s="5"/>
      <c r="CRL193" s="5"/>
      <c r="CRM193" s="5"/>
      <c r="CRN193" s="5"/>
      <c r="CRO193" s="5"/>
      <c r="CRP193" s="5"/>
      <c r="CRQ193" s="5"/>
      <c r="CRR193" s="5"/>
      <c r="CRS193" s="5"/>
      <c r="CRT193" s="5"/>
      <c r="CRU193" s="5"/>
      <c r="CRV193" s="5"/>
      <c r="CRW193" s="5"/>
      <c r="CRX193" s="5"/>
      <c r="CRY193" s="5"/>
      <c r="CRZ193" s="5"/>
      <c r="CSA193" s="5"/>
      <c r="CSB193" s="5"/>
      <c r="CSC193" s="5"/>
      <c r="CSD193" s="5"/>
      <c r="CSE193" s="5"/>
      <c r="CSF193" s="5"/>
      <c r="CSG193" s="5"/>
      <c r="CSH193" s="5"/>
      <c r="CSI193" s="5"/>
      <c r="CSJ193" s="5"/>
      <c r="CSK193" s="5"/>
      <c r="CSL193" s="5"/>
      <c r="CSM193" s="5"/>
      <c r="CSN193" s="5"/>
      <c r="CSO193" s="5"/>
      <c r="CSP193" s="5"/>
      <c r="CSQ193" s="5"/>
      <c r="CSR193" s="5"/>
      <c r="CSS193" s="5"/>
      <c r="CST193" s="5"/>
      <c r="CSU193" s="5"/>
      <c r="CSV193" s="5"/>
      <c r="CSW193" s="5"/>
      <c r="CSX193" s="5"/>
      <c r="CSY193" s="5"/>
      <c r="CSZ193" s="5"/>
      <c r="CTA193" s="5"/>
      <c r="CTB193" s="5"/>
      <c r="CTC193" s="5"/>
      <c r="CTD193" s="5"/>
      <c r="CTE193" s="5"/>
      <c r="CTF193" s="5"/>
      <c r="CTG193" s="5"/>
      <c r="CTH193" s="5"/>
      <c r="CTI193" s="5"/>
      <c r="CTJ193" s="5"/>
      <c r="CTK193" s="5"/>
      <c r="CTL193" s="5"/>
      <c r="CTM193" s="5"/>
      <c r="CTN193" s="5"/>
      <c r="CTO193" s="5"/>
      <c r="CTP193" s="5"/>
      <c r="CTQ193" s="5"/>
      <c r="CTR193" s="5"/>
      <c r="CTS193" s="5"/>
      <c r="CTT193" s="5"/>
      <c r="CTU193" s="5"/>
      <c r="CTV193" s="5"/>
      <c r="CTW193" s="5"/>
      <c r="CTX193" s="5"/>
      <c r="CTY193" s="5"/>
      <c r="CTZ193" s="5"/>
      <c r="CUA193" s="5"/>
      <c r="CUB193" s="5"/>
      <c r="CUC193" s="5"/>
      <c r="CUD193" s="5"/>
      <c r="CUE193" s="5"/>
      <c r="CUF193" s="5"/>
      <c r="CUG193" s="5"/>
      <c r="CUH193" s="5"/>
      <c r="CUI193" s="5"/>
      <c r="CUJ193" s="5"/>
      <c r="CUK193" s="5"/>
      <c r="CUL193" s="5"/>
      <c r="CUM193" s="5"/>
      <c r="CUN193" s="5"/>
      <c r="CUO193" s="5"/>
      <c r="CUP193" s="5"/>
      <c r="CUQ193" s="5"/>
      <c r="CUR193" s="5"/>
      <c r="CUS193" s="5"/>
      <c r="CUT193" s="5"/>
      <c r="CUU193" s="5"/>
      <c r="CUV193" s="5"/>
      <c r="CUW193" s="5"/>
      <c r="CUX193" s="5"/>
      <c r="CUY193" s="5"/>
      <c r="CUZ193" s="5"/>
      <c r="CVA193" s="5"/>
      <c r="CVB193" s="5"/>
      <c r="CVC193" s="5"/>
      <c r="CVD193" s="5"/>
      <c r="CVE193" s="5"/>
      <c r="CVF193" s="5"/>
      <c r="CVG193" s="5"/>
      <c r="CVH193" s="5"/>
      <c r="CVI193" s="5"/>
      <c r="CVJ193" s="5"/>
      <c r="CVK193" s="5"/>
      <c r="CVL193" s="5"/>
      <c r="CVM193" s="5"/>
      <c r="CVN193" s="5"/>
      <c r="CVO193" s="5"/>
      <c r="CVP193" s="5"/>
      <c r="CVQ193" s="5"/>
      <c r="CVR193" s="5"/>
      <c r="CVS193" s="5"/>
      <c r="CVT193" s="5"/>
      <c r="CVU193" s="5"/>
      <c r="CVV193" s="5"/>
      <c r="CVW193" s="5"/>
      <c r="CVX193" s="5"/>
      <c r="CVY193" s="5"/>
      <c r="CVZ193" s="5"/>
      <c r="CWA193" s="5"/>
      <c r="CWB193" s="5"/>
      <c r="CWC193" s="5"/>
      <c r="CWD193" s="5"/>
      <c r="CWE193" s="5"/>
      <c r="CWF193" s="5"/>
      <c r="CWG193" s="5"/>
      <c r="CWH193" s="5"/>
      <c r="CWI193" s="5"/>
      <c r="CWJ193" s="5"/>
      <c r="CWK193" s="5"/>
      <c r="CWL193" s="5"/>
      <c r="CWM193" s="5"/>
      <c r="CWN193" s="5"/>
      <c r="CWO193" s="5"/>
      <c r="CWP193" s="5"/>
      <c r="CWQ193" s="5"/>
      <c r="CWR193" s="5"/>
      <c r="CWS193" s="5"/>
      <c r="CWT193" s="5"/>
      <c r="CWU193" s="5"/>
      <c r="CWV193" s="5"/>
      <c r="CWW193" s="5"/>
      <c r="CWX193" s="5"/>
      <c r="CWY193" s="5"/>
      <c r="CWZ193" s="5"/>
      <c r="CXA193" s="5"/>
      <c r="CXB193" s="5"/>
      <c r="CXC193" s="5"/>
      <c r="CXD193" s="5"/>
      <c r="CXE193" s="5"/>
      <c r="CXF193" s="5"/>
      <c r="CXG193" s="5"/>
      <c r="CXH193" s="5"/>
      <c r="CXI193" s="5"/>
      <c r="CXJ193" s="5"/>
      <c r="CXK193" s="5"/>
      <c r="CXL193" s="5"/>
      <c r="CXM193" s="5"/>
      <c r="CXN193" s="5"/>
      <c r="CXO193" s="5"/>
      <c r="CXP193" s="5"/>
      <c r="CXQ193" s="5"/>
      <c r="CXR193" s="5"/>
      <c r="CXS193" s="5"/>
      <c r="CXT193" s="5"/>
      <c r="CXU193" s="5"/>
      <c r="CXV193" s="5"/>
      <c r="CXW193" s="5"/>
      <c r="CXX193" s="5"/>
      <c r="CXY193" s="5"/>
      <c r="CXZ193" s="5"/>
      <c r="CYA193" s="5"/>
      <c r="CYB193" s="5"/>
      <c r="CYC193" s="5"/>
      <c r="CYD193" s="5"/>
      <c r="CYE193" s="5"/>
      <c r="CYF193" s="5"/>
      <c r="CYG193" s="5"/>
      <c r="CYH193" s="5"/>
      <c r="CYI193" s="5"/>
      <c r="CYJ193" s="5"/>
      <c r="CYK193" s="5"/>
      <c r="CYL193" s="5"/>
      <c r="CYM193" s="5"/>
      <c r="CYN193" s="5"/>
      <c r="CYO193" s="5"/>
      <c r="CYP193" s="5"/>
      <c r="CYQ193" s="5"/>
      <c r="CYR193" s="5"/>
      <c r="CYS193" s="5"/>
      <c r="CYT193" s="5"/>
      <c r="CYU193" s="5"/>
      <c r="CYV193" s="5"/>
      <c r="CYW193" s="5"/>
      <c r="CYX193" s="5"/>
      <c r="CYY193" s="5"/>
      <c r="CYZ193" s="5"/>
      <c r="CZA193" s="5"/>
      <c r="CZB193" s="5"/>
      <c r="CZC193" s="5"/>
      <c r="CZD193" s="5"/>
      <c r="CZE193" s="5"/>
      <c r="CZF193" s="5"/>
      <c r="CZG193" s="5"/>
      <c r="CZH193" s="5"/>
      <c r="CZI193" s="5"/>
      <c r="CZJ193" s="5"/>
      <c r="CZK193" s="5"/>
      <c r="CZL193" s="5"/>
      <c r="CZM193" s="5"/>
      <c r="CZN193" s="5"/>
      <c r="CZO193" s="5"/>
      <c r="CZP193" s="5"/>
      <c r="CZQ193" s="5"/>
      <c r="CZR193" s="5"/>
      <c r="CZS193" s="5"/>
      <c r="CZT193" s="5"/>
      <c r="CZU193" s="5"/>
      <c r="CZV193" s="5"/>
      <c r="CZW193" s="5"/>
      <c r="CZX193" s="5"/>
      <c r="CZY193" s="5"/>
      <c r="CZZ193" s="5"/>
      <c r="DAA193" s="5"/>
      <c r="DAB193" s="5"/>
      <c r="DAC193" s="5"/>
      <c r="DAD193" s="5"/>
      <c r="DAE193" s="5"/>
      <c r="DAF193" s="5"/>
      <c r="DAG193" s="5"/>
      <c r="DAH193" s="5"/>
      <c r="DAI193" s="5"/>
      <c r="DAJ193" s="5"/>
      <c r="DAK193" s="5"/>
      <c r="DAL193" s="5"/>
      <c r="DAM193" s="5"/>
      <c r="DAN193" s="5"/>
      <c r="DAO193" s="5"/>
      <c r="DAP193" s="5"/>
      <c r="DAQ193" s="5"/>
      <c r="DAR193" s="5"/>
      <c r="DAS193" s="5"/>
      <c r="DAT193" s="5"/>
      <c r="DAU193" s="5"/>
      <c r="DAV193" s="5"/>
      <c r="DAW193" s="5"/>
      <c r="DAX193" s="5"/>
      <c r="DAY193" s="5"/>
      <c r="DAZ193" s="5"/>
      <c r="DBA193" s="5"/>
      <c r="DBB193" s="5"/>
      <c r="DBC193" s="5"/>
      <c r="DBD193" s="5"/>
      <c r="DBE193" s="5"/>
      <c r="DBF193" s="5"/>
      <c r="DBG193" s="5"/>
      <c r="DBH193" s="5"/>
      <c r="DBI193" s="5"/>
      <c r="DBJ193" s="5"/>
      <c r="DBK193" s="5"/>
      <c r="DBL193" s="5"/>
      <c r="DBM193" s="5"/>
      <c r="DBN193" s="5"/>
      <c r="DBO193" s="5"/>
      <c r="DBP193" s="5"/>
      <c r="DBQ193" s="5"/>
      <c r="DBR193" s="5"/>
      <c r="DBS193" s="5"/>
      <c r="DBT193" s="5"/>
      <c r="DBU193" s="5"/>
      <c r="DBV193" s="5"/>
      <c r="DBW193" s="5"/>
      <c r="DBX193" s="5"/>
      <c r="DBY193" s="5"/>
      <c r="DBZ193" s="5"/>
      <c r="DCA193" s="5"/>
      <c r="DCB193" s="5"/>
      <c r="DCC193" s="5"/>
      <c r="DCD193" s="5"/>
      <c r="DCE193" s="5"/>
      <c r="DCF193" s="5"/>
      <c r="DCG193" s="5"/>
      <c r="DCH193" s="5"/>
      <c r="DCI193" s="5"/>
      <c r="DCJ193" s="5"/>
      <c r="DCK193" s="5"/>
      <c r="DCL193" s="5"/>
      <c r="DCM193" s="5"/>
      <c r="DCN193" s="5"/>
      <c r="DCO193" s="5"/>
      <c r="DCP193" s="5"/>
      <c r="DCQ193" s="5"/>
      <c r="DCR193" s="5"/>
      <c r="DCS193" s="5"/>
      <c r="DCT193" s="5"/>
      <c r="DCU193" s="5"/>
      <c r="DCV193" s="5"/>
      <c r="DCW193" s="5"/>
      <c r="DCX193" s="5"/>
      <c r="DCY193" s="5"/>
      <c r="DCZ193" s="5"/>
      <c r="DDA193" s="5"/>
      <c r="DDB193" s="5"/>
      <c r="DDC193" s="5"/>
      <c r="DDD193" s="5"/>
      <c r="DDE193" s="5"/>
      <c r="DDF193" s="5"/>
      <c r="DDG193" s="5"/>
      <c r="DDH193" s="5"/>
      <c r="DDI193" s="5"/>
      <c r="DDJ193" s="5"/>
      <c r="DDK193" s="5"/>
      <c r="DDL193" s="5"/>
      <c r="DDM193" s="5"/>
      <c r="DDN193" s="5"/>
      <c r="DDO193" s="5"/>
      <c r="DDP193" s="5"/>
      <c r="DDQ193" s="5"/>
      <c r="DDR193" s="5"/>
      <c r="DDS193" s="5"/>
      <c r="DDT193" s="5"/>
      <c r="DDU193" s="5"/>
      <c r="DDV193" s="5"/>
      <c r="DDW193" s="5"/>
      <c r="DDX193" s="5"/>
      <c r="DDY193" s="5"/>
      <c r="DDZ193" s="5"/>
      <c r="DEA193" s="5"/>
      <c r="DEB193" s="5"/>
      <c r="DEC193" s="5"/>
      <c r="DED193" s="5"/>
      <c r="DEE193" s="5"/>
      <c r="DEF193" s="5"/>
      <c r="DEG193" s="5"/>
      <c r="DEH193" s="5"/>
      <c r="DEI193" s="5"/>
      <c r="DEJ193" s="5"/>
      <c r="DEK193" s="5"/>
      <c r="DEL193" s="5"/>
      <c r="DEM193" s="5"/>
      <c r="DEN193" s="5"/>
      <c r="DEO193" s="5"/>
      <c r="DEP193" s="5"/>
      <c r="DEQ193" s="5"/>
      <c r="DER193" s="5"/>
      <c r="DES193" s="5"/>
      <c r="DET193" s="5"/>
      <c r="DEU193" s="5"/>
      <c r="DEV193" s="5"/>
      <c r="DEW193" s="5"/>
      <c r="DEX193" s="5"/>
      <c r="DEY193" s="5"/>
      <c r="DEZ193" s="5"/>
      <c r="DFA193" s="5"/>
      <c r="DFB193" s="5"/>
      <c r="DFC193" s="5"/>
      <c r="DFD193" s="5"/>
      <c r="DFE193" s="5"/>
      <c r="DFF193" s="5"/>
      <c r="DFG193" s="5"/>
      <c r="DFH193" s="5"/>
      <c r="DFI193" s="5"/>
      <c r="DFJ193" s="5"/>
      <c r="DFK193" s="5"/>
      <c r="DFL193" s="5"/>
      <c r="DFM193" s="5"/>
      <c r="DFN193" s="5"/>
      <c r="DFO193" s="5"/>
      <c r="DFP193" s="5"/>
      <c r="DFQ193" s="5"/>
      <c r="DFR193" s="5"/>
      <c r="DFS193" s="5"/>
      <c r="DFT193" s="5"/>
      <c r="DFU193" s="5"/>
      <c r="DFV193" s="5"/>
      <c r="DFW193" s="5"/>
      <c r="DFX193" s="5"/>
      <c r="DFY193" s="5"/>
      <c r="DFZ193" s="5"/>
      <c r="DGA193" s="5"/>
      <c r="DGB193" s="5"/>
      <c r="DGC193" s="5"/>
      <c r="DGD193" s="5"/>
      <c r="DGE193" s="5"/>
      <c r="DGF193" s="5"/>
      <c r="DGG193" s="5"/>
      <c r="DGH193" s="5"/>
      <c r="DGI193" s="5"/>
      <c r="DGJ193" s="5"/>
      <c r="DGK193" s="5"/>
      <c r="DGL193" s="5"/>
      <c r="DGM193" s="5"/>
      <c r="DGN193" s="5"/>
      <c r="DGO193" s="5"/>
      <c r="DGP193" s="5"/>
      <c r="DGQ193" s="5"/>
      <c r="DGR193" s="5"/>
      <c r="DGS193" s="5"/>
      <c r="DGT193" s="5"/>
      <c r="DGU193" s="5"/>
      <c r="DGV193" s="5"/>
      <c r="DGW193" s="5"/>
      <c r="DGX193" s="5"/>
      <c r="DGY193" s="5"/>
      <c r="DGZ193" s="5"/>
      <c r="DHA193" s="5"/>
      <c r="DHB193" s="5"/>
      <c r="DHC193" s="5"/>
      <c r="DHD193" s="5"/>
      <c r="DHE193" s="5"/>
      <c r="DHF193" s="5"/>
      <c r="DHG193" s="5"/>
      <c r="DHH193" s="5"/>
      <c r="DHI193" s="5"/>
      <c r="DHJ193" s="5"/>
      <c r="DHK193" s="5"/>
      <c r="DHL193" s="5"/>
      <c r="DHM193" s="5"/>
      <c r="DHN193" s="5"/>
      <c r="DHO193" s="5"/>
      <c r="DHP193" s="5"/>
      <c r="DHQ193" s="5"/>
      <c r="DHR193" s="5"/>
      <c r="DHS193" s="5"/>
      <c r="DHT193" s="5"/>
      <c r="DHU193" s="5"/>
      <c r="DHV193" s="5"/>
      <c r="DHW193" s="5"/>
      <c r="DHX193" s="5"/>
      <c r="DHY193" s="5"/>
      <c r="DHZ193" s="5"/>
      <c r="DIA193" s="5"/>
      <c r="DIB193" s="5"/>
      <c r="DIC193" s="5"/>
      <c r="DID193" s="5"/>
      <c r="DIE193" s="5"/>
      <c r="DIF193" s="5"/>
      <c r="DIG193" s="5"/>
      <c r="DIH193" s="5"/>
      <c r="DII193" s="5"/>
      <c r="DIJ193" s="5"/>
      <c r="DIK193" s="5"/>
      <c r="DIL193" s="5"/>
      <c r="DIM193" s="5"/>
      <c r="DIN193" s="5"/>
      <c r="DIO193" s="5"/>
      <c r="DIP193" s="5"/>
      <c r="DIQ193" s="5"/>
      <c r="DIR193" s="5"/>
      <c r="DIS193" s="5"/>
      <c r="DIT193" s="5"/>
      <c r="DIU193" s="5"/>
      <c r="DIV193" s="5"/>
      <c r="DIW193" s="5"/>
      <c r="DIX193" s="5"/>
      <c r="DIY193" s="5"/>
      <c r="DIZ193" s="5"/>
      <c r="DJA193" s="5"/>
      <c r="DJB193" s="5"/>
      <c r="DJC193" s="5"/>
      <c r="DJD193" s="5"/>
      <c r="DJE193" s="5"/>
      <c r="DJF193" s="5"/>
      <c r="DJG193" s="5"/>
      <c r="DJH193" s="5"/>
      <c r="DJI193" s="5"/>
      <c r="DJJ193" s="5"/>
      <c r="DJK193" s="5"/>
      <c r="DJL193" s="5"/>
      <c r="DJM193" s="5"/>
      <c r="DJN193" s="5"/>
      <c r="DJO193" s="5"/>
      <c r="DJP193" s="5"/>
      <c r="DJQ193" s="5"/>
      <c r="DJR193" s="5"/>
      <c r="DJS193" s="5"/>
      <c r="DJT193" s="5"/>
      <c r="DJU193" s="5"/>
      <c r="DJV193" s="5"/>
      <c r="DJW193" s="5"/>
      <c r="DJX193" s="5"/>
      <c r="DJY193" s="5"/>
      <c r="DJZ193" s="5"/>
      <c r="DKA193" s="5"/>
      <c r="DKB193" s="5"/>
      <c r="DKC193" s="5"/>
      <c r="DKD193" s="5"/>
      <c r="DKE193" s="5"/>
      <c r="DKF193" s="5"/>
      <c r="DKG193" s="5"/>
      <c r="DKH193" s="5"/>
      <c r="DKI193" s="5"/>
      <c r="DKJ193" s="5"/>
      <c r="DKK193" s="5"/>
      <c r="DKL193" s="5"/>
      <c r="DKM193" s="5"/>
      <c r="DKN193" s="5"/>
      <c r="DKO193" s="5"/>
      <c r="DKP193" s="5"/>
      <c r="DKQ193" s="5"/>
      <c r="DKR193" s="5"/>
      <c r="DKS193" s="5"/>
      <c r="DKT193" s="5"/>
      <c r="DKU193" s="5"/>
      <c r="DKV193" s="5"/>
      <c r="DKW193" s="5"/>
      <c r="DKX193" s="5"/>
      <c r="DKY193" s="5"/>
      <c r="DKZ193" s="5"/>
      <c r="DLA193" s="5"/>
      <c r="DLB193" s="5"/>
      <c r="DLC193" s="5"/>
      <c r="DLD193" s="5"/>
      <c r="DLE193" s="5"/>
      <c r="DLF193" s="5"/>
      <c r="DLG193" s="5"/>
      <c r="DLH193" s="5"/>
      <c r="DLI193" s="5"/>
      <c r="DLJ193" s="5"/>
      <c r="DLK193" s="5"/>
      <c r="DLL193" s="5"/>
      <c r="DLM193" s="5"/>
      <c r="DLN193" s="5"/>
      <c r="DLO193" s="5"/>
      <c r="DLP193" s="5"/>
      <c r="DLQ193" s="5"/>
      <c r="DLR193" s="5"/>
      <c r="DLS193" s="5"/>
      <c r="DLT193" s="5"/>
      <c r="DLU193" s="5"/>
      <c r="DLV193" s="5"/>
      <c r="DLW193" s="5"/>
      <c r="DLX193" s="5"/>
      <c r="DLY193" s="5"/>
      <c r="DLZ193" s="5"/>
      <c r="DMA193" s="5"/>
      <c r="DMB193" s="5"/>
      <c r="DMC193" s="5"/>
      <c r="DMD193" s="5"/>
      <c r="DME193" s="5"/>
      <c r="DMF193" s="5"/>
      <c r="DMG193" s="5"/>
      <c r="DMH193" s="5"/>
      <c r="DMI193" s="5"/>
      <c r="DMJ193" s="5"/>
      <c r="DMK193" s="5"/>
      <c r="DML193" s="5"/>
      <c r="DMM193" s="5"/>
      <c r="DMN193" s="5"/>
      <c r="DMO193" s="5"/>
      <c r="DMP193" s="5"/>
      <c r="DMQ193" s="5"/>
      <c r="DMR193" s="5"/>
      <c r="DMS193" s="5"/>
      <c r="DMT193" s="5"/>
      <c r="DMU193" s="5"/>
      <c r="DMV193" s="5"/>
      <c r="DMW193" s="5"/>
      <c r="DMX193" s="5"/>
      <c r="DMY193" s="5"/>
      <c r="DMZ193" s="5"/>
      <c r="DNA193" s="5"/>
      <c r="DNB193" s="5"/>
      <c r="DNC193" s="5"/>
      <c r="DND193" s="5"/>
      <c r="DNE193" s="5"/>
      <c r="DNF193" s="5"/>
      <c r="DNG193" s="5"/>
      <c r="DNH193" s="5"/>
      <c r="DNI193" s="5"/>
      <c r="DNJ193" s="5"/>
      <c r="DNK193" s="5"/>
      <c r="DNL193" s="5"/>
      <c r="DNM193" s="5"/>
      <c r="DNN193" s="5"/>
      <c r="DNO193" s="5"/>
      <c r="DNP193" s="5"/>
      <c r="DNQ193" s="5"/>
      <c r="DNR193" s="5"/>
      <c r="DNS193" s="5"/>
      <c r="DNT193" s="5"/>
      <c r="DNU193" s="5"/>
      <c r="DNV193" s="5"/>
      <c r="DNW193" s="5"/>
      <c r="DNX193" s="5"/>
      <c r="DNY193" s="5"/>
      <c r="DNZ193" s="5"/>
      <c r="DOA193" s="5"/>
      <c r="DOB193" s="5"/>
      <c r="DOC193" s="5"/>
      <c r="DOD193" s="5"/>
      <c r="DOE193" s="5"/>
      <c r="DOF193" s="5"/>
      <c r="DOG193" s="5"/>
      <c r="DOH193" s="5"/>
      <c r="DOI193" s="5"/>
      <c r="DOJ193" s="5"/>
      <c r="DOK193" s="5"/>
      <c r="DOL193" s="5"/>
      <c r="DOM193" s="5"/>
      <c r="DON193" s="5"/>
      <c r="DOO193" s="5"/>
      <c r="DOP193" s="5"/>
      <c r="DOQ193" s="5"/>
      <c r="DOR193" s="5"/>
      <c r="DOS193" s="5"/>
      <c r="DOT193" s="5"/>
      <c r="DOU193" s="5"/>
      <c r="DOV193" s="5"/>
      <c r="DOW193" s="5"/>
      <c r="DOX193" s="5"/>
      <c r="DOY193" s="5"/>
      <c r="DOZ193" s="5"/>
      <c r="DPA193" s="5"/>
      <c r="DPB193" s="5"/>
      <c r="DPC193" s="5"/>
      <c r="DPD193" s="5"/>
      <c r="DPE193" s="5"/>
      <c r="DPF193" s="5"/>
      <c r="DPG193" s="5"/>
      <c r="DPH193" s="5"/>
      <c r="DPI193" s="5"/>
      <c r="DPJ193" s="5"/>
      <c r="DPK193" s="5"/>
      <c r="DPL193" s="5"/>
      <c r="DPM193" s="5"/>
      <c r="DPN193" s="5"/>
      <c r="DPO193" s="5"/>
      <c r="DPP193" s="5"/>
      <c r="DPQ193" s="5"/>
      <c r="DPR193" s="5"/>
      <c r="DPS193" s="5"/>
      <c r="DPT193" s="5"/>
      <c r="DPU193" s="5"/>
      <c r="DPV193" s="5"/>
      <c r="DPW193" s="5"/>
      <c r="DPX193" s="5"/>
      <c r="DPY193" s="5"/>
      <c r="DPZ193" s="5"/>
      <c r="DQA193" s="5"/>
      <c r="DQB193" s="5"/>
      <c r="DQC193" s="5"/>
      <c r="DQD193" s="5"/>
      <c r="DQE193" s="5"/>
      <c r="DQF193" s="5"/>
      <c r="DQG193" s="5"/>
      <c r="DQH193" s="5"/>
      <c r="DQI193" s="5"/>
      <c r="DQJ193" s="5"/>
      <c r="DQK193" s="5"/>
      <c r="DQL193" s="5"/>
      <c r="DQM193" s="5"/>
      <c r="DQN193" s="5"/>
      <c r="DQO193" s="5"/>
      <c r="DQP193" s="5"/>
      <c r="DQQ193" s="5"/>
      <c r="DQR193" s="5"/>
      <c r="DQS193" s="5"/>
      <c r="DQT193" s="5"/>
      <c r="DQU193" s="5"/>
      <c r="DQV193" s="5"/>
      <c r="DQW193" s="5"/>
      <c r="DQX193" s="5"/>
      <c r="DQY193" s="5"/>
      <c r="DQZ193" s="5"/>
      <c r="DRA193" s="5"/>
      <c r="DRB193" s="5"/>
      <c r="DRC193" s="5"/>
      <c r="DRD193" s="5"/>
      <c r="DRE193" s="5"/>
      <c r="DRF193" s="5"/>
      <c r="DRG193" s="5"/>
      <c r="DRH193" s="5"/>
      <c r="DRI193" s="5"/>
      <c r="DRJ193" s="5"/>
      <c r="DRK193" s="5"/>
      <c r="DRL193" s="5"/>
      <c r="DRM193" s="5"/>
      <c r="DRN193" s="5"/>
      <c r="DRO193" s="5"/>
      <c r="DRP193" s="5"/>
      <c r="DRQ193" s="5"/>
      <c r="DRR193" s="5"/>
      <c r="DRS193" s="5"/>
      <c r="DRT193" s="5"/>
      <c r="DRU193" s="5"/>
      <c r="DRV193" s="5"/>
      <c r="DRW193" s="5"/>
      <c r="DRX193" s="5"/>
      <c r="DRY193" s="5"/>
      <c r="DRZ193" s="5"/>
      <c r="DSA193" s="5"/>
      <c r="DSB193" s="5"/>
      <c r="DSC193" s="5"/>
      <c r="DSD193" s="5"/>
      <c r="DSE193" s="5"/>
      <c r="DSF193" s="5"/>
      <c r="DSG193" s="5"/>
      <c r="DSH193" s="5"/>
      <c r="DSI193" s="5"/>
      <c r="DSJ193" s="5"/>
      <c r="DSK193" s="5"/>
      <c r="DSL193" s="5"/>
      <c r="DSM193" s="5"/>
      <c r="DSN193" s="5"/>
      <c r="DSO193" s="5"/>
      <c r="DSP193" s="5"/>
      <c r="DSQ193" s="5"/>
      <c r="DSR193" s="5"/>
      <c r="DSS193" s="5"/>
      <c r="DST193" s="5"/>
      <c r="DSU193" s="5"/>
      <c r="DSV193" s="5"/>
      <c r="DSW193" s="5"/>
      <c r="DSX193" s="5"/>
      <c r="DSY193" s="5"/>
      <c r="DSZ193" s="5"/>
      <c r="DTA193" s="5"/>
      <c r="DTB193" s="5"/>
      <c r="DTC193" s="5"/>
      <c r="DTD193" s="5"/>
      <c r="DTE193" s="5"/>
      <c r="DTF193" s="5"/>
      <c r="DTG193" s="5"/>
      <c r="DTH193" s="5"/>
      <c r="DTI193" s="5"/>
      <c r="DTJ193" s="5"/>
      <c r="DTK193" s="5"/>
      <c r="DTL193" s="5"/>
      <c r="DTM193" s="5"/>
      <c r="DTN193" s="5"/>
      <c r="DTO193" s="5"/>
      <c r="DTP193" s="5"/>
      <c r="DTQ193" s="5"/>
      <c r="DTR193" s="5"/>
      <c r="DTS193" s="5"/>
      <c r="DTT193" s="5"/>
      <c r="DTU193" s="5"/>
      <c r="DTV193" s="5"/>
      <c r="DTW193" s="5"/>
      <c r="DTX193" s="5"/>
      <c r="DTY193" s="5"/>
      <c r="DTZ193" s="5"/>
      <c r="DUA193" s="5"/>
      <c r="DUB193" s="5"/>
      <c r="DUC193" s="5"/>
      <c r="DUD193" s="5"/>
      <c r="DUE193" s="5"/>
      <c r="DUF193" s="5"/>
      <c r="DUG193" s="5"/>
      <c r="DUH193" s="5"/>
      <c r="DUI193" s="5"/>
      <c r="DUJ193" s="5"/>
      <c r="DUK193" s="5"/>
      <c r="DUL193" s="5"/>
      <c r="DUM193" s="5"/>
      <c r="DUN193" s="5"/>
      <c r="DUO193" s="5"/>
      <c r="DUP193" s="5"/>
      <c r="DUQ193" s="5"/>
      <c r="DUR193" s="5"/>
      <c r="DUS193" s="5"/>
      <c r="DUT193" s="5"/>
      <c r="DUU193" s="5"/>
      <c r="DUV193" s="5"/>
      <c r="DUW193" s="5"/>
      <c r="DUX193" s="5"/>
      <c r="DUY193" s="5"/>
      <c r="DUZ193" s="5"/>
      <c r="DVA193" s="5"/>
      <c r="DVB193" s="5"/>
      <c r="DVC193" s="5"/>
      <c r="DVD193" s="5"/>
      <c r="DVE193" s="5"/>
      <c r="DVF193" s="5"/>
      <c r="DVG193" s="5"/>
      <c r="DVH193" s="5"/>
      <c r="DVI193" s="5"/>
      <c r="DVJ193" s="5"/>
      <c r="DVK193" s="5"/>
      <c r="DVL193" s="5"/>
      <c r="DVM193" s="5"/>
      <c r="DVN193" s="5"/>
      <c r="DVO193" s="5"/>
      <c r="DVP193" s="5"/>
      <c r="DVQ193" s="5"/>
      <c r="DVR193" s="5"/>
      <c r="DVS193" s="5"/>
      <c r="DVT193" s="5"/>
      <c r="DVU193" s="5"/>
      <c r="DVV193" s="5"/>
      <c r="DVW193" s="5"/>
      <c r="DVX193" s="5"/>
      <c r="DVY193" s="5"/>
      <c r="DVZ193" s="5"/>
      <c r="DWA193" s="5"/>
      <c r="DWB193" s="5"/>
      <c r="DWC193" s="5"/>
      <c r="DWD193" s="5"/>
      <c r="DWE193" s="5"/>
      <c r="DWF193" s="5"/>
      <c r="DWG193" s="5"/>
      <c r="DWH193" s="5"/>
      <c r="DWI193" s="5"/>
      <c r="DWJ193" s="5"/>
      <c r="DWK193" s="5"/>
      <c r="DWL193" s="5"/>
      <c r="DWM193" s="5"/>
      <c r="DWN193" s="5"/>
      <c r="DWO193" s="5"/>
      <c r="DWP193" s="5"/>
      <c r="DWQ193" s="5"/>
      <c r="DWR193" s="5"/>
      <c r="DWS193" s="5"/>
      <c r="DWT193" s="5"/>
      <c r="DWU193" s="5"/>
      <c r="DWV193" s="5"/>
      <c r="DWW193" s="5"/>
      <c r="DWX193" s="5"/>
      <c r="DWY193" s="5"/>
      <c r="DWZ193" s="5"/>
      <c r="DXA193" s="5"/>
      <c r="DXB193" s="5"/>
      <c r="DXC193" s="5"/>
      <c r="DXD193" s="5"/>
      <c r="DXE193" s="5"/>
      <c r="DXF193" s="5"/>
      <c r="DXG193" s="5"/>
      <c r="DXH193" s="5"/>
      <c r="DXI193" s="5"/>
      <c r="DXJ193" s="5"/>
      <c r="DXK193" s="5"/>
      <c r="DXL193" s="5"/>
      <c r="DXM193" s="5"/>
      <c r="DXN193" s="5"/>
      <c r="DXO193" s="5"/>
      <c r="DXP193" s="5"/>
      <c r="DXQ193" s="5"/>
      <c r="DXR193" s="5"/>
      <c r="DXS193" s="5"/>
      <c r="DXT193" s="5"/>
      <c r="DXU193" s="5"/>
      <c r="DXV193" s="5"/>
      <c r="DXW193" s="5"/>
      <c r="DXX193" s="5"/>
      <c r="DXY193" s="5"/>
      <c r="DXZ193" s="5"/>
      <c r="DYA193" s="5"/>
      <c r="DYB193" s="5"/>
      <c r="DYC193" s="5"/>
      <c r="DYD193" s="5"/>
      <c r="DYE193" s="5"/>
      <c r="DYF193" s="5"/>
      <c r="DYG193" s="5"/>
      <c r="DYH193" s="5"/>
      <c r="DYI193" s="5"/>
      <c r="DYJ193" s="5"/>
      <c r="DYK193" s="5"/>
      <c r="DYL193" s="5"/>
      <c r="DYM193" s="5"/>
      <c r="DYN193" s="5"/>
      <c r="DYO193" s="5"/>
      <c r="DYP193" s="5"/>
      <c r="DYQ193" s="5"/>
      <c r="DYR193" s="5"/>
      <c r="DYS193" s="5"/>
      <c r="DYT193" s="5"/>
      <c r="DYU193" s="5"/>
      <c r="DYV193" s="5"/>
      <c r="DYW193" s="5"/>
      <c r="DYX193" s="5"/>
      <c r="DYY193" s="5"/>
      <c r="DYZ193" s="5"/>
      <c r="DZA193" s="5"/>
      <c r="DZB193" s="5"/>
      <c r="DZC193" s="5"/>
      <c r="DZD193" s="5"/>
      <c r="DZE193" s="5"/>
      <c r="DZF193" s="5"/>
      <c r="DZG193" s="5"/>
      <c r="DZH193" s="5"/>
      <c r="DZI193" s="5"/>
      <c r="DZJ193" s="5"/>
      <c r="DZK193" s="5"/>
      <c r="DZL193" s="5"/>
      <c r="DZM193" s="5"/>
      <c r="DZN193" s="5"/>
      <c r="DZO193" s="5"/>
      <c r="DZP193" s="5"/>
      <c r="DZQ193" s="5"/>
      <c r="DZR193" s="5"/>
      <c r="DZS193" s="5"/>
      <c r="DZT193" s="5"/>
      <c r="DZU193" s="5"/>
      <c r="DZV193" s="5"/>
      <c r="DZW193" s="5"/>
      <c r="DZX193" s="5"/>
      <c r="DZY193" s="5"/>
      <c r="DZZ193" s="5"/>
      <c r="EAA193" s="5"/>
      <c r="EAB193" s="5"/>
      <c r="EAC193" s="5"/>
      <c r="EAD193" s="5"/>
      <c r="EAE193" s="5"/>
      <c r="EAF193" s="5"/>
      <c r="EAG193" s="5"/>
      <c r="EAH193" s="5"/>
      <c r="EAI193" s="5"/>
      <c r="EAJ193" s="5"/>
      <c r="EAK193" s="5"/>
      <c r="EAL193" s="5"/>
      <c r="EAM193" s="5"/>
      <c r="EAN193" s="5"/>
      <c r="EAO193" s="5"/>
      <c r="EAP193" s="5"/>
      <c r="EAQ193" s="5"/>
      <c r="EAR193" s="5"/>
      <c r="EAS193" s="5"/>
      <c r="EAT193" s="5"/>
      <c r="EAU193" s="5"/>
      <c r="EAV193" s="5"/>
      <c r="EAW193" s="5"/>
      <c r="EAX193" s="5"/>
      <c r="EAY193" s="5"/>
      <c r="EAZ193" s="5"/>
      <c r="EBA193" s="5"/>
      <c r="EBB193" s="5"/>
      <c r="EBC193" s="5"/>
      <c r="EBD193" s="5"/>
      <c r="EBE193" s="5"/>
      <c r="EBF193" s="5"/>
      <c r="EBG193" s="5"/>
      <c r="EBH193" s="5"/>
      <c r="EBI193" s="5"/>
      <c r="EBJ193" s="5"/>
      <c r="EBK193" s="5"/>
      <c r="EBL193" s="5"/>
      <c r="EBM193" s="5"/>
      <c r="EBN193" s="5"/>
      <c r="EBO193" s="5"/>
      <c r="EBP193" s="5"/>
      <c r="EBQ193" s="5"/>
      <c r="EBR193" s="5"/>
      <c r="EBS193" s="5"/>
      <c r="EBT193" s="5"/>
      <c r="EBU193" s="5"/>
      <c r="EBV193" s="5"/>
      <c r="EBW193" s="5"/>
      <c r="EBX193" s="5"/>
      <c r="EBY193" s="5"/>
      <c r="EBZ193" s="5"/>
      <c r="ECA193" s="5"/>
      <c r="ECB193" s="5"/>
      <c r="ECC193" s="5"/>
      <c r="ECD193" s="5"/>
      <c r="ECE193" s="5"/>
      <c r="ECF193" s="5"/>
      <c r="ECG193" s="5"/>
      <c r="ECH193" s="5"/>
      <c r="ECI193" s="5"/>
      <c r="ECJ193" s="5"/>
      <c r="ECK193" s="5"/>
      <c r="ECL193" s="5"/>
      <c r="ECM193" s="5"/>
      <c r="ECN193" s="5"/>
      <c r="ECO193" s="5"/>
      <c r="ECP193" s="5"/>
      <c r="ECQ193" s="5"/>
      <c r="ECR193" s="5"/>
      <c r="ECS193" s="5"/>
      <c r="ECT193" s="5"/>
      <c r="ECU193" s="5"/>
      <c r="ECV193" s="5"/>
      <c r="ECW193" s="5"/>
      <c r="ECX193" s="5"/>
      <c r="ECY193" s="5"/>
      <c r="ECZ193" s="5"/>
      <c r="EDA193" s="5"/>
      <c r="EDB193" s="5"/>
      <c r="EDC193" s="5"/>
      <c r="EDD193" s="5"/>
      <c r="EDE193" s="5"/>
      <c r="EDF193" s="5"/>
      <c r="EDG193" s="5"/>
      <c r="EDH193" s="5"/>
      <c r="EDI193" s="5"/>
      <c r="EDJ193" s="5"/>
      <c r="EDK193" s="5"/>
      <c r="EDL193" s="5"/>
      <c r="EDM193" s="5"/>
      <c r="EDN193" s="5"/>
      <c r="EDO193" s="5"/>
      <c r="EDP193" s="5"/>
      <c r="EDQ193" s="5"/>
      <c r="EDR193" s="5"/>
      <c r="EDS193" s="5"/>
      <c r="EDT193" s="5"/>
      <c r="EDU193" s="5"/>
      <c r="EDV193" s="5"/>
      <c r="EDW193" s="5"/>
      <c r="EDX193" s="5"/>
      <c r="EDY193" s="5"/>
      <c r="EDZ193" s="5"/>
      <c r="EEA193" s="5"/>
      <c r="EEB193" s="5"/>
      <c r="EEC193" s="5"/>
      <c r="EED193" s="5"/>
      <c r="EEE193" s="5"/>
      <c r="EEF193" s="5"/>
      <c r="EEG193" s="5"/>
      <c r="EEH193" s="5"/>
      <c r="EEI193" s="5"/>
      <c r="EEJ193" s="5"/>
      <c r="EEK193" s="5"/>
      <c r="EEL193" s="5"/>
      <c r="EEM193" s="5"/>
      <c r="EEN193" s="5"/>
      <c r="EEO193" s="5"/>
      <c r="EEP193" s="5"/>
      <c r="EEQ193" s="5"/>
      <c r="EER193" s="5"/>
      <c r="EES193" s="5"/>
      <c r="EET193" s="5"/>
      <c r="EEU193" s="5"/>
      <c r="EEV193" s="5"/>
      <c r="EEW193" s="5"/>
      <c r="EEX193" s="5"/>
      <c r="EEY193" s="5"/>
      <c r="EEZ193" s="5"/>
      <c r="EFA193" s="5"/>
      <c r="EFB193" s="5"/>
      <c r="EFC193" s="5"/>
      <c r="EFD193" s="5"/>
      <c r="EFE193" s="5"/>
      <c r="EFF193" s="5"/>
      <c r="EFG193" s="5"/>
      <c r="EFH193" s="5"/>
      <c r="EFI193" s="5"/>
      <c r="EFJ193" s="5"/>
      <c r="EFK193" s="5"/>
      <c r="EFL193" s="5"/>
      <c r="EFM193" s="5"/>
      <c r="EFN193" s="5"/>
      <c r="EFO193" s="5"/>
      <c r="EFP193" s="5"/>
      <c r="EFQ193" s="5"/>
      <c r="EFR193" s="5"/>
      <c r="EFS193" s="5"/>
      <c r="EFT193" s="5"/>
      <c r="EFU193" s="5"/>
      <c r="EFV193" s="5"/>
      <c r="EFW193" s="5"/>
      <c r="EFX193" s="5"/>
      <c r="EFY193" s="5"/>
      <c r="EFZ193" s="5"/>
      <c r="EGA193" s="5"/>
      <c r="EGB193" s="5"/>
      <c r="EGC193" s="5"/>
      <c r="EGD193" s="5"/>
      <c r="EGE193" s="5"/>
      <c r="EGF193" s="5"/>
      <c r="EGG193" s="5"/>
      <c r="EGH193" s="5"/>
      <c r="EGI193" s="5"/>
      <c r="EGJ193" s="5"/>
      <c r="EGK193" s="5"/>
      <c r="EGL193" s="5"/>
      <c r="EGM193" s="5"/>
      <c r="EGN193" s="5"/>
      <c r="EGO193" s="5"/>
      <c r="EGP193" s="5"/>
      <c r="EGQ193" s="5"/>
      <c r="EGR193" s="5"/>
      <c r="EGS193" s="5"/>
      <c r="EGT193" s="5"/>
      <c r="EGU193" s="5"/>
      <c r="EGV193" s="5"/>
      <c r="EGW193" s="5"/>
      <c r="EGX193" s="5"/>
      <c r="EGY193" s="5"/>
      <c r="EGZ193" s="5"/>
      <c r="EHA193" s="5"/>
      <c r="EHB193" s="5"/>
      <c r="EHC193" s="5"/>
      <c r="EHD193" s="5"/>
      <c r="EHE193" s="5"/>
      <c r="EHF193" s="5"/>
      <c r="EHG193" s="5"/>
      <c r="EHH193" s="5"/>
      <c r="EHI193" s="5"/>
      <c r="EHJ193" s="5"/>
      <c r="EHK193" s="5"/>
      <c r="EHL193" s="5"/>
      <c r="EHM193" s="5"/>
      <c r="EHN193" s="5"/>
      <c r="EHO193" s="5"/>
      <c r="EHP193" s="5"/>
      <c r="EHQ193" s="5"/>
      <c r="EHR193" s="5"/>
      <c r="EHS193" s="5"/>
      <c r="EHT193" s="5"/>
      <c r="EHU193" s="5"/>
      <c r="EHV193" s="5"/>
      <c r="EHW193" s="5"/>
      <c r="EHX193" s="5"/>
      <c r="EHY193" s="5"/>
      <c r="EHZ193" s="5"/>
      <c r="EIA193" s="5"/>
      <c r="EIB193" s="5"/>
      <c r="EIC193" s="5"/>
      <c r="EID193" s="5"/>
      <c r="EIE193" s="5"/>
      <c r="EIF193" s="5"/>
      <c r="EIG193" s="5"/>
      <c r="EIH193" s="5"/>
      <c r="EII193" s="5"/>
      <c r="EIJ193" s="5"/>
      <c r="EIK193" s="5"/>
      <c r="EIL193" s="5"/>
      <c r="EIM193" s="5"/>
      <c r="EIN193" s="5"/>
      <c r="EIO193" s="5"/>
      <c r="EIP193" s="5"/>
      <c r="EIQ193" s="5"/>
      <c r="EIR193" s="5"/>
      <c r="EIS193" s="5"/>
      <c r="EIT193" s="5"/>
      <c r="EIU193" s="5"/>
      <c r="EIV193" s="5"/>
      <c r="EIW193" s="5"/>
      <c r="EIX193" s="5"/>
      <c r="EIY193" s="5"/>
      <c r="EIZ193" s="5"/>
      <c r="EJA193" s="5"/>
      <c r="EJB193" s="5"/>
      <c r="EJC193" s="5"/>
      <c r="EJD193" s="5"/>
      <c r="EJE193" s="5"/>
      <c r="EJF193" s="5"/>
      <c r="EJG193" s="5"/>
      <c r="EJH193" s="5"/>
      <c r="EJI193" s="5"/>
      <c r="EJJ193" s="5"/>
      <c r="EJK193" s="5"/>
      <c r="EJL193" s="5"/>
      <c r="EJM193" s="5"/>
      <c r="EJN193" s="5"/>
      <c r="EJO193" s="5"/>
      <c r="EJP193" s="5"/>
      <c r="EJQ193" s="5"/>
      <c r="EJR193" s="5"/>
      <c r="EJS193" s="5"/>
      <c r="EJT193" s="5"/>
      <c r="EJU193" s="5"/>
      <c r="EJV193" s="5"/>
      <c r="EJW193" s="5"/>
      <c r="EJX193" s="5"/>
      <c r="EJY193" s="5"/>
      <c r="EJZ193" s="5"/>
      <c r="EKA193" s="5"/>
      <c r="EKB193" s="5"/>
      <c r="EKC193" s="5"/>
      <c r="EKD193" s="5"/>
      <c r="EKE193" s="5"/>
      <c r="EKF193" s="5"/>
      <c r="EKG193" s="5"/>
      <c r="EKH193" s="5"/>
      <c r="EKI193" s="5"/>
      <c r="EKJ193" s="5"/>
      <c r="EKK193" s="5"/>
      <c r="EKL193" s="5"/>
      <c r="EKM193" s="5"/>
      <c r="EKN193" s="5"/>
      <c r="EKO193" s="5"/>
      <c r="EKP193" s="5"/>
      <c r="EKQ193" s="5"/>
      <c r="EKR193" s="5"/>
      <c r="EKS193" s="5"/>
      <c r="EKT193" s="5"/>
      <c r="EKU193" s="5"/>
      <c r="EKV193" s="5"/>
      <c r="EKW193" s="5"/>
      <c r="EKX193" s="5"/>
      <c r="EKY193" s="5"/>
      <c r="EKZ193" s="5"/>
      <c r="ELA193" s="5"/>
      <c r="ELB193" s="5"/>
      <c r="ELC193" s="5"/>
      <c r="ELD193" s="5"/>
      <c r="ELE193" s="5"/>
      <c r="ELF193" s="5"/>
      <c r="ELG193" s="5"/>
      <c r="ELH193" s="5"/>
      <c r="ELI193" s="5"/>
      <c r="ELJ193" s="5"/>
      <c r="ELK193" s="5"/>
      <c r="ELL193" s="5"/>
      <c r="ELM193" s="5"/>
      <c r="ELN193" s="5"/>
      <c r="ELO193" s="5"/>
      <c r="ELP193" s="5"/>
      <c r="ELQ193" s="5"/>
      <c r="ELR193" s="5"/>
      <c r="ELS193" s="5"/>
      <c r="ELT193" s="5"/>
      <c r="ELU193" s="5"/>
      <c r="ELV193" s="5"/>
      <c r="ELW193" s="5"/>
      <c r="ELX193" s="5"/>
      <c r="ELY193" s="5"/>
      <c r="ELZ193" s="5"/>
      <c r="EMA193" s="5"/>
      <c r="EMB193" s="5"/>
      <c r="EMC193" s="5"/>
      <c r="EMD193" s="5"/>
      <c r="EME193" s="5"/>
      <c r="EMF193" s="5"/>
      <c r="EMG193" s="5"/>
      <c r="EMH193" s="5"/>
      <c r="EMI193" s="5"/>
      <c r="EMJ193" s="5"/>
      <c r="EMK193" s="5"/>
      <c r="EML193" s="5"/>
      <c r="EMM193" s="5"/>
      <c r="EMN193" s="5"/>
      <c r="EMO193" s="5"/>
      <c r="EMP193" s="5"/>
      <c r="EMQ193" s="5"/>
      <c r="EMR193" s="5"/>
      <c r="EMS193" s="5"/>
      <c r="EMT193" s="5"/>
      <c r="EMU193" s="5"/>
      <c r="EMV193" s="5"/>
      <c r="EMW193" s="5"/>
      <c r="EMX193" s="5"/>
      <c r="EMY193" s="5"/>
      <c r="EMZ193" s="5"/>
      <c r="ENA193" s="5"/>
      <c r="ENB193" s="5"/>
      <c r="ENC193" s="5"/>
      <c r="END193" s="5"/>
      <c r="ENE193" s="5"/>
      <c r="ENF193" s="5"/>
      <c r="ENG193" s="5"/>
      <c r="ENH193" s="5"/>
      <c r="ENI193" s="5"/>
      <c r="ENJ193" s="5"/>
      <c r="ENK193" s="5"/>
      <c r="ENL193" s="5"/>
      <c r="ENM193" s="5"/>
      <c r="ENN193" s="5"/>
      <c r="ENO193" s="5"/>
      <c r="ENP193" s="5"/>
      <c r="ENQ193" s="5"/>
      <c r="ENR193" s="5"/>
      <c r="ENS193" s="5"/>
      <c r="ENT193" s="5"/>
      <c r="ENU193" s="5"/>
      <c r="ENV193" s="5"/>
      <c r="ENW193" s="5"/>
      <c r="ENX193" s="5"/>
      <c r="ENY193" s="5"/>
      <c r="ENZ193" s="5"/>
      <c r="EOA193" s="5"/>
      <c r="EOB193" s="5"/>
      <c r="EOC193" s="5"/>
      <c r="EOD193" s="5"/>
      <c r="EOE193" s="5"/>
      <c r="EOF193" s="5"/>
      <c r="EOG193" s="5"/>
      <c r="EOH193" s="5"/>
      <c r="EOI193" s="5"/>
      <c r="EOJ193" s="5"/>
      <c r="EOK193" s="5"/>
      <c r="EOL193" s="5"/>
      <c r="EOM193" s="5"/>
      <c r="EON193" s="5"/>
      <c r="EOO193" s="5"/>
      <c r="EOP193" s="5"/>
      <c r="EOQ193" s="5"/>
      <c r="EOR193" s="5"/>
      <c r="EOS193" s="5"/>
      <c r="EOT193" s="5"/>
      <c r="EOU193" s="5"/>
      <c r="EOV193" s="5"/>
      <c r="EOW193" s="5"/>
      <c r="EOX193" s="5"/>
      <c r="EOY193" s="5"/>
      <c r="EOZ193" s="5"/>
      <c r="EPA193" s="5"/>
      <c r="EPB193" s="5"/>
      <c r="EPC193" s="5"/>
      <c r="EPD193" s="5"/>
      <c r="EPE193" s="5"/>
      <c r="EPF193" s="5"/>
      <c r="EPG193" s="5"/>
      <c r="EPH193" s="5"/>
      <c r="EPI193" s="5"/>
      <c r="EPJ193" s="5"/>
      <c r="EPK193" s="5"/>
      <c r="EPL193" s="5"/>
      <c r="EPM193" s="5"/>
      <c r="EPN193" s="5"/>
      <c r="EPO193" s="5"/>
      <c r="EPP193" s="5"/>
      <c r="EPQ193" s="5"/>
      <c r="EPR193" s="5"/>
      <c r="EPS193" s="5"/>
      <c r="EPT193" s="5"/>
      <c r="EPU193" s="5"/>
      <c r="EPV193" s="5"/>
      <c r="EPW193" s="5"/>
      <c r="EPX193" s="5"/>
      <c r="EPY193" s="5"/>
      <c r="EPZ193" s="5"/>
      <c r="EQA193" s="5"/>
      <c r="EQB193" s="5"/>
      <c r="EQC193" s="5"/>
      <c r="EQD193" s="5"/>
      <c r="EQE193" s="5"/>
      <c r="EQF193" s="5"/>
      <c r="EQG193" s="5"/>
      <c r="EQH193" s="5"/>
      <c r="EQI193" s="5"/>
      <c r="EQJ193" s="5"/>
      <c r="EQK193" s="5"/>
      <c r="EQL193" s="5"/>
      <c r="EQM193" s="5"/>
      <c r="EQN193" s="5"/>
      <c r="EQO193" s="5"/>
      <c r="EQP193" s="5"/>
      <c r="EQQ193" s="5"/>
      <c r="EQR193" s="5"/>
      <c r="EQS193" s="5"/>
      <c r="EQT193" s="5"/>
      <c r="EQU193" s="5"/>
      <c r="EQV193" s="5"/>
      <c r="EQW193" s="5"/>
      <c r="EQX193" s="5"/>
      <c r="EQY193" s="5"/>
      <c r="EQZ193" s="5"/>
      <c r="ERA193" s="5"/>
      <c r="ERB193" s="5"/>
      <c r="ERC193" s="5"/>
      <c r="ERD193" s="5"/>
      <c r="ERE193" s="5"/>
      <c r="ERF193" s="5"/>
      <c r="ERG193" s="5"/>
      <c r="ERH193" s="5"/>
      <c r="ERI193" s="5"/>
      <c r="ERJ193" s="5"/>
      <c r="ERK193" s="5"/>
      <c r="ERL193" s="5"/>
      <c r="ERM193" s="5"/>
      <c r="ERN193" s="5"/>
      <c r="ERO193" s="5"/>
      <c r="ERP193" s="5"/>
      <c r="ERQ193" s="5"/>
      <c r="ERR193" s="5"/>
      <c r="ERS193" s="5"/>
      <c r="ERT193" s="5"/>
      <c r="ERU193" s="5"/>
      <c r="ERV193" s="5"/>
      <c r="ERW193" s="5"/>
      <c r="ERX193" s="5"/>
      <c r="ERY193" s="5"/>
      <c r="ERZ193" s="5"/>
      <c r="ESA193" s="5"/>
      <c r="ESB193" s="5"/>
      <c r="ESC193" s="5"/>
      <c r="ESD193" s="5"/>
      <c r="ESE193" s="5"/>
      <c r="ESF193" s="5"/>
      <c r="ESG193" s="5"/>
      <c r="ESH193" s="5"/>
      <c r="ESI193" s="5"/>
      <c r="ESJ193" s="5"/>
      <c r="ESK193" s="5"/>
      <c r="ESL193" s="5"/>
      <c r="ESM193" s="5"/>
      <c r="ESN193" s="5"/>
      <c r="ESO193" s="5"/>
      <c r="ESP193" s="5"/>
      <c r="ESQ193" s="5"/>
      <c r="ESR193" s="5"/>
      <c r="ESS193" s="5"/>
      <c r="EST193" s="5"/>
      <c r="ESU193" s="5"/>
      <c r="ESV193" s="5"/>
      <c r="ESW193" s="5"/>
      <c r="ESX193" s="5"/>
      <c r="ESY193" s="5"/>
      <c r="ESZ193" s="5"/>
      <c r="ETA193" s="5"/>
      <c r="ETB193" s="5"/>
      <c r="ETC193" s="5"/>
      <c r="ETD193" s="5"/>
      <c r="ETE193" s="5"/>
      <c r="ETF193" s="5"/>
      <c r="ETG193" s="5"/>
      <c r="ETH193" s="5"/>
      <c r="ETI193" s="5"/>
      <c r="ETJ193" s="5"/>
      <c r="ETK193" s="5"/>
      <c r="ETL193" s="5"/>
      <c r="ETM193" s="5"/>
      <c r="ETN193" s="5"/>
      <c r="ETO193" s="5"/>
      <c r="ETP193" s="5"/>
      <c r="ETQ193" s="5"/>
      <c r="ETR193" s="5"/>
      <c r="ETS193" s="5"/>
      <c r="ETT193" s="5"/>
      <c r="ETU193" s="5"/>
      <c r="ETV193" s="5"/>
      <c r="ETW193" s="5"/>
      <c r="ETX193" s="5"/>
      <c r="ETY193" s="5"/>
      <c r="ETZ193" s="5"/>
      <c r="EUA193" s="5"/>
      <c r="EUB193" s="5"/>
      <c r="EUC193" s="5"/>
      <c r="EUD193" s="5"/>
      <c r="EUE193" s="5"/>
      <c r="EUF193" s="5"/>
      <c r="EUG193" s="5"/>
      <c r="EUH193" s="5"/>
      <c r="EUI193" s="5"/>
      <c r="EUJ193" s="5"/>
      <c r="EUK193" s="5"/>
      <c r="EUL193" s="5"/>
      <c r="EUM193" s="5"/>
      <c r="EUN193" s="5"/>
      <c r="EUO193" s="5"/>
      <c r="EUP193" s="5"/>
      <c r="EUQ193" s="5"/>
      <c r="EUR193" s="5"/>
      <c r="EUS193" s="5"/>
      <c r="EUT193" s="5"/>
      <c r="EUU193" s="5"/>
      <c r="EUV193" s="5"/>
      <c r="EUW193" s="5"/>
      <c r="EUX193" s="5"/>
      <c r="EUY193" s="5"/>
      <c r="EUZ193" s="5"/>
      <c r="EVA193" s="5"/>
      <c r="EVB193" s="5"/>
      <c r="EVC193" s="5"/>
      <c r="EVD193" s="5"/>
      <c r="EVE193" s="5"/>
      <c r="EVF193" s="5"/>
      <c r="EVG193" s="5"/>
      <c r="EVH193" s="5"/>
      <c r="EVI193" s="5"/>
      <c r="EVJ193" s="5"/>
      <c r="EVK193" s="5"/>
      <c r="EVL193" s="5"/>
      <c r="EVM193" s="5"/>
      <c r="EVN193" s="5"/>
      <c r="EVO193" s="5"/>
      <c r="EVP193" s="5"/>
      <c r="EVQ193" s="5"/>
      <c r="EVR193" s="5"/>
      <c r="EVS193" s="5"/>
      <c r="EVT193" s="5"/>
      <c r="EVU193" s="5"/>
      <c r="EVV193" s="5"/>
      <c r="EVW193" s="5"/>
      <c r="EVX193" s="5"/>
      <c r="EVY193" s="5"/>
      <c r="EVZ193" s="5"/>
      <c r="EWA193" s="5"/>
      <c r="EWB193" s="5"/>
      <c r="EWC193" s="5"/>
      <c r="EWD193" s="5"/>
      <c r="EWE193" s="5"/>
      <c r="EWF193" s="5"/>
      <c r="EWG193" s="5"/>
      <c r="EWH193" s="5"/>
      <c r="EWI193" s="5"/>
      <c r="EWJ193" s="5"/>
      <c r="EWK193" s="5"/>
      <c r="EWL193" s="5"/>
      <c r="EWM193" s="5"/>
      <c r="EWN193" s="5"/>
      <c r="EWO193" s="5"/>
      <c r="EWP193" s="5"/>
      <c r="EWQ193" s="5"/>
      <c r="EWR193" s="5"/>
      <c r="EWS193" s="5"/>
      <c r="EWT193" s="5"/>
      <c r="EWU193" s="5"/>
      <c r="EWV193" s="5"/>
      <c r="EWW193" s="5"/>
      <c r="EWX193" s="5"/>
      <c r="EWY193" s="5"/>
      <c r="EWZ193" s="5"/>
      <c r="EXA193" s="5"/>
      <c r="EXB193" s="5"/>
      <c r="EXC193" s="5"/>
      <c r="EXD193" s="5"/>
      <c r="EXE193" s="5"/>
      <c r="EXF193" s="5"/>
      <c r="EXG193" s="5"/>
      <c r="EXH193" s="5"/>
      <c r="EXI193" s="5"/>
      <c r="EXJ193" s="5"/>
      <c r="EXK193" s="5"/>
      <c r="EXL193" s="5"/>
      <c r="EXM193" s="5"/>
      <c r="EXN193" s="5"/>
      <c r="EXO193" s="5"/>
      <c r="EXP193" s="5"/>
      <c r="EXQ193" s="5"/>
      <c r="EXR193" s="5"/>
      <c r="EXS193" s="5"/>
      <c r="EXT193" s="5"/>
      <c r="EXU193" s="5"/>
      <c r="EXV193" s="5"/>
      <c r="EXW193" s="5"/>
      <c r="EXX193" s="5"/>
      <c r="EXY193" s="5"/>
      <c r="EXZ193" s="5"/>
      <c r="EYA193" s="5"/>
      <c r="EYB193" s="5"/>
      <c r="EYC193" s="5"/>
      <c r="EYD193" s="5"/>
      <c r="EYE193" s="5"/>
      <c r="EYF193" s="5"/>
      <c r="EYG193" s="5"/>
      <c r="EYH193" s="5"/>
      <c r="EYI193" s="5"/>
      <c r="EYJ193" s="5"/>
      <c r="EYK193" s="5"/>
      <c r="EYL193" s="5"/>
      <c r="EYM193" s="5"/>
      <c r="EYN193" s="5"/>
      <c r="EYO193" s="5"/>
      <c r="EYP193" s="5"/>
      <c r="EYQ193" s="5"/>
      <c r="EYR193" s="5"/>
      <c r="EYS193" s="5"/>
      <c r="EYT193" s="5"/>
      <c r="EYU193" s="5"/>
      <c r="EYV193" s="5"/>
      <c r="EYW193" s="5"/>
      <c r="EYX193" s="5"/>
      <c r="EYY193" s="5"/>
      <c r="EYZ193" s="5"/>
      <c r="EZA193" s="5"/>
      <c r="EZB193" s="5"/>
      <c r="EZC193" s="5"/>
      <c r="EZD193" s="5"/>
      <c r="EZE193" s="5"/>
      <c r="EZF193" s="5"/>
      <c r="EZG193" s="5"/>
      <c r="EZH193" s="5"/>
      <c r="EZI193" s="5"/>
      <c r="EZJ193" s="5"/>
      <c r="EZK193" s="5"/>
      <c r="EZL193" s="5"/>
      <c r="EZM193" s="5"/>
      <c r="EZN193" s="5"/>
      <c r="EZO193" s="5"/>
      <c r="EZP193" s="5"/>
      <c r="EZQ193" s="5"/>
      <c r="EZR193" s="5"/>
      <c r="EZS193" s="5"/>
      <c r="EZT193" s="5"/>
      <c r="EZU193" s="5"/>
      <c r="EZV193" s="5"/>
      <c r="EZW193" s="5"/>
      <c r="EZX193" s="5"/>
      <c r="EZY193" s="5"/>
      <c r="EZZ193" s="5"/>
      <c r="FAA193" s="5"/>
      <c r="FAB193" s="5"/>
      <c r="FAC193" s="5"/>
      <c r="FAD193" s="5"/>
      <c r="FAE193" s="5"/>
      <c r="FAF193" s="5"/>
      <c r="FAG193" s="5"/>
      <c r="FAH193" s="5"/>
      <c r="FAI193" s="5"/>
      <c r="FAJ193" s="5"/>
      <c r="FAK193" s="5"/>
      <c r="FAL193" s="5"/>
      <c r="FAM193" s="5"/>
      <c r="FAN193" s="5"/>
      <c r="FAO193" s="5"/>
      <c r="FAP193" s="5"/>
      <c r="FAQ193" s="5"/>
      <c r="FAR193" s="5"/>
      <c r="FAS193" s="5"/>
      <c r="FAT193" s="5"/>
      <c r="FAU193" s="5"/>
      <c r="FAV193" s="5"/>
      <c r="FAW193" s="5"/>
      <c r="FAX193" s="5"/>
      <c r="FAY193" s="5"/>
      <c r="FAZ193" s="5"/>
      <c r="FBA193" s="5"/>
      <c r="FBB193" s="5"/>
      <c r="FBC193" s="5"/>
      <c r="FBD193" s="5"/>
      <c r="FBE193" s="5"/>
      <c r="FBF193" s="5"/>
      <c r="FBG193" s="5"/>
      <c r="FBH193" s="5"/>
      <c r="FBI193" s="5"/>
      <c r="FBJ193" s="5"/>
      <c r="FBK193" s="5"/>
      <c r="FBL193" s="5"/>
      <c r="FBM193" s="5"/>
      <c r="FBN193" s="5"/>
      <c r="FBO193" s="5"/>
      <c r="FBP193" s="5"/>
      <c r="FBQ193" s="5"/>
      <c r="FBR193" s="5"/>
      <c r="FBS193" s="5"/>
      <c r="FBT193" s="5"/>
      <c r="FBU193" s="5"/>
      <c r="FBV193" s="5"/>
      <c r="FBW193" s="5"/>
      <c r="FBX193" s="5"/>
      <c r="FBY193" s="5"/>
      <c r="FBZ193" s="5"/>
      <c r="FCA193" s="5"/>
      <c r="FCB193" s="5"/>
      <c r="FCC193" s="5"/>
      <c r="FCD193" s="5"/>
      <c r="FCE193" s="5"/>
      <c r="FCF193" s="5"/>
      <c r="FCG193" s="5"/>
      <c r="FCH193" s="5"/>
      <c r="FCI193" s="5"/>
      <c r="FCJ193" s="5"/>
      <c r="FCK193" s="5"/>
      <c r="FCL193" s="5"/>
      <c r="FCM193" s="5"/>
      <c r="FCN193" s="5"/>
      <c r="FCO193" s="5"/>
      <c r="FCP193" s="5"/>
      <c r="FCQ193" s="5"/>
      <c r="FCR193" s="5"/>
      <c r="FCS193" s="5"/>
      <c r="FCT193" s="5"/>
      <c r="FCU193" s="5"/>
      <c r="FCV193" s="5"/>
      <c r="FCW193" s="5"/>
      <c r="FCX193" s="5"/>
      <c r="FCY193" s="5"/>
      <c r="FCZ193" s="5"/>
      <c r="FDA193" s="5"/>
      <c r="FDB193" s="5"/>
      <c r="FDC193" s="5"/>
      <c r="FDD193" s="5"/>
      <c r="FDE193" s="5"/>
      <c r="FDF193" s="5"/>
      <c r="FDG193" s="5"/>
      <c r="FDH193" s="5"/>
      <c r="FDI193" s="5"/>
      <c r="FDJ193" s="5"/>
      <c r="FDK193" s="5"/>
      <c r="FDL193" s="5"/>
      <c r="FDM193" s="5"/>
      <c r="FDN193" s="5"/>
      <c r="FDO193" s="5"/>
      <c r="FDP193" s="5"/>
      <c r="FDQ193" s="5"/>
      <c r="FDR193" s="5"/>
      <c r="FDS193" s="5"/>
      <c r="FDT193" s="5"/>
      <c r="FDU193" s="5"/>
      <c r="FDV193" s="5"/>
      <c r="FDW193" s="5"/>
      <c r="FDX193" s="5"/>
      <c r="FDY193" s="5"/>
      <c r="FDZ193" s="5"/>
      <c r="FEA193" s="5"/>
      <c r="FEB193" s="5"/>
      <c r="FEC193" s="5"/>
      <c r="FED193" s="5"/>
      <c r="FEE193" s="5"/>
      <c r="FEF193" s="5"/>
      <c r="FEG193" s="5"/>
      <c r="FEH193" s="5"/>
      <c r="FEI193" s="5"/>
      <c r="FEJ193" s="5"/>
      <c r="FEK193" s="5"/>
      <c r="FEL193" s="5"/>
      <c r="FEM193" s="5"/>
      <c r="FEN193" s="5"/>
      <c r="FEO193" s="5"/>
      <c r="FEP193" s="5"/>
      <c r="FEQ193" s="5"/>
      <c r="FER193" s="5"/>
      <c r="FES193" s="5"/>
      <c r="FET193" s="5"/>
      <c r="FEU193" s="5"/>
      <c r="FEV193" s="5"/>
      <c r="FEW193" s="5"/>
      <c r="FEX193" s="5"/>
      <c r="FEY193" s="5"/>
      <c r="FEZ193" s="5"/>
      <c r="FFA193" s="5"/>
      <c r="FFB193" s="5"/>
      <c r="FFC193" s="5"/>
      <c r="FFD193" s="5"/>
      <c r="FFE193" s="5"/>
      <c r="FFF193" s="5"/>
      <c r="FFG193" s="5"/>
      <c r="FFH193" s="5"/>
      <c r="FFI193" s="5"/>
      <c r="FFJ193" s="5"/>
      <c r="FFK193" s="5"/>
      <c r="FFL193" s="5"/>
      <c r="FFM193" s="5"/>
      <c r="FFN193" s="5"/>
      <c r="FFO193" s="5"/>
      <c r="FFP193" s="5"/>
      <c r="FFQ193" s="5"/>
      <c r="FFR193" s="5"/>
      <c r="FFS193" s="5"/>
      <c r="FFT193" s="5"/>
      <c r="FFU193" s="5"/>
      <c r="FFV193" s="5"/>
      <c r="FFW193" s="5"/>
      <c r="FFX193" s="5"/>
      <c r="FFY193" s="5"/>
      <c r="FFZ193" s="5"/>
      <c r="FGA193" s="5"/>
      <c r="FGB193" s="5"/>
      <c r="FGC193" s="5"/>
      <c r="FGD193" s="5"/>
      <c r="FGE193" s="5"/>
      <c r="FGF193" s="5"/>
      <c r="FGG193" s="5"/>
      <c r="FGH193" s="5"/>
      <c r="FGI193" s="5"/>
      <c r="FGJ193" s="5"/>
      <c r="FGK193" s="5"/>
      <c r="FGL193" s="5"/>
      <c r="FGM193" s="5"/>
      <c r="FGN193" s="5"/>
      <c r="FGO193" s="5"/>
      <c r="FGP193" s="5"/>
      <c r="FGQ193" s="5"/>
      <c r="FGR193" s="5"/>
      <c r="FGS193" s="5"/>
      <c r="FGT193" s="5"/>
      <c r="FGU193" s="5"/>
      <c r="FGV193" s="5"/>
      <c r="FGW193" s="5"/>
      <c r="FGX193" s="5"/>
      <c r="FGY193" s="5"/>
      <c r="FGZ193" s="5"/>
      <c r="FHA193" s="5"/>
      <c r="FHB193" s="5"/>
      <c r="FHC193" s="5"/>
      <c r="FHD193" s="5"/>
      <c r="FHE193" s="5"/>
      <c r="FHF193" s="5"/>
      <c r="FHG193" s="5"/>
      <c r="FHH193" s="5"/>
      <c r="FHI193" s="5"/>
      <c r="FHJ193" s="5"/>
      <c r="FHK193" s="5"/>
      <c r="FHL193" s="5"/>
      <c r="FHM193" s="5"/>
      <c r="FHN193" s="5"/>
      <c r="FHO193" s="5"/>
      <c r="FHP193" s="5"/>
      <c r="FHQ193" s="5"/>
      <c r="FHR193" s="5"/>
      <c r="FHS193" s="5"/>
      <c r="FHT193" s="5"/>
      <c r="FHU193" s="5"/>
      <c r="FHV193" s="5"/>
      <c r="FHW193" s="5"/>
      <c r="FHX193" s="5"/>
      <c r="FHY193" s="5"/>
      <c r="FHZ193" s="5"/>
      <c r="FIA193" s="5"/>
      <c r="FIB193" s="5"/>
      <c r="FIC193" s="5"/>
      <c r="FID193" s="5"/>
      <c r="FIE193" s="5"/>
      <c r="FIF193" s="5"/>
      <c r="FIG193" s="5"/>
      <c r="FIH193" s="5"/>
      <c r="FII193" s="5"/>
      <c r="FIJ193" s="5"/>
      <c r="FIK193" s="5"/>
      <c r="FIL193" s="5"/>
      <c r="FIM193" s="5"/>
      <c r="FIN193" s="5"/>
      <c r="FIO193" s="5"/>
      <c r="FIP193" s="5"/>
      <c r="FIQ193" s="5"/>
      <c r="FIR193" s="5"/>
      <c r="FIS193" s="5"/>
      <c r="FIT193" s="5"/>
      <c r="FIU193" s="5"/>
      <c r="FIV193" s="5"/>
      <c r="FIW193" s="5"/>
      <c r="FIX193" s="5"/>
      <c r="FIY193" s="5"/>
      <c r="FIZ193" s="5"/>
      <c r="FJA193" s="5"/>
      <c r="FJB193" s="5"/>
      <c r="FJC193" s="5"/>
      <c r="FJD193" s="5"/>
      <c r="FJE193" s="5"/>
      <c r="FJF193" s="5"/>
      <c r="FJG193" s="5"/>
      <c r="FJH193" s="5"/>
      <c r="FJI193" s="5"/>
      <c r="FJJ193" s="5"/>
      <c r="FJK193" s="5"/>
      <c r="FJL193" s="5"/>
      <c r="FJM193" s="5"/>
      <c r="FJN193" s="5"/>
      <c r="FJO193" s="5"/>
      <c r="FJP193" s="5"/>
      <c r="FJQ193" s="5"/>
      <c r="FJR193" s="5"/>
      <c r="FJS193" s="5"/>
      <c r="FJT193" s="5"/>
      <c r="FJU193" s="5"/>
      <c r="FJV193" s="5"/>
      <c r="FJW193" s="5"/>
      <c r="FJX193" s="5"/>
      <c r="FJY193" s="5"/>
      <c r="FJZ193" s="5"/>
      <c r="FKA193" s="5"/>
      <c r="FKB193" s="5"/>
      <c r="FKC193" s="5"/>
      <c r="FKD193" s="5"/>
      <c r="FKE193" s="5"/>
      <c r="FKF193" s="5"/>
      <c r="FKG193" s="5"/>
      <c r="FKH193" s="5"/>
      <c r="FKI193" s="5"/>
      <c r="FKJ193" s="5"/>
      <c r="FKK193" s="5"/>
      <c r="FKL193" s="5"/>
      <c r="FKM193" s="5"/>
      <c r="FKN193" s="5"/>
      <c r="FKO193" s="5"/>
      <c r="FKP193" s="5"/>
      <c r="FKQ193" s="5"/>
      <c r="FKR193" s="5"/>
      <c r="FKS193" s="5"/>
      <c r="FKT193" s="5"/>
      <c r="FKU193" s="5"/>
      <c r="FKV193" s="5"/>
      <c r="FKW193" s="5"/>
      <c r="FKX193" s="5"/>
      <c r="FKY193" s="5"/>
      <c r="FKZ193" s="5"/>
      <c r="FLA193" s="5"/>
      <c r="FLB193" s="5"/>
      <c r="FLC193" s="5"/>
      <c r="FLD193" s="5"/>
      <c r="FLE193" s="5"/>
      <c r="FLF193" s="5"/>
      <c r="FLG193" s="5"/>
      <c r="FLH193" s="5"/>
      <c r="FLI193" s="5"/>
      <c r="FLJ193" s="5"/>
      <c r="FLK193" s="5"/>
      <c r="FLL193" s="5"/>
      <c r="FLM193" s="5"/>
      <c r="FLN193" s="5"/>
      <c r="FLO193" s="5"/>
      <c r="FLP193" s="5"/>
      <c r="FLQ193" s="5"/>
      <c r="FLR193" s="5"/>
      <c r="FLS193" s="5"/>
      <c r="FLT193" s="5"/>
      <c r="FLU193" s="5"/>
      <c r="FLV193" s="5"/>
      <c r="FLW193" s="5"/>
      <c r="FLX193" s="5"/>
      <c r="FLY193" s="5"/>
      <c r="FLZ193" s="5"/>
      <c r="FMA193" s="5"/>
      <c r="FMB193" s="5"/>
      <c r="FMC193" s="5"/>
      <c r="FMD193" s="5"/>
      <c r="FME193" s="5"/>
      <c r="FMF193" s="5"/>
      <c r="FMG193" s="5"/>
      <c r="FMH193" s="5"/>
      <c r="FMI193" s="5"/>
      <c r="FMJ193" s="5"/>
      <c r="FMK193" s="5"/>
      <c r="FML193" s="5"/>
      <c r="FMM193" s="5"/>
      <c r="FMN193" s="5"/>
      <c r="FMO193" s="5"/>
      <c r="FMP193" s="5"/>
      <c r="FMQ193" s="5"/>
      <c r="FMR193" s="5"/>
      <c r="FMS193" s="5"/>
      <c r="FMT193" s="5"/>
      <c r="FMU193" s="5"/>
      <c r="FMV193" s="5"/>
      <c r="FMW193" s="5"/>
      <c r="FMX193" s="5"/>
      <c r="FMY193" s="5"/>
      <c r="FMZ193" s="5"/>
      <c r="FNA193" s="5"/>
      <c r="FNB193" s="5"/>
      <c r="FNC193" s="5"/>
      <c r="FND193" s="5"/>
      <c r="FNE193" s="5"/>
      <c r="FNF193" s="5"/>
      <c r="FNG193" s="5"/>
      <c r="FNH193" s="5"/>
      <c r="FNI193" s="5"/>
      <c r="FNJ193" s="5"/>
      <c r="FNK193" s="5"/>
      <c r="FNL193" s="5"/>
      <c r="FNM193" s="5"/>
      <c r="FNN193" s="5"/>
      <c r="FNO193" s="5"/>
      <c r="FNP193" s="5"/>
      <c r="FNQ193" s="5"/>
      <c r="FNR193" s="5"/>
      <c r="FNS193" s="5"/>
      <c r="FNT193" s="5"/>
      <c r="FNU193" s="5"/>
      <c r="FNV193" s="5"/>
      <c r="FNW193" s="5"/>
      <c r="FNX193" s="5"/>
      <c r="FNY193" s="5"/>
      <c r="FNZ193" s="5"/>
      <c r="FOA193" s="5"/>
      <c r="FOB193" s="5"/>
      <c r="FOC193" s="5"/>
      <c r="FOD193" s="5"/>
      <c r="FOE193" s="5"/>
      <c r="FOF193" s="5"/>
      <c r="FOG193" s="5"/>
      <c r="FOH193" s="5"/>
      <c r="FOI193" s="5"/>
      <c r="FOJ193" s="5"/>
      <c r="FOK193" s="5"/>
      <c r="FOL193" s="5"/>
      <c r="FOM193" s="5"/>
      <c r="FON193" s="5"/>
      <c r="FOO193" s="5"/>
      <c r="FOP193" s="5"/>
      <c r="FOQ193" s="5"/>
      <c r="FOR193" s="5"/>
      <c r="FOS193" s="5"/>
      <c r="FOT193" s="5"/>
      <c r="FOU193" s="5"/>
      <c r="FOV193" s="5"/>
      <c r="FOW193" s="5"/>
      <c r="FOX193" s="5"/>
      <c r="FOY193" s="5"/>
      <c r="FOZ193" s="5"/>
      <c r="FPA193" s="5"/>
      <c r="FPB193" s="5"/>
      <c r="FPC193" s="5"/>
      <c r="FPD193" s="5"/>
      <c r="FPE193" s="5"/>
      <c r="FPF193" s="5"/>
      <c r="FPG193" s="5"/>
      <c r="FPH193" s="5"/>
      <c r="FPI193" s="5"/>
      <c r="FPJ193" s="5"/>
      <c r="FPK193" s="5"/>
      <c r="FPL193" s="5"/>
      <c r="FPM193" s="5"/>
      <c r="FPN193" s="5"/>
      <c r="FPO193" s="5"/>
      <c r="FPP193" s="5"/>
      <c r="FPQ193" s="5"/>
      <c r="FPR193" s="5"/>
      <c r="FPS193" s="5"/>
      <c r="FPT193" s="5"/>
      <c r="FPU193" s="5"/>
      <c r="FPV193" s="5"/>
      <c r="FPW193" s="5"/>
      <c r="FPX193" s="5"/>
      <c r="FPY193" s="5"/>
      <c r="FPZ193" s="5"/>
      <c r="FQA193" s="5"/>
      <c r="FQB193" s="5"/>
      <c r="FQC193" s="5"/>
      <c r="FQD193" s="5"/>
      <c r="FQE193" s="5"/>
      <c r="FQF193" s="5"/>
      <c r="FQG193" s="5"/>
      <c r="FQH193" s="5"/>
      <c r="FQI193" s="5"/>
      <c r="FQJ193" s="5"/>
      <c r="FQK193" s="5"/>
      <c r="FQL193" s="5"/>
      <c r="FQM193" s="5"/>
      <c r="FQN193" s="5"/>
      <c r="FQO193" s="5"/>
      <c r="FQP193" s="5"/>
      <c r="FQQ193" s="5"/>
      <c r="FQR193" s="5"/>
      <c r="FQS193" s="5"/>
      <c r="FQT193" s="5"/>
      <c r="FQU193" s="5"/>
      <c r="FQV193" s="5"/>
      <c r="FQW193" s="5"/>
      <c r="FQX193" s="5"/>
      <c r="FQY193" s="5"/>
      <c r="FQZ193" s="5"/>
      <c r="FRA193" s="5"/>
      <c r="FRB193" s="5"/>
      <c r="FRC193" s="5"/>
      <c r="FRD193" s="5"/>
      <c r="FRE193" s="5"/>
      <c r="FRF193" s="5"/>
      <c r="FRG193" s="5"/>
      <c r="FRH193" s="5"/>
      <c r="FRI193" s="5"/>
      <c r="FRJ193" s="5"/>
      <c r="FRK193" s="5"/>
      <c r="FRL193" s="5"/>
      <c r="FRM193" s="5"/>
      <c r="FRN193" s="5"/>
      <c r="FRO193" s="5"/>
      <c r="FRP193" s="5"/>
      <c r="FRQ193" s="5"/>
      <c r="FRR193" s="5"/>
      <c r="FRS193" s="5"/>
      <c r="FRT193" s="5"/>
      <c r="FRU193" s="5"/>
      <c r="FRV193" s="5"/>
      <c r="FRW193" s="5"/>
      <c r="FRX193" s="5"/>
      <c r="FRY193" s="5"/>
      <c r="FRZ193" s="5"/>
      <c r="FSA193" s="5"/>
      <c r="FSB193" s="5"/>
      <c r="FSC193" s="5"/>
      <c r="FSD193" s="5"/>
      <c r="FSE193" s="5"/>
      <c r="FSF193" s="5"/>
      <c r="FSG193" s="5"/>
      <c r="FSH193" s="5"/>
      <c r="FSI193" s="5"/>
      <c r="FSJ193" s="5"/>
      <c r="FSK193" s="5"/>
      <c r="FSL193" s="5"/>
      <c r="FSM193" s="5"/>
      <c r="FSN193" s="5"/>
      <c r="FSO193" s="5"/>
      <c r="FSP193" s="5"/>
      <c r="FSQ193" s="5"/>
      <c r="FSR193" s="5"/>
      <c r="FSS193" s="5"/>
      <c r="FST193" s="5"/>
      <c r="FSU193" s="5"/>
      <c r="FSV193" s="5"/>
      <c r="FSW193" s="5"/>
      <c r="FSX193" s="5"/>
      <c r="FSY193" s="5"/>
      <c r="FSZ193" s="5"/>
      <c r="FTA193" s="5"/>
      <c r="FTB193" s="5"/>
      <c r="FTC193" s="5"/>
      <c r="FTD193" s="5"/>
      <c r="FTE193" s="5"/>
      <c r="FTF193" s="5"/>
      <c r="FTG193" s="5"/>
      <c r="FTH193" s="5"/>
      <c r="FTI193" s="5"/>
      <c r="FTJ193" s="5"/>
      <c r="FTK193" s="5"/>
      <c r="FTL193" s="5"/>
      <c r="FTM193" s="5"/>
      <c r="FTN193" s="5"/>
      <c r="FTO193" s="5"/>
      <c r="FTP193" s="5"/>
      <c r="FTQ193" s="5"/>
      <c r="FTR193" s="5"/>
      <c r="FTS193" s="5"/>
      <c r="FTT193" s="5"/>
      <c r="FTU193" s="5"/>
      <c r="FTV193" s="5"/>
      <c r="FTW193" s="5"/>
      <c r="FTX193" s="5"/>
      <c r="FTY193" s="5"/>
      <c r="FTZ193" s="5"/>
      <c r="FUA193" s="5"/>
      <c r="FUB193" s="5"/>
      <c r="FUC193" s="5"/>
      <c r="FUD193" s="5"/>
      <c r="FUE193" s="5"/>
      <c r="FUF193" s="5"/>
      <c r="FUG193" s="5"/>
      <c r="FUH193" s="5"/>
      <c r="FUI193" s="5"/>
      <c r="FUJ193" s="5"/>
      <c r="FUK193" s="5"/>
      <c r="FUL193" s="5"/>
      <c r="FUM193" s="5"/>
      <c r="FUN193" s="5"/>
      <c r="FUO193" s="5"/>
      <c r="FUP193" s="5"/>
      <c r="FUQ193" s="5"/>
      <c r="FUR193" s="5"/>
      <c r="FUS193" s="5"/>
      <c r="FUT193" s="5"/>
      <c r="FUU193" s="5"/>
      <c r="FUV193" s="5"/>
      <c r="FUW193" s="5"/>
      <c r="FUX193" s="5"/>
      <c r="FUY193" s="5"/>
      <c r="FUZ193" s="5"/>
      <c r="FVA193" s="5"/>
      <c r="FVB193" s="5"/>
      <c r="FVC193" s="5"/>
      <c r="FVD193" s="5"/>
      <c r="FVE193" s="5"/>
      <c r="FVF193" s="5"/>
      <c r="FVG193" s="5"/>
      <c r="FVH193" s="5"/>
      <c r="FVI193" s="5"/>
      <c r="FVJ193" s="5"/>
      <c r="FVK193" s="5"/>
      <c r="FVL193" s="5"/>
      <c r="FVM193" s="5"/>
      <c r="FVN193" s="5"/>
      <c r="FVO193" s="5"/>
      <c r="FVP193" s="5"/>
      <c r="FVQ193" s="5"/>
      <c r="FVR193" s="5"/>
      <c r="FVS193" s="5"/>
      <c r="FVT193" s="5"/>
      <c r="FVU193" s="5"/>
      <c r="FVV193" s="5"/>
      <c r="FVW193" s="5"/>
      <c r="FVX193" s="5"/>
      <c r="FVY193" s="5"/>
      <c r="FVZ193" s="5"/>
      <c r="FWA193" s="5"/>
      <c r="FWB193" s="5"/>
      <c r="FWC193" s="5"/>
      <c r="FWD193" s="5"/>
      <c r="FWE193" s="5"/>
      <c r="FWF193" s="5"/>
      <c r="FWG193" s="5"/>
      <c r="FWH193" s="5"/>
      <c r="FWI193" s="5"/>
      <c r="FWJ193" s="5"/>
      <c r="FWK193" s="5"/>
      <c r="FWL193" s="5"/>
      <c r="FWM193" s="5"/>
      <c r="FWN193" s="5"/>
      <c r="FWO193" s="5"/>
      <c r="FWP193" s="5"/>
      <c r="FWQ193" s="5"/>
      <c r="FWR193" s="5"/>
      <c r="FWS193" s="5"/>
      <c r="FWT193" s="5"/>
      <c r="FWU193" s="5"/>
      <c r="FWV193" s="5"/>
      <c r="FWW193" s="5"/>
      <c r="FWX193" s="5"/>
      <c r="FWY193" s="5"/>
      <c r="FWZ193" s="5"/>
      <c r="FXA193" s="5"/>
      <c r="FXB193" s="5"/>
      <c r="FXC193" s="5"/>
      <c r="FXD193" s="5"/>
      <c r="FXE193" s="5"/>
      <c r="FXF193" s="5"/>
      <c r="FXG193" s="5"/>
      <c r="FXH193" s="5"/>
      <c r="FXI193" s="5"/>
      <c r="FXJ193" s="5"/>
      <c r="FXK193" s="5"/>
      <c r="FXL193" s="5"/>
      <c r="FXM193" s="5"/>
      <c r="FXN193" s="5"/>
      <c r="FXO193" s="5"/>
      <c r="FXP193" s="5"/>
      <c r="FXQ193" s="5"/>
      <c r="FXR193" s="5"/>
      <c r="FXS193" s="5"/>
      <c r="FXT193" s="5"/>
      <c r="FXU193" s="5"/>
      <c r="FXV193" s="5"/>
      <c r="FXW193" s="5"/>
      <c r="FXX193" s="5"/>
      <c r="FXY193" s="5"/>
      <c r="FXZ193" s="5"/>
      <c r="FYA193" s="5"/>
      <c r="FYB193" s="5"/>
      <c r="FYC193" s="5"/>
      <c r="FYD193" s="5"/>
      <c r="FYE193" s="5"/>
      <c r="FYF193" s="5"/>
      <c r="FYG193" s="5"/>
      <c r="FYH193" s="5"/>
      <c r="FYI193" s="5"/>
      <c r="FYJ193" s="5"/>
      <c r="FYK193" s="5"/>
      <c r="FYL193" s="5"/>
      <c r="FYM193" s="5"/>
      <c r="FYN193" s="5"/>
      <c r="FYO193" s="5"/>
      <c r="FYP193" s="5"/>
      <c r="FYQ193" s="5"/>
      <c r="FYR193" s="5"/>
      <c r="FYS193" s="5"/>
      <c r="FYT193" s="5"/>
      <c r="FYU193" s="5"/>
      <c r="FYV193" s="5"/>
      <c r="FYW193" s="5"/>
      <c r="FYX193" s="5"/>
      <c r="FYY193" s="5"/>
      <c r="FYZ193" s="5"/>
      <c r="FZA193" s="5"/>
      <c r="FZB193" s="5"/>
      <c r="FZC193" s="5"/>
      <c r="FZD193" s="5"/>
      <c r="FZE193" s="5"/>
      <c r="FZF193" s="5"/>
      <c r="FZG193" s="5"/>
      <c r="FZH193" s="5"/>
      <c r="FZI193" s="5"/>
      <c r="FZJ193" s="5"/>
      <c r="FZK193" s="5"/>
      <c r="FZL193" s="5"/>
      <c r="FZM193" s="5"/>
      <c r="FZN193" s="5"/>
      <c r="FZO193" s="5"/>
      <c r="FZP193" s="5"/>
      <c r="FZQ193" s="5"/>
      <c r="FZR193" s="5"/>
      <c r="FZS193" s="5"/>
      <c r="FZT193" s="5"/>
      <c r="FZU193" s="5"/>
      <c r="FZV193" s="5"/>
      <c r="FZW193" s="5"/>
      <c r="FZX193" s="5"/>
      <c r="FZY193" s="5"/>
      <c r="FZZ193" s="5"/>
      <c r="GAA193" s="5"/>
      <c r="GAB193" s="5"/>
      <c r="GAC193" s="5"/>
      <c r="GAD193" s="5"/>
      <c r="GAE193" s="5"/>
      <c r="GAF193" s="5"/>
      <c r="GAG193" s="5"/>
      <c r="GAH193" s="5"/>
      <c r="GAI193" s="5"/>
      <c r="GAJ193" s="5"/>
      <c r="GAK193" s="5"/>
      <c r="GAL193" s="5"/>
      <c r="GAM193" s="5"/>
      <c r="GAN193" s="5"/>
      <c r="GAO193" s="5"/>
      <c r="GAP193" s="5"/>
      <c r="GAQ193" s="5"/>
      <c r="GAR193" s="5"/>
      <c r="GAS193" s="5"/>
      <c r="GAT193" s="5"/>
      <c r="GAU193" s="5"/>
      <c r="GAV193" s="5"/>
      <c r="GAW193" s="5"/>
      <c r="GAX193" s="5"/>
      <c r="GAY193" s="5"/>
      <c r="GAZ193" s="5"/>
      <c r="GBA193" s="5"/>
      <c r="GBB193" s="5"/>
      <c r="GBC193" s="5"/>
      <c r="GBD193" s="5"/>
      <c r="GBE193" s="5"/>
      <c r="GBF193" s="5"/>
      <c r="GBG193" s="5"/>
      <c r="GBH193" s="5"/>
      <c r="GBI193" s="5"/>
      <c r="GBJ193" s="5"/>
      <c r="GBK193" s="5"/>
      <c r="GBL193" s="5"/>
      <c r="GBM193" s="5"/>
      <c r="GBN193" s="5"/>
      <c r="GBO193" s="5"/>
      <c r="GBP193" s="5"/>
      <c r="GBQ193" s="5"/>
      <c r="GBR193" s="5"/>
      <c r="GBS193" s="5"/>
      <c r="GBT193" s="5"/>
      <c r="GBU193" s="5"/>
      <c r="GBV193" s="5"/>
      <c r="GBW193" s="5"/>
      <c r="GBX193" s="5"/>
      <c r="GBY193" s="5"/>
      <c r="GBZ193" s="5"/>
      <c r="GCA193" s="5"/>
      <c r="GCB193" s="5"/>
      <c r="GCC193" s="5"/>
      <c r="GCD193" s="5"/>
      <c r="GCE193" s="5"/>
      <c r="GCF193" s="5"/>
      <c r="GCG193" s="5"/>
      <c r="GCH193" s="5"/>
      <c r="GCI193" s="5"/>
      <c r="GCJ193" s="5"/>
      <c r="GCK193" s="5"/>
      <c r="GCL193" s="5"/>
      <c r="GCM193" s="5"/>
      <c r="GCN193" s="5"/>
      <c r="GCO193" s="5"/>
      <c r="GCP193" s="5"/>
      <c r="GCQ193" s="5"/>
      <c r="GCR193" s="5"/>
      <c r="GCS193" s="5"/>
      <c r="GCT193" s="5"/>
      <c r="GCU193" s="5"/>
      <c r="GCV193" s="5"/>
      <c r="GCW193" s="5"/>
      <c r="GCX193" s="5"/>
      <c r="GCY193" s="5"/>
      <c r="GCZ193" s="5"/>
      <c r="GDA193" s="5"/>
      <c r="GDB193" s="5"/>
      <c r="GDC193" s="5"/>
      <c r="GDD193" s="5"/>
      <c r="GDE193" s="5"/>
      <c r="GDF193" s="5"/>
      <c r="GDG193" s="5"/>
      <c r="GDH193" s="5"/>
      <c r="GDI193" s="5"/>
      <c r="GDJ193" s="5"/>
      <c r="GDK193" s="5"/>
      <c r="GDL193" s="5"/>
      <c r="GDM193" s="5"/>
      <c r="GDN193" s="5"/>
      <c r="GDO193" s="5"/>
      <c r="GDP193" s="5"/>
      <c r="GDQ193" s="5"/>
      <c r="GDR193" s="5"/>
      <c r="GDS193" s="5"/>
      <c r="GDT193" s="5"/>
      <c r="GDU193" s="5"/>
      <c r="GDV193" s="5"/>
      <c r="GDW193" s="5"/>
      <c r="GDX193" s="5"/>
      <c r="GDY193" s="5"/>
      <c r="GDZ193" s="5"/>
      <c r="GEA193" s="5"/>
      <c r="GEB193" s="5"/>
      <c r="GEC193" s="5"/>
      <c r="GED193" s="5"/>
      <c r="GEE193" s="5"/>
      <c r="GEF193" s="5"/>
      <c r="GEG193" s="5"/>
      <c r="GEH193" s="5"/>
      <c r="GEI193" s="5"/>
      <c r="GEJ193" s="5"/>
      <c r="GEK193" s="5"/>
      <c r="GEL193" s="5"/>
      <c r="GEM193" s="5"/>
      <c r="GEN193" s="5"/>
      <c r="GEO193" s="5"/>
      <c r="GEP193" s="5"/>
      <c r="GEQ193" s="5"/>
      <c r="GER193" s="5"/>
      <c r="GES193" s="5"/>
      <c r="GET193" s="5"/>
      <c r="GEU193" s="5"/>
      <c r="GEV193" s="5"/>
      <c r="GEW193" s="5"/>
      <c r="GEX193" s="5"/>
      <c r="GEY193" s="5"/>
      <c r="GEZ193" s="5"/>
      <c r="GFA193" s="5"/>
      <c r="GFB193" s="5"/>
      <c r="GFC193" s="5"/>
      <c r="GFD193" s="5"/>
      <c r="GFE193" s="5"/>
      <c r="GFF193" s="5"/>
      <c r="GFG193" s="5"/>
      <c r="GFH193" s="5"/>
      <c r="GFI193" s="5"/>
      <c r="GFJ193" s="5"/>
      <c r="GFK193" s="5"/>
      <c r="GFL193" s="5"/>
      <c r="GFM193" s="5"/>
      <c r="GFN193" s="5"/>
      <c r="GFO193" s="5"/>
      <c r="GFP193" s="5"/>
      <c r="GFQ193" s="5"/>
      <c r="GFR193" s="5"/>
      <c r="GFS193" s="5"/>
      <c r="GFT193" s="5"/>
      <c r="GFU193" s="5"/>
      <c r="GFV193" s="5"/>
      <c r="GFW193" s="5"/>
      <c r="GFX193" s="5"/>
      <c r="GFY193" s="5"/>
      <c r="GFZ193" s="5"/>
      <c r="GGA193" s="5"/>
      <c r="GGB193" s="5"/>
      <c r="GGC193" s="5"/>
      <c r="GGD193" s="5"/>
      <c r="GGE193" s="5"/>
      <c r="GGF193" s="5"/>
      <c r="GGG193" s="5"/>
      <c r="GGH193" s="5"/>
      <c r="GGI193" s="5"/>
      <c r="GGJ193" s="5"/>
      <c r="GGK193" s="5"/>
      <c r="GGL193" s="5"/>
      <c r="GGM193" s="5"/>
      <c r="GGN193" s="5"/>
      <c r="GGO193" s="5"/>
      <c r="GGP193" s="5"/>
      <c r="GGQ193" s="5"/>
      <c r="GGR193" s="5"/>
      <c r="GGS193" s="5"/>
      <c r="GGT193" s="5"/>
      <c r="GGU193" s="5"/>
      <c r="GGV193" s="5"/>
      <c r="GGW193" s="5"/>
      <c r="GGX193" s="5"/>
      <c r="GGY193" s="5"/>
      <c r="GGZ193" s="5"/>
      <c r="GHA193" s="5"/>
      <c r="GHB193" s="5"/>
      <c r="GHC193" s="5"/>
      <c r="GHD193" s="5"/>
      <c r="GHE193" s="5"/>
      <c r="GHF193" s="5"/>
      <c r="GHG193" s="5"/>
      <c r="GHH193" s="5"/>
      <c r="GHI193" s="5"/>
      <c r="GHJ193" s="5"/>
      <c r="GHK193" s="5"/>
      <c r="GHL193" s="5"/>
      <c r="GHM193" s="5"/>
      <c r="GHN193" s="5"/>
      <c r="GHO193" s="5"/>
      <c r="GHP193" s="5"/>
      <c r="GHQ193" s="5"/>
      <c r="GHR193" s="5"/>
      <c r="GHS193" s="5"/>
      <c r="GHT193" s="5"/>
      <c r="GHU193" s="5"/>
      <c r="GHV193" s="5"/>
      <c r="GHW193" s="5"/>
      <c r="GHX193" s="5"/>
      <c r="GHY193" s="5"/>
      <c r="GHZ193" s="5"/>
      <c r="GIA193" s="5"/>
      <c r="GIB193" s="5"/>
      <c r="GIC193" s="5"/>
      <c r="GID193" s="5"/>
      <c r="GIE193" s="5"/>
      <c r="GIF193" s="5"/>
      <c r="GIG193" s="5"/>
      <c r="GIH193" s="5"/>
      <c r="GII193" s="5"/>
      <c r="GIJ193" s="5"/>
      <c r="GIK193" s="5"/>
      <c r="GIL193" s="5"/>
      <c r="GIM193" s="5"/>
      <c r="GIN193" s="5"/>
      <c r="GIO193" s="5"/>
      <c r="GIP193" s="5"/>
      <c r="GIQ193" s="5"/>
      <c r="GIR193" s="5"/>
      <c r="GIS193" s="5"/>
      <c r="GIT193" s="5"/>
      <c r="GIU193" s="5"/>
      <c r="GIV193" s="5"/>
      <c r="GIW193" s="5"/>
      <c r="GIX193" s="5"/>
      <c r="GIY193" s="5"/>
      <c r="GIZ193" s="5"/>
      <c r="GJA193" s="5"/>
      <c r="GJB193" s="5"/>
      <c r="GJC193" s="5"/>
      <c r="GJD193" s="5"/>
      <c r="GJE193" s="5"/>
      <c r="GJF193" s="5"/>
      <c r="GJG193" s="5"/>
      <c r="GJH193" s="5"/>
      <c r="GJI193" s="5"/>
      <c r="GJJ193" s="5"/>
      <c r="GJK193" s="5"/>
      <c r="GJL193" s="5"/>
      <c r="GJM193" s="5"/>
      <c r="GJN193" s="5"/>
      <c r="GJO193" s="5"/>
      <c r="GJP193" s="5"/>
      <c r="GJQ193" s="5"/>
      <c r="GJR193" s="5"/>
      <c r="GJS193" s="5"/>
      <c r="GJT193" s="5"/>
      <c r="GJU193" s="5"/>
      <c r="GJV193" s="5"/>
      <c r="GJW193" s="5"/>
      <c r="GJX193" s="5"/>
      <c r="GJY193" s="5"/>
      <c r="GJZ193" s="5"/>
      <c r="GKA193" s="5"/>
      <c r="GKB193" s="5"/>
      <c r="GKC193" s="5"/>
      <c r="GKD193" s="5"/>
      <c r="GKE193" s="5"/>
      <c r="GKF193" s="5"/>
      <c r="GKG193" s="5"/>
      <c r="GKH193" s="5"/>
      <c r="GKI193" s="5"/>
      <c r="GKJ193" s="5"/>
      <c r="GKK193" s="5"/>
      <c r="GKL193" s="5"/>
      <c r="GKM193" s="5"/>
      <c r="GKN193" s="5"/>
      <c r="GKO193" s="5"/>
      <c r="GKP193" s="5"/>
      <c r="GKQ193" s="5"/>
      <c r="GKR193" s="5"/>
      <c r="GKS193" s="5"/>
      <c r="GKT193" s="5"/>
      <c r="GKU193" s="5"/>
      <c r="GKV193" s="5"/>
      <c r="GKW193" s="5"/>
      <c r="GKX193" s="5"/>
      <c r="GKY193" s="5"/>
      <c r="GKZ193" s="5"/>
      <c r="GLA193" s="5"/>
      <c r="GLB193" s="5"/>
      <c r="GLC193" s="5"/>
      <c r="GLD193" s="5"/>
      <c r="GLE193" s="5"/>
      <c r="GLF193" s="5"/>
      <c r="GLG193" s="5"/>
      <c r="GLH193" s="5"/>
      <c r="GLI193" s="5"/>
      <c r="GLJ193" s="5"/>
      <c r="GLK193" s="5"/>
      <c r="GLL193" s="5"/>
      <c r="GLM193" s="5"/>
      <c r="GLN193" s="5"/>
      <c r="GLO193" s="5"/>
      <c r="GLP193" s="5"/>
      <c r="GLQ193" s="5"/>
      <c r="GLR193" s="5"/>
      <c r="GLS193" s="5"/>
      <c r="GLT193" s="5"/>
      <c r="GLU193" s="5"/>
      <c r="GLV193" s="5"/>
      <c r="GLW193" s="5"/>
      <c r="GLX193" s="5"/>
      <c r="GLY193" s="5"/>
      <c r="GLZ193" s="5"/>
      <c r="GMA193" s="5"/>
      <c r="GMB193" s="5"/>
      <c r="GMC193" s="5"/>
      <c r="GMD193" s="5"/>
      <c r="GME193" s="5"/>
      <c r="GMF193" s="5"/>
      <c r="GMG193" s="5"/>
      <c r="GMH193" s="5"/>
      <c r="GMI193" s="5"/>
      <c r="GMJ193" s="5"/>
      <c r="GMK193" s="5"/>
      <c r="GML193" s="5"/>
      <c r="GMM193" s="5"/>
      <c r="GMN193" s="5"/>
      <c r="GMO193" s="5"/>
      <c r="GMP193" s="5"/>
      <c r="GMQ193" s="5"/>
      <c r="GMR193" s="5"/>
      <c r="GMS193" s="5"/>
      <c r="GMT193" s="5"/>
      <c r="GMU193" s="5"/>
      <c r="GMV193" s="5"/>
      <c r="GMW193" s="5"/>
      <c r="GMX193" s="5"/>
      <c r="GMY193" s="5"/>
      <c r="GMZ193" s="5"/>
      <c r="GNA193" s="5"/>
      <c r="GNB193" s="5"/>
      <c r="GNC193" s="5"/>
      <c r="GND193" s="5"/>
      <c r="GNE193" s="5"/>
      <c r="GNF193" s="5"/>
      <c r="GNG193" s="5"/>
      <c r="GNH193" s="5"/>
      <c r="GNI193" s="5"/>
      <c r="GNJ193" s="5"/>
      <c r="GNK193" s="5"/>
      <c r="GNL193" s="5"/>
      <c r="GNM193" s="5"/>
      <c r="GNN193" s="5"/>
      <c r="GNO193" s="5"/>
      <c r="GNP193" s="5"/>
      <c r="GNQ193" s="5"/>
      <c r="GNR193" s="5"/>
      <c r="GNS193" s="5"/>
      <c r="GNT193" s="5"/>
      <c r="GNU193" s="5"/>
      <c r="GNV193" s="5"/>
      <c r="GNW193" s="5"/>
      <c r="GNX193" s="5"/>
      <c r="GNY193" s="5"/>
      <c r="GNZ193" s="5"/>
      <c r="GOA193" s="5"/>
      <c r="GOB193" s="5"/>
      <c r="GOC193" s="5"/>
      <c r="GOD193" s="5"/>
      <c r="GOE193" s="5"/>
      <c r="GOF193" s="5"/>
      <c r="GOG193" s="5"/>
      <c r="GOH193" s="5"/>
      <c r="GOI193" s="5"/>
      <c r="GOJ193" s="5"/>
      <c r="GOK193" s="5"/>
      <c r="GOL193" s="5"/>
      <c r="GOM193" s="5"/>
      <c r="GON193" s="5"/>
      <c r="GOO193" s="5"/>
      <c r="GOP193" s="5"/>
      <c r="GOQ193" s="5"/>
      <c r="GOR193" s="5"/>
      <c r="GOS193" s="5"/>
      <c r="GOT193" s="5"/>
      <c r="GOU193" s="5"/>
      <c r="GOV193" s="5"/>
      <c r="GOW193" s="5"/>
      <c r="GOX193" s="5"/>
      <c r="GOY193" s="5"/>
      <c r="GOZ193" s="5"/>
      <c r="GPA193" s="5"/>
      <c r="GPB193" s="5"/>
      <c r="GPC193" s="5"/>
      <c r="GPD193" s="5"/>
      <c r="GPE193" s="5"/>
      <c r="GPF193" s="5"/>
      <c r="GPG193" s="5"/>
      <c r="GPH193" s="5"/>
      <c r="GPI193" s="5"/>
      <c r="GPJ193" s="5"/>
      <c r="GPK193" s="5"/>
      <c r="GPL193" s="5"/>
      <c r="GPM193" s="5"/>
      <c r="GPN193" s="5"/>
      <c r="GPO193" s="5"/>
      <c r="GPP193" s="5"/>
      <c r="GPQ193" s="5"/>
      <c r="GPR193" s="5"/>
      <c r="GPS193" s="5"/>
      <c r="GPT193" s="5"/>
      <c r="GPU193" s="5"/>
      <c r="GPV193" s="5"/>
      <c r="GPW193" s="5"/>
      <c r="GPX193" s="5"/>
      <c r="GPY193" s="5"/>
      <c r="GPZ193" s="5"/>
      <c r="GQA193" s="5"/>
      <c r="GQB193" s="5"/>
      <c r="GQC193" s="5"/>
      <c r="GQD193" s="5"/>
      <c r="GQE193" s="5"/>
      <c r="GQF193" s="5"/>
      <c r="GQG193" s="5"/>
      <c r="GQH193" s="5"/>
      <c r="GQI193" s="5"/>
      <c r="GQJ193" s="5"/>
      <c r="GQK193" s="5"/>
      <c r="GQL193" s="5"/>
      <c r="GQM193" s="5"/>
      <c r="GQN193" s="5"/>
      <c r="GQO193" s="5"/>
      <c r="GQP193" s="5"/>
      <c r="GQQ193" s="5"/>
      <c r="GQR193" s="5"/>
      <c r="GQS193" s="5"/>
      <c r="GQT193" s="5"/>
      <c r="GQU193" s="5"/>
      <c r="GQV193" s="5"/>
      <c r="GQW193" s="5"/>
      <c r="GQX193" s="5"/>
      <c r="GQY193" s="5"/>
      <c r="GQZ193" s="5"/>
      <c r="GRA193" s="5"/>
      <c r="GRB193" s="5"/>
      <c r="GRC193" s="5"/>
      <c r="GRD193" s="5"/>
      <c r="GRE193" s="5"/>
      <c r="GRF193" s="5"/>
      <c r="GRG193" s="5"/>
      <c r="GRH193" s="5"/>
      <c r="GRI193" s="5"/>
      <c r="GRJ193" s="5"/>
      <c r="GRK193" s="5"/>
      <c r="GRL193" s="5"/>
      <c r="GRM193" s="5"/>
      <c r="GRN193" s="5"/>
      <c r="GRO193" s="5"/>
      <c r="GRP193" s="5"/>
      <c r="GRQ193" s="5"/>
      <c r="GRR193" s="5"/>
      <c r="GRS193" s="5"/>
      <c r="GRT193" s="5"/>
      <c r="GRU193" s="5"/>
      <c r="GRV193" s="5"/>
      <c r="GRW193" s="5"/>
      <c r="GRX193" s="5"/>
      <c r="GRY193" s="5"/>
      <c r="GRZ193" s="5"/>
      <c r="GSA193" s="5"/>
      <c r="GSB193" s="5"/>
      <c r="GSC193" s="5"/>
      <c r="GSD193" s="5"/>
      <c r="GSE193" s="5"/>
      <c r="GSF193" s="5"/>
      <c r="GSG193" s="5"/>
      <c r="GSH193" s="5"/>
      <c r="GSI193" s="5"/>
      <c r="GSJ193" s="5"/>
      <c r="GSK193" s="5"/>
      <c r="GSL193" s="5"/>
      <c r="GSM193" s="5"/>
      <c r="GSN193" s="5"/>
      <c r="GSO193" s="5"/>
      <c r="GSP193" s="5"/>
      <c r="GSQ193" s="5"/>
      <c r="GSR193" s="5"/>
      <c r="GSS193" s="5"/>
      <c r="GST193" s="5"/>
      <c r="GSU193" s="5"/>
      <c r="GSV193" s="5"/>
      <c r="GSW193" s="5"/>
      <c r="GSX193" s="5"/>
      <c r="GSY193" s="5"/>
      <c r="GSZ193" s="5"/>
      <c r="GTA193" s="5"/>
      <c r="GTB193" s="5"/>
      <c r="GTC193" s="5"/>
      <c r="GTD193" s="5"/>
      <c r="GTE193" s="5"/>
      <c r="GTF193" s="5"/>
      <c r="GTG193" s="5"/>
      <c r="GTH193" s="5"/>
      <c r="GTI193" s="5"/>
      <c r="GTJ193" s="5"/>
      <c r="GTK193" s="5"/>
      <c r="GTL193" s="5"/>
      <c r="GTM193" s="5"/>
      <c r="GTN193" s="5"/>
      <c r="GTO193" s="5"/>
      <c r="GTP193" s="5"/>
      <c r="GTQ193" s="5"/>
      <c r="GTR193" s="5"/>
      <c r="GTS193" s="5"/>
      <c r="GTT193" s="5"/>
      <c r="GTU193" s="5"/>
      <c r="GTV193" s="5"/>
      <c r="GTW193" s="5"/>
      <c r="GTX193" s="5"/>
      <c r="GTY193" s="5"/>
      <c r="GTZ193" s="5"/>
      <c r="GUA193" s="5"/>
      <c r="GUB193" s="5"/>
      <c r="GUC193" s="5"/>
      <c r="GUD193" s="5"/>
      <c r="GUE193" s="5"/>
      <c r="GUF193" s="5"/>
      <c r="GUG193" s="5"/>
      <c r="GUH193" s="5"/>
      <c r="GUI193" s="5"/>
      <c r="GUJ193" s="5"/>
      <c r="GUK193" s="5"/>
      <c r="GUL193" s="5"/>
      <c r="GUM193" s="5"/>
      <c r="GUN193" s="5"/>
      <c r="GUO193" s="5"/>
      <c r="GUP193" s="5"/>
      <c r="GUQ193" s="5"/>
      <c r="GUR193" s="5"/>
      <c r="GUS193" s="5"/>
      <c r="GUT193" s="5"/>
      <c r="GUU193" s="5"/>
      <c r="GUV193" s="5"/>
      <c r="GUW193" s="5"/>
      <c r="GUX193" s="5"/>
      <c r="GUY193" s="5"/>
      <c r="GUZ193" s="5"/>
      <c r="GVA193" s="5"/>
      <c r="GVB193" s="5"/>
      <c r="GVC193" s="5"/>
      <c r="GVD193" s="5"/>
      <c r="GVE193" s="5"/>
      <c r="GVF193" s="5"/>
      <c r="GVG193" s="5"/>
      <c r="GVH193" s="5"/>
      <c r="GVI193" s="5"/>
      <c r="GVJ193" s="5"/>
      <c r="GVK193" s="5"/>
      <c r="GVL193" s="5"/>
      <c r="GVM193" s="5"/>
      <c r="GVN193" s="5"/>
      <c r="GVO193" s="5"/>
      <c r="GVP193" s="5"/>
      <c r="GVQ193" s="5"/>
      <c r="GVR193" s="5"/>
      <c r="GVS193" s="5"/>
      <c r="GVT193" s="5"/>
      <c r="GVU193" s="5"/>
      <c r="GVV193" s="5"/>
      <c r="GVW193" s="5"/>
      <c r="GVX193" s="5"/>
      <c r="GVY193" s="5"/>
      <c r="GVZ193" s="5"/>
      <c r="GWA193" s="5"/>
      <c r="GWB193" s="5"/>
      <c r="GWC193" s="5"/>
      <c r="GWD193" s="5"/>
      <c r="GWE193" s="5"/>
      <c r="GWF193" s="5"/>
      <c r="GWG193" s="5"/>
      <c r="GWH193" s="5"/>
      <c r="GWI193" s="5"/>
      <c r="GWJ193" s="5"/>
      <c r="GWK193" s="5"/>
      <c r="GWL193" s="5"/>
      <c r="GWM193" s="5"/>
      <c r="GWN193" s="5"/>
      <c r="GWO193" s="5"/>
      <c r="GWP193" s="5"/>
      <c r="GWQ193" s="5"/>
      <c r="GWR193" s="5"/>
      <c r="GWS193" s="5"/>
      <c r="GWT193" s="5"/>
      <c r="GWU193" s="5"/>
      <c r="GWV193" s="5"/>
      <c r="GWW193" s="5"/>
      <c r="GWX193" s="5"/>
      <c r="GWY193" s="5"/>
      <c r="GWZ193" s="5"/>
      <c r="GXA193" s="5"/>
      <c r="GXB193" s="5"/>
      <c r="GXC193" s="5"/>
      <c r="GXD193" s="5"/>
      <c r="GXE193" s="5"/>
      <c r="GXF193" s="5"/>
      <c r="GXG193" s="5"/>
      <c r="GXH193" s="5"/>
      <c r="GXI193" s="5"/>
      <c r="GXJ193" s="5"/>
      <c r="GXK193" s="5"/>
      <c r="GXL193" s="5"/>
      <c r="GXM193" s="5"/>
      <c r="GXN193" s="5"/>
      <c r="GXO193" s="5"/>
      <c r="GXP193" s="5"/>
      <c r="GXQ193" s="5"/>
      <c r="GXR193" s="5"/>
      <c r="GXS193" s="5"/>
      <c r="GXT193" s="5"/>
      <c r="GXU193" s="5"/>
      <c r="GXV193" s="5"/>
      <c r="GXW193" s="5"/>
      <c r="GXX193" s="5"/>
      <c r="GXY193" s="5"/>
      <c r="GXZ193" s="5"/>
      <c r="GYA193" s="5"/>
      <c r="GYB193" s="5"/>
      <c r="GYC193" s="5"/>
      <c r="GYD193" s="5"/>
      <c r="GYE193" s="5"/>
      <c r="GYF193" s="5"/>
      <c r="GYG193" s="5"/>
      <c r="GYH193" s="5"/>
      <c r="GYI193" s="5"/>
      <c r="GYJ193" s="5"/>
      <c r="GYK193" s="5"/>
      <c r="GYL193" s="5"/>
      <c r="GYM193" s="5"/>
      <c r="GYN193" s="5"/>
      <c r="GYO193" s="5"/>
      <c r="GYP193" s="5"/>
      <c r="GYQ193" s="5"/>
      <c r="GYR193" s="5"/>
      <c r="GYS193" s="5"/>
      <c r="GYT193" s="5"/>
      <c r="GYU193" s="5"/>
      <c r="GYV193" s="5"/>
      <c r="GYW193" s="5"/>
      <c r="GYX193" s="5"/>
      <c r="GYY193" s="5"/>
      <c r="GYZ193" s="5"/>
      <c r="GZA193" s="5"/>
      <c r="GZB193" s="5"/>
      <c r="GZC193" s="5"/>
      <c r="GZD193" s="5"/>
      <c r="GZE193" s="5"/>
      <c r="GZF193" s="5"/>
      <c r="GZG193" s="5"/>
      <c r="GZH193" s="5"/>
      <c r="GZI193" s="5"/>
      <c r="GZJ193" s="5"/>
      <c r="GZK193" s="5"/>
      <c r="GZL193" s="5"/>
      <c r="GZM193" s="5"/>
      <c r="GZN193" s="5"/>
      <c r="GZO193" s="5"/>
      <c r="GZP193" s="5"/>
      <c r="GZQ193" s="5"/>
      <c r="GZR193" s="5"/>
      <c r="GZS193" s="5"/>
      <c r="GZT193" s="5"/>
      <c r="GZU193" s="5"/>
      <c r="GZV193" s="5"/>
      <c r="GZW193" s="5"/>
      <c r="GZX193" s="5"/>
      <c r="GZY193" s="5"/>
      <c r="GZZ193" s="5"/>
      <c r="HAA193" s="5"/>
      <c r="HAB193" s="5"/>
      <c r="HAC193" s="5"/>
      <c r="HAD193" s="5"/>
      <c r="HAE193" s="5"/>
      <c r="HAF193" s="5"/>
      <c r="HAG193" s="5"/>
      <c r="HAH193" s="5"/>
      <c r="HAI193" s="5"/>
      <c r="HAJ193" s="5"/>
      <c r="HAK193" s="5"/>
      <c r="HAL193" s="5"/>
      <c r="HAM193" s="5"/>
      <c r="HAN193" s="5"/>
      <c r="HAO193" s="5"/>
      <c r="HAP193" s="5"/>
      <c r="HAQ193" s="5"/>
      <c r="HAR193" s="5"/>
      <c r="HAS193" s="5"/>
      <c r="HAT193" s="5"/>
      <c r="HAU193" s="5"/>
      <c r="HAV193" s="5"/>
      <c r="HAW193" s="5"/>
      <c r="HAX193" s="5"/>
      <c r="HAY193" s="5"/>
      <c r="HAZ193" s="5"/>
      <c r="HBA193" s="5"/>
      <c r="HBB193" s="5"/>
      <c r="HBC193" s="5"/>
      <c r="HBD193" s="5"/>
      <c r="HBE193" s="5"/>
      <c r="HBF193" s="5"/>
      <c r="HBG193" s="5"/>
      <c r="HBH193" s="5"/>
      <c r="HBI193" s="5"/>
      <c r="HBJ193" s="5"/>
      <c r="HBK193" s="5"/>
      <c r="HBL193" s="5"/>
      <c r="HBM193" s="5"/>
      <c r="HBN193" s="5"/>
      <c r="HBO193" s="5"/>
      <c r="HBP193" s="5"/>
      <c r="HBQ193" s="5"/>
      <c r="HBR193" s="5"/>
      <c r="HBS193" s="5"/>
      <c r="HBT193" s="5"/>
      <c r="HBU193" s="5"/>
      <c r="HBV193" s="5"/>
      <c r="HBW193" s="5"/>
      <c r="HBX193" s="5"/>
      <c r="HBY193" s="5"/>
      <c r="HBZ193" s="5"/>
      <c r="HCA193" s="5"/>
      <c r="HCB193" s="5"/>
      <c r="HCC193" s="5"/>
      <c r="HCD193" s="5"/>
      <c r="HCE193" s="5"/>
      <c r="HCF193" s="5"/>
      <c r="HCG193" s="5"/>
      <c r="HCH193" s="5"/>
      <c r="HCI193" s="5"/>
      <c r="HCJ193" s="5"/>
      <c r="HCK193" s="5"/>
      <c r="HCL193" s="5"/>
      <c r="HCM193" s="5"/>
      <c r="HCN193" s="5"/>
      <c r="HCO193" s="5"/>
      <c r="HCP193" s="5"/>
      <c r="HCQ193" s="5"/>
      <c r="HCR193" s="5"/>
      <c r="HCS193" s="5"/>
      <c r="HCT193" s="5"/>
      <c r="HCU193" s="5"/>
      <c r="HCV193" s="5"/>
      <c r="HCW193" s="5"/>
      <c r="HCX193" s="5"/>
      <c r="HCY193" s="5"/>
      <c r="HCZ193" s="5"/>
      <c r="HDA193" s="5"/>
      <c r="HDB193" s="5"/>
      <c r="HDC193" s="5"/>
      <c r="HDD193" s="5"/>
      <c r="HDE193" s="5"/>
      <c r="HDF193" s="5"/>
      <c r="HDG193" s="5"/>
      <c r="HDH193" s="5"/>
      <c r="HDI193" s="5"/>
      <c r="HDJ193" s="5"/>
      <c r="HDK193" s="5"/>
      <c r="HDL193" s="5"/>
      <c r="HDM193" s="5"/>
      <c r="HDN193" s="5"/>
      <c r="HDO193" s="5"/>
      <c r="HDP193" s="5"/>
      <c r="HDQ193" s="5"/>
      <c r="HDR193" s="5"/>
      <c r="HDS193" s="5"/>
      <c r="HDT193" s="5"/>
      <c r="HDU193" s="5"/>
      <c r="HDV193" s="5"/>
      <c r="HDW193" s="5"/>
      <c r="HDX193" s="5"/>
      <c r="HDY193" s="5"/>
      <c r="HDZ193" s="5"/>
      <c r="HEA193" s="5"/>
      <c r="HEB193" s="5"/>
      <c r="HEC193" s="5"/>
      <c r="HED193" s="5"/>
      <c r="HEE193" s="5"/>
      <c r="HEF193" s="5"/>
      <c r="HEG193" s="5"/>
      <c r="HEH193" s="5"/>
      <c r="HEI193" s="5"/>
      <c r="HEJ193" s="5"/>
      <c r="HEK193" s="5"/>
      <c r="HEL193" s="5"/>
      <c r="HEM193" s="5"/>
      <c r="HEN193" s="5"/>
      <c r="HEO193" s="5"/>
      <c r="HEP193" s="5"/>
      <c r="HEQ193" s="5"/>
      <c r="HER193" s="5"/>
      <c r="HES193" s="5"/>
      <c r="HET193" s="5"/>
      <c r="HEU193" s="5"/>
      <c r="HEV193" s="5"/>
      <c r="HEW193" s="5"/>
      <c r="HEX193" s="5"/>
      <c r="HEY193" s="5"/>
      <c r="HEZ193" s="5"/>
      <c r="HFA193" s="5"/>
      <c r="HFB193" s="5"/>
      <c r="HFC193" s="5"/>
      <c r="HFD193" s="5"/>
      <c r="HFE193" s="5"/>
      <c r="HFF193" s="5"/>
      <c r="HFG193" s="5"/>
      <c r="HFH193" s="5"/>
      <c r="HFI193" s="5"/>
      <c r="HFJ193" s="5"/>
      <c r="HFK193" s="5"/>
      <c r="HFL193" s="5"/>
      <c r="HFM193" s="5"/>
      <c r="HFN193" s="5"/>
      <c r="HFO193" s="5"/>
      <c r="HFP193" s="5"/>
      <c r="HFQ193" s="5"/>
      <c r="HFR193" s="5"/>
      <c r="HFS193" s="5"/>
      <c r="HFT193" s="5"/>
      <c r="HFU193" s="5"/>
      <c r="HFV193" s="5"/>
      <c r="HFW193" s="5"/>
      <c r="HFX193" s="5"/>
      <c r="HFY193" s="5"/>
      <c r="HFZ193" s="5"/>
      <c r="HGA193" s="5"/>
      <c r="HGB193" s="5"/>
      <c r="HGC193" s="5"/>
      <c r="HGD193" s="5"/>
      <c r="HGE193" s="5"/>
      <c r="HGF193" s="5"/>
      <c r="HGG193" s="5"/>
      <c r="HGH193" s="5"/>
      <c r="HGI193" s="5"/>
      <c r="HGJ193" s="5"/>
      <c r="HGK193" s="5"/>
      <c r="HGL193" s="5"/>
      <c r="HGM193" s="5"/>
      <c r="HGN193" s="5"/>
      <c r="HGO193" s="5"/>
      <c r="HGP193" s="5"/>
      <c r="HGQ193" s="5"/>
      <c r="HGR193" s="5"/>
      <c r="HGS193" s="5"/>
      <c r="HGT193" s="5"/>
      <c r="HGU193" s="5"/>
      <c r="HGV193" s="5"/>
      <c r="HGW193" s="5"/>
      <c r="HGX193" s="5"/>
      <c r="HGY193" s="5"/>
      <c r="HGZ193" s="5"/>
      <c r="HHA193" s="5"/>
      <c r="HHB193" s="5"/>
      <c r="HHC193" s="5"/>
      <c r="HHD193" s="5"/>
      <c r="HHE193" s="5"/>
      <c r="HHF193" s="5"/>
      <c r="HHG193" s="5"/>
      <c r="HHH193" s="5"/>
      <c r="HHI193" s="5"/>
      <c r="HHJ193" s="5"/>
      <c r="HHK193" s="5"/>
      <c r="HHL193" s="5"/>
      <c r="HHM193" s="5"/>
      <c r="HHN193" s="5"/>
      <c r="HHO193" s="5"/>
      <c r="HHP193" s="5"/>
      <c r="HHQ193" s="5"/>
      <c r="HHR193" s="5"/>
      <c r="HHS193" s="5"/>
      <c r="HHT193" s="5"/>
      <c r="HHU193" s="5"/>
      <c r="HHV193" s="5"/>
      <c r="HHW193" s="5"/>
      <c r="HHX193" s="5"/>
      <c r="HHY193" s="5"/>
      <c r="HHZ193" s="5"/>
      <c r="HIA193" s="5"/>
      <c r="HIB193" s="5"/>
      <c r="HIC193" s="5"/>
      <c r="HID193" s="5"/>
      <c r="HIE193" s="5"/>
      <c r="HIF193" s="5"/>
      <c r="HIG193" s="5"/>
      <c r="HIH193" s="5"/>
      <c r="HII193" s="5"/>
      <c r="HIJ193" s="5"/>
      <c r="HIK193" s="5"/>
      <c r="HIL193" s="5"/>
      <c r="HIM193" s="5"/>
      <c r="HIN193" s="5"/>
      <c r="HIO193" s="5"/>
      <c r="HIP193" s="5"/>
      <c r="HIQ193" s="5"/>
      <c r="HIR193" s="5"/>
      <c r="HIS193" s="5"/>
      <c r="HIT193" s="5"/>
      <c r="HIU193" s="5"/>
      <c r="HIV193" s="5"/>
      <c r="HIW193" s="5"/>
      <c r="HIX193" s="5"/>
      <c r="HIY193" s="5"/>
      <c r="HIZ193" s="5"/>
      <c r="HJA193" s="5"/>
      <c r="HJB193" s="5"/>
      <c r="HJC193" s="5"/>
      <c r="HJD193" s="5"/>
      <c r="HJE193" s="5"/>
      <c r="HJF193" s="5"/>
      <c r="HJG193" s="5"/>
      <c r="HJH193" s="5"/>
      <c r="HJI193" s="5"/>
      <c r="HJJ193" s="5"/>
      <c r="HJK193" s="5"/>
      <c r="HJL193" s="5"/>
      <c r="HJM193" s="5"/>
      <c r="HJN193" s="5"/>
      <c r="HJO193" s="5"/>
      <c r="HJP193" s="5"/>
      <c r="HJQ193" s="5"/>
      <c r="HJR193" s="5"/>
      <c r="HJS193" s="5"/>
      <c r="HJT193" s="5"/>
      <c r="HJU193" s="5"/>
      <c r="HJV193" s="5"/>
      <c r="HJW193" s="5"/>
      <c r="HJX193" s="5"/>
      <c r="HJY193" s="5"/>
      <c r="HJZ193" s="5"/>
      <c r="HKA193" s="5"/>
      <c r="HKB193" s="5"/>
      <c r="HKC193" s="5"/>
      <c r="HKD193" s="5"/>
      <c r="HKE193" s="5"/>
      <c r="HKF193" s="5"/>
      <c r="HKG193" s="5"/>
      <c r="HKH193" s="5"/>
      <c r="HKI193" s="5"/>
      <c r="HKJ193" s="5"/>
      <c r="HKK193" s="5"/>
      <c r="HKL193" s="5"/>
      <c r="HKM193" s="5"/>
      <c r="HKN193" s="5"/>
      <c r="HKO193" s="5"/>
      <c r="HKP193" s="5"/>
      <c r="HKQ193" s="5"/>
      <c r="HKR193" s="5"/>
      <c r="HKS193" s="5"/>
      <c r="HKT193" s="5"/>
      <c r="HKU193" s="5"/>
      <c r="HKV193" s="5"/>
      <c r="HKW193" s="5"/>
      <c r="HKX193" s="5"/>
      <c r="HKY193" s="5"/>
      <c r="HKZ193" s="5"/>
      <c r="HLA193" s="5"/>
      <c r="HLB193" s="5"/>
      <c r="HLC193" s="5"/>
      <c r="HLD193" s="5"/>
      <c r="HLE193" s="5"/>
      <c r="HLF193" s="5"/>
      <c r="HLG193" s="5"/>
      <c r="HLH193" s="5"/>
      <c r="HLI193" s="5"/>
      <c r="HLJ193" s="5"/>
      <c r="HLK193" s="5"/>
      <c r="HLL193" s="5"/>
      <c r="HLM193" s="5"/>
      <c r="HLN193" s="5"/>
      <c r="HLO193" s="5"/>
      <c r="HLP193" s="5"/>
      <c r="HLQ193" s="5"/>
      <c r="HLR193" s="5"/>
      <c r="HLS193" s="5"/>
      <c r="HLT193" s="5"/>
      <c r="HLU193" s="5"/>
      <c r="HLV193" s="5"/>
      <c r="HLW193" s="5"/>
      <c r="HLX193" s="5"/>
      <c r="HLY193" s="5"/>
      <c r="HLZ193" s="5"/>
      <c r="HMA193" s="5"/>
      <c r="HMB193" s="5"/>
      <c r="HMC193" s="5"/>
      <c r="HMD193" s="5"/>
      <c r="HME193" s="5"/>
      <c r="HMF193" s="5"/>
      <c r="HMG193" s="5"/>
      <c r="HMH193" s="5"/>
      <c r="HMI193" s="5"/>
      <c r="HMJ193" s="5"/>
      <c r="HMK193" s="5"/>
      <c r="HML193" s="5"/>
      <c r="HMM193" s="5"/>
      <c r="HMN193" s="5"/>
      <c r="HMO193" s="5"/>
      <c r="HMP193" s="5"/>
      <c r="HMQ193" s="5"/>
      <c r="HMR193" s="5"/>
      <c r="HMS193" s="5"/>
      <c r="HMT193" s="5"/>
      <c r="HMU193" s="5"/>
      <c r="HMV193" s="5"/>
      <c r="HMW193" s="5"/>
      <c r="HMX193" s="5"/>
      <c r="HMY193" s="5"/>
      <c r="HMZ193" s="5"/>
      <c r="HNA193" s="5"/>
      <c r="HNB193" s="5"/>
      <c r="HNC193" s="5"/>
      <c r="HND193" s="5"/>
      <c r="HNE193" s="5"/>
      <c r="HNF193" s="5"/>
      <c r="HNG193" s="5"/>
      <c r="HNH193" s="5"/>
      <c r="HNI193" s="5"/>
      <c r="HNJ193" s="5"/>
      <c r="HNK193" s="5"/>
      <c r="HNL193" s="5"/>
      <c r="HNM193" s="5"/>
      <c r="HNN193" s="5"/>
      <c r="HNO193" s="5"/>
      <c r="HNP193" s="5"/>
      <c r="HNQ193" s="5"/>
      <c r="HNR193" s="5"/>
      <c r="HNS193" s="5"/>
      <c r="HNT193" s="5"/>
      <c r="HNU193" s="5"/>
      <c r="HNV193" s="5"/>
      <c r="HNW193" s="5"/>
      <c r="HNX193" s="5"/>
      <c r="HNY193" s="5"/>
      <c r="HNZ193" s="5"/>
      <c r="HOA193" s="5"/>
      <c r="HOB193" s="5"/>
      <c r="HOC193" s="5"/>
      <c r="HOD193" s="5"/>
      <c r="HOE193" s="5"/>
      <c r="HOF193" s="5"/>
      <c r="HOG193" s="5"/>
      <c r="HOH193" s="5"/>
      <c r="HOI193" s="5"/>
      <c r="HOJ193" s="5"/>
      <c r="HOK193" s="5"/>
      <c r="HOL193" s="5"/>
      <c r="HOM193" s="5"/>
      <c r="HON193" s="5"/>
      <c r="HOO193" s="5"/>
      <c r="HOP193" s="5"/>
      <c r="HOQ193" s="5"/>
      <c r="HOR193" s="5"/>
      <c r="HOS193" s="5"/>
      <c r="HOT193" s="5"/>
      <c r="HOU193" s="5"/>
      <c r="HOV193" s="5"/>
      <c r="HOW193" s="5"/>
      <c r="HOX193" s="5"/>
      <c r="HOY193" s="5"/>
      <c r="HOZ193" s="5"/>
      <c r="HPA193" s="5"/>
      <c r="HPB193" s="5"/>
      <c r="HPC193" s="5"/>
      <c r="HPD193" s="5"/>
      <c r="HPE193" s="5"/>
      <c r="HPF193" s="5"/>
      <c r="HPG193" s="5"/>
      <c r="HPH193" s="5"/>
      <c r="HPI193" s="5"/>
      <c r="HPJ193" s="5"/>
      <c r="HPK193" s="5"/>
      <c r="HPL193" s="5"/>
      <c r="HPM193" s="5"/>
      <c r="HPN193" s="5"/>
      <c r="HPO193" s="5"/>
      <c r="HPP193" s="5"/>
      <c r="HPQ193" s="5"/>
      <c r="HPR193" s="5"/>
      <c r="HPS193" s="5"/>
      <c r="HPT193" s="5"/>
      <c r="HPU193" s="5"/>
      <c r="HPV193" s="5"/>
      <c r="HPW193" s="5"/>
      <c r="HPX193" s="5"/>
      <c r="HPY193" s="5"/>
      <c r="HPZ193" s="5"/>
      <c r="HQA193" s="5"/>
      <c r="HQB193" s="5"/>
      <c r="HQC193" s="5"/>
      <c r="HQD193" s="5"/>
      <c r="HQE193" s="5"/>
      <c r="HQF193" s="5"/>
      <c r="HQG193" s="5"/>
      <c r="HQH193" s="5"/>
      <c r="HQI193" s="5"/>
      <c r="HQJ193" s="5"/>
      <c r="HQK193" s="5"/>
      <c r="HQL193" s="5"/>
      <c r="HQM193" s="5"/>
      <c r="HQN193" s="5"/>
      <c r="HQO193" s="5"/>
      <c r="HQP193" s="5"/>
      <c r="HQQ193" s="5"/>
      <c r="HQR193" s="5"/>
      <c r="HQS193" s="5"/>
      <c r="HQT193" s="5"/>
      <c r="HQU193" s="5"/>
      <c r="HQV193" s="5"/>
      <c r="HQW193" s="5"/>
      <c r="HQX193" s="5"/>
      <c r="HQY193" s="5"/>
      <c r="HQZ193" s="5"/>
      <c r="HRA193" s="5"/>
      <c r="HRB193" s="5"/>
      <c r="HRC193" s="5"/>
      <c r="HRD193" s="5"/>
      <c r="HRE193" s="5"/>
      <c r="HRF193" s="5"/>
      <c r="HRG193" s="5"/>
      <c r="HRH193" s="5"/>
      <c r="HRI193" s="5"/>
      <c r="HRJ193" s="5"/>
      <c r="HRK193" s="5"/>
      <c r="HRL193" s="5"/>
      <c r="HRM193" s="5"/>
      <c r="HRN193" s="5"/>
      <c r="HRO193" s="5"/>
      <c r="HRP193" s="5"/>
      <c r="HRQ193" s="5"/>
      <c r="HRR193" s="5"/>
      <c r="HRS193" s="5"/>
      <c r="HRT193" s="5"/>
      <c r="HRU193" s="5"/>
      <c r="HRV193" s="5"/>
      <c r="HRW193" s="5"/>
      <c r="HRX193" s="5"/>
      <c r="HRY193" s="5"/>
      <c r="HRZ193" s="5"/>
      <c r="HSA193" s="5"/>
      <c r="HSB193" s="5"/>
      <c r="HSC193" s="5"/>
      <c r="HSD193" s="5"/>
      <c r="HSE193" s="5"/>
      <c r="HSF193" s="5"/>
      <c r="HSG193" s="5"/>
      <c r="HSH193" s="5"/>
      <c r="HSI193" s="5"/>
      <c r="HSJ193" s="5"/>
      <c r="HSK193" s="5"/>
      <c r="HSL193" s="5"/>
      <c r="HSM193" s="5"/>
      <c r="HSN193" s="5"/>
      <c r="HSO193" s="5"/>
      <c r="HSP193" s="5"/>
      <c r="HSQ193" s="5"/>
      <c r="HSR193" s="5"/>
      <c r="HSS193" s="5"/>
      <c r="HST193" s="5"/>
      <c r="HSU193" s="5"/>
      <c r="HSV193" s="5"/>
      <c r="HSW193" s="5"/>
      <c r="HSX193" s="5"/>
      <c r="HSY193" s="5"/>
      <c r="HSZ193" s="5"/>
      <c r="HTA193" s="5"/>
      <c r="HTB193" s="5"/>
      <c r="HTC193" s="5"/>
      <c r="HTD193" s="5"/>
      <c r="HTE193" s="5"/>
      <c r="HTF193" s="5"/>
      <c r="HTG193" s="5"/>
      <c r="HTH193" s="5"/>
      <c r="HTI193" s="5"/>
      <c r="HTJ193" s="5"/>
      <c r="HTK193" s="5"/>
      <c r="HTL193" s="5"/>
      <c r="HTM193" s="5"/>
      <c r="HTN193" s="5"/>
      <c r="HTO193" s="5"/>
      <c r="HTP193" s="5"/>
      <c r="HTQ193" s="5"/>
      <c r="HTR193" s="5"/>
      <c r="HTS193" s="5"/>
      <c r="HTT193" s="5"/>
      <c r="HTU193" s="5"/>
      <c r="HTV193" s="5"/>
      <c r="HTW193" s="5"/>
      <c r="HTX193" s="5"/>
      <c r="HTY193" s="5"/>
      <c r="HTZ193" s="5"/>
      <c r="HUA193" s="5"/>
      <c r="HUB193" s="5"/>
      <c r="HUC193" s="5"/>
      <c r="HUD193" s="5"/>
      <c r="HUE193" s="5"/>
      <c r="HUF193" s="5"/>
      <c r="HUG193" s="5"/>
      <c r="HUH193" s="5"/>
      <c r="HUI193" s="5"/>
      <c r="HUJ193" s="5"/>
      <c r="HUK193" s="5"/>
      <c r="HUL193" s="5"/>
      <c r="HUM193" s="5"/>
      <c r="HUN193" s="5"/>
      <c r="HUO193" s="5"/>
      <c r="HUP193" s="5"/>
      <c r="HUQ193" s="5"/>
      <c r="HUR193" s="5"/>
      <c r="HUS193" s="5"/>
      <c r="HUT193" s="5"/>
      <c r="HUU193" s="5"/>
      <c r="HUV193" s="5"/>
      <c r="HUW193" s="5"/>
      <c r="HUX193" s="5"/>
      <c r="HUY193" s="5"/>
      <c r="HUZ193" s="5"/>
      <c r="HVA193" s="5"/>
      <c r="HVB193" s="5"/>
      <c r="HVC193" s="5"/>
      <c r="HVD193" s="5"/>
      <c r="HVE193" s="5"/>
      <c r="HVF193" s="5"/>
      <c r="HVG193" s="5"/>
      <c r="HVH193" s="5"/>
      <c r="HVI193" s="5"/>
      <c r="HVJ193" s="5"/>
      <c r="HVK193" s="5"/>
      <c r="HVL193" s="5"/>
      <c r="HVM193" s="5"/>
      <c r="HVN193" s="5"/>
      <c r="HVO193" s="5"/>
      <c r="HVP193" s="5"/>
      <c r="HVQ193" s="5"/>
      <c r="HVR193" s="5"/>
      <c r="HVS193" s="5"/>
      <c r="HVT193" s="5"/>
      <c r="HVU193" s="5"/>
      <c r="HVV193" s="5"/>
      <c r="HVW193" s="5"/>
      <c r="HVX193" s="5"/>
      <c r="HVY193" s="5"/>
      <c r="HVZ193" s="5"/>
      <c r="HWA193" s="5"/>
      <c r="HWB193" s="5"/>
      <c r="HWC193" s="5"/>
      <c r="HWD193" s="5"/>
      <c r="HWE193" s="5"/>
      <c r="HWF193" s="5"/>
      <c r="HWG193" s="5"/>
      <c r="HWH193" s="5"/>
      <c r="HWI193" s="5"/>
      <c r="HWJ193" s="5"/>
      <c r="HWK193" s="5"/>
      <c r="HWL193" s="5"/>
      <c r="HWM193" s="5"/>
      <c r="HWN193" s="5"/>
      <c r="HWO193" s="5"/>
      <c r="HWP193" s="5"/>
      <c r="HWQ193" s="5"/>
      <c r="HWR193" s="5"/>
      <c r="HWS193" s="5"/>
      <c r="HWT193" s="5"/>
      <c r="HWU193" s="5"/>
      <c r="HWV193" s="5"/>
      <c r="HWW193" s="5"/>
      <c r="HWX193" s="5"/>
      <c r="HWY193" s="5"/>
      <c r="HWZ193" s="5"/>
      <c r="HXA193" s="5"/>
      <c r="HXB193" s="5"/>
      <c r="HXC193" s="5"/>
      <c r="HXD193" s="5"/>
      <c r="HXE193" s="5"/>
      <c r="HXF193" s="5"/>
      <c r="HXG193" s="5"/>
      <c r="HXH193" s="5"/>
      <c r="HXI193" s="5"/>
      <c r="HXJ193" s="5"/>
      <c r="HXK193" s="5"/>
      <c r="HXL193" s="5"/>
      <c r="HXM193" s="5"/>
      <c r="HXN193" s="5"/>
      <c r="HXO193" s="5"/>
      <c r="HXP193" s="5"/>
      <c r="HXQ193" s="5"/>
      <c r="HXR193" s="5"/>
      <c r="HXS193" s="5"/>
      <c r="HXT193" s="5"/>
      <c r="HXU193" s="5"/>
      <c r="HXV193" s="5"/>
      <c r="HXW193" s="5"/>
      <c r="HXX193" s="5"/>
      <c r="HXY193" s="5"/>
      <c r="HXZ193" s="5"/>
      <c r="HYA193" s="5"/>
      <c r="HYB193" s="5"/>
      <c r="HYC193" s="5"/>
      <c r="HYD193" s="5"/>
      <c r="HYE193" s="5"/>
      <c r="HYF193" s="5"/>
      <c r="HYG193" s="5"/>
      <c r="HYH193" s="5"/>
      <c r="HYI193" s="5"/>
      <c r="HYJ193" s="5"/>
      <c r="HYK193" s="5"/>
      <c r="HYL193" s="5"/>
      <c r="HYM193" s="5"/>
      <c r="HYN193" s="5"/>
      <c r="HYO193" s="5"/>
      <c r="HYP193" s="5"/>
      <c r="HYQ193" s="5"/>
      <c r="HYR193" s="5"/>
      <c r="HYS193" s="5"/>
      <c r="HYT193" s="5"/>
      <c r="HYU193" s="5"/>
      <c r="HYV193" s="5"/>
      <c r="HYW193" s="5"/>
      <c r="HYX193" s="5"/>
      <c r="HYY193" s="5"/>
      <c r="HYZ193" s="5"/>
      <c r="HZA193" s="5"/>
      <c r="HZB193" s="5"/>
      <c r="HZC193" s="5"/>
      <c r="HZD193" s="5"/>
      <c r="HZE193" s="5"/>
      <c r="HZF193" s="5"/>
      <c r="HZG193" s="5"/>
      <c r="HZH193" s="5"/>
      <c r="HZI193" s="5"/>
      <c r="HZJ193" s="5"/>
      <c r="HZK193" s="5"/>
      <c r="HZL193" s="5"/>
      <c r="HZM193" s="5"/>
      <c r="HZN193" s="5"/>
      <c r="HZO193" s="5"/>
      <c r="HZP193" s="5"/>
      <c r="HZQ193" s="5"/>
      <c r="HZR193" s="5"/>
      <c r="HZS193" s="5"/>
      <c r="HZT193" s="5"/>
      <c r="HZU193" s="5"/>
      <c r="HZV193" s="5"/>
      <c r="HZW193" s="5"/>
      <c r="HZX193" s="5"/>
      <c r="HZY193" s="5"/>
      <c r="HZZ193" s="5"/>
      <c r="IAA193" s="5"/>
      <c r="IAB193" s="5"/>
      <c r="IAC193" s="5"/>
      <c r="IAD193" s="5"/>
      <c r="IAE193" s="5"/>
      <c r="IAF193" s="5"/>
      <c r="IAG193" s="5"/>
      <c r="IAH193" s="5"/>
      <c r="IAI193" s="5"/>
      <c r="IAJ193" s="5"/>
      <c r="IAK193" s="5"/>
      <c r="IAL193" s="5"/>
      <c r="IAM193" s="5"/>
      <c r="IAN193" s="5"/>
      <c r="IAO193" s="5"/>
      <c r="IAP193" s="5"/>
      <c r="IAQ193" s="5"/>
      <c r="IAR193" s="5"/>
      <c r="IAS193" s="5"/>
      <c r="IAT193" s="5"/>
      <c r="IAU193" s="5"/>
      <c r="IAV193" s="5"/>
      <c r="IAW193" s="5"/>
      <c r="IAX193" s="5"/>
      <c r="IAY193" s="5"/>
      <c r="IAZ193" s="5"/>
      <c r="IBA193" s="5"/>
      <c r="IBB193" s="5"/>
      <c r="IBC193" s="5"/>
      <c r="IBD193" s="5"/>
      <c r="IBE193" s="5"/>
      <c r="IBF193" s="5"/>
      <c r="IBG193" s="5"/>
      <c r="IBH193" s="5"/>
      <c r="IBI193" s="5"/>
      <c r="IBJ193" s="5"/>
      <c r="IBK193" s="5"/>
      <c r="IBL193" s="5"/>
      <c r="IBM193" s="5"/>
      <c r="IBN193" s="5"/>
      <c r="IBO193" s="5"/>
      <c r="IBP193" s="5"/>
      <c r="IBQ193" s="5"/>
      <c r="IBR193" s="5"/>
      <c r="IBS193" s="5"/>
      <c r="IBT193" s="5"/>
      <c r="IBU193" s="5"/>
      <c r="IBV193" s="5"/>
      <c r="IBW193" s="5"/>
      <c r="IBX193" s="5"/>
      <c r="IBY193" s="5"/>
      <c r="IBZ193" s="5"/>
      <c r="ICA193" s="5"/>
      <c r="ICB193" s="5"/>
      <c r="ICC193" s="5"/>
      <c r="ICD193" s="5"/>
      <c r="ICE193" s="5"/>
      <c r="ICF193" s="5"/>
      <c r="ICG193" s="5"/>
      <c r="ICH193" s="5"/>
      <c r="ICI193" s="5"/>
      <c r="ICJ193" s="5"/>
      <c r="ICK193" s="5"/>
      <c r="ICL193" s="5"/>
      <c r="ICM193" s="5"/>
      <c r="ICN193" s="5"/>
      <c r="ICO193" s="5"/>
      <c r="ICP193" s="5"/>
      <c r="ICQ193" s="5"/>
      <c r="ICR193" s="5"/>
      <c r="ICS193" s="5"/>
      <c r="ICT193" s="5"/>
      <c r="ICU193" s="5"/>
      <c r="ICV193" s="5"/>
      <c r="ICW193" s="5"/>
      <c r="ICX193" s="5"/>
      <c r="ICY193" s="5"/>
      <c r="ICZ193" s="5"/>
      <c r="IDA193" s="5"/>
      <c r="IDB193" s="5"/>
      <c r="IDC193" s="5"/>
      <c r="IDD193" s="5"/>
      <c r="IDE193" s="5"/>
      <c r="IDF193" s="5"/>
      <c r="IDG193" s="5"/>
      <c r="IDH193" s="5"/>
      <c r="IDI193" s="5"/>
      <c r="IDJ193" s="5"/>
      <c r="IDK193" s="5"/>
      <c r="IDL193" s="5"/>
      <c r="IDM193" s="5"/>
      <c r="IDN193" s="5"/>
      <c r="IDO193" s="5"/>
      <c r="IDP193" s="5"/>
      <c r="IDQ193" s="5"/>
      <c r="IDR193" s="5"/>
      <c r="IDS193" s="5"/>
      <c r="IDT193" s="5"/>
      <c r="IDU193" s="5"/>
      <c r="IDV193" s="5"/>
      <c r="IDW193" s="5"/>
      <c r="IDX193" s="5"/>
      <c r="IDY193" s="5"/>
      <c r="IDZ193" s="5"/>
      <c r="IEA193" s="5"/>
      <c r="IEB193" s="5"/>
      <c r="IEC193" s="5"/>
      <c r="IED193" s="5"/>
      <c r="IEE193" s="5"/>
      <c r="IEF193" s="5"/>
      <c r="IEG193" s="5"/>
      <c r="IEH193" s="5"/>
      <c r="IEI193" s="5"/>
      <c r="IEJ193" s="5"/>
      <c r="IEK193" s="5"/>
      <c r="IEL193" s="5"/>
      <c r="IEM193" s="5"/>
      <c r="IEN193" s="5"/>
      <c r="IEO193" s="5"/>
      <c r="IEP193" s="5"/>
      <c r="IEQ193" s="5"/>
      <c r="IER193" s="5"/>
      <c r="IES193" s="5"/>
      <c r="IET193" s="5"/>
      <c r="IEU193" s="5"/>
      <c r="IEV193" s="5"/>
      <c r="IEW193" s="5"/>
      <c r="IEX193" s="5"/>
      <c r="IEY193" s="5"/>
      <c r="IEZ193" s="5"/>
      <c r="IFA193" s="5"/>
      <c r="IFB193" s="5"/>
      <c r="IFC193" s="5"/>
      <c r="IFD193" s="5"/>
      <c r="IFE193" s="5"/>
      <c r="IFF193" s="5"/>
      <c r="IFG193" s="5"/>
      <c r="IFH193" s="5"/>
      <c r="IFI193" s="5"/>
      <c r="IFJ193" s="5"/>
      <c r="IFK193" s="5"/>
      <c r="IFL193" s="5"/>
      <c r="IFM193" s="5"/>
      <c r="IFN193" s="5"/>
      <c r="IFO193" s="5"/>
      <c r="IFP193" s="5"/>
      <c r="IFQ193" s="5"/>
      <c r="IFR193" s="5"/>
      <c r="IFS193" s="5"/>
      <c r="IFT193" s="5"/>
      <c r="IFU193" s="5"/>
      <c r="IFV193" s="5"/>
      <c r="IFW193" s="5"/>
      <c r="IFX193" s="5"/>
      <c r="IFY193" s="5"/>
      <c r="IFZ193" s="5"/>
      <c r="IGA193" s="5"/>
      <c r="IGB193" s="5"/>
      <c r="IGC193" s="5"/>
      <c r="IGD193" s="5"/>
      <c r="IGE193" s="5"/>
      <c r="IGF193" s="5"/>
      <c r="IGG193" s="5"/>
      <c r="IGH193" s="5"/>
      <c r="IGI193" s="5"/>
      <c r="IGJ193" s="5"/>
      <c r="IGK193" s="5"/>
      <c r="IGL193" s="5"/>
      <c r="IGM193" s="5"/>
      <c r="IGN193" s="5"/>
      <c r="IGO193" s="5"/>
      <c r="IGP193" s="5"/>
      <c r="IGQ193" s="5"/>
      <c r="IGR193" s="5"/>
      <c r="IGS193" s="5"/>
      <c r="IGT193" s="5"/>
      <c r="IGU193" s="5"/>
      <c r="IGV193" s="5"/>
      <c r="IGW193" s="5"/>
      <c r="IGX193" s="5"/>
      <c r="IGY193" s="5"/>
      <c r="IGZ193" s="5"/>
      <c r="IHA193" s="5"/>
      <c r="IHB193" s="5"/>
      <c r="IHC193" s="5"/>
      <c r="IHD193" s="5"/>
      <c r="IHE193" s="5"/>
      <c r="IHF193" s="5"/>
      <c r="IHG193" s="5"/>
      <c r="IHH193" s="5"/>
      <c r="IHI193" s="5"/>
      <c r="IHJ193" s="5"/>
      <c r="IHK193" s="5"/>
      <c r="IHL193" s="5"/>
      <c r="IHM193" s="5"/>
      <c r="IHN193" s="5"/>
      <c r="IHO193" s="5"/>
      <c r="IHP193" s="5"/>
      <c r="IHQ193" s="5"/>
      <c r="IHR193" s="5"/>
      <c r="IHS193" s="5"/>
      <c r="IHT193" s="5"/>
      <c r="IHU193" s="5"/>
      <c r="IHV193" s="5"/>
      <c r="IHW193" s="5"/>
      <c r="IHX193" s="5"/>
      <c r="IHY193" s="5"/>
      <c r="IHZ193" s="5"/>
      <c r="IIA193" s="5"/>
      <c r="IIB193" s="5"/>
      <c r="IIC193" s="5"/>
      <c r="IID193" s="5"/>
      <c r="IIE193" s="5"/>
      <c r="IIF193" s="5"/>
      <c r="IIG193" s="5"/>
      <c r="IIH193" s="5"/>
      <c r="III193" s="5"/>
      <c r="IIJ193" s="5"/>
      <c r="IIK193" s="5"/>
      <c r="IIL193" s="5"/>
      <c r="IIM193" s="5"/>
      <c r="IIN193" s="5"/>
      <c r="IIO193" s="5"/>
      <c r="IIP193" s="5"/>
      <c r="IIQ193" s="5"/>
      <c r="IIR193" s="5"/>
      <c r="IIS193" s="5"/>
      <c r="IIT193" s="5"/>
      <c r="IIU193" s="5"/>
      <c r="IIV193" s="5"/>
      <c r="IIW193" s="5"/>
      <c r="IIX193" s="5"/>
      <c r="IIY193" s="5"/>
      <c r="IIZ193" s="5"/>
      <c r="IJA193" s="5"/>
      <c r="IJB193" s="5"/>
      <c r="IJC193" s="5"/>
      <c r="IJD193" s="5"/>
      <c r="IJE193" s="5"/>
      <c r="IJF193" s="5"/>
      <c r="IJG193" s="5"/>
      <c r="IJH193" s="5"/>
      <c r="IJI193" s="5"/>
      <c r="IJJ193" s="5"/>
      <c r="IJK193" s="5"/>
      <c r="IJL193" s="5"/>
      <c r="IJM193" s="5"/>
      <c r="IJN193" s="5"/>
      <c r="IJO193" s="5"/>
      <c r="IJP193" s="5"/>
      <c r="IJQ193" s="5"/>
      <c r="IJR193" s="5"/>
      <c r="IJS193" s="5"/>
      <c r="IJT193" s="5"/>
      <c r="IJU193" s="5"/>
      <c r="IJV193" s="5"/>
      <c r="IJW193" s="5"/>
      <c r="IJX193" s="5"/>
      <c r="IJY193" s="5"/>
      <c r="IJZ193" s="5"/>
      <c r="IKA193" s="5"/>
      <c r="IKB193" s="5"/>
      <c r="IKC193" s="5"/>
      <c r="IKD193" s="5"/>
      <c r="IKE193" s="5"/>
      <c r="IKF193" s="5"/>
      <c r="IKG193" s="5"/>
      <c r="IKH193" s="5"/>
      <c r="IKI193" s="5"/>
      <c r="IKJ193" s="5"/>
      <c r="IKK193" s="5"/>
      <c r="IKL193" s="5"/>
      <c r="IKM193" s="5"/>
      <c r="IKN193" s="5"/>
      <c r="IKO193" s="5"/>
      <c r="IKP193" s="5"/>
      <c r="IKQ193" s="5"/>
      <c r="IKR193" s="5"/>
      <c r="IKS193" s="5"/>
      <c r="IKT193" s="5"/>
      <c r="IKU193" s="5"/>
      <c r="IKV193" s="5"/>
      <c r="IKW193" s="5"/>
      <c r="IKX193" s="5"/>
      <c r="IKY193" s="5"/>
      <c r="IKZ193" s="5"/>
      <c r="ILA193" s="5"/>
      <c r="ILB193" s="5"/>
      <c r="ILC193" s="5"/>
      <c r="ILD193" s="5"/>
      <c r="ILE193" s="5"/>
      <c r="ILF193" s="5"/>
      <c r="ILG193" s="5"/>
      <c r="ILH193" s="5"/>
      <c r="ILI193" s="5"/>
      <c r="ILJ193" s="5"/>
      <c r="ILK193" s="5"/>
      <c r="ILL193" s="5"/>
      <c r="ILM193" s="5"/>
      <c r="ILN193" s="5"/>
      <c r="ILO193" s="5"/>
      <c r="ILP193" s="5"/>
      <c r="ILQ193" s="5"/>
      <c r="ILR193" s="5"/>
      <c r="ILS193" s="5"/>
      <c r="ILT193" s="5"/>
      <c r="ILU193" s="5"/>
      <c r="ILV193" s="5"/>
      <c r="ILW193" s="5"/>
      <c r="ILX193" s="5"/>
      <c r="ILY193" s="5"/>
      <c r="ILZ193" s="5"/>
      <c r="IMA193" s="5"/>
      <c r="IMB193" s="5"/>
      <c r="IMC193" s="5"/>
      <c r="IMD193" s="5"/>
      <c r="IME193" s="5"/>
      <c r="IMF193" s="5"/>
      <c r="IMG193" s="5"/>
      <c r="IMH193" s="5"/>
      <c r="IMI193" s="5"/>
      <c r="IMJ193" s="5"/>
      <c r="IMK193" s="5"/>
      <c r="IML193" s="5"/>
      <c r="IMM193" s="5"/>
      <c r="IMN193" s="5"/>
      <c r="IMO193" s="5"/>
      <c r="IMP193" s="5"/>
      <c r="IMQ193" s="5"/>
      <c r="IMR193" s="5"/>
      <c r="IMS193" s="5"/>
      <c r="IMT193" s="5"/>
      <c r="IMU193" s="5"/>
      <c r="IMV193" s="5"/>
      <c r="IMW193" s="5"/>
      <c r="IMX193" s="5"/>
      <c r="IMY193" s="5"/>
      <c r="IMZ193" s="5"/>
      <c r="INA193" s="5"/>
      <c r="INB193" s="5"/>
      <c r="INC193" s="5"/>
      <c r="IND193" s="5"/>
      <c r="INE193" s="5"/>
      <c r="INF193" s="5"/>
      <c r="ING193" s="5"/>
      <c r="INH193" s="5"/>
      <c r="INI193" s="5"/>
      <c r="INJ193" s="5"/>
      <c r="INK193" s="5"/>
      <c r="INL193" s="5"/>
      <c r="INM193" s="5"/>
      <c r="INN193" s="5"/>
      <c r="INO193" s="5"/>
      <c r="INP193" s="5"/>
      <c r="INQ193" s="5"/>
      <c r="INR193" s="5"/>
      <c r="INS193" s="5"/>
      <c r="INT193" s="5"/>
      <c r="INU193" s="5"/>
      <c r="INV193" s="5"/>
      <c r="INW193" s="5"/>
      <c r="INX193" s="5"/>
      <c r="INY193" s="5"/>
      <c r="INZ193" s="5"/>
      <c r="IOA193" s="5"/>
      <c r="IOB193" s="5"/>
      <c r="IOC193" s="5"/>
      <c r="IOD193" s="5"/>
      <c r="IOE193" s="5"/>
      <c r="IOF193" s="5"/>
      <c r="IOG193" s="5"/>
      <c r="IOH193" s="5"/>
      <c r="IOI193" s="5"/>
      <c r="IOJ193" s="5"/>
      <c r="IOK193" s="5"/>
      <c r="IOL193" s="5"/>
      <c r="IOM193" s="5"/>
      <c r="ION193" s="5"/>
      <c r="IOO193" s="5"/>
      <c r="IOP193" s="5"/>
      <c r="IOQ193" s="5"/>
      <c r="IOR193" s="5"/>
      <c r="IOS193" s="5"/>
      <c r="IOT193" s="5"/>
      <c r="IOU193" s="5"/>
      <c r="IOV193" s="5"/>
      <c r="IOW193" s="5"/>
      <c r="IOX193" s="5"/>
      <c r="IOY193" s="5"/>
      <c r="IOZ193" s="5"/>
      <c r="IPA193" s="5"/>
      <c r="IPB193" s="5"/>
      <c r="IPC193" s="5"/>
      <c r="IPD193" s="5"/>
      <c r="IPE193" s="5"/>
      <c r="IPF193" s="5"/>
      <c r="IPG193" s="5"/>
      <c r="IPH193" s="5"/>
      <c r="IPI193" s="5"/>
      <c r="IPJ193" s="5"/>
      <c r="IPK193" s="5"/>
      <c r="IPL193" s="5"/>
      <c r="IPM193" s="5"/>
      <c r="IPN193" s="5"/>
      <c r="IPO193" s="5"/>
      <c r="IPP193" s="5"/>
      <c r="IPQ193" s="5"/>
      <c r="IPR193" s="5"/>
      <c r="IPS193" s="5"/>
      <c r="IPT193" s="5"/>
      <c r="IPU193" s="5"/>
      <c r="IPV193" s="5"/>
      <c r="IPW193" s="5"/>
      <c r="IPX193" s="5"/>
      <c r="IPY193" s="5"/>
      <c r="IPZ193" s="5"/>
      <c r="IQA193" s="5"/>
      <c r="IQB193" s="5"/>
      <c r="IQC193" s="5"/>
      <c r="IQD193" s="5"/>
      <c r="IQE193" s="5"/>
      <c r="IQF193" s="5"/>
      <c r="IQG193" s="5"/>
      <c r="IQH193" s="5"/>
      <c r="IQI193" s="5"/>
      <c r="IQJ193" s="5"/>
      <c r="IQK193" s="5"/>
      <c r="IQL193" s="5"/>
      <c r="IQM193" s="5"/>
      <c r="IQN193" s="5"/>
      <c r="IQO193" s="5"/>
      <c r="IQP193" s="5"/>
      <c r="IQQ193" s="5"/>
      <c r="IQR193" s="5"/>
      <c r="IQS193" s="5"/>
      <c r="IQT193" s="5"/>
      <c r="IQU193" s="5"/>
      <c r="IQV193" s="5"/>
      <c r="IQW193" s="5"/>
      <c r="IQX193" s="5"/>
      <c r="IQY193" s="5"/>
      <c r="IQZ193" s="5"/>
      <c r="IRA193" s="5"/>
      <c r="IRB193" s="5"/>
      <c r="IRC193" s="5"/>
      <c r="IRD193" s="5"/>
      <c r="IRE193" s="5"/>
      <c r="IRF193" s="5"/>
      <c r="IRG193" s="5"/>
      <c r="IRH193" s="5"/>
      <c r="IRI193" s="5"/>
      <c r="IRJ193" s="5"/>
      <c r="IRK193" s="5"/>
      <c r="IRL193" s="5"/>
      <c r="IRM193" s="5"/>
      <c r="IRN193" s="5"/>
      <c r="IRO193" s="5"/>
      <c r="IRP193" s="5"/>
      <c r="IRQ193" s="5"/>
      <c r="IRR193" s="5"/>
      <c r="IRS193" s="5"/>
      <c r="IRT193" s="5"/>
      <c r="IRU193" s="5"/>
      <c r="IRV193" s="5"/>
      <c r="IRW193" s="5"/>
      <c r="IRX193" s="5"/>
      <c r="IRY193" s="5"/>
      <c r="IRZ193" s="5"/>
      <c r="ISA193" s="5"/>
      <c r="ISB193" s="5"/>
      <c r="ISC193" s="5"/>
      <c r="ISD193" s="5"/>
      <c r="ISE193" s="5"/>
      <c r="ISF193" s="5"/>
      <c r="ISG193" s="5"/>
      <c r="ISH193" s="5"/>
      <c r="ISI193" s="5"/>
      <c r="ISJ193" s="5"/>
      <c r="ISK193" s="5"/>
      <c r="ISL193" s="5"/>
      <c r="ISM193" s="5"/>
      <c r="ISN193" s="5"/>
      <c r="ISO193" s="5"/>
      <c r="ISP193" s="5"/>
      <c r="ISQ193" s="5"/>
      <c r="ISR193" s="5"/>
      <c r="ISS193" s="5"/>
      <c r="IST193" s="5"/>
      <c r="ISU193" s="5"/>
      <c r="ISV193" s="5"/>
      <c r="ISW193" s="5"/>
      <c r="ISX193" s="5"/>
      <c r="ISY193" s="5"/>
      <c r="ISZ193" s="5"/>
      <c r="ITA193" s="5"/>
      <c r="ITB193" s="5"/>
      <c r="ITC193" s="5"/>
      <c r="ITD193" s="5"/>
      <c r="ITE193" s="5"/>
      <c r="ITF193" s="5"/>
      <c r="ITG193" s="5"/>
      <c r="ITH193" s="5"/>
      <c r="ITI193" s="5"/>
      <c r="ITJ193" s="5"/>
      <c r="ITK193" s="5"/>
      <c r="ITL193" s="5"/>
      <c r="ITM193" s="5"/>
      <c r="ITN193" s="5"/>
      <c r="ITO193" s="5"/>
      <c r="ITP193" s="5"/>
      <c r="ITQ193" s="5"/>
      <c r="ITR193" s="5"/>
      <c r="ITS193" s="5"/>
      <c r="ITT193" s="5"/>
      <c r="ITU193" s="5"/>
      <c r="ITV193" s="5"/>
      <c r="ITW193" s="5"/>
      <c r="ITX193" s="5"/>
      <c r="ITY193" s="5"/>
      <c r="ITZ193" s="5"/>
      <c r="IUA193" s="5"/>
      <c r="IUB193" s="5"/>
      <c r="IUC193" s="5"/>
      <c r="IUD193" s="5"/>
      <c r="IUE193" s="5"/>
      <c r="IUF193" s="5"/>
      <c r="IUG193" s="5"/>
      <c r="IUH193" s="5"/>
      <c r="IUI193" s="5"/>
      <c r="IUJ193" s="5"/>
      <c r="IUK193" s="5"/>
      <c r="IUL193" s="5"/>
      <c r="IUM193" s="5"/>
      <c r="IUN193" s="5"/>
      <c r="IUO193" s="5"/>
      <c r="IUP193" s="5"/>
      <c r="IUQ193" s="5"/>
      <c r="IUR193" s="5"/>
      <c r="IUS193" s="5"/>
      <c r="IUT193" s="5"/>
      <c r="IUU193" s="5"/>
      <c r="IUV193" s="5"/>
      <c r="IUW193" s="5"/>
      <c r="IUX193" s="5"/>
      <c r="IUY193" s="5"/>
      <c r="IUZ193" s="5"/>
      <c r="IVA193" s="5"/>
      <c r="IVB193" s="5"/>
      <c r="IVC193" s="5"/>
      <c r="IVD193" s="5"/>
      <c r="IVE193" s="5"/>
      <c r="IVF193" s="5"/>
      <c r="IVG193" s="5"/>
      <c r="IVH193" s="5"/>
      <c r="IVI193" s="5"/>
      <c r="IVJ193" s="5"/>
      <c r="IVK193" s="5"/>
      <c r="IVL193" s="5"/>
      <c r="IVM193" s="5"/>
      <c r="IVN193" s="5"/>
      <c r="IVO193" s="5"/>
      <c r="IVP193" s="5"/>
      <c r="IVQ193" s="5"/>
      <c r="IVR193" s="5"/>
      <c r="IVS193" s="5"/>
      <c r="IVT193" s="5"/>
      <c r="IVU193" s="5"/>
      <c r="IVV193" s="5"/>
      <c r="IVW193" s="5"/>
      <c r="IVX193" s="5"/>
      <c r="IVY193" s="5"/>
      <c r="IVZ193" s="5"/>
      <c r="IWA193" s="5"/>
      <c r="IWB193" s="5"/>
      <c r="IWC193" s="5"/>
      <c r="IWD193" s="5"/>
      <c r="IWE193" s="5"/>
      <c r="IWF193" s="5"/>
      <c r="IWG193" s="5"/>
      <c r="IWH193" s="5"/>
      <c r="IWI193" s="5"/>
      <c r="IWJ193" s="5"/>
      <c r="IWK193" s="5"/>
      <c r="IWL193" s="5"/>
      <c r="IWM193" s="5"/>
      <c r="IWN193" s="5"/>
      <c r="IWO193" s="5"/>
      <c r="IWP193" s="5"/>
      <c r="IWQ193" s="5"/>
      <c r="IWR193" s="5"/>
      <c r="IWS193" s="5"/>
      <c r="IWT193" s="5"/>
      <c r="IWU193" s="5"/>
      <c r="IWV193" s="5"/>
      <c r="IWW193" s="5"/>
      <c r="IWX193" s="5"/>
      <c r="IWY193" s="5"/>
      <c r="IWZ193" s="5"/>
      <c r="IXA193" s="5"/>
      <c r="IXB193" s="5"/>
      <c r="IXC193" s="5"/>
      <c r="IXD193" s="5"/>
      <c r="IXE193" s="5"/>
      <c r="IXF193" s="5"/>
      <c r="IXG193" s="5"/>
      <c r="IXH193" s="5"/>
      <c r="IXI193" s="5"/>
      <c r="IXJ193" s="5"/>
      <c r="IXK193" s="5"/>
      <c r="IXL193" s="5"/>
      <c r="IXM193" s="5"/>
      <c r="IXN193" s="5"/>
      <c r="IXO193" s="5"/>
      <c r="IXP193" s="5"/>
      <c r="IXQ193" s="5"/>
      <c r="IXR193" s="5"/>
      <c r="IXS193" s="5"/>
      <c r="IXT193" s="5"/>
      <c r="IXU193" s="5"/>
      <c r="IXV193" s="5"/>
      <c r="IXW193" s="5"/>
      <c r="IXX193" s="5"/>
      <c r="IXY193" s="5"/>
      <c r="IXZ193" s="5"/>
      <c r="IYA193" s="5"/>
      <c r="IYB193" s="5"/>
      <c r="IYC193" s="5"/>
      <c r="IYD193" s="5"/>
      <c r="IYE193" s="5"/>
      <c r="IYF193" s="5"/>
      <c r="IYG193" s="5"/>
      <c r="IYH193" s="5"/>
      <c r="IYI193" s="5"/>
      <c r="IYJ193" s="5"/>
      <c r="IYK193" s="5"/>
      <c r="IYL193" s="5"/>
      <c r="IYM193" s="5"/>
      <c r="IYN193" s="5"/>
      <c r="IYO193" s="5"/>
      <c r="IYP193" s="5"/>
      <c r="IYQ193" s="5"/>
      <c r="IYR193" s="5"/>
      <c r="IYS193" s="5"/>
      <c r="IYT193" s="5"/>
      <c r="IYU193" s="5"/>
      <c r="IYV193" s="5"/>
      <c r="IYW193" s="5"/>
      <c r="IYX193" s="5"/>
      <c r="IYY193" s="5"/>
      <c r="IYZ193" s="5"/>
      <c r="IZA193" s="5"/>
      <c r="IZB193" s="5"/>
      <c r="IZC193" s="5"/>
      <c r="IZD193" s="5"/>
      <c r="IZE193" s="5"/>
      <c r="IZF193" s="5"/>
      <c r="IZG193" s="5"/>
      <c r="IZH193" s="5"/>
      <c r="IZI193" s="5"/>
      <c r="IZJ193" s="5"/>
      <c r="IZK193" s="5"/>
      <c r="IZL193" s="5"/>
      <c r="IZM193" s="5"/>
      <c r="IZN193" s="5"/>
      <c r="IZO193" s="5"/>
      <c r="IZP193" s="5"/>
      <c r="IZQ193" s="5"/>
      <c r="IZR193" s="5"/>
      <c r="IZS193" s="5"/>
      <c r="IZT193" s="5"/>
      <c r="IZU193" s="5"/>
      <c r="IZV193" s="5"/>
      <c r="IZW193" s="5"/>
      <c r="IZX193" s="5"/>
      <c r="IZY193" s="5"/>
      <c r="IZZ193" s="5"/>
      <c r="JAA193" s="5"/>
      <c r="JAB193" s="5"/>
      <c r="JAC193" s="5"/>
      <c r="JAD193" s="5"/>
      <c r="JAE193" s="5"/>
      <c r="JAF193" s="5"/>
      <c r="JAG193" s="5"/>
      <c r="JAH193" s="5"/>
      <c r="JAI193" s="5"/>
      <c r="JAJ193" s="5"/>
      <c r="JAK193" s="5"/>
      <c r="JAL193" s="5"/>
      <c r="JAM193" s="5"/>
      <c r="JAN193" s="5"/>
      <c r="JAO193" s="5"/>
      <c r="JAP193" s="5"/>
      <c r="JAQ193" s="5"/>
      <c r="JAR193" s="5"/>
      <c r="JAS193" s="5"/>
      <c r="JAT193" s="5"/>
      <c r="JAU193" s="5"/>
      <c r="JAV193" s="5"/>
      <c r="JAW193" s="5"/>
      <c r="JAX193" s="5"/>
      <c r="JAY193" s="5"/>
      <c r="JAZ193" s="5"/>
      <c r="JBA193" s="5"/>
      <c r="JBB193" s="5"/>
      <c r="JBC193" s="5"/>
      <c r="JBD193" s="5"/>
      <c r="JBE193" s="5"/>
      <c r="JBF193" s="5"/>
      <c r="JBG193" s="5"/>
      <c r="JBH193" s="5"/>
      <c r="JBI193" s="5"/>
      <c r="JBJ193" s="5"/>
      <c r="JBK193" s="5"/>
      <c r="JBL193" s="5"/>
      <c r="JBM193" s="5"/>
      <c r="JBN193" s="5"/>
      <c r="JBO193" s="5"/>
      <c r="JBP193" s="5"/>
      <c r="JBQ193" s="5"/>
      <c r="JBR193" s="5"/>
      <c r="JBS193" s="5"/>
      <c r="JBT193" s="5"/>
      <c r="JBU193" s="5"/>
      <c r="JBV193" s="5"/>
      <c r="JBW193" s="5"/>
      <c r="JBX193" s="5"/>
      <c r="JBY193" s="5"/>
      <c r="JBZ193" s="5"/>
      <c r="JCA193" s="5"/>
      <c r="JCB193" s="5"/>
      <c r="JCC193" s="5"/>
      <c r="JCD193" s="5"/>
      <c r="JCE193" s="5"/>
      <c r="JCF193" s="5"/>
      <c r="JCG193" s="5"/>
      <c r="JCH193" s="5"/>
      <c r="JCI193" s="5"/>
      <c r="JCJ193" s="5"/>
      <c r="JCK193" s="5"/>
      <c r="JCL193" s="5"/>
      <c r="JCM193" s="5"/>
      <c r="JCN193" s="5"/>
      <c r="JCO193" s="5"/>
      <c r="JCP193" s="5"/>
      <c r="JCQ193" s="5"/>
      <c r="JCR193" s="5"/>
      <c r="JCS193" s="5"/>
      <c r="JCT193" s="5"/>
      <c r="JCU193" s="5"/>
      <c r="JCV193" s="5"/>
      <c r="JCW193" s="5"/>
      <c r="JCX193" s="5"/>
      <c r="JCY193" s="5"/>
      <c r="JCZ193" s="5"/>
      <c r="JDA193" s="5"/>
      <c r="JDB193" s="5"/>
      <c r="JDC193" s="5"/>
      <c r="JDD193" s="5"/>
      <c r="JDE193" s="5"/>
      <c r="JDF193" s="5"/>
      <c r="JDG193" s="5"/>
      <c r="JDH193" s="5"/>
      <c r="JDI193" s="5"/>
      <c r="JDJ193" s="5"/>
      <c r="JDK193" s="5"/>
      <c r="JDL193" s="5"/>
      <c r="JDM193" s="5"/>
      <c r="JDN193" s="5"/>
      <c r="JDO193" s="5"/>
      <c r="JDP193" s="5"/>
      <c r="JDQ193" s="5"/>
      <c r="JDR193" s="5"/>
      <c r="JDS193" s="5"/>
      <c r="JDT193" s="5"/>
      <c r="JDU193" s="5"/>
      <c r="JDV193" s="5"/>
      <c r="JDW193" s="5"/>
      <c r="JDX193" s="5"/>
      <c r="JDY193" s="5"/>
      <c r="JDZ193" s="5"/>
      <c r="JEA193" s="5"/>
      <c r="JEB193" s="5"/>
      <c r="JEC193" s="5"/>
      <c r="JED193" s="5"/>
      <c r="JEE193" s="5"/>
      <c r="JEF193" s="5"/>
      <c r="JEG193" s="5"/>
      <c r="JEH193" s="5"/>
      <c r="JEI193" s="5"/>
      <c r="JEJ193" s="5"/>
      <c r="JEK193" s="5"/>
      <c r="JEL193" s="5"/>
      <c r="JEM193" s="5"/>
      <c r="JEN193" s="5"/>
      <c r="JEO193" s="5"/>
      <c r="JEP193" s="5"/>
      <c r="JEQ193" s="5"/>
      <c r="JER193" s="5"/>
      <c r="JES193" s="5"/>
      <c r="JET193" s="5"/>
      <c r="JEU193" s="5"/>
      <c r="JEV193" s="5"/>
      <c r="JEW193" s="5"/>
      <c r="JEX193" s="5"/>
      <c r="JEY193" s="5"/>
      <c r="JEZ193" s="5"/>
      <c r="JFA193" s="5"/>
      <c r="JFB193" s="5"/>
      <c r="JFC193" s="5"/>
      <c r="JFD193" s="5"/>
      <c r="JFE193" s="5"/>
      <c r="JFF193" s="5"/>
      <c r="JFG193" s="5"/>
      <c r="JFH193" s="5"/>
      <c r="JFI193" s="5"/>
      <c r="JFJ193" s="5"/>
      <c r="JFK193" s="5"/>
      <c r="JFL193" s="5"/>
      <c r="JFM193" s="5"/>
      <c r="JFN193" s="5"/>
      <c r="JFO193" s="5"/>
      <c r="JFP193" s="5"/>
      <c r="JFQ193" s="5"/>
      <c r="JFR193" s="5"/>
      <c r="JFS193" s="5"/>
      <c r="JFT193" s="5"/>
      <c r="JFU193" s="5"/>
      <c r="JFV193" s="5"/>
      <c r="JFW193" s="5"/>
      <c r="JFX193" s="5"/>
      <c r="JFY193" s="5"/>
      <c r="JFZ193" s="5"/>
      <c r="JGA193" s="5"/>
      <c r="JGB193" s="5"/>
      <c r="JGC193" s="5"/>
      <c r="JGD193" s="5"/>
      <c r="JGE193" s="5"/>
      <c r="JGF193" s="5"/>
      <c r="JGG193" s="5"/>
      <c r="JGH193" s="5"/>
      <c r="JGI193" s="5"/>
      <c r="JGJ193" s="5"/>
      <c r="JGK193" s="5"/>
      <c r="JGL193" s="5"/>
      <c r="JGM193" s="5"/>
      <c r="JGN193" s="5"/>
      <c r="JGO193" s="5"/>
      <c r="JGP193" s="5"/>
      <c r="JGQ193" s="5"/>
      <c r="JGR193" s="5"/>
      <c r="JGS193" s="5"/>
      <c r="JGT193" s="5"/>
      <c r="JGU193" s="5"/>
      <c r="JGV193" s="5"/>
      <c r="JGW193" s="5"/>
      <c r="JGX193" s="5"/>
      <c r="JGY193" s="5"/>
      <c r="JGZ193" s="5"/>
      <c r="JHA193" s="5"/>
      <c r="JHB193" s="5"/>
      <c r="JHC193" s="5"/>
      <c r="JHD193" s="5"/>
      <c r="JHE193" s="5"/>
      <c r="JHF193" s="5"/>
      <c r="JHG193" s="5"/>
      <c r="JHH193" s="5"/>
      <c r="JHI193" s="5"/>
      <c r="JHJ193" s="5"/>
      <c r="JHK193" s="5"/>
      <c r="JHL193" s="5"/>
      <c r="JHM193" s="5"/>
      <c r="JHN193" s="5"/>
      <c r="JHO193" s="5"/>
      <c r="JHP193" s="5"/>
      <c r="JHQ193" s="5"/>
      <c r="JHR193" s="5"/>
      <c r="JHS193" s="5"/>
      <c r="JHT193" s="5"/>
      <c r="JHU193" s="5"/>
      <c r="JHV193" s="5"/>
      <c r="JHW193" s="5"/>
      <c r="JHX193" s="5"/>
      <c r="JHY193" s="5"/>
      <c r="JHZ193" s="5"/>
      <c r="JIA193" s="5"/>
      <c r="JIB193" s="5"/>
      <c r="JIC193" s="5"/>
      <c r="JID193" s="5"/>
      <c r="JIE193" s="5"/>
      <c r="JIF193" s="5"/>
      <c r="JIG193" s="5"/>
      <c r="JIH193" s="5"/>
      <c r="JII193" s="5"/>
      <c r="JIJ193" s="5"/>
      <c r="JIK193" s="5"/>
      <c r="JIL193" s="5"/>
      <c r="JIM193" s="5"/>
      <c r="JIN193" s="5"/>
      <c r="JIO193" s="5"/>
      <c r="JIP193" s="5"/>
      <c r="JIQ193" s="5"/>
      <c r="JIR193" s="5"/>
      <c r="JIS193" s="5"/>
      <c r="JIT193" s="5"/>
      <c r="JIU193" s="5"/>
      <c r="JIV193" s="5"/>
      <c r="JIW193" s="5"/>
      <c r="JIX193" s="5"/>
      <c r="JIY193" s="5"/>
      <c r="JIZ193" s="5"/>
      <c r="JJA193" s="5"/>
      <c r="JJB193" s="5"/>
      <c r="JJC193" s="5"/>
      <c r="JJD193" s="5"/>
      <c r="JJE193" s="5"/>
      <c r="JJF193" s="5"/>
      <c r="JJG193" s="5"/>
      <c r="JJH193" s="5"/>
      <c r="JJI193" s="5"/>
      <c r="JJJ193" s="5"/>
      <c r="JJK193" s="5"/>
      <c r="JJL193" s="5"/>
      <c r="JJM193" s="5"/>
      <c r="JJN193" s="5"/>
      <c r="JJO193" s="5"/>
      <c r="JJP193" s="5"/>
      <c r="JJQ193" s="5"/>
      <c r="JJR193" s="5"/>
      <c r="JJS193" s="5"/>
      <c r="JJT193" s="5"/>
      <c r="JJU193" s="5"/>
      <c r="JJV193" s="5"/>
      <c r="JJW193" s="5"/>
      <c r="JJX193" s="5"/>
      <c r="JJY193" s="5"/>
      <c r="JJZ193" s="5"/>
      <c r="JKA193" s="5"/>
      <c r="JKB193" s="5"/>
      <c r="JKC193" s="5"/>
      <c r="JKD193" s="5"/>
      <c r="JKE193" s="5"/>
      <c r="JKF193" s="5"/>
      <c r="JKG193" s="5"/>
      <c r="JKH193" s="5"/>
      <c r="JKI193" s="5"/>
      <c r="JKJ193" s="5"/>
      <c r="JKK193" s="5"/>
      <c r="JKL193" s="5"/>
      <c r="JKM193" s="5"/>
      <c r="JKN193" s="5"/>
      <c r="JKO193" s="5"/>
      <c r="JKP193" s="5"/>
      <c r="JKQ193" s="5"/>
      <c r="JKR193" s="5"/>
      <c r="JKS193" s="5"/>
      <c r="JKT193" s="5"/>
      <c r="JKU193" s="5"/>
      <c r="JKV193" s="5"/>
      <c r="JKW193" s="5"/>
      <c r="JKX193" s="5"/>
      <c r="JKY193" s="5"/>
      <c r="JKZ193" s="5"/>
      <c r="JLA193" s="5"/>
      <c r="JLB193" s="5"/>
      <c r="JLC193" s="5"/>
      <c r="JLD193" s="5"/>
      <c r="JLE193" s="5"/>
      <c r="JLF193" s="5"/>
      <c r="JLG193" s="5"/>
      <c r="JLH193" s="5"/>
      <c r="JLI193" s="5"/>
      <c r="JLJ193" s="5"/>
      <c r="JLK193" s="5"/>
      <c r="JLL193" s="5"/>
      <c r="JLM193" s="5"/>
      <c r="JLN193" s="5"/>
      <c r="JLO193" s="5"/>
      <c r="JLP193" s="5"/>
      <c r="JLQ193" s="5"/>
      <c r="JLR193" s="5"/>
      <c r="JLS193" s="5"/>
      <c r="JLT193" s="5"/>
      <c r="JLU193" s="5"/>
      <c r="JLV193" s="5"/>
      <c r="JLW193" s="5"/>
      <c r="JLX193" s="5"/>
      <c r="JLY193" s="5"/>
      <c r="JLZ193" s="5"/>
      <c r="JMA193" s="5"/>
      <c r="JMB193" s="5"/>
      <c r="JMC193" s="5"/>
      <c r="JMD193" s="5"/>
      <c r="JME193" s="5"/>
      <c r="JMF193" s="5"/>
      <c r="JMG193" s="5"/>
      <c r="JMH193" s="5"/>
      <c r="JMI193" s="5"/>
      <c r="JMJ193" s="5"/>
      <c r="JMK193" s="5"/>
      <c r="JML193" s="5"/>
      <c r="JMM193" s="5"/>
      <c r="JMN193" s="5"/>
      <c r="JMO193" s="5"/>
      <c r="JMP193" s="5"/>
      <c r="JMQ193" s="5"/>
      <c r="JMR193" s="5"/>
      <c r="JMS193" s="5"/>
      <c r="JMT193" s="5"/>
      <c r="JMU193" s="5"/>
      <c r="JMV193" s="5"/>
      <c r="JMW193" s="5"/>
      <c r="JMX193" s="5"/>
      <c r="JMY193" s="5"/>
      <c r="JMZ193" s="5"/>
      <c r="JNA193" s="5"/>
      <c r="JNB193" s="5"/>
      <c r="JNC193" s="5"/>
      <c r="JND193" s="5"/>
      <c r="JNE193" s="5"/>
      <c r="JNF193" s="5"/>
      <c r="JNG193" s="5"/>
      <c r="JNH193" s="5"/>
      <c r="JNI193" s="5"/>
      <c r="JNJ193" s="5"/>
      <c r="JNK193" s="5"/>
      <c r="JNL193" s="5"/>
      <c r="JNM193" s="5"/>
      <c r="JNN193" s="5"/>
      <c r="JNO193" s="5"/>
      <c r="JNP193" s="5"/>
      <c r="JNQ193" s="5"/>
      <c r="JNR193" s="5"/>
      <c r="JNS193" s="5"/>
      <c r="JNT193" s="5"/>
      <c r="JNU193" s="5"/>
      <c r="JNV193" s="5"/>
      <c r="JNW193" s="5"/>
      <c r="JNX193" s="5"/>
      <c r="JNY193" s="5"/>
      <c r="JNZ193" s="5"/>
      <c r="JOA193" s="5"/>
      <c r="JOB193" s="5"/>
      <c r="JOC193" s="5"/>
      <c r="JOD193" s="5"/>
      <c r="JOE193" s="5"/>
      <c r="JOF193" s="5"/>
      <c r="JOG193" s="5"/>
      <c r="JOH193" s="5"/>
      <c r="JOI193" s="5"/>
      <c r="JOJ193" s="5"/>
      <c r="JOK193" s="5"/>
      <c r="JOL193" s="5"/>
      <c r="JOM193" s="5"/>
      <c r="JON193" s="5"/>
      <c r="JOO193" s="5"/>
      <c r="JOP193" s="5"/>
      <c r="JOQ193" s="5"/>
      <c r="JOR193" s="5"/>
      <c r="JOS193" s="5"/>
      <c r="JOT193" s="5"/>
      <c r="JOU193" s="5"/>
      <c r="JOV193" s="5"/>
      <c r="JOW193" s="5"/>
      <c r="JOX193" s="5"/>
      <c r="JOY193" s="5"/>
      <c r="JOZ193" s="5"/>
      <c r="JPA193" s="5"/>
      <c r="JPB193" s="5"/>
      <c r="JPC193" s="5"/>
      <c r="JPD193" s="5"/>
      <c r="JPE193" s="5"/>
      <c r="JPF193" s="5"/>
      <c r="JPG193" s="5"/>
      <c r="JPH193" s="5"/>
      <c r="JPI193" s="5"/>
      <c r="JPJ193" s="5"/>
      <c r="JPK193" s="5"/>
      <c r="JPL193" s="5"/>
      <c r="JPM193" s="5"/>
      <c r="JPN193" s="5"/>
      <c r="JPO193" s="5"/>
      <c r="JPP193" s="5"/>
      <c r="JPQ193" s="5"/>
      <c r="JPR193" s="5"/>
      <c r="JPS193" s="5"/>
      <c r="JPT193" s="5"/>
      <c r="JPU193" s="5"/>
      <c r="JPV193" s="5"/>
      <c r="JPW193" s="5"/>
      <c r="JPX193" s="5"/>
      <c r="JPY193" s="5"/>
      <c r="JPZ193" s="5"/>
      <c r="JQA193" s="5"/>
      <c r="JQB193" s="5"/>
      <c r="JQC193" s="5"/>
      <c r="JQD193" s="5"/>
      <c r="JQE193" s="5"/>
      <c r="JQF193" s="5"/>
      <c r="JQG193" s="5"/>
      <c r="JQH193" s="5"/>
      <c r="JQI193" s="5"/>
      <c r="JQJ193" s="5"/>
      <c r="JQK193" s="5"/>
      <c r="JQL193" s="5"/>
      <c r="JQM193" s="5"/>
      <c r="JQN193" s="5"/>
      <c r="JQO193" s="5"/>
      <c r="JQP193" s="5"/>
      <c r="JQQ193" s="5"/>
      <c r="JQR193" s="5"/>
      <c r="JQS193" s="5"/>
      <c r="JQT193" s="5"/>
      <c r="JQU193" s="5"/>
      <c r="JQV193" s="5"/>
      <c r="JQW193" s="5"/>
      <c r="JQX193" s="5"/>
      <c r="JQY193" s="5"/>
      <c r="JQZ193" s="5"/>
      <c r="JRA193" s="5"/>
      <c r="JRB193" s="5"/>
      <c r="JRC193" s="5"/>
      <c r="JRD193" s="5"/>
      <c r="JRE193" s="5"/>
      <c r="JRF193" s="5"/>
      <c r="JRG193" s="5"/>
      <c r="JRH193" s="5"/>
      <c r="JRI193" s="5"/>
      <c r="JRJ193" s="5"/>
      <c r="JRK193" s="5"/>
      <c r="JRL193" s="5"/>
      <c r="JRM193" s="5"/>
      <c r="JRN193" s="5"/>
      <c r="JRO193" s="5"/>
      <c r="JRP193" s="5"/>
      <c r="JRQ193" s="5"/>
      <c r="JRR193" s="5"/>
      <c r="JRS193" s="5"/>
      <c r="JRT193" s="5"/>
      <c r="JRU193" s="5"/>
      <c r="JRV193" s="5"/>
      <c r="JRW193" s="5"/>
      <c r="JRX193" s="5"/>
      <c r="JRY193" s="5"/>
      <c r="JRZ193" s="5"/>
      <c r="JSA193" s="5"/>
      <c r="JSB193" s="5"/>
      <c r="JSC193" s="5"/>
      <c r="JSD193" s="5"/>
      <c r="JSE193" s="5"/>
      <c r="JSF193" s="5"/>
      <c r="JSG193" s="5"/>
      <c r="JSH193" s="5"/>
      <c r="JSI193" s="5"/>
      <c r="JSJ193" s="5"/>
      <c r="JSK193" s="5"/>
      <c r="JSL193" s="5"/>
      <c r="JSM193" s="5"/>
      <c r="JSN193" s="5"/>
      <c r="JSO193" s="5"/>
      <c r="JSP193" s="5"/>
      <c r="JSQ193" s="5"/>
      <c r="JSR193" s="5"/>
      <c r="JSS193" s="5"/>
      <c r="JST193" s="5"/>
      <c r="JSU193" s="5"/>
      <c r="JSV193" s="5"/>
      <c r="JSW193" s="5"/>
      <c r="JSX193" s="5"/>
      <c r="JSY193" s="5"/>
      <c r="JSZ193" s="5"/>
      <c r="JTA193" s="5"/>
      <c r="JTB193" s="5"/>
      <c r="JTC193" s="5"/>
      <c r="JTD193" s="5"/>
      <c r="JTE193" s="5"/>
      <c r="JTF193" s="5"/>
      <c r="JTG193" s="5"/>
      <c r="JTH193" s="5"/>
      <c r="JTI193" s="5"/>
      <c r="JTJ193" s="5"/>
      <c r="JTK193" s="5"/>
      <c r="JTL193" s="5"/>
      <c r="JTM193" s="5"/>
      <c r="JTN193" s="5"/>
      <c r="JTO193" s="5"/>
      <c r="JTP193" s="5"/>
      <c r="JTQ193" s="5"/>
      <c r="JTR193" s="5"/>
      <c r="JTS193" s="5"/>
      <c r="JTT193" s="5"/>
      <c r="JTU193" s="5"/>
      <c r="JTV193" s="5"/>
      <c r="JTW193" s="5"/>
      <c r="JTX193" s="5"/>
      <c r="JTY193" s="5"/>
      <c r="JTZ193" s="5"/>
      <c r="JUA193" s="5"/>
      <c r="JUB193" s="5"/>
      <c r="JUC193" s="5"/>
      <c r="JUD193" s="5"/>
      <c r="JUE193" s="5"/>
      <c r="JUF193" s="5"/>
      <c r="JUG193" s="5"/>
      <c r="JUH193" s="5"/>
      <c r="JUI193" s="5"/>
      <c r="JUJ193" s="5"/>
      <c r="JUK193" s="5"/>
      <c r="JUL193" s="5"/>
      <c r="JUM193" s="5"/>
      <c r="JUN193" s="5"/>
      <c r="JUO193" s="5"/>
      <c r="JUP193" s="5"/>
      <c r="JUQ193" s="5"/>
      <c r="JUR193" s="5"/>
      <c r="JUS193" s="5"/>
      <c r="JUT193" s="5"/>
      <c r="JUU193" s="5"/>
      <c r="JUV193" s="5"/>
      <c r="JUW193" s="5"/>
      <c r="JUX193" s="5"/>
      <c r="JUY193" s="5"/>
      <c r="JUZ193" s="5"/>
      <c r="JVA193" s="5"/>
      <c r="JVB193" s="5"/>
      <c r="JVC193" s="5"/>
      <c r="JVD193" s="5"/>
      <c r="JVE193" s="5"/>
      <c r="JVF193" s="5"/>
      <c r="JVG193" s="5"/>
      <c r="JVH193" s="5"/>
      <c r="JVI193" s="5"/>
      <c r="JVJ193" s="5"/>
      <c r="JVK193" s="5"/>
      <c r="JVL193" s="5"/>
      <c r="JVM193" s="5"/>
      <c r="JVN193" s="5"/>
      <c r="JVO193" s="5"/>
      <c r="JVP193" s="5"/>
      <c r="JVQ193" s="5"/>
      <c r="JVR193" s="5"/>
      <c r="JVS193" s="5"/>
      <c r="JVT193" s="5"/>
      <c r="JVU193" s="5"/>
      <c r="JVV193" s="5"/>
      <c r="JVW193" s="5"/>
      <c r="JVX193" s="5"/>
      <c r="JVY193" s="5"/>
      <c r="JVZ193" s="5"/>
      <c r="JWA193" s="5"/>
      <c r="JWB193" s="5"/>
      <c r="JWC193" s="5"/>
      <c r="JWD193" s="5"/>
      <c r="JWE193" s="5"/>
      <c r="JWF193" s="5"/>
      <c r="JWG193" s="5"/>
      <c r="JWH193" s="5"/>
      <c r="JWI193" s="5"/>
      <c r="JWJ193" s="5"/>
      <c r="JWK193" s="5"/>
      <c r="JWL193" s="5"/>
      <c r="JWM193" s="5"/>
      <c r="JWN193" s="5"/>
      <c r="JWO193" s="5"/>
      <c r="JWP193" s="5"/>
      <c r="JWQ193" s="5"/>
      <c r="JWR193" s="5"/>
      <c r="JWS193" s="5"/>
      <c r="JWT193" s="5"/>
      <c r="JWU193" s="5"/>
      <c r="JWV193" s="5"/>
      <c r="JWW193" s="5"/>
      <c r="JWX193" s="5"/>
      <c r="JWY193" s="5"/>
      <c r="JWZ193" s="5"/>
      <c r="JXA193" s="5"/>
      <c r="JXB193" s="5"/>
      <c r="JXC193" s="5"/>
      <c r="JXD193" s="5"/>
      <c r="JXE193" s="5"/>
      <c r="JXF193" s="5"/>
      <c r="JXG193" s="5"/>
      <c r="JXH193" s="5"/>
      <c r="JXI193" s="5"/>
      <c r="JXJ193" s="5"/>
      <c r="JXK193" s="5"/>
      <c r="JXL193" s="5"/>
      <c r="JXM193" s="5"/>
      <c r="JXN193" s="5"/>
      <c r="JXO193" s="5"/>
      <c r="JXP193" s="5"/>
      <c r="JXQ193" s="5"/>
      <c r="JXR193" s="5"/>
      <c r="JXS193" s="5"/>
      <c r="JXT193" s="5"/>
      <c r="JXU193" s="5"/>
      <c r="JXV193" s="5"/>
      <c r="JXW193" s="5"/>
      <c r="JXX193" s="5"/>
      <c r="JXY193" s="5"/>
      <c r="JXZ193" s="5"/>
      <c r="JYA193" s="5"/>
      <c r="JYB193" s="5"/>
      <c r="JYC193" s="5"/>
      <c r="JYD193" s="5"/>
      <c r="JYE193" s="5"/>
      <c r="JYF193" s="5"/>
      <c r="JYG193" s="5"/>
      <c r="JYH193" s="5"/>
      <c r="JYI193" s="5"/>
      <c r="JYJ193" s="5"/>
      <c r="JYK193" s="5"/>
      <c r="JYL193" s="5"/>
      <c r="JYM193" s="5"/>
      <c r="JYN193" s="5"/>
      <c r="JYO193" s="5"/>
      <c r="JYP193" s="5"/>
      <c r="JYQ193" s="5"/>
      <c r="JYR193" s="5"/>
      <c r="JYS193" s="5"/>
      <c r="JYT193" s="5"/>
      <c r="JYU193" s="5"/>
      <c r="JYV193" s="5"/>
      <c r="JYW193" s="5"/>
      <c r="JYX193" s="5"/>
      <c r="JYY193" s="5"/>
      <c r="JYZ193" s="5"/>
      <c r="JZA193" s="5"/>
      <c r="JZB193" s="5"/>
      <c r="JZC193" s="5"/>
      <c r="JZD193" s="5"/>
      <c r="JZE193" s="5"/>
      <c r="JZF193" s="5"/>
      <c r="JZG193" s="5"/>
      <c r="JZH193" s="5"/>
      <c r="JZI193" s="5"/>
      <c r="JZJ193" s="5"/>
      <c r="JZK193" s="5"/>
      <c r="JZL193" s="5"/>
      <c r="JZM193" s="5"/>
      <c r="JZN193" s="5"/>
      <c r="JZO193" s="5"/>
      <c r="JZP193" s="5"/>
      <c r="JZQ193" s="5"/>
      <c r="JZR193" s="5"/>
      <c r="JZS193" s="5"/>
      <c r="JZT193" s="5"/>
      <c r="JZU193" s="5"/>
      <c r="JZV193" s="5"/>
      <c r="JZW193" s="5"/>
      <c r="JZX193" s="5"/>
      <c r="JZY193" s="5"/>
      <c r="JZZ193" s="5"/>
      <c r="KAA193" s="5"/>
      <c r="KAB193" s="5"/>
      <c r="KAC193" s="5"/>
      <c r="KAD193" s="5"/>
      <c r="KAE193" s="5"/>
      <c r="KAF193" s="5"/>
      <c r="KAG193" s="5"/>
      <c r="KAH193" s="5"/>
      <c r="KAI193" s="5"/>
      <c r="KAJ193" s="5"/>
      <c r="KAK193" s="5"/>
      <c r="KAL193" s="5"/>
      <c r="KAM193" s="5"/>
      <c r="KAN193" s="5"/>
      <c r="KAO193" s="5"/>
      <c r="KAP193" s="5"/>
      <c r="KAQ193" s="5"/>
      <c r="KAR193" s="5"/>
      <c r="KAS193" s="5"/>
      <c r="KAT193" s="5"/>
      <c r="KAU193" s="5"/>
      <c r="KAV193" s="5"/>
      <c r="KAW193" s="5"/>
      <c r="KAX193" s="5"/>
      <c r="KAY193" s="5"/>
      <c r="KAZ193" s="5"/>
      <c r="KBA193" s="5"/>
      <c r="KBB193" s="5"/>
      <c r="KBC193" s="5"/>
      <c r="KBD193" s="5"/>
      <c r="KBE193" s="5"/>
      <c r="KBF193" s="5"/>
      <c r="KBG193" s="5"/>
      <c r="KBH193" s="5"/>
      <c r="KBI193" s="5"/>
      <c r="KBJ193" s="5"/>
      <c r="KBK193" s="5"/>
      <c r="KBL193" s="5"/>
      <c r="KBM193" s="5"/>
      <c r="KBN193" s="5"/>
      <c r="KBO193" s="5"/>
      <c r="KBP193" s="5"/>
      <c r="KBQ193" s="5"/>
      <c r="KBR193" s="5"/>
      <c r="KBS193" s="5"/>
      <c r="KBT193" s="5"/>
      <c r="KBU193" s="5"/>
      <c r="KBV193" s="5"/>
      <c r="KBW193" s="5"/>
      <c r="KBX193" s="5"/>
      <c r="KBY193" s="5"/>
      <c r="KBZ193" s="5"/>
      <c r="KCA193" s="5"/>
      <c r="KCB193" s="5"/>
      <c r="KCC193" s="5"/>
      <c r="KCD193" s="5"/>
      <c r="KCE193" s="5"/>
      <c r="KCF193" s="5"/>
      <c r="KCG193" s="5"/>
      <c r="KCH193" s="5"/>
      <c r="KCI193" s="5"/>
      <c r="KCJ193" s="5"/>
      <c r="KCK193" s="5"/>
      <c r="KCL193" s="5"/>
      <c r="KCM193" s="5"/>
      <c r="KCN193" s="5"/>
      <c r="KCO193" s="5"/>
      <c r="KCP193" s="5"/>
      <c r="KCQ193" s="5"/>
      <c r="KCR193" s="5"/>
      <c r="KCS193" s="5"/>
      <c r="KCT193" s="5"/>
      <c r="KCU193" s="5"/>
      <c r="KCV193" s="5"/>
      <c r="KCW193" s="5"/>
      <c r="KCX193" s="5"/>
      <c r="KCY193" s="5"/>
      <c r="KCZ193" s="5"/>
      <c r="KDA193" s="5"/>
      <c r="KDB193" s="5"/>
      <c r="KDC193" s="5"/>
      <c r="KDD193" s="5"/>
      <c r="KDE193" s="5"/>
      <c r="KDF193" s="5"/>
      <c r="KDG193" s="5"/>
      <c r="KDH193" s="5"/>
      <c r="KDI193" s="5"/>
      <c r="KDJ193" s="5"/>
      <c r="KDK193" s="5"/>
      <c r="KDL193" s="5"/>
      <c r="KDM193" s="5"/>
      <c r="KDN193" s="5"/>
      <c r="KDO193" s="5"/>
      <c r="KDP193" s="5"/>
      <c r="KDQ193" s="5"/>
      <c r="KDR193" s="5"/>
      <c r="KDS193" s="5"/>
      <c r="KDT193" s="5"/>
      <c r="KDU193" s="5"/>
      <c r="KDV193" s="5"/>
      <c r="KDW193" s="5"/>
      <c r="KDX193" s="5"/>
      <c r="KDY193" s="5"/>
      <c r="KDZ193" s="5"/>
      <c r="KEA193" s="5"/>
      <c r="KEB193" s="5"/>
      <c r="KEC193" s="5"/>
      <c r="KED193" s="5"/>
      <c r="KEE193" s="5"/>
      <c r="KEF193" s="5"/>
      <c r="KEG193" s="5"/>
      <c r="KEH193" s="5"/>
      <c r="KEI193" s="5"/>
      <c r="KEJ193" s="5"/>
      <c r="KEK193" s="5"/>
      <c r="KEL193" s="5"/>
      <c r="KEM193" s="5"/>
      <c r="KEN193" s="5"/>
      <c r="KEO193" s="5"/>
      <c r="KEP193" s="5"/>
      <c r="KEQ193" s="5"/>
      <c r="KER193" s="5"/>
      <c r="KES193" s="5"/>
      <c r="KET193" s="5"/>
      <c r="KEU193" s="5"/>
      <c r="KEV193" s="5"/>
      <c r="KEW193" s="5"/>
      <c r="KEX193" s="5"/>
      <c r="KEY193" s="5"/>
      <c r="KEZ193" s="5"/>
      <c r="KFA193" s="5"/>
      <c r="KFB193" s="5"/>
      <c r="KFC193" s="5"/>
      <c r="KFD193" s="5"/>
      <c r="KFE193" s="5"/>
      <c r="KFF193" s="5"/>
      <c r="KFG193" s="5"/>
      <c r="KFH193" s="5"/>
      <c r="KFI193" s="5"/>
      <c r="KFJ193" s="5"/>
      <c r="KFK193" s="5"/>
      <c r="KFL193" s="5"/>
      <c r="KFM193" s="5"/>
      <c r="KFN193" s="5"/>
      <c r="KFO193" s="5"/>
      <c r="KFP193" s="5"/>
      <c r="KFQ193" s="5"/>
      <c r="KFR193" s="5"/>
      <c r="KFS193" s="5"/>
      <c r="KFT193" s="5"/>
      <c r="KFU193" s="5"/>
      <c r="KFV193" s="5"/>
      <c r="KFW193" s="5"/>
      <c r="KFX193" s="5"/>
      <c r="KFY193" s="5"/>
      <c r="KFZ193" s="5"/>
      <c r="KGA193" s="5"/>
      <c r="KGB193" s="5"/>
      <c r="KGC193" s="5"/>
      <c r="KGD193" s="5"/>
      <c r="KGE193" s="5"/>
      <c r="KGF193" s="5"/>
      <c r="KGG193" s="5"/>
      <c r="KGH193" s="5"/>
      <c r="KGI193" s="5"/>
      <c r="KGJ193" s="5"/>
      <c r="KGK193" s="5"/>
      <c r="KGL193" s="5"/>
      <c r="KGM193" s="5"/>
      <c r="KGN193" s="5"/>
      <c r="KGO193" s="5"/>
      <c r="KGP193" s="5"/>
      <c r="KGQ193" s="5"/>
      <c r="KGR193" s="5"/>
      <c r="KGS193" s="5"/>
      <c r="KGT193" s="5"/>
      <c r="KGU193" s="5"/>
      <c r="KGV193" s="5"/>
      <c r="KGW193" s="5"/>
      <c r="KGX193" s="5"/>
      <c r="KGY193" s="5"/>
      <c r="KGZ193" s="5"/>
      <c r="KHA193" s="5"/>
      <c r="KHB193" s="5"/>
      <c r="KHC193" s="5"/>
      <c r="KHD193" s="5"/>
      <c r="KHE193" s="5"/>
      <c r="KHF193" s="5"/>
      <c r="KHG193" s="5"/>
      <c r="KHH193" s="5"/>
      <c r="KHI193" s="5"/>
      <c r="KHJ193" s="5"/>
      <c r="KHK193" s="5"/>
      <c r="KHL193" s="5"/>
      <c r="KHM193" s="5"/>
      <c r="KHN193" s="5"/>
      <c r="KHO193" s="5"/>
      <c r="KHP193" s="5"/>
      <c r="KHQ193" s="5"/>
      <c r="KHR193" s="5"/>
      <c r="KHS193" s="5"/>
      <c r="KHT193" s="5"/>
      <c r="KHU193" s="5"/>
      <c r="KHV193" s="5"/>
      <c r="KHW193" s="5"/>
      <c r="KHX193" s="5"/>
      <c r="KHY193" s="5"/>
      <c r="KHZ193" s="5"/>
      <c r="KIA193" s="5"/>
      <c r="KIB193" s="5"/>
      <c r="KIC193" s="5"/>
      <c r="KID193" s="5"/>
      <c r="KIE193" s="5"/>
      <c r="KIF193" s="5"/>
      <c r="KIG193" s="5"/>
      <c r="KIH193" s="5"/>
      <c r="KII193" s="5"/>
      <c r="KIJ193" s="5"/>
      <c r="KIK193" s="5"/>
      <c r="KIL193" s="5"/>
      <c r="KIM193" s="5"/>
      <c r="KIN193" s="5"/>
      <c r="KIO193" s="5"/>
      <c r="KIP193" s="5"/>
      <c r="KIQ193" s="5"/>
      <c r="KIR193" s="5"/>
      <c r="KIS193" s="5"/>
      <c r="KIT193" s="5"/>
      <c r="KIU193" s="5"/>
      <c r="KIV193" s="5"/>
      <c r="KIW193" s="5"/>
      <c r="KIX193" s="5"/>
      <c r="KIY193" s="5"/>
      <c r="KIZ193" s="5"/>
      <c r="KJA193" s="5"/>
      <c r="KJB193" s="5"/>
      <c r="KJC193" s="5"/>
      <c r="KJD193" s="5"/>
      <c r="KJE193" s="5"/>
      <c r="KJF193" s="5"/>
      <c r="KJG193" s="5"/>
      <c r="KJH193" s="5"/>
      <c r="KJI193" s="5"/>
      <c r="KJJ193" s="5"/>
      <c r="KJK193" s="5"/>
      <c r="KJL193" s="5"/>
      <c r="KJM193" s="5"/>
      <c r="KJN193" s="5"/>
      <c r="KJO193" s="5"/>
      <c r="KJP193" s="5"/>
      <c r="KJQ193" s="5"/>
      <c r="KJR193" s="5"/>
      <c r="KJS193" s="5"/>
      <c r="KJT193" s="5"/>
      <c r="KJU193" s="5"/>
      <c r="KJV193" s="5"/>
      <c r="KJW193" s="5"/>
      <c r="KJX193" s="5"/>
      <c r="KJY193" s="5"/>
      <c r="KJZ193" s="5"/>
      <c r="KKA193" s="5"/>
      <c r="KKB193" s="5"/>
      <c r="KKC193" s="5"/>
      <c r="KKD193" s="5"/>
      <c r="KKE193" s="5"/>
      <c r="KKF193" s="5"/>
      <c r="KKG193" s="5"/>
      <c r="KKH193" s="5"/>
      <c r="KKI193" s="5"/>
      <c r="KKJ193" s="5"/>
      <c r="KKK193" s="5"/>
      <c r="KKL193" s="5"/>
      <c r="KKM193" s="5"/>
      <c r="KKN193" s="5"/>
      <c r="KKO193" s="5"/>
      <c r="KKP193" s="5"/>
      <c r="KKQ193" s="5"/>
      <c r="KKR193" s="5"/>
      <c r="KKS193" s="5"/>
      <c r="KKT193" s="5"/>
      <c r="KKU193" s="5"/>
      <c r="KKV193" s="5"/>
      <c r="KKW193" s="5"/>
      <c r="KKX193" s="5"/>
      <c r="KKY193" s="5"/>
      <c r="KKZ193" s="5"/>
      <c r="KLA193" s="5"/>
      <c r="KLB193" s="5"/>
      <c r="KLC193" s="5"/>
      <c r="KLD193" s="5"/>
      <c r="KLE193" s="5"/>
      <c r="KLF193" s="5"/>
      <c r="KLG193" s="5"/>
      <c r="KLH193" s="5"/>
      <c r="KLI193" s="5"/>
      <c r="KLJ193" s="5"/>
      <c r="KLK193" s="5"/>
      <c r="KLL193" s="5"/>
      <c r="KLM193" s="5"/>
      <c r="KLN193" s="5"/>
      <c r="KLO193" s="5"/>
      <c r="KLP193" s="5"/>
      <c r="KLQ193" s="5"/>
      <c r="KLR193" s="5"/>
      <c r="KLS193" s="5"/>
      <c r="KLT193" s="5"/>
      <c r="KLU193" s="5"/>
      <c r="KLV193" s="5"/>
      <c r="KLW193" s="5"/>
      <c r="KLX193" s="5"/>
      <c r="KLY193" s="5"/>
      <c r="KLZ193" s="5"/>
      <c r="KMA193" s="5"/>
      <c r="KMB193" s="5"/>
      <c r="KMC193" s="5"/>
      <c r="KMD193" s="5"/>
      <c r="KME193" s="5"/>
      <c r="KMF193" s="5"/>
      <c r="KMG193" s="5"/>
      <c r="KMH193" s="5"/>
      <c r="KMI193" s="5"/>
      <c r="KMJ193" s="5"/>
      <c r="KMK193" s="5"/>
      <c r="KML193" s="5"/>
      <c r="KMM193" s="5"/>
      <c r="KMN193" s="5"/>
      <c r="KMO193" s="5"/>
      <c r="KMP193" s="5"/>
      <c r="KMQ193" s="5"/>
      <c r="KMR193" s="5"/>
      <c r="KMS193" s="5"/>
      <c r="KMT193" s="5"/>
      <c r="KMU193" s="5"/>
      <c r="KMV193" s="5"/>
      <c r="KMW193" s="5"/>
      <c r="KMX193" s="5"/>
      <c r="KMY193" s="5"/>
      <c r="KMZ193" s="5"/>
      <c r="KNA193" s="5"/>
      <c r="KNB193" s="5"/>
      <c r="KNC193" s="5"/>
      <c r="KND193" s="5"/>
      <c r="KNE193" s="5"/>
      <c r="KNF193" s="5"/>
      <c r="KNG193" s="5"/>
      <c r="KNH193" s="5"/>
      <c r="KNI193" s="5"/>
      <c r="KNJ193" s="5"/>
      <c r="KNK193" s="5"/>
      <c r="KNL193" s="5"/>
      <c r="KNM193" s="5"/>
      <c r="KNN193" s="5"/>
      <c r="KNO193" s="5"/>
      <c r="KNP193" s="5"/>
      <c r="KNQ193" s="5"/>
      <c r="KNR193" s="5"/>
      <c r="KNS193" s="5"/>
      <c r="KNT193" s="5"/>
      <c r="KNU193" s="5"/>
      <c r="KNV193" s="5"/>
      <c r="KNW193" s="5"/>
      <c r="KNX193" s="5"/>
      <c r="KNY193" s="5"/>
      <c r="KNZ193" s="5"/>
      <c r="KOA193" s="5"/>
      <c r="KOB193" s="5"/>
      <c r="KOC193" s="5"/>
      <c r="KOD193" s="5"/>
      <c r="KOE193" s="5"/>
      <c r="KOF193" s="5"/>
      <c r="KOG193" s="5"/>
      <c r="KOH193" s="5"/>
      <c r="KOI193" s="5"/>
      <c r="KOJ193" s="5"/>
      <c r="KOK193" s="5"/>
      <c r="KOL193" s="5"/>
      <c r="KOM193" s="5"/>
      <c r="KON193" s="5"/>
      <c r="KOO193" s="5"/>
      <c r="KOP193" s="5"/>
      <c r="KOQ193" s="5"/>
      <c r="KOR193" s="5"/>
      <c r="KOS193" s="5"/>
      <c r="KOT193" s="5"/>
      <c r="KOU193" s="5"/>
      <c r="KOV193" s="5"/>
      <c r="KOW193" s="5"/>
      <c r="KOX193" s="5"/>
      <c r="KOY193" s="5"/>
      <c r="KOZ193" s="5"/>
      <c r="KPA193" s="5"/>
      <c r="KPB193" s="5"/>
      <c r="KPC193" s="5"/>
      <c r="KPD193" s="5"/>
      <c r="KPE193" s="5"/>
      <c r="KPF193" s="5"/>
      <c r="KPG193" s="5"/>
      <c r="KPH193" s="5"/>
      <c r="KPI193" s="5"/>
      <c r="KPJ193" s="5"/>
      <c r="KPK193" s="5"/>
      <c r="KPL193" s="5"/>
      <c r="KPM193" s="5"/>
      <c r="KPN193" s="5"/>
      <c r="KPO193" s="5"/>
      <c r="KPP193" s="5"/>
      <c r="KPQ193" s="5"/>
      <c r="KPR193" s="5"/>
      <c r="KPS193" s="5"/>
      <c r="KPT193" s="5"/>
      <c r="KPU193" s="5"/>
      <c r="KPV193" s="5"/>
      <c r="KPW193" s="5"/>
      <c r="KPX193" s="5"/>
      <c r="KPY193" s="5"/>
      <c r="KPZ193" s="5"/>
      <c r="KQA193" s="5"/>
      <c r="KQB193" s="5"/>
      <c r="KQC193" s="5"/>
      <c r="KQD193" s="5"/>
      <c r="KQE193" s="5"/>
      <c r="KQF193" s="5"/>
      <c r="KQG193" s="5"/>
      <c r="KQH193" s="5"/>
      <c r="KQI193" s="5"/>
      <c r="KQJ193" s="5"/>
      <c r="KQK193" s="5"/>
      <c r="KQL193" s="5"/>
      <c r="KQM193" s="5"/>
      <c r="KQN193" s="5"/>
      <c r="KQO193" s="5"/>
      <c r="KQP193" s="5"/>
      <c r="KQQ193" s="5"/>
      <c r="KQR193" s="5"/>
      <c r="KQS193" s="5"/>
      <c r="KQT193" s="5"/>
      <c r="KQU193" s="5"/>
      <c r="KQV193" s="5"/>
      <c r="KQW193" s="5"/>
      <c r="KQX193" s="5"/>
      <c r="KQY193" s="5"/>
      <c r="KQZ193" s="5"/>
      <c r="KRA193" s="5"/>
      <c r="KRB193" s="5"/>
      <c r="KRC193" s="5"/>
      <c r="KRD193" s="5"/>
      <c r="KRE193" s="5"/>
      <c r="KRF193" s="5"/>
      <c r="KRG193" s="5"/>
      <c r="KRH193" s="5"/>
      <c r="KRI193" s="5"/>
      <c r="KRJ193" s="5"/>
      <c r="KRK193" s="5"/>
      <c r="KRL193" s="5"/>
      <c r="KRM193" s="5"/>
      <c r="KRN193" s="5"/>
      <c r="KRO193" s="5"/>
      <c r="KRP193" s="5"/>
      <c r="KRQ193" s="5"/>
      <c r="KRR193" s="5"/>
      <c r="KRS193" s="5"/>
      <c r="KRT193" s="5"/>
      <c r="KRU193" s="5"/>
      <c r="KRV193" s="5"/>
      <c r="KRW193" s="5"/>
      <c r="KRX193" s="5"/>
      <c r="KRY193" s="5"/>
      <c r="KRZ193" s="5"/>
      <c r="KSA193" s="5"/>
      <c r="KSB193" s="5"/>
      <c r="KSC193" s="5"/>
      <c r="KSD193" s="5"/>
      <c r="KSE193" s="5"/>
      <c r="KSF193" s="5"/>
      <c r="KSG193" s="5"/>
      <c r="KSH193" s="5"/>
      <c r="KSI193" s="5"/>
      <c r="KSJ193" s="5"/>
      <c r="KSK193" s="5"/>
      <c r="KSL193" s="5"/>
      <c r="KSM193" s="5"/>
      <c r="KSN193" s="5"/>
      <c r="KSO193" s="5"/>
      <c r="KSP193" s="5"/>
      <c r="KSQ193" s="5"/>
      <c r="KSR193" s="5"/>
      <c r="KSS193" s="5"/>
      <c r="KST193" s="5"/>
      <c r="KSU193" s="5"/>
      <c r="KSV193" s="5"/>
      <c r="KSW193" s="5"/>
      <c r="KSX193" s="5"/>
      <c r="KSY193" s="5"/>
      <c r="KSZ193" s="5"/>
      <c r="KTA193" s="5"/>
      <c r="KTB193" s="5"/>
      <c r="KTC193" s="5"/>
      <c r="KTD193" s="5"/>
      <c r="KTE193" s="5"/>
      <c r="KTF193" s="5"/>
      <c r="KTG193" s="5"/>
      <c r="KTH193" s="5"/>
      <c r="KTI193" s="5"/>
      <c r="KTJ193" s="5"/>
      <c r="KTK193" s="5"/>
      <c r="KTL193" s="5"/>
      <c r="KTM193" s="5"/>
      <c r="KTN193" s="5"/>
      <c r="KTO193" s="5"/>
      <c r="KTP193" s="5"/>
      <c r="KTQ193" s="5"/>
      <c r="KTR193" s="5"/>
      <c r="KTS193" s="5"/>
      <c r="KTT193" s="5"/>
      <c r="KTU193" s="5"/>
      <c r="KTV193" s="5"/>
      <c r="KTW193" s="5"/>
      <c r="KTX193" s="5"/>
      <c r="KTY193" s="5"/>
      <c r="KTZ193" s="5"/>
      <c r="KUA193" s="5"/>
      <c r="KUB193" s="5"/>
      <c r="KUC193" s="5"/>
      <c r="KUD193" s="5"/>
      <c r="KUE193" s="5"/>
      <c r="KUF193" s="5"/>
      <c r="KUG193" s="5"/>
      <c r="KUH193" s="5"/>
      <c r="KUI193" s="5"/>
      <c r="KUJ193" s="5"/>
      <c r="KUK193" s="5"/>
      <c r="KUL193" s="5"/>
      <c r="KUM193" s="5"/>
      <c r="KUN193" s="5"/>
      <c r="KUO193" s="5"/>
      <c r="KUP193" s="5"/>
      <c r="KUQ193" s="5"/>
      <c r="KUR193" s="5"/>
      <c r="KUS193" s="5"/>
      <c r="KUT193" s="5"/>
      <c r="KUU193" s="5"/>
      <c r="KUV193" s="5"/>
      <c r="KUW193" s="5"/>
      <c r="KUX193" s="5"/>
      <c r="KUY193" s="5"/>
      <c r="KUZ193" s="5"/>
      <c r="KVA193" s="5"/>
      <c r="KVB193" s="5"/>
      <c r="KVC193" s="5"/>
      <c r="KVD193" s="5"/>
      <c r="KVE193" s="5"/>
      <c r="KVF193" s="5"/>
      <c r="KVG193" s="5"/>
      <c r="KVH193" s="5"/>
      <c r="KVI193" s="5"/>
      <c r="KVJ193" s="5"/>
      <c r="KVK193" s="5"/>
      <c r="KVL193" s="5"/>
      <c r="KVM193" s="5"/>
      <c r="KVN193" s="5"/>
      <c r="KVO193" s="5"/>
      <c r="KVP193" s="5"/>
      <c r="KVQ193" s="5"/>
      <c r="KVR193" s="5"/>
      <c r="KVS193" s="5"/>
      <c r="KVT193" s="5"/>
      <c r="KVU193" s="5"/>
      <c r="KVV193" s="5"/>
      <c r="KVW193" s="5"/>
      <c r="KVX193" s="5"/>
      <c r="KVY193" s="5"/>
      <c r="KVZ193" s="5"/>
      <c r="KWA193" s="5"/>
      <c r="KWB193" s="5"/>
      <c r="KWC193" s="5"/>
      <c r="KWD193" s="5"/>
      <c r="KWE193" s="5"/>
      <c r="KWF193" s="5"/>
      <c r="KWG193" s="5"/>
      <c r="KWH193" s="5"/>
      <c r="KWI193" s="5"/>
      <c r="KWJ193" s="5"/>
      <c r="KWK193" s="5"/>
      <c r="KWL193" s="5"/>
      <c r="KWM193" s="5"/>
      <c r="KWN193" s="5"/>
      <c r="KWO193" s="5"/>
      <c r="KWP193" s="5"/>
      <c r="KWQ193" s="5"/>
      <c r="KWR193" s="5"/>
      <c r="KWS193" s="5"/>
      <c r="KWT193" s="5"/>
      <c r="KWU193" s="5"/>
      <c r="KWV193" s="5"/>
      <c r="KWW193" s="5"/>
      <c r="KWX193" s="5"/>
      <c r="KWY193" s="5"/>
      <c r="KWZ193" s="5"/>
      <c r="KXA193" s="5"/>
      <c r="KXB193" s="5"/>
      <c r="KXC193" s="5"/>
      <c r="KXD193" s="5"/>
      <c r="KXE193" s="5"/>
      <c r="KXF193" s="5"/>
      <c r="KXG193" s="5"/>
      <c r="KXH193" s="5"/>
      <c r="KXI193" s="5"/>
      <c r="KXJ193" s="5"/>
      <c r="KXK193" s="5"/>
      <c r="KXL193" s="5"/>
      <c r="KXM193" s="5"/>
      <c r="KXN193" s="5"/>
      <c r="KXO193" s="5"/>
      <c r="KXP193" s="5"/>
      <c r="KXQ193" s="5"/>
      <c r="KXR193" s="5"/>
      <c r="KXS193" s="5"/>
      <c r="KXT193" s="5"/>
      <c r="KXU193" s="5"/>
      <c r="KXV193" s="5"/>
      <c r="KXW193" s="5"/>
      <c r="KXX193" s="5"/>
      <c r="KXY193" s="5"/>
      <c r="KXZ193" s="5"/>
      <c r="KYA193" s="5"/>
      <c r="KYB193" s="5"/>
      <c r="KYC193" s="5"/>
      <c r="KYD193" s="5"/>
      <c r="KYE193" s="5"/>
      <c r="KYF193" s="5"/>
      <c r="KYG193" s="5"/>
      <c r="KYH193" s="5"/>
      <c r="KYI193" s="5"/>
      <c r="KYJ193" s="5"/>
      <c r="KYK193" s="5"/>
      <c r="KYL193" s="5"/>
      <c r="KYM193" s="5"/>
      <c r="KYN193" s="5"/>
      <c r="KYO193" s="5"/>
      <c r="KYP193" s="5"/>
      <c r="KYQ193" s="5"/>
      <c r="KYR193" s="5"/>
      <c r="KYS193" s="5"/>
      <c r="KYT193" s="5"/>
      <c r="KYU193" s="5"/>
      <c r="KYV193" s="5"/>
      <c r="KYW193" s="5"/>
      <c r="KYX193" s="5"/>
      <c r="KYY193" s="5"/>
      <c r="KYZ193" s="5"/>
      <c r="KZA193" s="5"/>
      <c r="KZB193" s="5"/>
      <c r="KZC193" s="5"/>
      <c r="KZD193" s="5"/>
      <c r="KZE193" s="5"/>
      <c r="KZF193" s="5"/>
      <c r="KZG193" s="5"/>
      <c r="KZH193" s="5"/>
      <c r="KZI193" s="5"/>
      <c r="KZJ193" s="5"/>
      <c r="KZK193" s="5"/>
      <c r="KZL193" s="5"/>
      <c r="KZM193" s="5"/>
      <c r="KZN193" s="5"/>
      <c r="KZO193" s="5"/>
      <c r="KZP193" s="5"/>
      <c r="KZQ193" s="5"/>
      <c r="KZR193" s="5"/>
      <c r="KZS193" s="5"/>
      <c r="KZT193" s="5"/>
      <c r="KZU193" s="5"/>
      <c r="KZV193" s="5"/>
      <c r="KZW193" s="5"/>
      <c r="KZX193" s="5"/>
      <c r="KZY193" s="5"/>
      <c r="KZZ193" s="5"/>
      <c r="LAA193" s="5"/>
      <c r="LAB193" s="5"/>
      <c r="LAC193" s="5"/>
      <c r="LAD193" s="5"/>
      <c r="LAE193" s="5"/>
      <c r="LAF193" s="5"/>
      <c r="LAG193" s="5"/>
      <c r="LAH193" s="5"/>
      <c r="LAI193" s="5"/>
      <c r="LAJ193" s="5"/>
      <c r="LAK193" s="5"/>
      <c r="LAL193" s="5"/>
      <c r="LAM193" s="5"/>
      <c r="LAN193" s="5"/>
      <c r="LAO193" s="5"/>
      <c r="LAP193" s="5"/>
      <c r="LAQ193" s="5"/>
      <c r="LAR193" s="5"/>
      <c r="LAS193" s="5"/>
      <c r="LAT193" s="5"/>
      <c r="LAU193" s="5"/>
      <c r="LAV193" s="5"/>
      <c r="LAW193" s="5"/>
      <c r="LAX193" s="5"/>
      <c r="LAY193" s="5"/>
      <c r="LAZ193" s="5"/>
      <c r="LBA193" s="5"/>
      <c r="LBB193" s="5"/>
      <c r="LBC193" s="5"/>
      <c r="LBD193" s="5"/>
      <c r="LBE193" s="5"/>
      <c r="LBF193" s="5"/>
      <c r="LBG193" s="5"/>
      <c r="LBH193" s="5"/>
      <c r="LBI193" s="5"/>
      <c r="LBJ193" s="5"/>
      <c r="LBK193" s="5"/>
      <c r="LBL193" s="5"/>
      <c r="LBM193" s="5"/>
      <c r="LBN193" s="5"/>
      <c r="LBO193" s="5"/>
      <c r="LBP193" s="5"/>
      <c r="LBQ193" s="5"/>
      <c r="LBR193" s="5"/>
      <c r="LBS193" s="5"/>
      <c r="LBT193" s="5"/>
      <c r="LBU193" s="5"/>
      <c r="LBV193" s="5"/>
      <c r="LBW193" s="5"/>
      <c r="LBX193" s="5"/>
      <c r="LBY193" s="5"/>
      <c r="LBZ193" s="5"/>
      <c r="LCA193" s="5"/>
      <c r="LCB193" s="5"/>
      <c r="LCC193" s="5"/>
      <c r="LCD193" s="5"/>
      <c r="LCE193" s="5"/>
      <c r="LCF193" s="5"/>
      <c r="LCG193" s="5"/>
      <c r="LCH193" s="5"/>
      <c r="LCI193" s="5"/>
      <c r="LCJ193" s="5"/>
      <c r="LCK193" s="5"/>
      <c r="LCL193" s="5"/>
      <c r="LCM193" s="5"/>
      <c r="LCN193" s="5"/>
      <c r="LCO193" s="5"/>
      <c r="LCP193" s="5"/>
      <c r="LCQ193" s="5"/>
      <c r="LCR193" s="5"/>
      <c r="LCS193" s="5"/>
      <c r="LCT193" s="5"/>
      <c r="LCU193" s="5"/>
      <c r="LCV193" s="5"/>
      <c r="LCW193" s="5"/>
      <c r="LCX193" s="5"/>
      <c r="LCY193" s="5"/>
      <c r="LCZ193" s="5"/>
      <c r="LDA193" s="5"/>
      <c r="LDB193" s="5"/>
      <c r="LDC193" s="5"/>
      <c r="LDD193" s="5"/>
      <c r="LDE193" s="5"/>
      <c r="LDF193" s="5"/>
      <c r="LDG193" s="5"/>
      <c r="LDH193" s="5"/>
      <c r="LDI193" s="5"/>
      <c r="LDJ193" s="5"/>
      <c r="LDK193" s="5"/>
      <c r="LDL193" s="5"/>
      <c r="LDM193" s="5"/>
      <c r="LDN193" s="5"/>
      <c r="LDO193" s="5"/>
      <c r="LDP193" s="5"/>
      <c r="LDQ193" s="5"/>
      <c r="LDR193" s="5"/>
      <c r="LDS193" s="5"/>
      <c r="LDT193" s="5"/>
      <c r="LDU193" s="5"/>
      <c r="LDV193" s="5"/>
      <c r="LDW193" s="5"/>
      <c r="LDX193" s="5"/>
      <c r="LDY193" s="5"/>
      <c r="LDZ193" s="5"/>
      <c r="LEA193" s="5"/>
      <c r="LEB193" s="5"/>
      <c r="LEC193" s="5"/>
      <c r="LED193" s="5"/>
      <c r="LEE193" s="5"/>
      <c r="LEF193" s="5"/>
      <c r="LEG193" s="5"/>
      <c r="LEH193" s="5"/>
      <c r="LEI193" s="5"/>
      <c r="LEJ193" s="5"/>
      <c r="LEK193" s="5"/>
      <c r="LEL193" s="5"/>
      <c r="LEM193" s="5"/>
      <c r="LEN193" s="5"/>
      <c r="LEO193" s="5"/>
      <c r="LEP193" s="5"/>
      <c r="LEQ193" s="5"/>
      <c r="LER193" s="5"/>
      <c r="LES193" s="5"/>
      <c r="LET193" s="5"/>
      <c r="LEU193" s="5"/>
      <c r="LEV193" s="5"/>
      <c r="LEW193" s="5"/>
      <c r="LEX193" s="5"/>
      <c r="LEY193" s="5"/>
      <c r="LEZ193" s="5"/>
      <c r="LFA193" s="5"/>
      <c r="LFB193" s="5"/>
      <c r="LFC193" s="5"/>
      <c r="LFD193" s="5"/>
      <c r="LFE193" s="5"/>
      <c r="LFF193" s="5"/>
      <c r="LFG193" s="5"/>
      <c r="LFH193" s="5"/>
      <c r="LFI193" s="5"/>
      <c r="LFJ193" s="5"/>
      <c r="LFK193" s="5"/>
      <c r="LFL193" s="5"/>
      <c r="LFM193" s="5"/>
      <c r="LFN193" s="5"/>
      <c r="LFO193" s="5"/>
      <c r="LFP193" s="5"/>
      <c r="LFQ193" s="5"/>
      <c r="LFR193" s="5"/>
      <c r="LFS193" s="5"/>
      <c r="LFT193" s="5"/>
      <c r="LFU193" s="5"/>
      <c r="LFV193" s="5"/>
      <c r="LFW193" s="5"/>
      <c r="LFX193" s="5"/>
      <c r="LFY193" s="5"/>
      <c r="LFZ193" s="5"/>
      <c r="LGA193" s="5"/>
      <c r="LGB193" s="5"/>
      <c r="LGC193" s="5"/>
      <c r="LGD193" s="5"/>
      <c r="LGE193" s="5"/>
      <c r="LGF193" s="5"/>
      <c r="LGG193" s="5"/>
      <c r="LGH193" s="5"/>
      <c r="LGI193" s="5"/>
      <c r="LGJ193" s="5"/>
      <c r="LGK193" s="5"/>
      <c r="LGL193" s="5"/>
      <c r="LGM193" s="5"/>
      <c r="LGN193" s="5"/>
      <c r="LGO193" s="5"/>
      <c r="LGP193" s="5"/>
      <c r="LGQ193" s="5"/>
      <c r="LGR193" s="5"/>
      <c r="LGS193" s="5"/>
      <c r="LGT193" s="5"/>
      <c r="LGU193" s="5"/>
      <c r="LGV193" s="5"/>
      <c r="LGW193" s="5"/>
      <c r="LGX193" s="5"/>
      <c r="LGY193" s="5"/>
      <c r="LGZ193" s="5"/>
      <c r="LHA193" s="5"/>
      <c r="LHB193" s="5"/>
      <c r="LHC193" s="5"/>
      <c r="LHD193" s="5"/>
      <c r="LHE193" s="5"/>
      <c r="LHF193" s="5"/>
      <c r="LHG193" s="5"/>
      <c r="LHH193" s="5"/>
      <c r="LHI193" s="5"/>
      <c r="LHJ193" s="5"/>
      <c r="LHK193" s="5"/>
      <c r="LHL193" s="5"/>
      <c r="LHM193" s="5"/>
      <c r="LHN193" s="5"/>
      <c r="LHO193" s="5"/>
      <c r="LHP193" s="5"/>
      <c r="LHQ193" s="5"/>
      <c r="LHR193" s="5"/>
      <c r="LHS193" s="5"/>
      <c r="LHT193" s="5"/>
      <c r="LHU193" s="5"/>
      <c r="LHV193" s="5"/>
      <c r="LHW193" s="5"/>
      <c r="LHX193" s="5"/>
      <c r="LHY193" s="5"/>
      <c r="LHZ193" s="5"/>
      <c r="LIA193" s="5"/>
      <c r="LIB193" s="5"/>
      <c r="LIC193" s="5"/>
      <c r="LID193" s="5"/>
      <c r="LIE193" s="5"/>
      <c r="LIF193" s="5"/>
      <c r="LIG193" s="5"/>
      <c r="LIH193" s="5"/>
      <c r="LII193" s="5"/>
      <c r="LIJ193" s="5"/>
      <c r="LIK193" s="5"/>
      <c r="LIL193" s="5"/>
      <c r="LIM193" s="5"/>
      <c r="LIN193" s="5"/>
      <c r="LIO193" s="5"/>
      <c r="LIP193" s="5"/>
      <c r="LIQ193" s="5"/>
      <c r="LIR193" s="5"/>
      <c r="LIS193" s="5"/>
      <c r="LIT193" s="5"/>
      <c r="LIU193" s="5"/>
      <c r="LIV193" s="5"/>
      <c r="LIW193" s="5"/>
      <c r="LIX193" s="5"/>
      <c r="LIY193" s="5"/>
      <c r="LIZ193" s="5"/>
      <c r="LJA193" s="5"/>
      <c r="LJB193" s="5"/>
      <c r="LJC193" s="5"/>
      <c r="LJD193" s="5"/>
      <c r="LJE193" s="5"/>
      <c r="LJF193" s="5"/>
      <c r="LJG193" s="5"/>
      <c r="LJH193" s="5"/>
      <c r="LJI193" s="5"/>
      <c r="LJJ193" s="5"/>
      <c r="LJK193" s="5"/>
      <c r="LJL193" s="5"/>
      <c r="LJM193" s="5"/>
      <c r="LJN193" s="5"/>
      <c r="LJO193" s="5"/>
      <c r="LJP193" s="5"/>
      <c r="LJQ193" s="5"/>
      <c r="LJR193" s="5"/>
      <c r="LJS193" s="5"/>
      <c r="LJT193" s="5"/>
      <c r="LJU193" s="5"/>
      <c r="LJV193" s="5"/>
      <c r="LJW193" s="5"/>
      <c r="LJX193" s="5"/>
      <c r="LJY193" s="5"/>
      <c r="LJZ193" s="5"/>
      <c r="LKA193" s="5"/>
      <c r="LKB193" s="5"/>
      <c r="LKC193" s="5"/>
      <c r="LKD193" s="5"/>
      <c r="LKE193" s="5"/>
      <c r="LKF193" s="5"/>
      <c r="LKG193" s="5"/>
      <c r="LKH193" s="5"/>
      <c r="LKI193" s="5"/>
      <c r="LKJ193" s="5"/>
      <c r="LKK193" s="5"/>
      <c r="LKL193" s="5"/>
      <c r="LKM193" s="5"/>
      <c r="LKN193" s="5"/>
      <c r="LKO193" s="5"/>
      <c r="LKP193" s="5"/>
      <c r="LKQ193" s="5"/>
      <c r="LKR193" s="5"/>
      <c r="LKS193" s="5"/>
      <c r="LKT193" s="5"/>
      <c r="LKU193" s="5"/>
      <c r="LKV193" s="5"/>
      <c r="LKW193" s="5"/>
      <c r="LKX193" s="5"/>
      <c r="LKY193" s="5"/>
      <c r="LKZ193" s="5"/>
      <c r="LLA193" s="5"/>
      <c r="LLB193" s="5"/>
      <c r="LLC193" s="5"/>
      <c r="LLD193" s="5"/>
      <c r="LLE193" s="5"/>
      <c r="LLF193" s="5"/>
      <c r="LLG193" s="5"/>
      <c r="LLH193" s="5"/>
      <c r="LLI193" s="5"/>
      <c r="LLJ193" s="5"/>
      <c r="LLK193" s="5"/>
      <c r="LLL193" s="5"/>
      <c r="LLM193" s="5"/>
      <c r="LLN193" s="5"/>
      <c r="LLO193" s="5"/>
      <c r="LLP193" s="5"/>
      <c r="LLQ193" s="5"/>
      <c r="LLR193" s="5"/>
      <c r="LLS193" s="5"/>
      <c r="LLT193" s="5"/>
      <c r="LLU193" s="5"/>
      <c r="LLV193" s="5"/>
      <c r="LLW193" s="5"/>
      <c r="LLX193" s="5"/>
      <c r="LLY193" s="5"/>
      <c r="LLZ193" s="5"/>
      <c r="LMA193" s="5"/>
      <c r="LMB193" s="5"/>
      <c r="LMC193" s="5"/>
      <c r="LMD193" s="5"/>
      <c r="LME193" s="5"/>
      <c r="LMF193" s="5"/>
      <c r="LMG193" s="5"/>
      <c r="LMH193" s="5"/>
      <c r="LMI193" s="5"/>
      <c r="LMJ193" s="5"/>
      <c r="LMK193" s="5"/>
      <c r="LML193" s="5"/>
      <c r="LMM193" s="5"/>
      <c r="LMN193" s="5"/>
      <c r="LMO193" s="5"/>
      <c r="LMP193" s="5"/>
      <c r="LMQ193" s="5"/>
      <c r="LMR193" s="5"/>
      <c r="LMS193" s="5"/>
      <c r="LMT193" s="5"/>
      <c r="LMU193" s="5"/>
      <c r="LMV193" s="5"/>
      <c r="LMW193" s="5"/>
      <c r="LMX193" s="5"/>
      <c r="LMY193" s="5"/>
      <c r="LMZ193" s="5"/>
      <c r="LNA193" s="5"/>
      <c r="LNB193" s="5"/>
      <c r="LNC193" s="5"/>
      <c r="LND193" s="5"/>
      <c r="LNE193" s="5"/>
      <c r="LNF193" s="5"/>
      <c r="LNG193" s="5"/>
      <c r="LNH193" s="5"/>
      <c r="LNI193" s="5"/>
      <c r="LNJ193" s="5"/>
      <c r="LNK193" s="5"/>
      <c r="LNL193" s="5"/>
      <c r="LNM193" s="5"/>
      <c r="LNN193" s="5"/>
      <c r="LNO193" s="5"/>
      <c r="LNP193" s="5"/>
      <c r="LNQ193" s="5"/>
      <c r="LNR193" s="5"/>
      <c r="LNS193" s="5"/>
      <c r="LNT193" s="5"/>
      <c r="LNU193" s="5"/>
      <c r="LNV193" s="5"/>
      <c r="LNW193" s="5"/>
      <c r="LNX193" s="5"/>
      <c r="LNY193" s="5"/>
      <c r="LNZ193" s="5"/>
      <c r="LOA193" s="5"/>
      <c r="LOB193" s="5"/>
      <c r="LOC193" s="5"/>
      <c r="LOD193" s="5"/>
      <c r="LOE193" s="5"/>
      <c r="LOF193" s="5"/>
      <c r="LOG193" s="5"/>
      <c r="LOH193" s="5"/>
      <c r="LOI193" s="5"/>
      <c r="LOJ193" s="5"/>
      <c r="LOK193" s="5"/>
      <c r="LOL193" s="5"/>
      <c r="LOM193" s="5"/>
      <c r="LON193" s="5"/>
      <c r="LOO193" s="5"/>
      <c r="LOP193" s="5"/>
      <c r="LOQ193" s="5"/>
      <c r="LOR193" s="5"/>
      <c r="LOS193" s="5"/>
      <c r="LOT193" s="5"/>
      <c r="LOU193" s="5"/>
      <c r="LOV193" s="5"/>
      <c r="LOW193" s="5"/>
      <c r="LOX193" s="5"/>
      <c r="LOY193" s="5"/>
      <c r="LOZ193" s="5"/>
      <c r="LPA193" s="5"/>
      <c r="LPB193" s="5"/>
      <c r="LPC193" s="5"/>
      <c r="LPD193" s="5"/>
      <c r="LPE193" s="5"/>
      <c r="LPF193" s="5"/>
      <c r="LPG193" s="5"/>
      <c r="LPH193" s="5"/>
      <c r="LPI193" s="5"/>
      <c r="LPJ193" s="5"/>
      <c r="LPK193" s="5"/>
      <c r="LPL193" s="5"/>
      <c r="LPM193" s="5"/>
      <c r="LPN193" s="5"/>
      <c r="LPO193" s="5"/>
      <c r="LPP193" s="5"/>
      <c r="LPQ193" s="5"/>
      <c r="LPR193" s="5"/>
      <c r="LPS193" s="5"/>
      <c r="LPT193" s="5"/>
      <c r="LPU193" s="5"/>
      <c r="LPV193" s="5"/>
      <c r="LPW193" s="5"/>
      <c r="LPX193" s="5"/>
      <c r="LPY193" s="5"/>
      <c r="LPZ193" s="5"/>
      <c r="LQA193" s="5"/>
      <c r="LQB193" s="5"/>
      <c r="LQC193" s="5"/>
      <c r="LQD193" s="5"/>
      <c r="LQE193" s="5"/>
      <c r="LQF193" s="5"/>
      <c r="LQG193" s="5"/>
      <c r="LQH193" s="5"/>
      <c r="LQI193" s="5"/>
      <c r="LQJ193" s="5"/>
      <c r="LQK193" s="5"/>
      <c r="LQL193" s="5"/>
      <c r="LQM193" s="5"/>
      <c r="LQN193" s="5"/>
      <c r="LQO193" s="5"/>
      <c r="LQP193" s="5"/>
      <c r="LQQ193" s="5"/>
      <c r="LQR193" s="5"/>
      <c r="LQS193" s="5"/>
      <c r="LQT193" s="5"/>
      <c r="LQU193" s="5"/>
      <c r="LQV193" s="5"/>
      <c r="LQW193" s="5"/>
      <c r="LQX193" s="5"/>
      <c r="LQY193" s="5"/>
      <c r="LQZ193" s="5"/>
      <c r="LRA193" s="5"/>
      <c r="LRB193" s="5"/>
      <c r="LRC193" s="5"/>
      <c r="LRD193" s="5"/>
      <c r="LRE193" s="5"/>
      <c r="LRF193" s="5"/>
      <c r="LRG193" s="5"/>
      <c r="LRH193" s="5"/>
      <c r="LRI193" s="5"/>
      <c r="LRJ193" s="5"/>
      <c r="LRK193" s="5"/>
      <c r="LRL193" s="5"/>
      <c r="LRM193" s="5"/>
      <c r="LRN193" s="5"/>
      <c r="LRO193" s="5"/>
      <c r="LRP193" s="5"/>
      <c r="LRQ193" s="5"/>
      <c r="LRR193" s="5"/>
      <c r="LRS193" s="5"/>
      <c r="LRT193" s="5"/>
      <c r="LRU193" s="5"/>
      <c r="LRV193" s="5"/>
      <c r="LRW193" s="5"/>
      <c r="LRX193" s="5"/>
      <c r="LRY193" s="5"/>
      <c r="LRZ193" s="5"/>
      <c r="LSA193" s="5"/>
      <c r="LSB193" s="5"/>
      <c r="LSC193" s="5"/>
      <c r="LSD193" s="5"/>
      <c r="LSE193" s="5"/>
      <c r="LSF193" s="5"/>
      <c r="LSG193" s="5"/>
      <c r="LSH193" s="5"/>
      <c r="LSI193" s="5"/>
      <c r="LSJ193" s="5"/>
      <c r="LSK193" s="5"/>
      <c r="LSL193" s="5"/>
      <c r="LSM193" s="5"/>
      <c r="LSN193" s="5"/>
      <c r="LSO193" s="5"/>
      <c r="LSP193" s="5"/>
      <c r="LSQ193" s="5"/>
      <c r="LSR193" s="5"/>
      <c r="LSS193" s="5"/>
      <c r="LST193" s="5"/>
      <c r="LSU193" s="5"/>
      <c r="LSV193" s="5"/>
      <c r="LSW193" s="5"/>
      <c r="LSX193" s="5"/>
      <c r="LSY193" s="5"/>
      <c r="LSZ193" s="5"/>
      <c r="LTA193" s="5"/>
      <c r="LTB193" s="5"/>
      <c r="LTC193" s="5"/>
      <c r="LTD193" s="5"/>
      <c r="LTE193" s="5"/>
      <c r="LTF193" s="5"/>
      <c r="LTG193" s="5"/>
      <c r="LTH193" s="5"/>
      <c r="LTI193" s="5"/>
      <c r="LTJ193" s="5"/>
      <c r="LTK193" s="5"/>
      <c r="LTL193" s="5"/>
      <c r="LTM193" s="5"/>
      <c r="LTN193" s="5"/>
      <c r="LTO193" s="5"/>
      <c r="LTP193" s="5"/>
      <c r="LTQ193" s="5"/>
      <c r="LTR193" s="5"/>
      <c r="LTS193" s="5"/>
      <c r="LTT193" s="5"/>
      <c r="LTU193" s="5"/>
      <c r="LTV193" s="5"/>
      <c r="LTW193" s="5"/>
      <c r="LTX193" s="5"/>
      <c r="LTY193" s="5"/>
      <c r="LTZ193" s="5"/>
      <c r="LUA193" s="5"/>
      <c r="LUB193" s="5"/>
      <c r="LUC193" s="5"/>
      <c r="LUD193" s="5"/>
      <c r="LUE193" s="5"/>
      <c r="LUF193" s="5"/>
      <c r="LUG193" s="5"/>
      <c r="LUH193" s="5"/>
      <c r="LUI193" s="5"/>
      <c r="LUJ193" s="5"/>
      <c r="LUK193" s="5"/>
      <c r="LUL193" s="5"/>
      <c r="LUM193" s="5"/>
      <c r="LUN193" s="5"/>
      <c r="LUO193" s="5"/>
      <c r="LUP193" s="5"/>
      <c r="LUQ193" s="5"/>
      <c r="LUR193" s="5"/>
      <c r="LUS193" s="5"/>
      <c r="LUT193" s="5"/>
      <c r="LUU193" s="5"/>
      <c r="LUV193" s="5"/>
      <c r="LUW193" s="5"/>
      <c r="LUX193" s="5"/>
      <c r="LUY193" s="5"/>
      <c r="LUZ193" s="5"/>
      <c r="LVA193" s="5"/>
      <c r="LVB193" s="5"/>
      <c r="LVC193" s="5"/>
      <c r="LVD193" s="5"/>
      <c r="LVE193" s="5"/>
      <c r="LVF193" s="5"/>
      <c r="LVG193" s="5"/>
      <c r="LVH193" s="5"/>
      <c r="LVI193" s="5"/>
      <c r="LVJ193" s="5"/>
      <c r="LVK193" s="5"/>
      <c r="LVL193" s="5"/>
      <c r="LVM193" s="5"/>
      <c r="LVN193" s="5"/>
      <c r="LVO193" s="5"/>
      <c r="LVP193" s="5"/>
      <c r="LVQ193" s="5"/>
      <c r="LVR193" s="5"/>
      <c r="LVS193" s="5"/>
      <c r="LVT193" s="5"/>
      <c r="LVU193" s="5"/>
      <c r="LVV193" s="5"/>
      <c r="LVW193" s="5"/>
      <c r="LVX193" s="5"/>
      <c r="LVY193" s="5"/>
      <c r="LVZ193" s="5"/>
      <c r="LWA193" s="5"/>
      <c r="LWB193" s="5"/>
      <c r="LWC193" s="5"/>
      <c r="LWD193" s="5"/>
      <c r="LWE193" s="5"/>
      <c r="LWF193" s="5"/>
      <c r="LWG193" s="5"/>
      <c r="LWH193" s="5"/>
      <c r="LWI193" s="5"/>
      <c r="LWJ193" s="5"/>
      <c r="LWK193" s="5"/>
      <c r="LWL193" s="5"/>
      <c r="LWM193" s="5"/>
      <c r="LWN193" s="5"/>
      <c r="LWO193" s="5"/>
      <c r="LWP193" s="5"/>
      <c r="LWQ193" s="5"/>
      <c r="LWR193" s="5"/>
      <c r="LWS193" s="5"/>
      <c r="LWT193" s="5"/>
      <c r="LWU193" s="5"/>
      <c r="LWV193" s="5"/>
      <c r="LWW193" s="5"/>
      <c r="LWX193" s="5"/>
      <c r="LWY193" s="5"/>
      <c r="LWZ193" s="5"/>
      <c r="LXA193" s="5"/>
      <c r="LXB193" s="5"/>
      <c r="LXC193" s="5"/>
      <c r="LXD193" s="5"/>
      <c r="LXE193" s="5"/>
      <c r="LXF193" s="5"/>
      <c r="LXG193" s="5"/>
      <c r="LXH193" s="5"/>
      <c r="LXI193" s="5"/>
      <c r="LXJ193" s="5"/>
      <c r="LXK193" s="5"/>
      <c r="LXL193" s="5"/>
      <c r="LXM193" s="5"/>
      <c r="LXN193" s="5"/>
      <c r="LXO193" s="5"/>
      <c r="LXP193" s="5"/>
      <c r="LXQ193" s="5"/>
      <c r="LXR193" s="5"/>
      <c r="LXS193" s="5"/>
      <c r="LXT193" s="5"/>
      <c r="LXU193" s="5"/>
      <c r="LXV193" s="5"/>
      <c r="LXW193" s="5"/>
      <c r="LXX193" s="5"/>
      <c r="LXY193" s="5"/>
      <c r="LXZ193" s="5"/>
      <c r="LYA193" s="5"/>
      <c r="LYB193" s="5"/>
      <c r="LYC193" s="5"/>
      <c r="LYD193" s="5"/>
      <c r="LYE193" s="5"/>
      <c r="LYF193" s="5"/>
      <c r="LYG193" s="5"/>
      <c r="LYH193" s="5"/>
      <c r="LYI193" s="5"/>
      <c r="LYJ193" s="5"/>
      <c r="LYK193" s="5"/>
      <c r="LYL193" s="5"/>
      <c r="LYM193" s="5"/>
      <c r="LYN193" s="5"/>
      <c r="LYO193" s="5"/>
      <c r="LYP193" s="5"/>
      <c r="LYQ193" s="5"/>
      <c r="LYR193" s="5"/>
      <c r="LYS193" s="5"/>
      <c r="LYT193" s="5"/>
      <c r="LYU193" s="5"/>
      <c r="LYV193" s="5"/>
      <c r="LYW193" s="5"/>
      <c r="LYX193" s="5"/>
      <c r="LYY193" s="5"/>
      <c r="LYZ193" s="5"/>
      <c r="LZA193" s="5"/>
      <c r="LZB193" s="5"/>
      <c r="LZC193" s="5"/>
      <c r="LZD193" s="5"/>
      <c r="LZE193" s="5"/>
      <c r="LZF193" s="5"/>
      <c r="LZG193" s="5"/>
      <c r="LZH193" s="5"/>
      <c r="LZI193" s="5"/>
      <c r="LZJ193" s="5"/>
      <c r="LZK193" s="5"/>
      <c r="LZL193" s="5"/>
      <c r="LZM193" s="5"/>
      <c r="LZN193" s="5"/>
      <c r="LZO193" s="5"/>
      <c r="LZP193" s="5"/>
      <c r="LZQ193" s="5"/>
      <c r="LZR193" s="5"/>
      <c r="LZS193" s="5"/>
      <c r="LZT193" s="5"/>
      <c r="LZU193" s="5"/>
      <c r="LZV193" s="5"/>
      <c r="LZW193" s="5"/>
      <c r="LZX193" s="5"/>
      <c r="LZY193" s="5"/>
      <c r="LZZ193" s="5"/>
      <c r="MAA193" s="5"/>
      <c r="MAB193" s="5"/>
      <c r="MAC193" s="5"/>
      <c r="MAD193" s="5"/>
      <c r="MAE193" s="5"/>
      <c r="MAF193" s="5"/>
      <c r="MAG193" s="5"/>
      <c r="MAH193" s="5"/>
      <c r="MAI193" s="5"/>
      <c r="MAJ193" s="5"/>
      <c r="MAK193" s="5"/>
      <c r="MAL193" s="5"/>
      <c r="MAM193" s="5"/>
      <c r="MAN193" s="5"/>
      <c r="MAO193" s="5"/>
      <c r="MAP193" s="5"/>
      <c r="MAQ193" s="5"/>
      <c r="MAR193" s="5"/>
      <c r="MAS193" s="5"/>
      <c r="MAT193" s="5"/>
      <c r="MAU193" s="5"/>
      <c r="MAV193" s="5"/>
      <c r="MAW193" s="5"/>
      <c r="MAX193" s="5"/>
      <c r="MAY193" s="5"/>
      <c r="MAZ193" s="5"/>
      <c r="MBA193" s="5"/>
      <c r="MBB193" s="5"/>
      <c r="MBC193" s="5"/>
      <c r="MBD193" s="5"/>
      <c r="MBE193" s="5"/>
      <c r="MBF193" s="5"/>
      <c r="MBG193" s="5"/>
      <c r="MBH193" s="5"/>
      <c r="MBI193" s="5"/>
      <c r="MBJ193" s="5"/>
      <c r="MBK193" s="5"/>
      <c r="MBL193" s="5"/>
      <c r="MBM193" s="5"/>
      <c r="MBN193" s="5"/>
      <c r="MBO193" s="5"/>
      <c r="MBP193" s="5"/>
      <c r="MBQ193" s="5"/>
      <c r="MBR193" s="5"/>
      <c r="MBS193" s="5"/>
      <c r="MBT193" s="5"/>
      <c r="MBU193" s="5"/>
      <c r="MBV193" s="5"/>
      <c r="MBW193" s="5"/>
      <c r="MBX193" s="5"/>
      <c r="MBY193" s="5"/>
      <c r="MBZ193" s="5"/>
      <c r="MCA193" s="5"/>
      <c r="MCB193" s="5"/>
      <c r="MCC193" s="5"/>
      <c r="MCD193" s="5"/>
      <c r="MCE193" s="5"/>
      <c r="MCF193" s="5"/>
      <c r="MCG193" s="5"/>
      <c r="MCH193" s="5"/>
      <c r="MCI193" s="5"/>
      <c r="MCJ193" s="5"/>
      <c r="MCK193" s="5"/>
      <c r="MCL193" s="5"/>
      <c r="MCM193" s="5"/>
      <c r="MCN193" s="5"/>
      <c r="MCO193" s="5"/>
      <c r="MCP193" s="5"/>
      <c r="MCQ193" s="5"/>
      <c r="MCR193" s="5"/>
      <c r="MCS193" s="5"/>
      <c r="MCT193" s="5"/>
      <c r="MCU193" s="5"/>
      <c r="MCV193" s="5"/>
      <c r="MCW193" s="5"/>
      <c r="MCX193" s="5"/>
      <c r="MCY193" s="5"/>
      <c r="MCZ193" s="5"/>
      <c r="MDA193" s="5"/>
      <c r="MDB193" s="5"/>
      <c r="MDC193" s="5"/>
      <c r="MDD193" s="5"/>
      <c r="MDE193" s="5"/>
      <c r="MDF193" s="5"/>
      <c r="MDG193" s="5"/>
      <c r="MDH193" s="5"/>
      <c r="MDI193" s="5"/>
      <c r="MDJ193" s="5"/>
      <c r="MDK193" s="5"/>
      <c r="MDL193" s="5"/>
      <c r="MDM193" s="5"/>
      <c r="MDN193" s="5"/>
      <c r="MDO193" s="5"/>
      <c r="MDP193" s="5"/>
      <c r="MDQ193" s="5"/>
      <c r="MDR193" s="5"/>
      <c r="MDS193" s="5"/>
      <c r="MDT193" s="5"/>
      <c r="MDU193" s="5"/>
      <c r="MDV193" s="5"/>
      <c r="MDW193" s="5"/>
      <c r="MDX193" s="5"/>
      <c r="MDY193" s="5"/>
      <c r="MDZ193" s="5"/>
      <c r="MEA193" s="5"/>
      <c r="MEB193" s="5"/>
      <c r="MEC193" s="5"/>
      <c r="MED193" s="5"/>
      <c r="MEE193" s="5"/>
      <c r="MEF193" s="5"/>
      <c r="MEG193" s="5"/>
      <c r="MEH193" s="5"/>
      <c r="MEI193" s="5"/>
      <c r="MEJ193" s="5"/>
      <c r="MEK193" s="5"/>
      <c r="MEL193" s="5"/>
      <c r="MEM193" s="5"/>
      <c r="MEN193" s="5"/>
      <c r="MEO193" s="5"/>
      <c r="MEP193" s="5"/>
      <c r="MEQ193" s="5"/>
      <c r="MER193" s="5"/>
      <c r="MES193" s="5"/>
      <c r="MET193" s="5"/>
      <c r="MEU193" s="5"/>
      <c r="MEV193" s="5"/>
      <c r="MEW193" s="5"/>
      <c r="MEX193" s="5"/>
      <c r="MEY193" s="5"/>
      <c r="MEZ193" s="5"/>
      <c r="MFA193" s="5"/>
      <c r="MFB193" s="5"/>
      <c r="MFC193" s="5"/>
      <c r="MFD193" s="5"/>
      <c r="MFE193" s="5"/>
      <c r="MFF193" s="5"/>
      <c r="MFG193" s="5"/>
      <c r="MFH193" s="5"/>
      <c r="MFI193" s="5"/>
      <c r="MFJ193" s="5"/>
      <c r="MFK193" s="5"/>
      <c r="MFL193" s="5"/>
      <c r="MFM193" s="5"/>
      <c r="MFN193" s="5"/>
      <c r="MFO193" s="5"/>
      <c r="MFP193" s="5"/>
      <c r="MFQ193" s="5"/>
      <c r="MFR193" s="5"/>
      <c r="MFS193" s="5"/>
      <c r="MFT193" s="5"/>
      <c r="MFU193" s="5"/>
      <c r="MFV193" s="5"/>
      <c r="MFW193" s="5"/>
      <c r="MFX193" s="5"/>
      <c r="MFY193" s="5"/>
      <c r="MFZ193" s="5"/>
      <c r="MGA193" s="5"/>
      <c r="MGB193" s="5"/>
      <c r="MGC193" s="5"/>
      <c r="MGD193" s="5"/>
      <c r="MGE193" s="5"/>
      <c r="MGF193" s="5"/>
      <c r="MGG193" s="5"/>
      <c r="MGH193" s="5"/>
      <c r="MGI193" s="5"/>
      <c r="MGJ193" s="5"/>
      <c r="MGK193" s="5"/>
      <c r="MGL193" s="5"/>
      <c r="MGM193" s="5"/>
      <c r="MGN193" s="5"/>
      <c r="MGO193" s="5"/>
      <c r="MGP193" s="5"/>
      <c r="MGQ193" s="5"/>
      <c r="MGR193" s="5"/>
      <c r="MGS193" s="5"/>
      <c r="MGT193" s="5"/>
      <c r="MGU193" s="5"/>
      <c r="MGV193" s="5"/>
      <c r="MGW193" s="5"/>
      <c r="MGX193" s="5"/>
      <c r="MGY193" s="5"/>
      <c r="MGZ193" s="5"/>
      <c r="MHA193" s="5"/>
      <c r="MHB193" s="5"/>
      <c r="MHC193" s="5"/>
      <c r="MHD193" s="5"/>
      <c r="MHE193" s="5"/>
      <c r="MHF193" s="5"/>
      <c r="MHG193" s="5"/>
      <c r="MHH193" s="5"/>
      <c r="MHI193" s="5"/>
      <c r="MHJ193" s="5"/>
      <c r="MHK193" s="5"/>
      <c r="MHL193" s="5"/>
      <c r="MHM193" s="5"/>
      <c r="MHN193" s="5"/>
      <c r="MHO193" s="5"/>
      <c r="MHP193" s="5"/>
      <c r="MHQ193" s="5"/>
      <c r="MHR193" s="5"/>
      <c r="MHS193" s="5"/>
      <c r="MHT193" s="5"/>
      <c r="MHU193" s="5"/>
      <c r="MHV193" s="5"/>
      <c r="MHW193" s="5"/>
      <c r="MHX193" s="5"/>
      <c r="MHY193" s="5"/>
      <c r="MHZ193" s="5"/>
      <c r="MIA193" s="5"/>
      <c r="MIB193" s="5"/>
      <c r="MIC193" s="5"/>
      <c r="MID193" s="5"/>
      <c r="MIE193" s="5"/>
      <c r="MIF193" s="5"/>
      <c r="MIG193" s="5"/>
      <c r="MIH193" s="5"/>
      <c r="MII193" s="5"/>
      <c r="MIJ193" s="5"/>
      <c r="MIK193" s="5"/>
      <c r="MIL193" s="5"/>
      <c r="MIM193" s="5"/>
      <c r="MIN193" s="5"/>
      <c r="MIO193" s="5"/>
      <c r="MIP193" s="5"/>
      <c r="MIQ193" s="5"/>
      <c r="MIR193" s="5"/>
      <c r="MIS193" s="5"/>
      <c r="MIT193" s="5"/>
      <c r="MIU193" s="5"/>
      <c r="MIV193" s="5"/>
      <c r="MIW193" s="5"/>
      <c r="MIX193" s="5"/>
      <c r="MIY193" s="5"/>
      <c r="MIZ193" s="5"/>
      <c r="MJA193" s="5"/>
      <c r="MJB193" s="5"/>
      <c r="MJC193" s="5"/>
      <c r="MJD193" s="5"/>
      <c r="MJE193" s="5"/>
      <c r="MJF193" s="5"/>
      <c r="MJG193" s="5"/>
      <c r="MJH193" s="5"/>
      <c r="MJI193" s="5"/>
      <c r="MJJ193" s="5"/>
      <c r="MJK193" s="5"/>
      <c r="MJL193" s="5"/>
      <c r="MJM193" s="5"/>
      <c r="MJN193" s="5"/>
      <c r="MJO193" s="5"/>
      <c r="MJP193" s="5"/>
      <c r="MJQ193" s="5"/>
      <c r="MJR193" s="5"/>
      <c r="MJS193" s="5"/>
      <c r="MJT193" s="5"/>
      <c r="MJU193" s="5"/>
      <c r="MJV193" s="5"/>
      <c r="MJW193" s="5"/>
      <c r="MJX193" s="5"/>
      <c r="MJY193" s="5"/>
      <c r="MJZ193" s="5"/>
      <c r="MKA193" s="5"/>
      <c r="MKB193" s="5"/>
      <c r="MKC193" s="5"/>
      <c r="MKD193" s="5"/>
      <c r="MKE193" s="5"/>
      <c r="MKF193" s="5"/>
      <c r="MKG193" s="5"/>
      <c r="MKH193" s="5"/>
      <c r="MKI193" s="5"/>
      <c r="MKJ193" s="5"/>
      <c r="MKK193" s="5"/>
      <c r="MKL193" s="5"/>
      <c r="MKM193" s="5"/>
      <c r="MKN193" s="5"/>
      <c r="MKO193" s="5"/>
      <c r="MKP193" s="5"/>
      <c r="MKQ193" s="5"/>
      <c r="MKR193" s="5"/>
      <c r="MKS193" s="5"/>
      <c r="MKT193" s="5"/>
      <c r="MKU193" s="5"/>
      <c r="MKV193" s="5"/>
      <c r="MKW193" s="5"/>
      <c r="MKX193" s="5"/>
      <c r="MKY193" s="5"/>
      <c r="MKZ193" s="5"/>
      <c r="MLA193" s="5"/>
      <c r="MLB193" s="5"/>
      <c r="MLC193" s="5"/>
      <c r="MLD193" s="5"/>
      <c r="MLE193" s="5"/>
      <c r="MLF193" s="5"/>
      <c r="MLG193" s="5"/>
      <c r="MLH193" s="5"/>
      <c r="MLI193" s="5"/>
      <c r="MLJ193" s="5"/>
      <c r="MLK193" s="5"/>
      <c r="MLL193" s="5"/>
      <c r="MLM193" s="5"/>
      <c r="MLN193" s="5"/>
      <c r="MLO193" s="5"/>
      <c r="MLP193" s="5"/>
      <c r="MLQ193" s="5"/>
      <c r="MLR193" s="5"/>
      <c r="MLS193" s="5"/>
      <c r="MLT193" s="5"/>
      <c r="MLU193" s="5"/>
      <c r="MLV193" s="5"/>
      <c r="MLW193" s="5"/>
      <c r="MLX193" s="5"/>
      <c r="MLY193" s="5"/>
      <c r="MLZ193" s="5"/>
      <c r="MMA193" s="5"/>
      <c r="MMB193" s="5"/>
      <c r="MMC193" s="5"/>
      <c r="MMD193" s="5"/>
      <c r="MME193" s="5"/>
      <c r="MMF193" s="5"/>
      <c r="MMG193" s="5"/>
      <c r="MMH193" s="5"/>
      <c r="MMI193" s="5"/>
      <c r="MMJ193" s="5"/>
      <c r="MMK193" s="5"/>
      <c r="MML193" s="5"/>
      <c r="MMM193" s="5"/>
      <c r="MMN193" s="5"/>
      <c r="MMO193" s="5"/>
      <c r="MMP193" s="5"/>
      <c r="MMQ193" s="5"/>
      <c r="MMR193" s="5"/>
      <c r="MMS193" s="5"/>
      <c r="MMT193" s="5"/>
      <c r="MMU193" s="5"/>
      <c r="MMV193" s="5"/>
      <c r="MMW193" s="5"/>
      <c r="MMX193" s="5"/>
      <c r="MMY193" s="5"/>
      <c r="MMZ193" s="5"/>
      <c r="MNA193" s="5"/>
      <c r="MNB193" s="5"/>
      <c r="MNC193" s="5"/>
      <c r="MND193" s="5"/>
      <c r="MNE193" s="5"/>
      <c r="MNF193" s="5"/>
      <c r="MNG193" s="5"/>
      <c r="MNH193" s="5"/>
      <c r="MNI193" s="5"/>
      <c r="MNJ193" s="5"/>
      <c r="MNK193" s="5"/>
      <c r="MNL193" s="5"/>
      <c r="MNM193" s="5"/>
      <c r="MNN193" s="5"/>
      <c r="MNO193" s="5"/>
      <c r="MNP193" s="5"/>
      <c r="MNQ193" s="5"/>
      <c r="MNR193" s="5"/>
      <c r="MNS193" s="5"/>
      <c r="MNT193" s="5"/>
      <c r="MNU193" s="5"/>
      <c r="MNV193" s="5"/>
      <c r="MNW193" s="5"/>
      <c r="MNX193" s="5"/>
      <c r="MNY193" s="5"/>
      <c r="MNZ193" s="5"/>
      <c r="MOA193" s="5"/>
      <c r="MOB193" s="5"/>
      <c r="MOC193" s="5"/>
      <c r="MOD193" s="5"/>
      <c r="MOE193" s="5"/>
      <c r="MOF193" s="5"/>
      <c r="MOG193" s="5"/>
      <c r="MOH193" s="5"/>
      <c r="MOI193" s="5"/>
      <c r="MOJ193" s="5"/>
      <c r="MOK193" s="5"/>
      <c r="MOL193" s="5"/>
      <c r="MOM193" s="5"/>
      <c r="MON193" s="5"/>
      <c r="MOO193" s="5"/>
      <c r="MOP193" s="5"/>
      <c r="MOQ193" s="5"/>
      <c r="MOR193" s="5"/>
      <c r="MOS193" s="5"/>
      <c r="MOT193" s="5"/>
      <c r="MOU193" s="5"/>
      <c r="MOV193" s="5"/>
      <c r="MOW193" s="5"/>
      <c r="MOX193" s="5"/>
      <c r="MOY193" s="5"/>
      <c r="MOZ193" s="5"/>
      <c r="MPA193" s="5"/>
      <c r="MPB193" s="5"/>
      <c r="MPC193" s="5"/>
      <c r="MPD193" s="5"/>
      <c r="MPE193" s="5"/>
      <c r="MPF193" s="5"/>
      <c r="MPG193" s="5"/>
      <c r="MPH193" s="5"/>
      <c r="MPI193" s="5"/>
      <c r="MPJ193" s="5"/>
      <c r="MPK193" s="5"/>
      <c r="MPL193" s="5"/>
      <c r="MPM193" s="5"/>
      <c r="MPN193" s="5"/>
      <c r="MPO193" s="5"/>
      <c r="MPP193" s="5"/>
      <c r="MPQ193" s="5"/>
      <c r="MPR193" s="5"/>
      <c r="MPS193" s="5"/>
      <c r="MPT193" s="5"/>
      <c r="MPU193" s="5"/>
      <c r="MPV193" s="5"/>
      <c r="MPW193" s="5"/>
      <c r="MPX193" s="5"/>
      <c r="MPY193" s="5"/>
      <c r="MPZ193" s="5"/>
      <c r="MQA193" s="5"/>
      <c r="MQB193" s="5"/>
      <c r="MQC193" s="5"/>
      <c r="MQD193" s="5"/>
      <c r="MQE193" s="5"/>
      <c r="MQF193" s="5"/>
      <c r="MQG193" s="5"/>
      <c r="MQH193" s="5"/>
      <c r="MQI193" s="5"/>
      <c r="MQJ193" s="5"/>
      <c r="MQK193" s="5"/>
      <c r="MQL193" s="5"/>
      <c r="MQM193" s="5"/>
      <c r="MQN193" s="5"/>
      <c r="MQO193" s="5"/>
      <c r="MQP193" s="5"/>
      <c r="MQQ193" s="5"/>
      <c r="MQR193" s="5"/>
      <c r="MQS193" s="5"/>
      <c r="MQT193" s="5"/>
      <c r="MQU193" s="5"/>
      <c r="MQV193" s="5"/>
      <c r="MQW193" s="5"/>
      <c r="MQX193" s="5"/>
      <c r="MQY193" s="5"/>
      <c r="MQZ193" s="5"/>
      <c r="MRA193" s="5"/>
      <c r="MRB193" s="5"/>
      <c r="MRC193" s="5"/>
      <c r="MRD193" s="5"/>
      <c r="MRE193" s="5"/>
      <c r="MRF193" s="5"/>
      <c r="MRG193" s="5"/>
      <c r="MRH193" s="5"/>
      <c r="MRI193" s="5"/>
      <c r="MRJ193" s="5"/>
      <c r="MRK193" s="5"/>
      <c r="MRL193" s="5"/>
      <c r="MRM193" s="5"/>
      <c r="MRN193" s="5"/>
      <c r="MRO193" s="5"/>
      <c r="MRP193" s="5"/>
      <c r="MRQ193" s="5"/>
      <c r="MRR193" s="5"/>
      <c r="MRS193" s="5"/>
      <c r="MRT193" s="5"/>
      <c r="MRU193" s="5"/>
      <c r="MRV193" s="5"/>
      <c r="MRW193" s="5"/>
      <c r="MRX193" s="5"/>
      <c r="MRY193" s="5"/>
      <c r="MRZ193" s="5"/>
      <c r="MSA193" s="5"/>
      <c r="MSB193" s="5"/>
      <c r="MSC193" s="5"/>
      <c r="MSD193" s="5"/>
      <c r="MSE193" s="5"/>
      <c r="MSF193" s="5"/>
      <c r="MSG193" s="5"/>
      <c r="MSH193" s="5"/>
      <c r="MSI193" s="5"/>
      <c r="MSJ193" s="5"/>
      <c r="MSK193" s="5"/>
      <c r="MSL193" s="5"/>
      <c r="MSM193" s="5"/>
      <c r="MSN193" s="5"/>
      <c r="MSO193" s="5"/>
      <c r="MSP193" s="5"/>
      <c r="MSQ193" s="5"/>
      <c r="MSR193" s="5"/>
      <c r="MSS193" s="5"/>
      <c r="MST193" s="5"/>
      <c r="MSU193" s="5"/>
      <c r="MSV193" s="5"/>
      <c r="MSW193" s="5"/>
      <c r="MSX193" s="5"/>
      <c r="MSY193" s="5"/>
      <c r="MSZ193" s="5"/>
      <c r="MTA193" s="5"/>
      <c r="MTB193" s="5"/>
      <c r="MTC193" s="5"/>
      <c r="MTD193" s="5"/>
      <c r="MTE193" s="5"/>
      <c r="MTF193" s="5"/>
      <c r="MTG193" s="5"/>
      <c r="MTH193" s="5"/>
      <c r="MTI193" s="5"/>
      <c r="MTJ193" s="5"/>
      <c r="MTK193" s="5"/>
      <c r="MTL193" s="5"/>
      <c r="MTM193" s="5"/>
      <c r="MTN193" s="5"/>
      <c r="MTO193" s="5"/>
      <c r="MTP193" s="5"/>
      <c r="MTQ193" s="5"/>
      <c r="MTR193" s="5"/>
      <c r="MTS193" s="5"/>
      <c r="MTT193" s="5"/>
      <c r="MTU193" s="5"/>
      <c r="MTV193" s="5"/>
      <c r="MTW193" s="5"/>
      <c r="MTX193" s="5"/>
      <c r="MTY193" s="5"/>
      <c r="MTZ193" s="5"/>
      <c r="MUA193" s="5"/>
      <c r="MUB193" s="5"/>
      <c r="MUC193" s="5"/>
      <c r="MUD193" s="5"/>
      <c r="MUE193" s="5"/>
      <c r="MUF193" s="5"/>
      <c r="MUG193" s="5"/>
      <c r="MUH193" s="5"/>
      <c r="MUI193" s="5"/>
      <c r="MUJ193" s="5"/>
      <c r="MUK193" s="5"/>
      <c r="MUL193" s="5"/>
      <c r="MUM193" s="5"/>
      <c r="MUN193" s="5"/>
      <c r="MUO193" s="5"/>
      <c r="MUP193" s="5"/>
      <c r="MUQ193" s="5"/>
      <c r="MUR193" s="5"/>
      <c r="MUS193" s="5"/>
      <c r="MUT193" s="5"/>
      <c r="MUU193" s="5"/>
      <c r="MUV193" s="5"/>
      <c r="MUW193" s="5"/>
      <c r="MUX193" s="5"/>
      <c r="MUY193" s="5"/>
      <c r="MUZ193" s="5"/>
      <c r="MVA193" s="5"/>
      <c r="MVB193" s="5"/>
      <c r="MVC193" s="5"/>
      <c r="MVD193" s="5"/>
      <c r="MVE193" s="5"/>
      <c r="MVF193" s="5"/>
      <c r="MVG193" s="5"/>
      <c r="MVH193" s="5"/>
      <c r="MVI193" s="5"/>
      <c r="MVJ193" s="5"/>
      <c r="MVK193" s="5"/>
      <c r="MVL193" s="5"/>
      <c r="MVM193" s="5"/>
      <c r="MVN193" s="5"/>
      <c r="MVO193" s="5"/>
      <c r="MVP193" s="5"/>
      <c r="MVQ193" s="5"/>
      <c r="MVR193" s="5"/>
      <c r="MVS193" s="5"/>
      <c r="MVT193" s="5"/>
      <c r="MVU193" s="5"/>
      <c r="MVV193" s="5"/>
      <c r="MVW193" s="5"/>
      <c r="MVX193" s="5"/>
      <c r="MVY193" s="5"/>
      <c r="MVZ193" s="5"/>
      <c r="MWA193" s="5"/>
      <c r="MWB193" s="5"/>
      <c r="MWC193" s="5"/>
      <c r="MWD193" s="5"/>
      <c r="MWE193" s="5"/>
      <c r="MWF193" s="5"/>
      <c r="MWG193" s="5"/>
      <c r="MWH193" s="5"/>
      <c r="MWI193" s="5"/>
      <c r="MWJ193" s="5"/>
      <c r="MWK193" s="5"/>
      <c r="MWL193" s="5"/>
      <c r="MWM193" s="5"/>
      <c r="MWN193" s="5"/>
      <c r="MWO193" s="5"/>
      <c r="MWP193" s="5"/>
      <c r="MWQ193" s="5"/>
      <c r="MWR193" s="5"/>
      <c r="MWS193" s="5"/>
      <c r="MWT193" s="5"/>
      <c r="MWU193" s="5"/>
      <c r="MWV193" s="5"/>
      <c r="MWW193" s="5"/>
      <c r="MWX193" s="5"/>
      <c r="MWY193" s="5"/>
      <c r="MWZ193" s="5"/>
      <c r="MXA193" s="5"/>
      <c r="MXB193" s="5"/>
      <c r="MXC193" s="5"/>
      <c r="MXD193" s="5"/>
      <c r="MXE193" s="5"/>
      <c r="MXF193" s="5"/>
      <c r="MXG193" s="5"/>
      <c r="MXH193" s="5"/>
      <c r="MXI193" s="5"/>
      <c r="MXJ193" s="5"/>
      <c r="MXK193" s="5"/>
      <c r="MXL193" s="5"/>
      <c r="MXM193" s="5"/>
      <c r="MXN193" s="5"/>
      <c r="MXO193" s="5"/>
      <c r="MXP193" s="5"/>
      <c r="MXQ193" s="5"/>
      <c r="MXR193" s="5"/>
      <c r="MXS193" s="5"/>
      <c r="MXT193" s="5"/>
      <c r="MXU193" s="5"/>
      <c r="MXV193" s="5"/>
      <c r="MXW193" s="5"/>
      <c r="MXX193" s="5"/>
      <c r="MXY193" s="5"/>
      <c r="MXZ193" s="5"/>
      <c r="MYA193" s="5"/>
      <c r="MYB193" s="5"/>
      <c r="MYC193" s="5"/>
      <c r="MYD193" s="5"/>
      <c r="MYE193" s="5"/>
      <c r="MYF193" s="5"/>
      <c r="MYG193" s="5"/>
      <c r="MYH193" s="5"/>
      <c r="MYI193" s="5"/>
      <c r="MYJ193" s="5"/>
      <c r="MYK193" s="5"/>
      <c r="MYL193" s="5"/>
      <c r="MYM193" s="5"/>
      <c r="MYN193" s="5"/>
      <c r="MYO193" s="5"/>
      <c r="MYP193" s="5"/>
      <c r="MYQ193" s="5"/>
      <c r="MYR193" s="5"/>
      <c r="MYS193" s="5"/>
      <c r="MYT193" s="5"/>
      <c r="MYU193" s="5"/>
      <c r="MYV193" s="5"/>
      <c r="MYW193" s="5"/>
      <c r="MYX193" s="5"/>
      <c r="MYY193" s="5"/>
      <c r="MYZ193" s="5"/>
      <c r="MZA193" s="5"/>
      <c r="MZB193" s="5"/>
      <c r="MZC193" s="5"/>
      <c r="MZD193" s="5"/>
      <c r="MZE193" s="5"/>
      <c r="MZF193" s="5"/>
      <c r="MZG193" s="5"/>
      <c r="MZH193" s="5"/>
      <c r="MZI193" s="5"/>
      <c r="MZJ193" s="5"/>
      <c r="MZK193" s="5"/>
      <c r="MZL193" s="5"/>
      <c r="MZM193" s="5"/>
      <c r="MZN193" s="5"/>
      <c r="MZO193" s="5"/>
      <c r="MZP193" s="5"/>
      <c r="MZQ193" s="5"/>
      <c r="MZR193" s="5"/>
      <c r="MZS193" s="5"/>
      <c r="MZT193" s="5"/>
      <c r="MZU193" s="5"/>
      <c r="MZV193" s="5"/>
      <c r="MZW193" s="5"/>
      <c r="MZX193" s="5"/>
      <c r="MZY193" s="5"/>
      <c r="MZZ193" s="5"/>
      <c r="NAA193" s="5"/>
      <c r="NAB193" s="5"/>
      <c r="NAC193" s="5"/>
      <c r="NAD193" s="5"/>
      <c r="NAE193" s="5"/>
      <c r="NAF193" s="5"/>
      <c r="NAG193" s="5"/>
      <c r="NAH193" s="5"/>
      <c r="NAI193" s="5"/>
      <c r="NAJ193" s="5"/>
      <c r="NAK193" s="5"/>
      <c r="NAL193" s="5"/>
      <c r="NAM193" s="5"/>
      <c r="NAN193" s="5"/>
      <c r="NAO193" s="5"/>
      <c r="NAP193" s="5"/>
      <c r="NAQ193" s="5"/>
      <c r="NAR193" s="5"/>
      <c r="NAS193" s="5"/>
      <c r="NAT193" s="5"/>
      <c r="NAU193" s="5"/>
      <c r="NAV193" s="5"/>
      <c r="NAW193" s="5"/>
      <c r="NAX193" s="5"/>
      <c r="NAY193" s="5"/>
      <c r="NAZ193" s="5"/>
      <c r="NBA193" s="5"/>
      <c r="NBB193" s="5"/>
      <c r="NBC193" s="5"/>
      <c r="NBD193" s="5"/>
      <c r="NBE193" s="5"/>
      <c r="NBF193" s="5"/>
      <c r="NBG193" s="5"/>
      <c r="NBH193" s="5"/>
      <c r="NBI193" s="5"/>
      <c r="NBJ193" s="5"/>
      <c r="NBK193" s="5"/>
      <c r="NBL193" s="5"/>
      <c r="NBM193" s="5"/>
      <c r="NBN193" s="5"/>
      <c r="NBO193" s="5"/>
      <c r="NBP193" s="5"/>
      <c r="NBQ193" s="5"/>
      <c r="NBR193" s="5"/>
      <c r="NBS193" s="5"/>
      <c r="NBT193" s="5"/>
      <c r="NBU193" s="5"/>
      <c r="NBV193" s="5"/>
      <c r="NBW193" s="5"/>
      <c r="NBX193" s="5"/>
      <c r="NBY193" s="5"/>
      <c r="NBZ193" s="5"/>
      <c r="NCA193" s="5"/>
      <c r="NCB193" s="5"/>
      <c r="NCC193" s="5"/>
      <c r="NCD193" s="5"/>
      <c r="NCE193" s="5"/>
      <c r="NCF193" s="5"/>
      <c r="NCG193" s="5"/>
      <c r="NCH193" s="5"/>
      <c r="NCI193" s="5"/>
      <c r="NCJ193" s="5"/>
      <c r="NCK193" s="5"/>
      <c r="NCL193" s="5"/>
      <c r="NCM193" s="5"/>
      <c r="NCN193" s="5"/>
      <c r="NCO193" s="5"/>
      <c r="NCP193" s="5"/>
      <c r="NCQ193" s="5"/>
      <c r="NCR193" s="5"/>
      <c r="NCS193" s="5"/>
      <c r="NCT193" s="5"/>
      <c r="NCU193" s="5"/>
      <c r="NCV193" s="5"/>
      <c r="NCW193" s="5"/>
      <c r="NCX193" s="5"/>
      <c r="NCY193" s="5"/>
      <c r="NCZ193" s="5"/>
      <c r="NDA193" s="5"/>
      <c r="NDB193" s="5"/>
      <c r="NDC193" s="5"/>
      <c r="NDD193" s="5"/>
      <c r="NDE193" s="5"/>
      <c r="NDF193" s="5"/>
      <c r="NDG193" s="5"/>
      <c r="NDH193" s="5"/>
      <c r="NDI193" s="5"/>
      <c r="NDJ193" s="5"/>
      <c r="NDK193" s="5"/>
      <c r="NDL193" s="5"/>
      <c r="NDM193" s="5"/>
      <c r="NDN193" s="5"/>
      <c r="NDO193" s="5"/>
      <c r="NDP193" s="5"/>
      <c r="NDQ193" s="5"/>
      <c r="NDR193" s="5"/>
      <c r="NDS193" s="5"/>
      <c r="NDT193" s="5"/>
      <c r="NDU193" s="5"/>
      <c r="NDV193" s="5"/>
      <c r="NDW193" s="5"/>
      <c r="NDX193" s="5"/>
      <c r="NDY193" s="5"/>
      <c r="NDZ193" s="5"/>
      <c r="NEA193" s="5"/>
      <c r="NEB193" s="5"/>
      <c r="NEC193" s="5"/>
      <c r="NED193" s="5"/>
      <c r="NEE193" s="5"/>
      <c r="NEF193" s="5"/>
      <c r="NEG193" s="5"/>
      <c r="NEH193" s="5"/>
      <c r="NEI193" s="5"/>
      <c r="NEJ193" s="5"/>
      <c r="NEK193" s="5"/>
      <c r="NEL193" s="5"/>
      <c r="NEM193" s="5"/>
      <c r="NEN193" s="5"/>
      <c r="NEO193" s="5"/>
      <c r="NEP193" s="5"/>
      <c r="NEQ193" s="5"/>
      <c r="NER193" s="5"/>
      <c r="NES193" s="5"/>
      <c r="NET193" s="5"/>
      <c r="NEU193" s="5"/>
      <c r="NEV193" s="5"/>
      <c r="NEW193" s="5"/>
      <c r="NEX193" s="5"/>
      <c r="NEY193" s="5"/>
      <c r="NEZ193" s="5"/>
      <c r="NFA193" s="5"/>
      <c r="NFB193" s="5"/>
      <c r="NFC193" s="5"/>
      <c r="NFD193" s="5"/>
      <c r="NFE193" s="5"/>
      <c r="NFF193" s="5"/>
      <c r="NFG193" s="5"/>
      <c r="NFH193" s="5"/>
      <c r="NFI193" s="5"/>
      <c r="NFJ193" s="5"/>
      <c r="NFK193" s="5"/>
      <c r="NFL193" s="5"/>
      <c r="NFM193" s="5"/>
      <c r="NFN193" s="5"/>
      <c r="NFO193" s="5"/>
      <c r="NFP193" s="5"/>
      <c r="NFQ193" s="5"/>
      <c r="NFR193" s="5"/>
      <c r="NFS193" s="5"/>
      <c r="NFT193" s="5"/>
      <c r="NFU193" s="5"/>
      <c r="NFV193" s="5"/>
      <c r="NFW193" s="5"/>
      <c r="NFX193" s="5"/>
      <c r="NFY193" s="5"/>
      <c r="NFZ193" s="5"/>
      <c r="NGA193" s="5"/>
      <c r="NGB193" s="5"/>
      <c r="NGC193" s="5"/>
      <c r="NGD193" s="5"/>
      <c r="NGE193" s="5"/>
      <c r="NGF193" s="5"/>
      <c r="NGG193" s="5"/>
      <c r="NGH193" s="5"/>
      <c r="NGI193" s="5"/>
      <c r="NGJ193" s="5"/>
      <c r="NGK193" s="5"/>
      <c r="NGL193" s="5"/>
      <c r="NGM193" s="5"/>
      <c r="NGN193" s="5"/>
      <c r="NGO193" s="5"/>
      <c r="NGP193" s="5"/>
      <c r="NGQ193" s="5"/>
      <c r="NGR193" s="5"/>
      <c r="NGS193" s="5"/>
      <c r="NGT193" s="5"/>
      <c r="NGU193" s="5"/>
      <c r="NGV193" s="5"/>
      <c r="NGW193" s="5"/>
      <c r="NGX193" s="5"/>
      <c r="NGY193" s="5"/>
      <c r="NGZ193" s="5"/>
      <c r="NHA193" s="5"/>
      <c r="NHB193" s="5"/>
      <c r="NHC193" s="5"/>
      <c r="NHD193" s="5"/>
      <c r="NHE193" s="5"/>
      <c r="NHF193" s="5"/>
      <c r="NHG193" s="5"/>
      <c r="NHH193" s="5"/>
      <c r="NHI193" s="5"/>
      <c r="NHJ193" s="5"/>
      <c r="NHK193" s="5"/>
      <c r="NHL193" s="5"/>
      <c r="NHM193" s="5"/>
      <c r="NHN193" s="5"/>
      <c r="NHO193" s="5"/>
      <c r="NHP193" s="5"/>
      <c r="NHQ193" s="5"/>
      <c r="NHR193" s="5"/>
      <c r="NHS193" s="5"/>
      <c r="NHT193" s="5"/>
      <c r="NHU193" s="5"/>
      <c r="NHV193" s="5"/>
      <c r="NHW193" s="5"/>
      <c r="NHX193" s="5"/>
      <c r="NHY193" s="5"/>
      <c r="NHZ193" s="5"/>
      <c r="NIA193" s="5"/>
      <c r="NIB193" s="5"/>
      <c r="NIC193" s="5"/>
      <c r="NID193" s="5"/>
      <c r="NIE193" s="5"/>
      <c r="NIF193" s="5"/>
      <c r="NIG193" s="5"/>
      <c r="NIH193" s="5"/>
      <c r="NII193" s="5"/>
      <c r="NIJ193" s="5"/>
      <c r="NIK193" s="5"/>
      <c r="NIL193" s="5"/>
      <c r="NIM193" s="5"/>
      <c r="NIN193" s="5"/>
      <c r="NIO193" s="5"/>
      <c r="NIP193" s="5"/>
      <c r="NIQ193" s="5"/>
      <c r="NIR193" s="5"/>
      <c r="NIS193" s="5"/>
      <c r="NIT193" s="5"/>
      <c r="NIU193" s="5"/>
      <c r="NIV193" s="5"/>
      <c r="NIW193" s="5"/>
      <c r="NIX193" s="5"/>
      <c r="NIY193" s="5"/>
      <c r="NIZ193" s="5"/>
      <c r="NJA193" s="5"/>
      <c r="NJB193" s="5"/>
      <c r="NJC193" s="5"/>
      <c r="NJD193" s="5"/>
      <c r="NJE193" s="5"/>
      <c r="NJF193" s="5"/>
      <c r="NJG193" s="5"/>
      <c r="NJH193" s="5"/>
      <c r="NJI193" s="5"/>
      <c r="NJJ193" s="5"/>
      <c r="NJK193" s="5"/>
      <c r="NJL193" s="5"/>
      <c r="NJM193" s="5"/>
      <c r="NJN193" s="5"/>
      <c r="NJO193" s="5"/>
      <c r="NJP193" s="5"/>
      <c r="NJQ193" s="5"/>
      <c r="NJR193" s="5"/>
      <c r="NJS193" s="5"/>
      <c r="NJT193" s="5"/>
      <c r="NJU193" s="5"/>
      <c r="NJV193" s="5"/>
      <c r="NJW193" s="5"/>
      <c r="NJX193" s="5"/>
      <c r="NJY193" s="5"/>
      <c r="NJZ193" s="5"/>
      <c r="NKA193" s="5"/>
      <c r="NKB193" s="5"/>
      <c r="NKC193" s="5"/>
      <c r="NKD193" s="5"/>
      <c r="NKE193" s="5"/>
      <c r="NKF193" s="5"/>
      <c r="NKG193" s="5"/>
      <c r="NKH193" s="5"/>
      <c r="NKI193" s="5"/>
      <c r="NKJ193" s="5"/>
      <c r="NKK193" s="5"/>
      <c r="NKL193" s="5"/>
      <c r="NKM193" s="5"/>
      <c r="NKN193" s="5"/>
      <c r="NKO193" s="5"/>
      <c r="NKP193" s="5"/>
      <c r="NKQ193" s="5"/>
      <c r="NKR193" s="5"/>
      <c r="NKS193" s="5"/>
      <c r="NKT193" s="5"/>
      <c r="NKU193" s="5"/>
      <c r="NKV193" s="5"/>
      <c r="NKW193" s="5"/>
      <c r="NKX193" s="5"/>
      <c r="NKY193" s="5"/>
      <c r="NKZ193" s="5"/>
      <c r="NLA193" s="5"/>
      <c r="NLB193" s="5"/>
      <c r="NLC193" s="5"/>
      <c r="NLD193" s="5"/>
      <c r="NLE193" s="5"/>
      <c r="NLF193" s="5"/>
      <c r="NLG193" s="5"/>
      <c r="NLH193" s="5"/>
      <c r="NLI193" s="5"/>
      <c r="NLJ193" s="5"/>
      <c r="NLK193" s="5"/>
      <c r="NLL193" s="5"/>
      <c r="NLM193" s="5"/>
      <c r="NLN193" s="5"/>
      <c r="NLO193" s="5"/>
      <c r="NLP193" s="5"/>
      <c r="NLQ193" s="5"/>
      <c r="NLR193" s="5"/>
      <c r="NLS193" s="5"/>
      <c r="NLT193" s="5"/>
      <c r="NLU193" s="5"/>
      <c r="NLV193" s="5"/>
      <c r="NLW193" s="5"/>
      <c r="NLX193" s="5"/>
      <c r="NLY193" s="5"/>
      <c r="NLZ193" s="5"/>
      <c r="NMA193" s="5"/>
      <c r="NMB193" s="5"/>
      <c r="NMC193" s="5"/>
      <c r="NMD193" s="5"/>
      <c r="NME193" s="5"/>
      <c r="NMF193" s="5"/>
      <c r="NMG193" s="5"/>
      <c r="NMH193" s="5"/>
      <c r="NMI193" s="5"/>
      <c r="NMJ193" s="5"/>
      <c r="NMK193" s="5"/>
      <c r="NML193" s="5"/>
      <c r="NMM193" s="5"/>
      <c r="NMN193" s="5"/>
      <c r="NMO193" s="5"/>
      <c r="NMP193" s="5"/>
      <c r="NMQ193" s="5"/>
      <c r="NMR193" s="5"/>
      <c r="NMS193" s="5"/>
      <c r="NMT193" s="5"/>
      <c r="NMU193" s="5"/>
      <c r="NMV193" s="5"/>
      <c r="NMW193" s="5"/>
      <c r="NMX193" s="5"/>
      <c r="NMY193" s="5"/>
      <c r="NMZ193" s="5"/>
      <c r="NNA193" s="5"/>
      <c r="NNB193" s="5"/>
      <c r="NNC193" s="5"/>
      <c r="NND193" s="5"/>
      <c r="NNE193" s="5"/>
      <c r="NNF193" s="5"/>
      <c r="NNG193" s="5"/>
      <c r="NNH193" s="5"/>
      <c r="NNI193" s="5"/>
      <c r="NNJ193" s="5"/>
      <c r="NNK193" s="5"/>
      <c r="NNL193" s="5"/>
      <c r="NNM193" s="5"/>
      <c r="NNN193" s="5"/>
      <c r="NNO193" s="5"/>
      <c r="NNP193" s="5"/>
      <c r="NNQ193" s="5"/>
      <c r="NNR193" s="5"/>
      <c r="NNS193" s="5"/>
      <c r="NNT193" s="5"/>
      <c r="NNU193" s="5"/>
      <c r="NNV193" s="5"/>
      <c r="NNW193" s="5"/>
      <c r="NNX193" s="5"/>
      <c r="NNY193" s="5"/>
      <c r="NNZ193" s="5"/>
      <c r="NOA193" s="5"/>
      <c r="NOB193" s="5"/>
      <c r="NOC193" s="5"/>
      <c r="NOD193" s="5"/>
      <c r="NOE193" s="5"/>
      <c r="NOF193" s="5"/>
      <c r="NOG193" s="5"/>
      <c r="NOH193" s="5"/>
      <c r="NOI193" s="5"/>
      <c r="NOJ193" s="5"/>
      <c r="NOK193" s="5"/>
      <c r="NOL193" s="5"/>
      <c r="NOM193" s="5"/>
      <c r="NON193" s="5"/>
      <c r="NOO193" s="5"/>
      <c r="NOP193" s="5"/>
      <c r="NOQ193" s="5"/>
      <c r="NOR193" s="5"/>
      <c r="NOS193" s="5"/>
      <c r="NOT193" s="5"/>
      <c r="NOU193" s="5"/>
      <c r="NOV193" s="5"/>
      <c r="NOW193" s="5"/>
      <c r="NOX193" s="5"/>
      <c r="NOY193" s="5"/>
      <c r="NOZ193" s="5"/>
      <c r="NPA193" s="5"/>
      <c r="NPB193" s="5"/>
      <c r="NPC193" s="5"/>
      <c r="NPD193" s="5"/>
      <c r="NPE193" s="5"/>
      <c r="NPF193" s="5"/>
      <c r="NPG193" s="5"/>
      <c r="NPH193" s="5"/>
      <c r="NPI193" s="5"/>
      <c r="NPJ193" s="5"/>
      <c r="NPK193" s="5"/>
      <c r="NPL193" s="5"/>
      <c r="NPM193" s="5"/>
      <c r="NPN193" s="5"/>
      <c r="NPO193" s="5"/>
      <c r="NPP193" s="5"/>
      <c r="NPQ193" s="5"/>
      <c r="NPR193" s="5"/>
      <c r="NPS193" s="5"/>
      <c r="NPT193" s="5"/>
      <c r="NPU193" s="5"/>
      <c r="NPV193" s="5"/>
      <c r="NPW193" s="5"/>
      <c r="NPX193" s="5"/>
      <c r="NPY193" s="5"/>
      <c r="NPZ193" s="5"/>
      <c r="NQA193" s="5"/>
      <c r="NQB193" s="5"/>
      <c r="NQC193" s="5"/>
      <c r="NQD193" s="5"/>
      <c r="NQE193" s="5"/>
      <c r="NQF193" s="5"/>
      <c r="NQG193" s="5"/>
      <c r="NQH193" s="5"/>
      <c r="NQI193" s="5"/>
      <c r="NQJ193" s="5"/>
      <c r="NQK193" s="5"/>
      <c r="NQL193" s="5"/>
      <c r="NQM193" s="5"/>
      <c r="NQN193" s="5"/>
      <c r="NQO193" s="5"/>
      <c r="NQP193" s="5"/>
      <c r="NQQ193" s="5"/>
      <c r="NQR193" s="5"/>
      <c r="NQS193" s="5"/>
      <c r="NQT193" s="5"/>
      <c r="NQU193" s="5"/>
      <c r="NQV193" s="5"/>
      <c r="NQW193" s="5"/>
      <c r="NQX193" s="5"/>
      <c r="NQY193" s="5"/>
      <c r="NQZ193" s="5"/>
      <c r="NRA193" s="5"/>
      <c r="NRB193" s="5"/>
      <c r="NRC193" s="5"/>
      <c r="NRD193" s="5"/>
      <c r="NRE193" s="5"/>
      <c r="NRF193" s="5"/>
      <c r="NRG193" s="5"/>
      <c r="NRH193" s="5"/>
      <c r="NRI193" s="5"/>
      <c r="NRJ193" s="5"/>
      <c r="NRK193" s="5"/>
      <c r="NRL193" s="5"/>
      <c r="NRM193" s="5"/>
      <c r="NRN193" s="5"/>
      <c r="NRO193" s="5"/>
      <c r="NRP193" s="5"/>
      <c r="NRQ193" s="5"/>
      <c r="NRR193" s="5"/>
      <c r="NRS193" s="5"/>
      <c r="NRT193" s="5"/>
      <c r="NRU193" s="5"/>
      <c r="NRV193" s="5"/>
      <c r="NRW193" s="5"/>
      <c r="NRX193" s="5"/>
      <c r="NRY193" s="5"/>
      <c r="NRZ193" s="5"/>
      <c r="NSA193" s="5"/>
      <c r="NSB193" s="5"/>
      <c r="NSC193" s="5"/>
      <c r="NSD193" s="5"/>
      <c r="NSE193" s="5"/>
      <c r="NSF193" s="5"/>
      <c r="NSG193" s="5"/>
      <c r="NSH193" s="5"/>
      <c r="NSI193" s="5"/>
      <c r="NSJ193" s="5"/>
      <c r="NSK193" s="5"/>
      <c r="NSL193" s="5"/>
      <c r="NSM193" s="5"/>
      <c r="NSN193" s="5"/>
      <c r="NSO193" s="5"/>
      <c r="NSP193" s="5"/>
      <c r="NSQ193" s="5"/>
      <c r="NSR193" s="5"/>
      <c r="NSS193" s="5"/>
      <c r="NST193" s="5"/>
      <c r="NSU193" s="5"/>
      <c r="NSV193" s="5"/>
      <c r="NSW193" s="5"/>
      <c r="NSX193" s="5"/>
      <c r="NSY193" s="5"/>
      <c r="NSZ193" s="5"/>
      <c r="NTA193" s="5"/>
      <c r="NTB193" s="5"/>
      <c r="NTC193" s="5"/>
      <c r="NTD193" s="5"/>
      <c r="NTE193" s="5"/>
      <c r="NTF193" s="5"/>
      <c r="NTG193" s="5"/>
      <c r="NTH193" s="5"/>
      <c r="NTI193" s="5"/>
      <c r="NTJ193" s="5"/>
      <c r="NTK193" s="5"/>
      <c r="NTL193" s="5"/>
      <c r="NTM193" s="5"/>
      <c r="NTN193" s="5"/>
      <c r="NTO193" s="5"/>
      <c r="NTP193" s="5"/>
      <c r="NTQ193" s="5"/>
      <c r="NTR193" s="5"/>
      <c r="NTS193" s="5"/>
      <c r="NTT193" s="5"/>
      <c r="NTU193" s="5"/>
      <c r="NTV193" s="5"/>
      <c r="NTW193" s="5"/>
      <c r="NTX193" s="5"/>
      <c r="NTY193" s="5"/>
      <c r="NTZ193" s="5"/>
      <c r="NUA193" s="5"/>
      <c r="NUB193" s="5"/>
      <c r="NUC193" s="5"/>
      <c r="NUD193" s="5"/>
      <c r="NUE193" s="5"/>
      <c r="NUF193" s="5"/>
      <c r="NUG193" s="5"/>
      <c r="NUH193" s="5"/>
      <c r="NUI193" s="5"/>
      <c r="NUJ193" s="5"/>
      <c r="NUK193" s="5"/>
      <c r="NUL193" s="5"/>
      <c r="NUM193" s="5"/>
      <c r="NUN193" s="5"/>
      <c r="NUO193" s="5"/>
      <c r="NUP193" s="5"/>
      <c r="NUQ193" s="5"/>
      <c r="NUR193" s="5"/>
      <c r="NUS193" s="5"/>
      <c r="NUT193" s="5"/>
      <c r="NUU193" s="5"/>
      <c r="NUV193" s="5"/>
      <c r="NUW193" s="5"/>
      <c r="NUX193" s="5"/>
      <c r="NUY193" s="5"/>
      <c r="NUZ193" s="5"/>
      <c r="NVA193" s="5"/>
      <c r="NVB193" s="5"/>
      <c r="NVC193" s="5"/>
      <c r="NVD193" s="5"/>
      <c r="NVE193" s="5"/>
      <c r="NVF193" s="5"/>
      <c r="NVG193" s="5"/>
      <c r="NVH193" s="5"/>
      <c r="NVI193" s="5"/>
      <c r="NVJ193" s="5"/>
      <c r="NVK193" s="5"/>
      <c r="NVL193" s="5"/>
      <c r="NVM193" s="5"/>
      <c r="NVN193" s="5"/>
      <c r="NVO193" s="5"/>
      <c r="NVP193" s="5"/>
      <c r="NVQ193" s="5"/>
      <c r="NVR193" s="5"/>
      <c r="NVS193" s="5"/>
      <c r="NVT193" s="5"/>
      <c r="NVU193" s="5"/>
      <c r="NVV193" s="5"/>
      <c r="NVW193" s="5"/>
      <c r="NVX193" s="5"/>
      <c r="NVY193" s="5"/>
      <c r="NVZ193" s="5"/>
      <c r="NWA193" s="5"/>
      <c r="NWB193" s="5"/>
      <c r="NWC193" s="5"/>
      <c r="NWD193" s="5"/>
      <c r="NWE193" s="5"/>
      <c r="NWF193" s="5"/>
      <c r="NWG193" s="5"/>
      <c r="NWH193" s="5"/>
      <c r="NWI193" s="5"/>
      <c r="NWJ193" s="5"/>
      <c r="NWK193" s="5"/>
      <c r="NWL193" s="5"/>
      <c r="NWM193" s="5"/>
      <c r="NWN193" s="5"/>
      <c r="NWO193" s="5"/>
      <c r="NWP193" s="5"/>
      <c r="NWQ193" s="5"/>
      <c r="NWR193" s="5"/>
      <c r="NWS193" s="5"/>
      <c r="NWT193" s="5"/>
      <c r="NWU193" s="5"/>
      <c r="NWV193" s="5"/>
      <c r="NWW193" s="5"/>
      <c r="NWX193" s="5"/>
      <c r="NWY193" s="5"/>
      <c r="NWZ193" s="5"/>
      <c r="NXA193" s="5"/>
      <c r="NXB193" s="5"/>
      <c r="NXC193" s="5"/>
      <c r="NXD193" s="5"/>
      <c r="NXE193" s="5"/>
      <c r="NXF193" s="5"/>
      <c r="NXG193" s="5"/>
      <c r="NXH193" s="5"/>
      <c r="NXI193" s="5"/>
      <c r="NXJ193" s="5"/>
      <c r="NXK193" s="5"/>
      <c r="NXL193" s="5"/>
      <c r="NXM193" s="5"/>
      <c r="NXN193" s="5"/>
      <c r="NXO193" s="5"/>
      <c r="NXP193" s="5"/>
      <c r="NXQ193" s="5"/>
      <c r="NXR193" s="5"/>
      <c r="NXS193" s="5"/>
      <c r="NXT193" s="5"/>
      <c r="NXU193" s="5"/>
      <c r="NXV193" s="5"/>
      <c r="NXW193" s="5"/>
      <c r="NXX193" s="5"/>
      <c r="NXY193" s="5"/>
      <c r="NXZ193" s="5"/>
      <c r="NYA193" s="5"/>
      <c r="NYB193" s="5"/>
      <c r="NYC193" s="5"/>
      <c r="NYD193" s="5"/>
      <c r="NYE193" s="5"/>
      <c r="NYF193" s="5"/>
      <c r="NYG193" s="5"/>
      <c r="NYH193" s="5"/>
      <c r="NYI193" s="5"/>
      <c r="NYJ193" s="5"/>
      <c r="NYK193" s="5"/>
      <c r="NYL193" s="5"/>
      <c r="NYM193" s="5"/>
      <c r="NYN193" s="5"/>
      <c r="NYO193" s="5"/>
      <c r="NYP193" s="5"/>
      <c r="NYQ193" s="5"/>
      <c r="NYR193" s="5"/>
      <c r="NYS193" s="5"/>
      <c r="NYT193" s="5"/>
      <c r="NYU193" s="5"/>
      <c r="NYV193" s="5"/>
      <c r="NYW193" s="5"/>
      <c r="NYX193" s="5"/>
      <c r="NYY193" s="5"/>
      <c r="NYZ193" s="5"/>
      <c r="NZA193" s="5"/>
      <c r="NZB193" s="5"/>
      <c r="NZC193" s="5"/>
      <c r="NZD193" s="5"/>
      <c r="NZE193" s="5"/>
      <c r="NZF193" s="5"/>
      <c r="NZG193" s="5"/>
      <c r="NZH193" s="5"/>
      <c r="NZI193" s="5"/>
      <c r="NZJ193" s="5"/>
      <c r="NZK193" s="5"/>
      <c r="NZL193" s="5"/>
      <c r="NZM193" s="5"/>
      <c r="NZN193" s="5"/>
      <c r="NZO193" s="5"/>
      <c r="NZP193" s="5"/>
      <c r="NZQ193" s="5"/>
      <c r="NZR193" s="5"/>
      <c r="NZS193" s="5"/>
      <c r="NZT193" s="5"/>
      <c r="NZU193" s="5"/>
      <c r="NZV193" s="5"/>
      <c r="NZW193" s="5"/>
      <c r="NZX193" s="5"/>
      <c r="NZY193" s="5"/>
      <c r="NZZ193" s="5"/>
      <c r="OAA193" s="5"/>
      <c r="OAB193" s="5"/>
      <c r="OAC193" s="5"/>
      <c r="OAD193" s="5"/>
      <c r="OAE193" s="5"/>
      <c r="OAF193" s="5"/>
      <c r="OAG193" s="5"/>
      <c r="OAH193" s="5"/>
      <c r="OAI193" s="5"/>
      <c r="OAJ193" s="5"/>
      <c r="OAK193" s="5"/>
      <c r="OAL193" s="5"/>
      <c r="OAM193" s="5"/>
      <c r="OAN193" s="5"/>
      <c r="OAO193" s="5"/>
      <c r="OAP193" s="5"/>
      <c r="OAQ193" s="5"/>
      <c r="OAR193" s="5"/>
      <c r="OAS193" s="5"/>
      <c r="OAT193" s="5"/>
      <c r="OAU193" s="5"/>
      <c r="OAV193" s="5"/>
      <c r="OAW193" s="5"/>
      <c r="OAX193" s="5"/>
      <c r="OAY193" s="5"/>
      <c r="OAZ193" s="5"/>
      <c r="OBA193" s="5"/>
      <c r="OBB193" s="5"/>
      <c r="OBC193" s="5"/>
      <c r="OBD193" s="5"/>
      <c r="OBE193" s="5"/>
      <c r="OBF193" s="5"/>
      <c r="OBG193" s="5"/>
      <c r="OBH193" s="5"/>
      <c r="OBI193" s="5"/>
      <c r="OBJ193" s="5"/>
      <c r="OBK193" s="5"/>
      <c r="OBL193" s="5"/>
      <c r="OBM193" s="5"/>
      <c r="OBN193" s="5"/>
      <c r="OBO193" s="5"/>
      <c r="OBP193" s="5"/>
      <c r="OBQ193" s="5"/>
      <c r="OBR193" s="5"/>
      <c r="OBS193" s="5"/>
      <c r="OBT193" s="5"/>
      <c r="OBU193" s="5"/>
      <c r="OBV193" s="5"/>
      <c r="OBW193" s="5"/>
      <c r="OBX193" s="5"/>
      <c r="OBY193" s="5"/>
      <c r="OBZ193" s="5"/>
      <c r="OCA193" s="5"/>
      <c r="OCB193" s="5"/>
      <c r="OCC193" s="5"/>
      <c r="OCD193" s="5"/>
      <c r="OCE193" s="5"/>
      <c r="OCF193" s="5"/>
      <c r="OCG193" s="5"/>
      <c r="OCH193" s="5"/>
      <c r="OCI193" s="5"/>
      <c r="OCJ193" s="5"/>
      <c r="OCK193" s="5"/>
      <c r="OCL193" s="5"/>
      <c r="OCM193" s="5"/>
      <c r="OCN193" s="5"/>
      <c r="OCO193" s="5"/>
      <c r="OCP193" s="5"/>
      <c r="OCQ193" s="5"/>
      <c r="OCR193" s="5"/>
      <c r="OCS193" s="5"/>
      <c r="OCT193" s="5"/>
      <c r="OCU193" s="5"/>
      <c r="OCV193" s="5"/>
      <c r="OCW193" s="5"/>
      <c r="OCX193" s="5"/>
      <c r="OCY193" s="5"/>
      <c r="OCZ193" s="5"/>
      <c r="ODA193" s="5"/>
      <c r="ODB193" s="5"/>
      <c r="ODC193" s="5"/>
      <c r="ODD193" s="5"/>
      <c r="ODE193" s="5"/>
      <c r="ODF193" s="5"/>
      <c r="ODG193" s="5"/>
      <c r="ODH193" s="5"/>
      <c r="ODI193" s="5"/>
      <c r="ODJ193" s="5"/>
      <c r="ODK193" s="5"/>
      <c r="ODL193" s="5"/>
      <c r="ODM193" s="5"/>
      <c r="ODN193" s="5"/>
      <c r="ODO193" s="5"/>
      <c r="ODP193" s="5"/>
      <c r="ODQ193" s="5"/>
      <c r="ODR193" s="5"/>
      <c r="ODS193" s="5"/>
      <c r="ODT193" s="5"/>
      <c r="ODU193" s="5"/>
      <c r="ODV193" s="5"/>
      <c r="ODW193" s="5"/>
      <c r="ODX193" s="5"/>
      <c r="ODY193" s="5"/>
      <c r="ODZ193" s="5"/>
      <c r="OEA193" s="5"/>
      <c r="OEB193" s="5"/>
      <c r="OEC193" s="5"/>
      <c r="OED193" s="5"/>
      <c r="OEE193" s="5"/>
      <c r="OEF193" s="5"/>
      <c r="OEG193" s="5"/>
      <c r="OEH193" s="5"/>
      <c r="OEI193" s="5"/>
      <c r="OEJ193" s="5"/>
      <c r="OEK193" s="5"/>
      <c r="OEL193" s="5"/>
      <c r="OEM193" s="5"/>
      <c r="OEN193" s="5"/>
      <c r="OEO193" s="5"/>
      <c r="OEP193" s="5"/>
      <c r="OEQ193" s="5"/>
      <c r="OER193" s="5"/>
      <c r="OES193" s="5"/>
      <c r="OET193" s="5"/>
      <c r="OEU193" s="5"/>
      <c r="OEV193" s="5"/>
      <c r="OEW193" s="5"/>
      <c r="OEX193" s="5"/>
      <c r="OEY193" s="5"/>
      <c r="OEZ193" s="5"/>
      <c r="OFA193" s="5"/>
      <c r="OFB193" s="5"/>
      <c r="OFC193" s="5"/>
      <c r="OFD193" s="5"/>
      <c r="OFE193" s="5"/>
      <c r="OFF193" s="5"/>
      <c r="OFG193" s="5"/>
      <c r="OFH193" s="5"/>
      <c r="OFI193" s="5"/>
      <c r="OFJ193" s="5"/>
      <c r="OFK193" s="5"/>
      <c r="OFL193" s="5"/>
      <c r="OFM193" s="5"/>
      <c r="OFN193" s="5"/>
      <c r="OFO193" s="5"/>
      <c r="OFP193" s="5"/>
      <c r="OFQ193" s="5"/>
      <c r="OFR193" s="5"/>
      <c r="OFS193" s="5"/>
      <c r="OFT193" s="5"/>
      <c r="OFU193" s="5"/>
      <c r="OFV193" s="5"/>
      <c r="OFW193" s="5"/>
      <c r="OFX193" s="5"/>
      <c r="OFY193" s="5"/>
      <c r="OFZ193" s="5"/>
      <c r="OGA193" s="5"/>
      <c r="OGB193" s="5"/>
      <c r="OGC193" s="5"/>
      <c r="OGD193" s="5"/>
      <c r="OGE193" s="5"/>
      <c r="OGF193" s="5"/>
      <c r="OGG193" s="5"/>
      <c r="OGH193" s="5"/>
      <c r="OGI193" s="5"/>
      <c r="OGJ193" s="5"/>
      <c r="OGK193" s="5"/>
      <c r="OGL193" s="5"/>
      <c r="OGM193" s="5"/>
      <c r="OGN193" s="5"/>
      <c r="OGO193" s="5"/>
      <c r="OGP193" s="5"/>
      <c r="OGQ193" s="5"/>
      <c r="OGR193" s="5"/>
      <c r="OGS193" s="5"/>
      <c r="OGT193" s="5"/>
      <c r="OGU193" s="5"/>
      <c r="OGV193" s="5"/>
      <c r="OGW193" s="5"/>
      <c r="OGX193" s="5"/>
      <c r="OGY193" s="5"/>
      <c r="OGZ193" s="5"/>
      <c r="OHA193" s="5"/>
      <c r="OHB193" s="5"/>
      <c r="OHC193" s="5"/>
      <c r="OHD193" s="5"/>
      <c r="OHE193" s="5"/>
      <c r="OHF193" s="5"/>
      <c r="OHG193" s="5"/>
      <c r="OHH193" s="5"/>
      <c r="OHI193" s="5"/>
      <c r="OHJ193" s="5"/>
      <c r="OHK193" s="5"/>
      <c r="OHL193" s="5"/>
      <c r="OHM193" s="5"/>
      <c r="OHN193" s="5"/>
      <c r="OHO193" s="5"/>
      <c r="OHP193" s="5"/>
      <c r="OHQ193" s="5"/>
      <c r="OHR193" s="5"/>
      <c r="OHS193" s="5"/>
      <c r="OHT193" s="5"/>
      <c r="OHU193" s="5"/>
      <c r="OHV193" s="5"/>
      <c r="OHW193" s="5"/>
      <c r="OHX193" s="5"/>
      <c r="OHY193" s="5"/>
      <c r="OHZ193" s="5"/>
      <c r="OIA193" s="5"/>
      <c r="OIB193" s="5"/>
      <c r="OIC193" s="5"/>
      <c r="OID193" s="5"/>
      <c r="OIE193" s="5"/>
      <c r="OIF193" s="5"/>
      <c r="OIG193" s="5"/>
      <c r="OIH193" s="5"/>
      <c r="OII193" s="5"/>
      <c r="OIJ193" s="5"/>
      <c r="OIK193" s="5"/>
      <c r="OIL193" s="5"/>
      <c r="OIM193" s="5"/>
      <c r="OIN193" s="5"/>
      <c r="OIO193" s="5"/>
      <c r="OIP193" s="5"/>
      <c r="OIQ193" s="5"/>
      <c r="OIR193" s="5"/>
      <c r="OIS193" s="5"/>
      <c r="OIT193" s="5"/>
      <c r="OIU193" s="5"/>
      <c r="OIV193" s="5"/>
      <c r="OIW193" s="5"/>
      <c r="OIX193" s="5"/>
      <c r="OIY193" s="5"/>
      <c r="OIZ193" s="5"/>
      <c r="OJA193" s="5"/>
      <c r="OJB193" s="5"/>
      <c r="OJC193" s="5"/>
      <c r="OJD193" s="5"/>
      <c r="OJE193" s="5"/>
      <c r="OJF193" s="5"/>
      <c r="OJG193" s="5"/>
      <c r="OJH193" s="5"/>
      <c r="OJI193" s="5"/>
      <c r="OJJ193" s="5"/>
      <c r="OJK193" s="5"/>
      <c r="OJL193" s="5"/>
      <c r="OJM193" s="5"/>
      <c r="OJN193" s="5"/>
      <c r="OJO193" s="5"/>
      <c r="OJP193" s="5"/>
      <c r="OJQ193" s="5"/>
      <c r="OJR193" s="5"/>
      <c r="OJS193" s="5"/>
      <c r="OJT193" s="5"/>
      <c r="OJU193" s="5"/>
      <c r="OJV193" s="5"/>
      <c r="OJW193" s="5"/>
      <c r="OJX193" s="5"/>
      <c r="OJY193" s="5"/>
      <c r="OJZ193" s="5"/>
      <c r="OKA193" s="5"/>
      <c r="OKB193" s="5"/>
      <c r="OKC193" s="5"/>
      <c r="OKD193" s="5"/>
      <c r="OKE193" s="5"/>
      <c r="OKF193" s="5"/>
      <c r="OKG193" s="5"/>
      <c r="OKH193" s="5"/>
      <c r="OKI193" s="5"/>
      <c r="OKJ193" s="5"/>
      <c r="OKK193" s="5"/>
      <c r="OKL193" s="5"/>
      <c r="OKM193" s="5"/>
      <c r="OKN193" s="5"/>
      <c r="OKO193" s="5"/>
      <c r="OKP193" s="5"/>
      <c r="OKQ193" s="5"/>
      <c r="OKR193" s="5"/>
      <c r="OKS193" s="5"/>
      <c r="OKT193" s="5"/>
      <c r="OKU193" s="5"/>
      <c r="OKV193" s="5"/>
      <c r="OKW193" s="5"/>
      <c r="OKX193" s="5"/>
      <c r="OKY193" s="5"/>
      <c r="OKZ193" s="5"/>
      <c r="OLA193" s="5"/>
      <c r="OLB193" s="5"/>
      <c r="OLC193" s="5"/>
      <c r="OLD193" s="5"/>
      <c r="OLE193" s="5"/>
      <c r="OLF193" s="5"/>
      <c r="OLG193" s="5"/>
      <c r="OLH193" s="5"/>
      <c r="OLI193" s="5"/>
      <c r="OLJ193" s="5"/>
      <c r="OLK193" s="5"/>
      <c r="OLL193" s="5"/>
      <c r="OLM193" s="5"/>
      <c r="OLN193" s="5"/>
      <c r="OLO193" s="5"/>
      <c r="OLP193" s="5"/>
      <c r="OLQ193" s="5"/>
      <c r="OLR193" s="5"/>
      <c r="OLS193" s="5"/>
      <c r="OLT193" s="5"/>
      <c r="OLU193" s="5"/>
      <c r="OLV193" s="5"/>
      <c r="OLW193" s="5"/>
      <c r="OLX193" s="5"/>
      <c r="OLY193" s="5"/>
      <c r="OLZ193" s="5"/>
      <c r="OMA193" s="5"/>
      <c r="OMB193" s="5"/>
      <c r="OMC193" s="5"/>
      <c r="OMD193" s="5"/>
      <c r="OME193" s="5"/>
      <c r="OMF193" s="5"/>
      <c r="OMG193" s="5"/>
      <c r="OMH193" s="5"/>
      <c r="OMI193" s="5"/>
      <c r="OMJ193" s="5"/>
      <c r="OMK193" s="5"/>
      <c r="OML193" s="5"/>
      <c r="OMM193" s="5"/>
      <c r="OMN193" s="5"/>
      <c r="OMO193" s="5"/>
      <c r="OMP193" s="5"/>
      <c r="OMQ193" s="5"/>
      <c r="OMR193" s="5"/>
      <c r="OMS193" s="5"/>
      <c r="OMT193" s="5"/>
      <c r="OMU193" s="5"/>
      <c r="OMV193" s="5"/>
      <c r="OMW193" s="5"/>
      <c r="OMX193" s="5"/>
      <c r="OMY193" s="5"/>
      <c r="OMZ193" s="5"/>
      <c r="ONA193" s="5"/>
      <c r="ONB193" s="5"/>
      <c r="ONC193" s="5"/>
      <c r="OND193" s="5"/>
      <c r="ONE193" s="5"/>
      <c r="ONF193" s="5"/>
      <c r="ONG193" s="5"/>
      <c r="ONH193" s="5"/>
      <c r="ONI193" s="5"/>
      <c r="ONJ193" s="5"/>
      <c r="ONK193" s="5"/>
      <c r="ONL193" s="5"/>
      <c r="ONM193" s="5"/>
      <c r="ONN193" s="5"/>
      <c r="ONO193" s="5"/>
      <c r="ONP193" s="5"/>
      <c r="ONQ193" s="5"/>
      <c r="ONR193" s="5"/>
      <c r="ONS193" s="5"/>
      <c r="ONT193" s="5"/>
      <c r="ONU193" s="5"/>
      <c r="ONV193" s="5"/>
      <c r="ONW193" s="5"/>
      <c r="ONX193" s="5"/>
      <c r="ONY193" s="5"/>
      <c r="ONZ193" s="5"/>
      <c r="OOA193" s="5"/>
      <c r="OOB193" s="5"/>
      <c r="OOC193" s="5"/>
      <c r="OOD193" s="5"/>
      <c r="OOE193" s="5"/>
      <c r="OOF193" s="5"/>
      <c r="OOG193" s="5"/>
      <c r="OOH193" s="5"/>
      <c r="OOI193" s="5"/>
      <c r="OOJ193" s="5"/>
      <c r="OOK193" s="5"/>
      <c r="OOL193" s="5"/>
      <c r="OOM193" s="5"/>
      <c r="OON193" s="5"/>
      <c r="OOO193" s="5"/>
      <c r="OOP193" s="5"/>
      <c r="OOQ193" s="5"/>
      <c r="OOR193" s="5"/>
      <c r="OOS193" s="5"/>
      <c r="OOT193" s="5"/>
      <c r="OOU193" s="5"/>
      <c r="OOV193" s="5"/>
      <c r="OOW193" s="5"/>
      <c r="OOX193" s="5"/>
      <c r="OOY193" s="5"/>
      <c r="OOZ193" s="5"/>
      <c r="OPA193" s="5"/>
      <c r="OPB193" s="5"/>
      <c r="OPC193" s="5"/>
      <c r="OPD193" s="5"/>
      <c r="OPE193" s="5"/>
      <c r="OPF193" s="5"/>
      <c r="OPG193" s="5"/>
      <c r="OPH193" s="5"/>
      <c r="OPI193" s="5"/>
      <c r="OPJ193" s="5"/>
      <c r="OPK193" s="5"/>
      <c r="OPL193" s="5"/>
      <c r="OPM193" s="5"/>
      <c r="OPN193" s="5"/>
      <c r="OPO193" s="5"/>
      <c r="OPP193" s="5"/>
      <c r="OPQ193" s="5"/>
      <c r="OPR193" s="5"/>
      <c r="OPS193" s="5"/>
      <c r="OPT193" s="5"/>
      <c r="OPU193" s="5"/>
      <c r="OPV193" s="5"/>
      <c r="OPW193" s="5"/>
      <c r="OPX193" s="5"/>
      <c r="OPY193" s="5"/>
      <c r="OPZ193" s="5"/>
      <c r="OQA193" s="5"/>
      <c r="OQB193" s="5"/>
      <c r="OQC193" s="5"/>
      <c r="OQD193" s="5"/>
      <c r="OQE193" s="5"/>
      <c r="OQF193" s="5"/>
      <c r="OQG193" s="5"/>
      <c r="OQH193" s="5"/>
      <c r="OQI193" s="5"/>
      <c r="OQJ193" s="5"/>
      <c r="OQK193" s="5"/>
      <c r="OQL193" s="5"/>
      <c r="OQM193" s="5"/>
      <c r="OQN193" s="5"/>
      <c r="OQO193" s="5"/>
      <c r="OQP193" s="5"/>
      <c r="OQQ193" s="5"/>
      <c r="OQR193" s="5"/>
      <c r="OQS193" s="5"/>
      <c r="OQT193" s="5"/>
      <c r="OQU193" s="5"/>
      <c r="OQV193" s="5"/>
      <c r="OQW193" s="5"/>
      <c r="OQX193" s="5"/>
      <c r="OQY193" s="5"/>
      <c r="OQZ193" s="5"/>
      <c r="ORA193" s="5"/>
      <c r="ORB193" s="5"/>
      <c r="ORC193" s="5"/>
      <c r="ORD193" s="5"/>
      <c r="ORE193" s="5"/>
      <c r="ORF193" s="5"/>
      <c r="ORG193" s="5"/>
      <c r="ORH193" s="5"/>
      <c r="ORI193" s="5"/>
      <c r="ORJ193" s="5"/>
      <c r="ORK193" s="5"/>
      <c r="ORL193" s="5"/>
      <c r="ORM193" s="5"/>
      <c r="ORN193" s="5"/>
      <c r="ORO193" s="5"/>
      <c r="ORP193" s="5"/>
      <c r="ORQ193" s="5"/>
      <c r="ORR193" s="5"/>
      <c r="ORS193" s="5"/>
      <c r="ORT193" s="5"/>
      <c r="ORU193" s="5"/>
      <c r="ORV193" s="5"/>
      <c r="ORW193" s="5"/>
      <c r="ORX193" s="5"/>
      <c r="ORY193" s="5"/>
      <c r="ORZ193" s="5"/>
      <c r="OSA193" s="5"/>
      <c r="OSB193" s="5"/>
      <c r="OSC193" s="5"/>
      <c r="OSD193" s="5"/>
      <c r="OSE193" s="5"/>
      <c r="OSF193" s="5"/>
      <c r="OSG193" s="5"/>
      <c r="OSH193" s="5"/>
      <c r="OSI193" s="5"/>
      <c r="OSJ193" s="5"/>
      <c r="OSK193" s="5"/>
      <c r="OSL193" s="5"/>
      <c r="OSM193" s="5"/>
      <c r="OSN193" s="5"/>
      <c r="OSO193" s="5"/>
      <c r="OSP193" s="5"/>
      <c r="OSQ193" s="5"/>
      <c r="OSR193" s="5"/>
      <c r="OSS193" s="5"/>
      <c r="OST193" s="5"/>
      <c r="OSU193" s="5"/>
      <c r="OSV193" s="5"/>
      <c r="OSW193" s="5"/>
      <c r="OSX193" s="5"/>
      <c r="OSY193" s="5"/>
      <c r="OSZ193" s="5"/>
      <c r="OTA193" s="5"/>
      <c r="OTB193" s="5"/>
      <c r="OTC193" s="5"/>
      <c r="OTD193" s="5"/>
      <c r="OTE193" s="5"/>
      <c r="OTF193" s="5"/>
      <c r="OTG193" s="5"/>
      <c r="OTH193" s="5"/>
      <c r="OTI193" s="5"/>
      <c r="OTJ193" s="5"/>
      <c r="OTK193" s="5"/>
      <c r="OTL193" s="5"/>
      <c r="OTM193" s="5"/>
      <c r="OTN193" s="5"/>
      <c r="OTO193" s="5"/>
      <c r="OTP193" s="5"/>
      <c r="OTQ193" s="5"/>
      <c r="OTR193" s="5"/>
      <c r="OTS193" s="5"/>
      <c r="OTT193" s="5"/>
      <c r="OTU193" s="5"/>
      <c r="OTV193" s="5"/>
      <c r="OTW193" s="5"/>
      <c r="OTX193" s="5"/>
      <c r="OTY193" s="5"/>
      <c r="OTZ193" s="5"/>
      <c r="OUA193" s="5"/>
      <c r="OUB193" s="5"/>
      <c r="OUC193" s="5"/>
      <c r="OUD193" s="5"/>
      <c r="OUE193" s="5"/>
      <c r="OUF193" s="5"/>
      <c r="OUG193" s="5"/>
      <c r="OUH193" s="5"/>
      <c r="OUI193" s="5"/>
      <c r="OUJ193" s="5"/>
      <c r="OUK193" s="5"/>
      <c r="OUL193" s="5"/>
      <c r="OUM193" s="5"/>
      <c r="OUN193" s="5"/>
      <c r="OUO193" s="5"/>
      <c r="OUP193" s="5"/>
      <c r="OUQ193" s="5"/>
      <c r="OUR193" s="5"/>
      <c r="OUS193" s="5"/>
      <c r="OUT193" s="5"/>
      <c r="OUU193" s="5"/>
      <c r="OUV193" s="5"/>
      <c r="OUW193" s="5"/>
      <c r="OUX193" s="5"/>
      <c r="OUY193" s="5"/>
      <c r="OUZ193" s="5"/>
      <c r="OVA193" s="5"/>
      <c r="OVB193" s="5"/>
      <c r="OVC193" s="5"/>
      <c r="OVD193" s="5"/>
      <c r="OVE193" s="5"/>
      <c r="OVF193" s="5"/>
      <c r="OVG193" s="5"/>
      <c r="OVH193" s="5"/>
      <c r="OVI193" s="5"/>
      <c r="OVJ193" s="5"/>
      <c r="OVK193" s="5"/>
      <c r="OVL193" s="5"/>
      <c r="OVM193" s="5"/>
      <c r="OVN193" s="5"/>
      <c r="OVO193" s="5"/>
      <c r="OVP193" s="5"/>
      <c r="OVQ193" s="5"/>
      <c r="OVR193" s="5"/>
      <c r="OVS193" s="5"/>
      <c r="OVT193" s="5"/>
      <c r="OVU193" s="5"/>
      <c r="OVV193" s="5"/>
      <c r="OVW193" s="5"/>
      <c r="OVX193" s="5"/>
      <c r="OVY193" s="5"/>
      <c r="OVZ193" s="5"/>
      <c r="OWA193" s="5"/>
      <c r="OWB193" s="5"/>
      <c r="OWC193" s="5"/>
      <c r="OWD193" s="5"/>
      <c r="OWE193" s="5"/>
      <c r="OWF193" s="5"/>
      <c r="OWG193" s="5"/>
      <c r="OWH193" s="5"/>
      <c r="OWI193" s="5"/>
      <c r="OWJ193" s="5"/>
      <c r="OWK193" s="5"/>
      <c r="OWL193" s="5"/>
      <c r="OWM193" s="5"/>
      <c r="OWN193" s="5"/>
      <c r="OWO193" s="5"/>
      <c r="OWP193" s="5"/>
      <c r="OWQ193" s="5"/>
      <c r="OWR193" s="5"/>
      <c r="OWS193" s="5"/>
      <c r="OWT193" s="5"/>
      <c r="OWU193" s="5"/>
      <c r="OWV193" s="5"/>
      <c r="OWW193" s="5"/>
      <c r="OWX193" s="5"/>
      <c r="OWY193" s="5"/>
      <c r="OWZ193" s="5"/>
      <c r="OXA193" s="5"/>
      <c r="OXB193" s="5"/>
      <c r="OXC193" s="5"/>
      <c r="OXD193" s="5"/>
      <c r="OXE193" s="5"/>
      <c r="OXF193" s="5"/>
      <c r="OXG193" s="5"/>
      <c r="OXH193" s="5"/>
      <c r="OXI193" s="5"/>
      <c r="OXJ193" s="5"/>
      <c r="OXK193" s="5"/>
      <c r="OXL193" s="5"/>
      <c r="OXM193" s="5"/>
      <c r="OXN193" s="5"/>
      <c r="OXO193" s="5"/>
      <c r="OXP193" s="5"/>
      <c r="OXQ193" s="5"/>
      <c r="OXR193" s="5"/>
      <c r="OXS193" s="5"/>
      <c r="OXT193" s="5"/>
      <c r="OXU193" s="5"/>
      <c r="OXV193" s="5"/>
      <c r="OXW193" s="5"/>
      <c r="OXX193" s="5"/>
      <c r="OXY193" s="5"/>
      <c r="OXZ193" s="5"/>
      <c r="OYA193" s="5"/>
      <c r="OYB193" s="5"/>
      <c r="OYC193" s="5"/>
      <c r="OYD193" s="5"/>
      <c r="OYE193" s="5"/>
      <c r="OYF193" s="5"/>
      <c r="OYG193" s="5"/>
      <c r="OYH193" s="5"/>
      <c r="OYI193" s="5"/>
      <c r="OYJ193" s="5"/>
      <c r="OYK193" s="5"/>
      <c r="OYL193" s="5"/>
      <c r="OYM193" s="5"/>
      <c r="OYN193" s="5"/>
      <c r="OYO193" s="5"/>
      <c r="OYP193" s="5"/>
      <c r="OYQ193" s="5"/>
      <c r="OYR193" s="5"/>
      <c r="OYS193" s="5"/>
      <c r="OYT193" s="5"/>
      <c r="OYU193" s="5"/>
      <c r="OYV193" s="5"/>
      <c r="OYW193" s="5"/>
      <c r="OYX193" s="5"/>
      <c r="OYY193" s="5"/>
      <c r="OYZ193" s="5"/>
      <c r="OZA193" s="5"/>
      <c r="OZB193" s="5"/>
      <c r="OZC193" s="5"/>
      <c r="OZD193" s="5"/>
      <c r="OZE193" s="5"/>
      <c r="OZF193" s="5"/>
      <c r="OZG193" s="5"/>
      <c r="OZH193" s="5"/>
      <c r="OZI193" s="5"/>
      <c r="OZJ193" s="5"/>
      <c r="OZK193" s="5"/>
      <c r="OZL193" s="5"/>
      <c r="OZM193" s="5"/>
      <c r="OZN193" s="5"/>
      <c r="OZO193" s="5"/>
      <c r="OZP193" s="5"/>
      <c r="OZQ193" s="5"/>
      <c r="OZR193" s="5"/>
      <c r="OZS193" s="5"/>
      <c r="OZT193" s="5"/>
      <c r="OZU193" s="5"/>
      <c r="OZV193" s="5"/>
      <c r="OZW193" s="5"/>
      <c r="OZX193" s="5"/>
      <c r="OZY193" s="5"/>
      <c r="OZZ193" s="5"/>
      <c r="PAA193" s="5"/>
      <c r="PAB193" s="5"/>
      <c r="PAC193" s="5"/>
      <c r="PAD193" s="5"/>
      <c r="PAE193" s="5"/>
      <c r="PAF193" s="5"/>
      <c r="PAG193" s="5"/>
      <c r="PAH193" s="5"/>
      <c r="PAI193" s="5"/>
      <c r="PAJ193" s="5"/>
      <c r="PAK193" s="5"/>
      <c r="PAL193" s="5"/>
      <c r="PAM193" s="5"/>
      <c r="PAN193" s="5"/>
      <c r="PAO193" s="5"/>
      <c r="PAP193" s="5"/>
      <c r="PAQ193" s="5"/>
      <c r="PAR193" s="5"/>
      <c r="PAS193" s="5"/>
      <c r="PAT193" s="5"/>
      <c r="PAU193" s="5"/>
      <c r="PAV193" s="5"/>
      <c r="PAW193" s="5"/>
      <c r="PAX193" s="5"/>
      <c r="PAY193" s="5"/>
      <c r="PAZ193" s="5"/>
      <c r="PBA193" s="5"/>
      <c r="PBB193" s="5"/>
      <c r="PBC193" s="5"/>
      <c r="PBD193" s="5"/>
      <c r="PBE193" s="5"/>
      <c r="PBF193" s="5"/>
      <c r="PBG193" s="5"/>
      <c r="PBH193" s="5"/>
      <c r="PBI193" s="5"/>
      <c r="PBJ193" s="5"/>
      <c r="PBK193" s="5"/>
      <c r="PBL193" s="5"/>
      <c r="PBM193" s="5"/>
      <c r="PBN193" s="5"/>
      <c r="PBO193" s="5"/>
      <c r="PBP193" s="5"/>
      <c r="PBQ193" s="5"/>
      <c r="PBR193" s="5"/>
      <c r="PBS193" s="5"/>
      <c r="PBT193" s="5"/>
      <c r="PBU193" s="5"/>
      <c r="PBV193" s="5"/>
      <c r="PBW193" s="5"/>
      <c r="PBX193" s="5"/>
      <c r="PBY193" s="5"/>
      <c r="PBZ193" s="5"/>
      <c r="PCA193" s="5"/>
      <c r="PCB193" s="5"/>
      <c r="PCC193" s="5"/>
      <c r="PCD193" s="5"/>
      <c r="PCE193" s="5"/>
      <c r="PCF193" s="5"/>
      <c r="PCG193" s="5"/>
      <c r="PCH193" s="5"/>
      <c r="PCI193" s="5"/>
      <c r="PCJ193" s="5"/>
      <c r="PCK193" s="5"/>
      <c r="PCL193" s="5"/>
      <c r="PCM193" s="5"/>
      <c r="PCN193" s="5"/>
      <c r="PCO193" s="5"/>
      <c r="PCP193" s="5"/>
      <c r="PCQ193" s="5"/>
      <c r="PCR193" s="5"/>
      <c r="PCS193" s="5"/>
      <c r="PCT193" s="5"/>
      <c r="PCU193" s="5"/>
      <c r="PCV193" s="5"/>
      <c r="PCW193" s="5"/>
      <c r="PCX193" s="5"/>
      <c r="PCY193" s="5"/>
      <c r="PCZ193" s="5"/>
      <c r="PDA193" s="5"/>
      <c r="PDB193" s="5"/>
      <c r="PDC193" s="5"/>
      <c r="PDD193" s="5"/>
      <c r="PDE193" s="5"/>
      <c r="PDF193" s="5"/>
      <c r="PDG193" s="5"/>
      <c r="PDH193" s="5"/>
      <c r="PDI193" s="5"/>
      <c r="PDJ193" s="5"/>
      <c r="PDK193" s="5"/>
      <c r="PDL193" s="5"/>
      <c r="PDM193" s="5"/>
      <c r="PDN193" s="5"/>
      <c r="PDO193" s="5"/>
      <c r="PDP193" s="5"/>
      <c r="PDQ193" s="5"/>
      <c r="PDR193" s="5"/>
      <c r="PDS193" s="5"/>
      <c r="PDT193" s="5"/>
      <c r="PDU193" s="5"/>
      <c r="PDV193" s="5"/>
      <c r="PDW193" s="5"/>
      <c r="PDX193" s="5"/>
      <c r="PDY193" s="5"/>
      <c r="PDZ193" s="5"/>
      <c r="PEA193" s="5"/>
      <c r="PEB193" s="5"/>
      <c r="PEC193" s="5"/>
      <c r="PED193" s="5"/>
      <c r="PEE193" s="5"/>
      <c r="PEF193" s="5"/>
      <c r="PEG193" s="5"/>
      <c r="PEH193" s="5"/>
      <c r="PEI193" s="5"/>
      <c r="PEJ193" s="5"/>
      <c r="PEK193" s="5"/>
      <c r="PEL193" s="5"/>
      <c r="PEM193" s="5"/>
      <c r="PEN193" s="5"/>
      <c r="PEO193" s="5"/>
      <c r="PEP193" s="5"/>
      <c r="PEQ193" s="5"/>
      <c r="PER193" s="5"/>
      <c r="PES193" s="5"/>
      <c r="PET193" s="5"/>
      <c r="PEU193" s="5"/>
      <c r="PEV193" s="5"/>
      <c r="PEW193" s="5"/>
      <c r="PEX193" s="5"/>
      <c r="PEY193" s="5"/>
      <c r="PEZ193" s="5"/>
      <c r="PFA193" s="5"/>
      <c r="PFB193" s="5"/>
      <c r="PFC193" s="5"/>
      <c r="PFD193" s="5"/>
      <c r="PFE193" s="5"/>
      <c r="PFF193" s="5"/>
      <c r="PFG193" s="5"/>
      <c r="PFH193" s="5"/>
      <c r="PFI193" s="5"/>
      <c r="PFJ193" s="5"/>
      <c r="PFK193" s="5"/>
      <c r="PFL193" s="5"/>
      <c r="PFM193" s="5"/>
      <c r="PFN193" s="5"/>
      <c r="PFO193" s="5"/>
      <c r="PFP193" s="5"/>
      <c r="PFQ193" s="5"/>
      <c r="PFR193" s="5"/>
      <c r="PFS193" s="5"/>
      <c r="PFT193" s="5"/>
      <c r="PFU193" s="5"/>
      <c r="PFV193" s="5"/>
      <c r="PFW193" s="5"/>
      <c r="PFX193" s="5"/>
      <c r="PFY193" s="5"/>
      <c r="PFZ193" s="5"/>
      <c r="PGA193" s="5"/>
      <c r="PGB193" s="5"/>
      <c r="PGC193" s="5"/>
      <c r="PGD193" s="5"/>
      <c r="PGE193" s="5"/>
      <c r="PGF193" s="5"/>
      <c r="PGG193" s="5"/>
      <c r="PGH193" s="5"/>
      <c r="PGI193" s="5"/>
      <c r="PGJ193" s="5"/>
      <c r="PGK193" s="5"/>
      <c r="PGL193" s="5"/>
      <c r="PGM193" s="5"/>
      <c r="PGN193" s="5"/>
      <c r="PGO193" s="5"/>
      <c r="PGP193" s="5"/>
      <c r="PGQ193" s="5"/>
      <c r="PGR193" s="5"/>
      <c r="PGS193" s="5"/>
      <c r="PGT193" s="5"/>
      <c r="PGU193" s="5"/>
      <c r="PGV193" s="5"/>
      <c r="PGW193" s="5"/>
      <c r="PGX193" s="5"/>
      <c r="PGY193" s="5"/>
      <c r="PGZ193" s="5"/>
      <c r="PHA193" s="5"/>
      <c r="PHB193" s="5"/>
      <c r="PHC193" s="5"/>
      <c r="PHD193" s="5"/>
      <c r="PHE193" s="5"/>
      <c r="PHF193" s="5"/>
      <c r="PHG193" s="5"/>
      <c r="PHH193" s="5"/>
      <c r="PHI193" s="5"/>
      <c r="PHJ193" s="5"/>
      <c r="PHK193" s="5"/>
      <c r="PHL193" s="5"/>
      <c r="PHM193" s="5"/>
      <c r="PHN193" s="5"/>
      <c r="PHO193" s="5"/>
      <c r="PHP193" s="5"/>
      <c r="PHQ193" s="5"/>
      <c r="PHR193" s="5"/>
      <c r="PHS193" s="5"/>
      <c r="PHT193" s="5"/>
      <c r="PHU193" s="5"/>
      <c r="PHV193" s="5"/>
      <c r="PHW193" s="5"/>
      <c r="PHX193" s="5"/>
      <c r="PHY193" s="5"/>
      <c r="PHZ193" s="5"/>
      <c r="PIA193" s="5"/>
      <c r="PIB193" s="5"/>
      <c r="PIC193" s="5"/>
      <c r="PID193" s="5"/>
      <c r="PIE193" s="5"/>
      <c r="PIF193" s="5"/>
      <c r="PIG193" s="5"/>
      <c r="PIH193" s="5"/>
      <c r="PII193" s="5"/>
      <c r="PIJ193" s="5"/>
      <c r="PIK193" s="5"/>
      <c r="PIL193" s="5"/>
      <c r="PIM193" s="5"/>
      <c r="PIN193" s="5"/>
      <c r="PIO193" s="5"/>
      <c r="PIP193" s="5"/>
      <c r="PIQ193" s="5"/>
      <c r="PIR193" s="5"/>
      <c r="PIS193" s="5"/>
      <c r="PIT193" s="5"/>
      <c r="PIU193" s="5"/>
      <c r="PIV193" s="5"/>
      <c r="PIW193" s="5"/>
      <c r="PIX193" s="5"/>
      <c r="PIY193" s="5"/>
      <c r="PIZ193" s="5"/>
      <c r="PJA193" s="5"/>
      <c r="PJB193" s="5"/>
      <c r="PJC193" s="5"/>
      <c r="PJD193" s="5"/>
      <c r="PJE193" s="5"/>
      <c r="PJF193" s="5"/>
      <c r="PJG193" s="5"/>
      <c r="PJH193" s="5"/>
      <c r="PJI193" s="5"/>
      <c r="PJJ193" s="5"/>
      <c r="PJK193" s="5"/>
      <c r="PJL193" s="5"/>
      <c r="PJM193" s="5"/>
      <c r="PJN193" s="5"/>
      <c r="PJO193" s="5"/>
      <c r="PJP193" s="5"/>
      <c r="PJQ193" s="5"/>
      <c r="PJR193" s="5"/>
      <c r="PJS193" s="5"/>
      <c r="PJT193" s="5"/>
      <c r="PJU193" s="5"/>
      <c r="PJV193" s="5"/>
      <c r="PJW193" s="5"/>
      <c r="PJX193" s="5"/>
      <c r="PJY193" s="5"/>
      <c r="PJZ193" s="5"/>
      <c r="PKA193" s="5"/>
      <c r="PKB193" s="5"/>
      <c r="PKC193" s="5"/>
      <c r="PKD193" s="5"/>
      <c r="PKE193" s="5"/>
      <c r="PKF193" s="5"/>
      <c r="PKG193" s="5"/>
      <c r="PKH193" s="5"/>
      <c r="PKI193" s="5"/>
      <c r="PKJ193" s="5"/>
      <c r="PKK193" s="5"/>
      <c r="PKL193" s="5"/>
      <c r="PKM193" s="5"/>
      <c r="PKN193" s="5"/>
      <c r="PKO193" s="5"/>
      <c r="PKP193" s="5"/>
      <c r="PKQ193" s="5"/>
      <c r="PKR193" s="5"/>
      <c r="PKS193" s="5"/>
      <c r="PKT193" s="5"/>
      <c r="PKU193" s="5"/>
      <c r="PKV193" s="5"/>
      <c r="PKW193" s="5"/>
      <c r="PKX193" s="5"/>
      <c r="PKY193" s="5"/>
      <c r="PKZ193" s="5"/>
      <c r="PLA193" s="5"/>
      <c r="PLB193" s="5"/>
      <c r="PLC193" s="5"/>
      <c r="PLD193" s="5"/>
      <c r="PLE193" s="5"/>
      <c r="PLF193" s="5"/>
      <c r="PLG193" s="5"/>
      <c r="PLH193" s="5"/>
      <c r="PLI193" s="5"/>
      <c r="PLJ193" s="5"/>
      <c r="PLK193" s="5"/>
      <c r="PLL193" s="5"/>
      <c r="PLM193" s="5"/>
      <c r="PLN193" s="5"/>
      <c r="PLO193" s="5"/>
      <c r="PLP193" s="5"/>
      <c r="PLQ193" s="5"/>
      <c r="PLR193" s="5"/>
      <c r="PLS193" s="5"/>
      <c r="PLT193" s="5"/>
      <c r="PLU193" s="5"/>
      <c r="PLV193" s="5"/>
      <c r="PLW193" s="5"/>
      <c r="PLX193" s="5"/>
      <c r="PLY193" s="5"/>
      <c r="PLZ193" s="5"/>
      <c r="PMA193" s="5"/>
      <c r="PMB193" s="5"/>
      <c r="PMC193" s="5"/>
      <c r="PMD193" s="5"/>
      <c r="PME193" s="5"/>
      <c r="PMF193" s="5"/>
      <c r="PMG193" s="5"/>
      <c r="PMH193" s="5"/>
      <c r="PMI193" s="5"/>
      <c r="PMJ193" s="5"/>
      <c r="PMK193" s="5"/>
      <c r="PML193" s="5"/>
      <c r="PMM193" s="5"/>
      <c r="PMN193" s="5"/>
      <c r="PMO193" s="5"/>
      <c r="PMP193" s="5"/>
      <c r="PMQ193" s="5"/>
      <c r="PMR193" s="5"/>
      <c r="PMS193" s="5"/>
      <c r="PMT193" s="5"/>
      <c r="PMU193" s="5"/>
      <c r="PMV193" s="5"/>
      <c r="PMW193" s="5"/>
      <c r="PMX193" s="5"/>
      <c r="PMY193" s="5"/>
      <c r="PMZ193" s="5"/>
      <c r="PNA193" s="5"/>
      <c r="PNB193" s="5"/>
      <c r="PNC193" s="5"/>
      <c r="PND193" s="5"/>
      <c r="PNE193" s="5"/>
      <c r="PNF193" s="5"/>
      <c r="PNG193" s="5"/>
      <c r="PNH193" s="5"/>
      <c r="PNI193" s="5"/>
      <c r="PNJ193" s="5"/>
      <c r="PNK193" s="5"/>
      <c r="PNL193" s="5"/>
      <c r="PNM193" s="5"/>
      <c r="PNN193" s="5"/>
      <c r="PNO193" s="5"/>
      <c r="PNP193" s="5"/>
      <c r="PNQ193" s="5"/>
      <c r="PNR193" s="5"/>
      <c r="PNS193" s="5"/>
      <c r="PNT193" s="5"/>
      <c r="PNU193" s="5"/>
      <c r="PNV193" s="5"/>
      <c r="PNW193" s="5"/>
      <c r="PNX193" s="5"/>
      <c r="PNY193" s="5"/>
      <c r="PNZ193" s="5"/>
      <c r="POA193" s="5"/>
      <c r="POB193" s="5"/>
      <c r="POC193" s="5"/>
      <c r="POD193" s="5"/>
      <c r="POE193" s="5"/>
      <c r="POF193" s="5"/>
      <c r="POG193" s="5"/>
      <c r="POH193" s="5"/>
      <c r="POI193" s="5"/>
      <c r="POJ193" s="5"/>
      <c r="POK193" s="5"/>
      <c r="POL193" s="5"/>
      <c r="POM193" s="5"/>
      <c r="PON193" s="5"/>
      <c r="POO193" s="5"/>
      <c r="POP193" s="5"/>
      <c r="POQ193" s="5"/>
      <c r="POR193" s="5"/>
      <c r="POS193" s="5"/>
      <c r="POT193" s="5"/>
      <c r="POU193" s="5"/>
      <c r="POV193" s="5"/>
      <c r="POW193" s="5"/>
      <c r="POX193" s="5"/>
      <c r="POY193" s="5"/>
      <c r="POZ193" s="5"/>
      <c r="PPA193" s="5"/>
      <c r="PPB193" s="5"/>
      <c r="PPC193" s="5"/>
      <c r="PPD193" s="5"/>
      <c r="PPE193" s="5"/>
      <c r="PPF193" s="5"/>
      <c r="PPG193" s="5"/>
      <c r="PPH193" s="5"/>
      <c r="PPI193" s="5"/>
      <c r="PPJ193" s="5"/>
      <c r="PPK193" s="5"/>
      <c r="PPL193" s="5"/>
      <c r="PPM193" s="5"/>
      <c r="PPN193" s="5"/>
      <c r="PPO193" s="5"/>
      <c r="PPP193" s="5"/>
      <c r="PPQ193" s="5"/>
      <c r="PPR193" s="5"/>
      <c r="PPS193" s="5"/>
      <c r="PPT193" s="5"/>
      <c r="PPU193" s="5"/>
      <c r="PPV193" s="5"/>
      <c r="PPW193" s="5"/>
      <c r="PPX193" s="5"/>
      <c r="PPY193" s="5"/>
      <c r="PPZ193" s="5"/>
      <c r="PQA193" s="5"/>
      <c r="PQB193" s="5"/>
      <c r="PQC193" s="5"/>
      <c r="PQD193" s="5"/>
      <c r="PQE193" s="5"/>
      <c r="PQF193" s="5"/>
      <c r="PQG193" s="5"/>
      <c r="PQH193" s="5"/>
      <c r="PQI193" s="5"/>
      <c r="PQJ193" s="5"/>
      <c r="PQK193" s="5"/>
      <c r="PQL193" s="5"/>
      <c r="PQM193" s="5"/>
      <c r="PQN193" s="5"/>
      <c r="PQO193" s="5"/>
      <c r="PQP193" s="5"/>
      <c r="PQQ193" s="5"/>
      <c r="PQR193" s="5"/>
      <c r="PQS193" s="5"/>
      <c r="PQT193" s="5"/>
      <c r="PQU193" s="5"/>
      <c r="PQV193" s="5"/>
      <c r="PQW193" s="5"/>
      <c r="PQX193" s="5"/>
      <c r="PQY193" s="5"/>
      <c r="PQZ193" s="5"/>
      <c r="PRA193" s="5"/>
      <c r="PRB193" s="5"/>
      <c r="PRC193" s="5"/>
      <c r="PRD193" s="5"/>
      <c r="PRE193" s="5"/>
      <c r="PRF193" s="5"/>
      <c r="PRG193" s="5"/>
      <c r="PRH193" s="5"/>
      <c r="PRI193" s="5"/>
      <c r="PRJ193" s="5"/>
      <c r="PRK193" s="5"/>
      <c r="PRL193" s="5"/>
      <c r="PRM193" s="5"/>
      <c r="PRN193" s="5"/>
      <c r="PRO193" s="5"/>
      <c r="PRP193" s="5"/>
      <c r="PRQ193" s="5"/>
      <c r="PRR193" s="5"/>
      <c r="PRS193" s="5"/>
      <c r="PRT193" s="5"/>
      <c r="PRU193" s="5"/>
      <c r="PRV193" s="5"/>
      <c r="PRW193" s="5"/>
      <c r="PRX193" s="5"/>
      <c r="PRY193" s="5"/>
      <c r="PRZ193" s="5"/>
      <c r="PSA193" s="5"/>
      <c r="PSB193" s="5"/>
      <c r="PSC193" s="5"/>
      <c r="PSD193" s="5"/>
      <c r="PSE193" s="5"/>
      <c r="PSF193" s="5"/>
      <c r="PSG193" s="5"/>
      <c r="PSH193" s="5"/>
      <c r="PSI193" s="5"/>
      <c r="PSJ193" s="5"/>
      <c r="PSK193" s="5"/>
      <c r="PSL193" s="5"/>
      <c r="PSM193" s="5"/>
      <c r="PSN193" s="5"/>
      <c r="PSO193" s="5"/>
      <c r="PSP193" s="5"/>
      <c r="PSQ193" s="5"/>
      <c r="PSR193" s="5"/>
      <c r="PSS193" s="5"/>
      <c r="PST193" s="5"/>
      <c r="PSU193" s="5"/>
      <c r="PSV193" s="5"/>
      <c r="PSW193" s="5"/>
      <c r="PSX193" s="5"/>
      <c r="PSY193" s="5"/>
      <c r="PSZ193" s="5"/>
      <c r="PTA193" s="5"/>
      <c r="PTB193" s="5"/>
      <c r="PTC193" s="5"/>
      <c r="PTD193" s="5"/>
      <c r="PTE193" s="5"/>
      <c r="PTF193" s="5"/>
      <c r="PTG193" s="5"/>
      <c r="PTH193" s="5"/>
      <c r="PTI193" s="5"/>
      <c r="PTJ193" s="5"/>
      <c r="PTK193" s="5"/>
      <c r="PTL193" s="5"/>
      <c r="PTM193" s="5"/>
      <c r="PTN193" s="5"/>
      <c r="PTO193" s="5"/>
      <c r="PTP193" s="5"/>
      <c r="PTQ193" s="5"/>
      <c r="PTR193" s="5"/>
      <c r="PTS193" s="5"/>
      <c r="PTT193" s="5"/>
      <c r="PTU193" s="5"/>
      <c r="PTV193" s="5"/>
      <c r="PTW193" s="5"/>
      <c r="PTX193" s="5"/>
      <c r="PTY193" s="5"/>
      <c r="PTZ193" s="5"/>
      <c r="PUA193" s="5"/>
      <c r="PUB193" s="5"/>
      <c r="PUC193" s="5"/>
      <c r="PUD193" s="5"/>
      <c r="PUE193" s="5"/>
      <c r="PUF193" s="5"/>
      <c r="PUG193" s="5"/>
      <c r="PUH193" s="5"/>
      <c r="PUI193" s="5"/>
      <c r="PUJ193" s="5"/>
      <c r="PUK193" s="5"/>
      <c r="PUL193" s="5"/>
      <c r="PUM193" s="5"/>
      <c r="PUN193" s="5"/>
      <c r="PUO193" s="5"/>
      <c r="PUP193" s="5"/>
      <c r="PUQ193" s="5"/>
      <c r="PUR193" s="5"/>
      <c r="PUS193" s="5"/>
      <c r="PUT193" s="5"/>
      <c r="PUU193" s="5"/>
      <c r="PUV193" s="5"/>
      <c r="PUW193" s="5"/>
      <c r="PUX193" s="5"/>
      <c r="PUY193" s="5"/>
      <c r="PUZ193" s="5"/>
      <c r="PVA193" s="5"/>
      <c r="PVB193" s="5"/>
      <c r="PVC193" s="5"/>
      <c r="PVD193" s="5"/>
      <c r="PVE193" s="5"/>
      <c r="PVF193" s="5"/>
      <c r="PVG193" s="5"/>
      <c r="PVH193" s="5"/>
      <c r="PVI193" s="5"/>
      <c r="PVJ193" s="5"/>
      <c r="PVK193" s="5"/>
      <c r="PVL193" s="5"/>
      <c r="PVM193" s="5"/>
      <c r="PVN193" s="5"/>
      <c r="PVO193" s="5"/>
      <c r="PVP193" s="5"/>
      <c r="PVQ193" s="5"/>
      <c r="PVR193" s="5"/>
      <c r="PVS193" s="5"/>
      <c r="PVT193" s="5"/>
      <c r="PVU193" s="5"/>
      <c r="PVV193" s="5"/>
      <c r="PVW193" s="5"/>
      <c r="PVX193" s="5"/>
      <c r="PVY193" s="5"/>
      <c r="PVZ193" s="5"/>
      <c r="PWA193" s="5"/>
      <c r="PWB193" s="5"/>
      <c r="PWC193" s="5"/>
      <c r="PWD193" s="5"/>
      <c r="PWE193" s="5"/>
      <c r="PWF193" s="5"/>
      <c r="PWG193" s="5"/>
      <c r="PWH193" s="5"/>
      <c r="PWI193" s="5"/>
      <c r="PWJ193" s="5"/>
      <c r="PWK193" s="5"/>
      <c r="PWL193" s="5"/>
      <c r="PWM193" s="5"/>
      <c r="PWN193" s="5"/>
      <c r="PWO193" s="5"/>
      <c r="PWP193" s="5"/>
      <c r="PWQ193" s="5"/>
      <c r="PWR193" s="5"/>
      <c r="PWS193" s="5"/>
      <c r="PWT193" s="5"/>
      <c r="PWU193" s="5"/>
      <c r="PWV193" s="5"/>
      <c r="PWW193" s="5"/>
      <c r="PWX193" s="5"/>
      <c r="PWY193" s="5"/>
      <c r="PWZ193" s="5"/>
      <c r="PXA193" s="5"/>
      <c r="PXB193" s="5"/>
      <c r="PXC193" s="5"/>
      <c r="PXD193" s="5"/>
      <c r="PXE193" s="5"/>
      <c r="PXF193" s="5"/>
      <c r="PXG193" s="5"/>
      <c r="PXH193" s="5"/>
      <c r="PXI193" s="5"/>
      <c r="PXJ193" s="5"/>
      <c r="PXK193" s="5"/>
      <c r="PXL193" s="5"/>
      <c r="PXM193" s="5"/>
      <c r="PXN193" s="5"/>
      <c r="PXO193" s="5"/>
      <c r="PXP193" s="5"/>
      <c r="PXQ193" s="5"/>
      <c r="PXR193" s="5"/>
      <c r="PXS193" s="5"/>
      <c r="PXT193" s="5"/>
      <c r="PXU193" s="5"/>
      <c r="PXV193" s="5"/>
      <c r="PXW193" s="5"/>
      <c r="PXX193" s="5"/>
      <c r="PXY193" s="5"/>
      <c r="PXZ193" s="5"/>
      <c r="PYA193" s="5"/>
      <c r="PYB193" s="5"/>
      <c r="PYC193" s="5"/>
      <c r="PYD193" s="5"/>
      <c r="PYE193" s="5"/>
      <c r="PYF193" s="5"/>
      <c r="PYG193" s="5"/>
      <c r="PYH193" s="5"/>
      <c r="PYI193" s="5"/>
      <c r="PYJ193" s="5"/>
      <c r="PYK193" s="5"/>
      <c r="PYL193" s="5"/>
      <c r="PYM193" s="5"/>
      <c r="PYN193" s="5"/>
      <c r="PYO193" s="5"/>
      <c r="PYP193" s="5"/>
      <c r="PYQ193" s="5"/>
      <c r="PYR193" s="5"/>
      <c r="PYS193" s="5"/>
      <c r="PYT193" s="5"/>
      <c r="PYU193" s="5"/>
      <c r="PYV193" s="5"/>
      <c r="PYW193" s="5"/>
      <c r="PYX193" s="5"/>
      <c r="PYY193" s="5"/>
      <c r="PYZ193" s="5"/>
      <c r="PZA193" s="5"/>
      <c r="PZB193" s="5"/>
      <c r="PZC193" s="5"/>
      <c r="PZD193" s="5"/>
      <c r="PZE193" s="5"/>
      <c r="PZF193" s="5"/>
      <c r="PZG193" s="5"/>
      <c r="PZH193" s="5"/>
      <c r="PZI193" s="5"/>
      <c r="PZJ193" s="5"/>
      <c r="PZK193" s="5"/>
      <c r="PZL193" s="5"/>
      <c r="PZM193" s="5"/>
      <c r="PZN193" s="5"/>
      <c r="PZO193" s="5"/>
      <c r="PZP193" s="5"/>
      <c r="PZQ193" s="5"/>
      <c r="PZR193" s="5"/>
      <c r="PZS193" s="5"/>
      <c r="PZT193" s="5"/>
      <c r="PZU193" s="5"/>
      <c r="PZV193" s="5"/>
      <c r="PZW193" s="5"/>
      <c r="PZX193" s="5"/>
      <c r="PZY193" s="5"/>
      <c r="PZZ193" s="5"/>
      <c r="QAA193" s="5"/>
      <c r="QAB193" s="5"/>
      <c r="QAC193" s="5"/>
      <c r="QAD193" s="5"/>
      <c r="QAE193" s="5"/>
      <c r="QAF193" s="5"/>
      <c r="QAG193" s="5"/>
      <c r="QAH193" s="5"/>
      <c r="QAI193" s="5"/>
      <c r="QAJ193" s="5"/>
      <c r="QAK193" s="5"/>
      <c r="QAL193" s="5"/>
      <c r="QAM193" s="5"/>
      <c r="QAN193" s="5"/>
      <c r="QAO193" s="5"/>
      <c r="QAP193" s="5"/>
      <c r="QAQ193" s="5"/>
      <c r="QAR193" s="5"/>
      <c r="QAS193" s="5"/>
      <c r="QAT193" s="5"/>
      <c r="QAU193" s="5"/>
      <c r="QAV193" s="5"/>
      <c r="QAW193" s="5"/>
      <c r="QAX193" s="5"/>
      <c r="QAY193" s="5"/>
      <c r="QAZ193" s="5"/>
      <c r="QBA193" s="5"/>
      <c r="QBB193" s="5"/>
      <c r="QBC193" s="5"/>
      <c r="QBD193" s="5"/>
      <c r="QBE193" s="5"/>
      <c r="QBF193" s="5"/>
      <c r="QBG193" s="5"/>
      <c r="QBH193" s="5"/>
      <c r="QBI193" s="5"/>
      <c r="QBJ193" s="5"/>
      <c r="QBK193" s="5"/>
      <c r="QBL193" s="5"/>
      <c r="QBM193" s="5"/>
      <c r="QBN193" s="5"/>
      <c r="QBO193" s="5"/>
      <c r="QBP193" s="5"/>
      <c r="QBQ193" s="5"/>
      <c r="QBR193" s="5"/>
      <c r="QBS193" s="5"/>
      <c r="QBT193" s="5"/>
      <c r="QBU193" s="5"/>
      <c r="QBV193" s="5"/>
      <c r="QBW193" s="5"/>
      <c r="QBX193" s="5"/>
      <c r="QBY193" s="5"/>
      <c r="QBZ193" s="5"/>
      <c r="QCA193" s="5"/>
      <c r="QCB193" s="5"/>
      <c r="QCC193" s="5"/>
      <c r="QCD193" s="5"/>
      <c r="QCE193" s="5"/>
      <c r="QCF193" s="5"/>
      <c r="QCG193" s="5"/>
      <c r="QCH193" s="5"/>
      <c r="QCI193" s="5"/>
      <c r="QCJ193" s="5"/>
      <c r="QCK193" s="5"/>
      <c r="QCL193" s="5"/>
      <c r="QCM193" s="5"/>
      <c r="QCN193" s="5"/>
      <c r="QCO193" s="5"/>
      <c r="QCP193" s="5"/>
      <c r="QCQ193" s="5"/>
      <c r="QCR193" s="5"/>
      <c r="QCS193" s="5"/>
      <c r="QCT193" s="5"/>
      <c r="QCU193" s="5"/>
      <c r="QCV193" s="5"/>
      <c r="QCW193" s="5"/>
      <c r="QCX193" s="5"/>
      <c r="QCY193" s="5"/>
      <c r="QCZ193" s="5"/>
      <c r="QDA193" s="5"/>
      <c r="QDB193" s="5"/>
      <c r="QDC193" s="5"/>
      <c r="QDD193" s="5"/>
      <c r="QDE193" s="5"/>
      <c r="QDF193" s="5"/>
      <c r="QDG193" s="5"/>
      <c r="QDH193" s="5"/>
      <c r="QDI193" s="5"/>
      <c r="QDJ193" s="5"/>
      <c r="QDK193" s="5"/>
      <c r="QDL193" s="5"/>
      <c r="QDM193" s="5"/>
      <c r="QDN193" s="5"/>
      <c r="QDO193" s="5"/>
      <c r="QDP193" s="5"/>
      <c r="QDQ193" s="5"/>
      <c r="QDR193" s="5"/>
      <c r="QDS193" s="5"/>
      <c r="QDT193" s="5"/>
      <c r="QDU193" s="5"/>
      <c r="QDV193" s="5"/>
      <c r="QDW193" s="5"/>
      <c r="QDX193" s="5"/>
      <c r="QDY193" s="5"/>
      <c r="QDZ193" s="5"/>
      <c r="QEA193" s="5"/>
      <c r="QEB193" s="5"/>
      <c r="QEC193" s="5"/>
      <c r="QED193" s="5"/>
      <c r="QEE193" s="5"/>
      <c r="QEF193" s="5"/>
      <c r="QEG193" s="5"/>
      <c r="QEH193" s="5"/>
      <c r="QEI193" s="5"/>
      <c r="QEJ193" s="5"/>
      <c r="QEK193" s="5"/>
      <c r="QEL193" s="5"/>
      <c r="QEM193" s="5"/>
      <c r="QEN193" s="5"/>
      <c r="QEO193" s="5"/>
      <c r="QEP193" s="5"/>
      <c r="QEQ193" s="5"/>
      <c r="QER193" s="5"/>
      <c r="QES193" s="5"/>
      <c r="QET193" s="5"/>
      <c r="QEU193" s="5"/>
      <c r="QEV193" s="5"/>
      <c r="QEW193" s="5"/>
      <c r="QEX193" s="5"/>
      <c r="QEY193" s="5"/>
      <c r="QEZ193" s="5"/>
      <c r="QFA193" s="5"/>
      <c r="QFB193" s="5"/>
      <c r="QFC193" s="5"/>
      <c r="QFD193" s="5"/>
      <c r="QFE193" s="5"/>
      <c r="QFF193" s="5"/>
      <c r="QFG193" s="5"/>
      <c r="QFH193" s="5"/>
      <c r="QFI193" s="5"/>
      <c r="QFJ193" s="5"/>
      <c r="QFK193" s="5"/>
      <c r="QFL193" s="5"/>
      <c r="QFM193" s="5"/>
      <c r="QFN193" s="5"/>
      <c r="QFO193" s="5"/>
      <c r="QFP193" s="5"/>
      <c r="QFQ193" s="5"/>
      <c r="QFR193" s="5"/>
      <c r="QFS193" s="5"/>
      <c r="QFT193" s="5"/>
      <c r="QFU193" s="5"/>
      <c r="QFV193" s="5"/>
      <c r="QFW193" s="5"/>
      <c r="QFX193" s="5"/>
      <c r="QFY193" s="5"/>
      <c r="QFZ193" s="5"/>
      <c r="QGA193" s="5"/>
      <c r="QGB193" s="5"/>
      <c r="QGC193" s="5"/>
      <c r="QGD193" s="5"/>
      <c r="QGE193" s="5"/>
      <c r="QGF193" s="5"/>
      <c r="QGG193" s="5"/>
      <c r="QGH193" s="5"/>
      <c r="QGI193" s="5"/>
      <c r="QGJ193" s="5"/>
      <c r="QGK193" s="5"/>
      <c r="QGL193" s="5"/>
      <c r="QGM193" s="5"/>
      <c r="QGN193" s="5"/>
      <c r="QGO193" s="5"/>
      <c r="QGP193" s="5"/>
      <c r="QGQ193" s="5"/>
      <c r="QGR193" s="5"/>
      <c r="QGS193" s="5"/>
      <c r="QGT193" s="5"/>
      <c r="QGU193" s="5"/>
      <c r="QGV193" s="5"/>
      <c r="QGW193" s="5"/>
      <c r="QGX193" s="5"/>
      <c r="QGY193" s="5"/>
      <c r="QGZ193" s="5"/>
      <c r="QHA193" s="5"/>
      <c r="QHB193" s="5"/>
      <c r="QHC193" s="5"/>
      <c r="QHD193" s="5"/>
      <c r="QHE193" s="5"/>
      <c r="QHF193" s="5"/>
      <c r="QHG193" s="5"/>
      <c r="QHH193" s="5"/>
      <c r="QHI193" s="5"/>
      <c r="QHJ193" s="5"/>
      <c r="QHK193" s="5"/>
      <c r="QHL193" s="5"/>
      <c r="QHM193" s="5"/>
      <c r="QHN193" s="5"/>
      <c r="QHO193" s="5"/>
      <c r="QHP193" s="5"/>
      <c r="QHQ193" s="5"/>
      <c r="QHR193" s="5"/>
      <c r="QHS193" s="5"/>
      <c r="QHT193" s="5"/>
      <c r="QHU193" s="5"/>
      <c r="QHV193" s="5"/>
      <c r="QHW193" s="5"/>
      <c r="QHX193" s="5"/>
      <c r="QHY193" s="5"/>
      <c r="QHZ193" s="5"/>
      <c r="QIA193" s="5"/>
      <c r="QIB193" s="5"/>
      <c r="QIC193" s="5"/>
      <c r="QID193" s="5"/>
      <c r="QIE193" s="5"/>
      <c r="QIF193" s="5"/>
      <c r="QIG193" s="5"/>
      <c r="QIH193" s="5"/>
      <c r="QII193" s="5"/>
      <c r="QIJ193" s="5"/>
      <c r="QIK193" s="5"/>
      <c r="QIL193" s="5"/>
      <c r="QIM193" s="5"/>
      <c r="QIN193" s="5"/>
      <c r="QIO193" s="5"/>
      <c r="QIP193" s="5"/>
      <c r="QIQ193" s="5"/>
      <c r="QIR193" s="5"/>
      <c r="QIS193" s="5"/>
      <c r="QIT193" s="5"/>
      <c r="QIU193" s="5"/>
      <c r="QIV193" s="5"/>
      <c r="QIW193" s="5"/>
      <c r="QIX193" s="5"/>
      <c r="QIY193" s="5"/>
      <c r="QIZ193" s="5"/>
      <c r="QJA193" s="5"/>
      <c r="QJB193" s="5"/>
      <c r="QJC193" s="5"/>
      <c r="QJD193" s="5"/>
      <c r="QJE193" s="5"/>
      <c r="QJF193" s="5"/>
      <c r="QJG193" s="5"/>
      <c r="QJH193" s="5"/>
      <c r="QJI193" s="5"/>
      <c r="QJJ193" s="5"/>
      <c r="QJK193" s="5"/>
      <c r="QJL193" s="5"/>
      <c r="QJM193" s="5"/>
      <c r="QJN193" s="5"/>
      <c r="QJO193" s="5"/>
      <c r="QJP193" s="5"/>
      <c r="QJQ193" s="5"/>
      <c r="QJR193" s="5"/>
      <c r="QJS193" s="5"/>
      <c r="QJT193" s="5"/>
      <c r="QJU193" s="5"/>
      <c r="QJV193" s="5"/>
      <c r="QJW193" s="5"/>
      <c r="QJX193" s="5"/>
      <c r="QJY193" s="5"/>
      <c r="QJZ193" s="5"/>
      <c r="QKA193" s="5"/>
      <c r="QKB193" s="5"/>
      <c r="QKC193" s="5"/>
      <c r="QKD193" s="5"/>
      <c r="QKE193" s="5"/>
      <c r="QKF193" s="5"/>
      <c r="QKG193" s="5"/>
      <c r="QKH193" s="5"/>
      <c r="QKI193" s="5"/>
      <c r="QKJ193" s="5"/>
      <c r="QKK193" s="5"/>
      <c r="QKL193" s="5"/>
      <c r="QKM193" s="5"/>
      <c r="QKN193" s="5"/>
      <c r="QKO193" s="5"/>
      <c r="QKP193" s="5"/>
      <c r="QKQ193" s="5"/>
      <c r="QKR193" s="5"/>
      <c r="QKS193" s="5"/>
      <c r="QKT193" s="5"/>
      <c r="QKU193" s="5"/>
      <c r="QKV193" s="5"/>
      <c r="QKW193" s="5"/>
      <c r="QKX193" s="5"/>
      <c r="QKY193" s="5"/>
      <c r="QKZ193" s="5"/>
      <c r="QLA193" s="5"/>
      <c r="QLB193" s="5"/>
      <c r="QLC193" s="5"/>
      <c r="QLD193" s="5"/>
      <c r="QLE193" s="5"/>
      <c r="QLF193" s="5"/>
      <c r="QLG193" s="5"/>
      <c r="QLH193" s="5"/>
      <c r="QLI193" s="5"/>
      <c r="QLJ193" s="5"/>
      <c r="QLK193" s="5"/>
      <c r="QLL193" s="5"/>
      <c r="QLM193" s="5"/>
      <c r="QLN193" s="5"/>
      <c r="QLO193" s="5"/>
      <c r="QLP193" s="5"/>
      <c r="QLQ193" s="5"/>
      <c r="QLR193" s="5"/>
      <c r="QLS193" s="5"/>
      <c r="QLT193" s="5"/>
      <c r="QLU193" s="5"/>
      <c r="QLV193" s="5"/>
      <c r="QLW193" s="5"/>
      <c r="QLX193" s="5"/>
      <c r="QLY193" s="5"/>
      <c r="QLZ193" s="5"/>
      <c r="QMA193" s="5"/>
      <c r="QMB193" s="5"/>
      <c r="QMC193" s="5"/>
      <c r="QMD193" s="5"/>
      <c r="QME193" s="5"/>
      <c r="QMF193" s="5"/>
      <c r="QMG193" s="5"/>
      <c r="QMH193" s="5"/>
      <c r="QMI193" s="5"/>
      <c r="QMJ193" s="5"/>
      <c r="QMK193" s="5"/>
      <c r="QML193" s="5"/>
      <c r="QMM193" s="5"/>
      <c r="QMN193" s="5"/>
      <c r="QMO193" s="5"/>
      <c r="QMP193" s="5"/>
      <c r="QMQ193" s="5"/>
      <c r="QMR193" s="5"/>
      <c r="QMS193" s="5"/>
      <c r="QMT193" s="5"/>
      <c r="QMU193" s="5"/>
      <c r="QMV193" s="5"/>
      <c r="QMW193" s="5"/>
      <c r="QMX193" s="5"/>
      <c r="QMY193" s="5"/>
      <c r="QMZ193" s="5"/>
      <c r="QNA193" s="5"/>
      <c r="QNB193" s="5"/>
      <c r="QNC193" s="5"/>
      <c r="QND193" s="5"/>
      <c r="QNE193" s="5"/>
      <c r="QNF193" s="5"/>
      <c r="QNG193" s="5"/>
      <c r="QNH193" s="5"/>
      <c r="QNI193" s="5"/>
      <c r="QNJ193" s="5"/>
      <c r="QNK193" s="5"/>
      <c r="QNL193" s="5"/>
      <c r="QNM193" s="5"/>
      <c r="QNN193" s="5"/>
      <c r="QNO193" s="5"/>
      <c r="QNP193" s="5"/>
      <c r="QNQ193" s="5"/>
      <c r="QNR193" s="5"/>
      <c r="QNS193" s="5"/>
      <c r="QNT193" s="5"/>
      <c r="QNU193" s="5"/>
      <c r="QNV193" s="5"/>
      <c r="QNW193" s="5"/>
      <c r="QNX193" s="5"/>
      <c r="QNY193" s="5"/>
      <c r="QNZ193" s="5"/>
      <c r="QOA193" s="5"/>
      <c r="QOB193" s="5"/>
      <c r="QOC193" s="5"/>
      <c r="QOD193" s="5"/>
      <c r="QOE193" s="5"/>
      <c r="QOF193" s="5"/>
      <c r="QOG193" s="5"/>
      <c r="QOH193" s="5"/>
      <c r="QOI193" s="5"/>
      <c r="QOJ193" s="5"/>
      <c r="QOK193" s="5"/>
      <c r="QOL193" s="5"/>
      <c r="QOM193" s="5"/>
      <c r="QON193" s="5"/>
      <c r="QOO193" s="5"/>
      <c r="QOP193" s="5"/>
      <c r="QOQ193" s="5"/>
      <c r="QOR193" s="5"/>
      <c r="QOS193" s="5"/>
      <c r="QOT193" s="5"/>
      <c r="QOU193" s="5"/>
      <c r="QOV193" s="5"/>
      <c r="QOW193" s="5"/>
      <c r="QOX193" s="5"/>
      <c r="QOY193" s="5"/>
      <c r="QOZ193" s="5"/>
      <c r="QPA193" s="5"/>
      <c r="QPB193" s="5"/>
      <c r="QPC193" s="5"/>
      <c r="QPD193" s="5"/>
      <c r="QPE193" s="5"/>
      <c r="QPF193" s="5"/>
      <c r="QPG193" s="5"/>
      <c r="QPH193" s="5"/>
      <c r="QPI193" s="5"/>
      <c r="QPJ193" s="5"/>
      <c r="QPK193" s="5"/>
      <c r="QPL193" s="5"/>
      <c r="QPM193" s="5"/>
      <c r="QPN193" s="5"/>
      <c r="QPO193" s="5"/>
      <c r="QPP193" s="5"/>
      <c r="QPQ193" s="5"/>
      <c r="QPR193" s="5"/>
      <c r="QPS193" s="5"/>
      <c r="QPT193" s="5"/>
      <c r="QPU193" s="5"/>
      <c r="QPV193" s="5"/>
      <c r="QPW193" s="5"/>
      <c r="QPX193" s="5"/>
      <c r="QPY193" s="5"/>
      <c r="QPZ193" s="5"/>
      <c r="QQA193" s="5"/>
      <c r="QQB193" s="5"/>
      <c r="QQC193" s="5"/>
      <c r="QQD193" s="5"/>
      <c r="QQE193" s="5"/>
      <c r="QQF193" s="5"/>
      <c r="QQG193" s="5"/>
      <c r="QQH193" s="5"/>
      <c r="QQI193" s="5"/>
      <c r="QQJ193" s="5"/>
      <c r="QQK193" s="5"/>
      <c r="QQL193" s="5"/>
      <c r="QQM193" s="5"/>
      <c r="QQN193" s="5"/>
      <c r="QQO193" s="5"/>
      <c r="QQP193" s="5"/>
      <c r="QQQ193" s="5"/>
      <c r="QQR193" s="5"/>
      <c r="QQS193" s="5"/>
      <c r="QQT193" s="5"/>
      <c r="QQU193" s="5"/>
      <c r="QQV193" s="5"/>
      <c r="QQW193" s="5"/>
      <c r="QQX193" s="5"/>
      <c r="QQY193" s="5"/>
      <c r="QQZ193" s="5"/>
      <c r="QRA193" s="5"/>
      <c r="QRB193" s="5"/>
      <c r="QRC193" s="5"/>
      <c r="QRD193" s="5"/>
      <c r="QRE193" s="5"/>
      <c r="QRF193" s="5"/>
      <c r="QRG193" s="5"/>
      <c r="QRH193" s="5"/>
      <c r="QRI193" s="5"/>
      <c r="QRJ193" s="5"/>
      <c r="QRK193" s="5"/>
      <c r="QRL193" s="5"/>
      <c r="QRM193" s="5"/>
      <c r="QRN193" s="5"/>
      <c r="QRO193" s="5"/>
      <c r="QRP193" s="5"/>
      <c r="QRQ193" s="5"/>
      <c r="QRR193" s="5"/>
      <c r="QRS193" s="5"/>
      <c r="QRT193" s="5"/>
      <c r="QRU193" s="5"/>
      <c r="QRV193" s="5"/>
      <c r="QRW193" s="5"/>
      <c r="QRX193" s="5"/>
      <c r="QRY193" s="5"/>
      <c r="QRZ193" s="5"/>
      <c r="QSA193" s="5"/>
      <c r="QSB193" s="5"/>
      <c r="QSC193" s="5"/>
      <c r="QSD193" s="5"/>
      <c r="QSE193" s="5"/>
      <c r="QSF193" s="5"/>
      <c r="QSG193" s="5"/>
      <c r="QSH193" s="5"/>
      <c r="QSI193" s="5"/>
      <c r="QSJ193" s="5"/>
      <c r="QSK193" s="5"/>
      <c r="QSL193" s="5"/>
      <c r="QSM193" s="5"/>
      <c r="QSN193" s="5"/>
      <c r="QSO193" s="5"/>
      <c r="QSP193" s="5"/>
      <c r="QSQ193" s="5"/>
      <c r="QSR193" s="5"/>
      <c r="QSS193" s="5"/>
      <c r="QST193" s="5"/>
      <c r="QSU193" s="5"/>
      <c r="QSV193" s="5"/>
      <c r="QSW193" s="5"/>
      <c r="QSX193" s="5"/>
      <c r="QSY193" s="5"/>
      <c r="QSZ193" s="5"/>
      <c r="QTA193" s="5"/>
      <c r="QTB193" s="5"/>
      <c r="QTC193" s="5"/>
      <c r="QTD193" s="5"/>
      <c r="QTE193" s="5"/>
      <c r="QTF193" s="5"/>
      <c r="QTG193" s="5"/>
      <c r="QTH193" s="5"/>
      <c r="QTI193" s="5"/>
      <c r="QTJ193" s="5"/>
      <c r="QTK193" s="5"/>
      <c r="QTL193" s="5"/>
      <c r="QTM193" s="5"/>
      <c r="QTN193" s="5"/>
      <c r="QTO193" s="5"/>
      <c r="QTP193" s="5"/>
      <c r="QTQ193" s="5"/>
      <c r="QTR193" s="5"/>
      <c r="QTS193" s="5"/>
      <c r="QTT193" s="5"/>
      <c r="QTU193" s="5"/>
      <c r="QTV193" s="5"/>
      <c r="QTW193" s="5"/>
      <c r="QTX193" s="5"/>
      <c r="QTY193" s="5"/>
      <c r="QTZ193" s="5"/>
      <c r="QUA193" s="5"/>
      <c r="QUB193" s="5"/>
      <c r="QUC193" s="5"/>
      <c r="QUD193" s="5"/>
      <c r="QUE193" s="5"/>
      <c r="QUF193" s="5"/>
      <c r="QUG193" s="5"/>
      <c r="QUH193" s="5"/>
      <c r="QUI193" s="5"/>
      <c r="QUJ193" s="5"/>
      <c r="QUK193" s="5"/>
      <c r="QUL193" s="5"/>
      <c r="QUM193" s="5"/>
      <c r="QUN193" s="5"/>
      <c r="QUO193" s="5"/>
      <c r="QUP193" s="5"/>
      <c r="QUQ193" s="5"/>
      <c r="QUR193" s="5"/>
      <c r="QUS193" s="5"/>
      <c r="QUT193" s="5"/>
      <c r="QUU193" s="5"/>
      <c r="QUV193" s="5"/>
      <c r="QUW193" s="5"/>
      <c r="QUX193" s="5"/>
      <c r="QUY193" s="5"/>
      <c r="QUZ193" s="5"/>
      <c r="QVA193" s="5"/>
      <c r="QVB193" s="5"/>
      <c r="QVC193" s="5"/>
      <c r="QVD193" s="5"/>
      <c r="QVE193" s="5"/>
      <c r="QVF193" s="5"/>
      <c r="QVG193" s="5"/>
      <c r="QVH193" s="5"/>
      <c r="QVI193" s="5"/>
      <c r="QVJ193" s="5"/>
      <c r="QVK193" s="5"/>
      <c r="QVL193" s="5"/>
      <c r="QVM193" s="5"/>
      <c r="QVN193" s="5"/>
      <c r="QVO193" s="5"/>
      <c r="QVP193" s="5"/>
      <c r="QVQ193" s="5"/>
      <c r="QVR193" s="5"/>
      <c r="QVS193" s="5"/>
      <c r="QVT193" s="5"/>
      <c r="QVU193" s="5"/>
      <c r="QVV193" s="5"/>
      <c r="QVW193" s="5"/>
      <c r="QVX193" s="5"/>
      <c r="QVY193" s="5"/>
      <c r="QVZ193" s="5"/>
      <c r="QWA193" s="5"/>
      <c r="QWB193" s="5"/>
      <c r="QWC193" s="5"/>
      <c r="QWD193" s="5"/>
      <c r="QWE193" s="5"/>
      <c r="QWF193" s="5"/>
      <c r="QWG193" s="5"/>
      <c r="QWH193" s="5"/>
      <c r="QWI193" s="5"/>
      <c r="QWJ193" s="5"/>
      <c r="QWK193" s="5"/>
      <c r="QWL193" s="5"/>
      <c r="QWM193" s="5"/>
      <c r="QWN193" s="5"/>
      <c r="QWO193" s="5"/>
      <c r="QWP193" s="5"/>
      <c r="QWQ193" s="5"/>
      <c r="QWR193" s="5"/>
      <c r="QWS193" s="5"/>
      <c r="QWT193" s="5"/>
      <c r="QWU193" s="5"/>
      <c r="QWV193" s="5"/>
      <c r="QWW193" s="5"/>
      <c r="QWX193" s="5"/>
      <c r="QWY193" s="5"/>
      <c r="QWZ193" s="5"/>
      <c r="QXA193" s="5"/>
      <c r="QXB193" s="5"/>
      <c r="QXC193" s="5"/>
      <c r="QXD193" s="5"/>
      <c r="QXE193" s="5"/>
      <c r="QXF193" s="5"/>
      <c r="QXG193" s="5"/>
      <c r="QXH193" s="5"/>
      <c r="QXI193" s="5"/>
      <c r="QXJ193" s="5"/>
      <c r="QXK193" s="5"/>
      <c r="QXL193" s="5"/>
      <c r="QXM193" s="5"/>
      <c r="QXN193" s="5"/>
      <c r="QXO193" s="5"/>
      <c r="QXP193" s="5"/>
      <c r="QXQ193" s="5"/>
      <c r="QXR193" s="5"/>
      <c r="QXS193" s="5"/>
      <c r="QXT193" s="5"/>
      <c r="QXU193" s="5"/>
      <c r="QXV193" s="5"/>
      <c r="QXW193" s="5"/>
      <c r="QXX193" s="5"/>
      <c r="QXY193" s="5"/>
      <c r="QXZ193" s="5"/>
      <c r="QYA193" s="5"/>
      <c r="QYB193" s="5"/>
      <c r="QYC193" s="5"/>
      <c r="QYD193" s="5"/>
      <c r="QYE193" s="5"/>
      <c r="QYF193" s="5"/>
      <c r="QYG193" s="5"/>
      <c r="QYH193" s="5"/>
      <c r="QYI193" s="5"/>
      <c r="QYJ193" s="5"/>
      <c r="QYK193" s="5"/>
      <c r="QYL193" s="5"/>
      <c r="QYM193" s="5"/>
      <c r="QYN193" s="5"/>
      <c r="QYO193" s="5"/>
      <c r="QYP193" s="5"/>
      <c r="QYQ193" s="5"/>
      <c r="QYR193" s="5"/>
      <c r="QYS193" s="5"/>
      <c r="QYT193" s="5"/>
      <c r="QYU193" s="5"/>
      <c r="QYV193" s="5"/>
      <c r="QYW193" s="5"/>
      <c r="QYX193" s="5"/>
      <c r="QYY193" s="5"/>
      <c r="QYZ193" s="5"/>
      <c r="QZA193" s="5"/>
      <c r="QZB193" s="5"/>
      <c r="QZC193" s="5"/>
      <c r="QZD193" s="5"/>
      <c r="QZE193" s="5"/>
      <c r="QZF193" s="5"/>
      <c r="QZG193" s="5"/>
      <c r="QZH193" s="5"/>
      <c r="QZI193" s="5"/>
      <c r="QZJ193" s="5"/>
      <c r="QZK193" s="5"/>
      <c r="QZL193" s="5"/>
      <c r="QZM193" s="5"/>
      <c r="QZN193" s="5"/>
      <c r="QZO193" s="5"/>
      <c r="QZP193" s="5"/>
      <c r="QZQ193" s="5"/>
      <c r="QZR193" s="5"/>
      <c r="QZS193" s="5"/>
      <c r="QZT193" s="5"/>
      <c r="QZU193" s="5"/>
      <c r="QZV193" s="5"/>
      <c r="QZW193" s="5"/>
      <c r="QZX193" s="5"/>
      <c r="QZY193" s="5"/>
      <c r="QZZ193" s="5"/>
      <c r="RAA193" s="5"/>
      <c r="RAB193" s="5"/>
      <c r="RAC193" s="5"/>
      <c r="RAD193" s="5"/>
      <c r="RAE193" s="5"/>
      <c r="RAF193" s="5"/>
      <c r="RAG193" s="5"/>
      <c r="RAH193" s="5"/>
      <c r="RAI193" s="5"/>
      <c r="RAJ193" s="5"/>
      <c r="RAK193" s="5"/>
      <c r="RAL193" s="5"/>
      <c r="RAM193" s="5"/>
      <c r="RAN193" s="5"/>
      <c r="RAO193" s="5"/>
      <c r="RAP193" s="5"/>
      <c r="RAQ193" s="5"/>
      <c r="RAR193" s="5"/>
      <c r="RAS193" s="5"/>
      <c r="RAT193" s="5"/>
      <c r="RAU193" s="5"/>
      <c r="RAV193" s="5"/>
      <c r="RAW193" s="5"/>
      <c r="RAX193" s="5"/>
      <c r="RAY193" s="5"/>
      <c r="RAZ193" s="5"/>
      <c r="RBA193" s="5"/>
      <c r="RBB193" s="5"/>
      <c r="RBC193" s="5"/>
      <c r="RBD193" s="5"/>
      <c r="RBE193" s="5"/>
      <c r="RBF193" s="5"/>
      <c r="RBG193" s="5"/>
      <c r="RBH193" s="5"/>
      <c r="RBI193" s="5"/>
      <c r="RBJ193" s="5"/>
      <c r="RBK193" s="5"/>
      <c r="RBL193" s="5"/>
      <c r="RBM193" s="5"/>
      <c r="RBN193" s="5"/>
      <c r="RBO193" s="5"/>
      <c r="RBP193" s="5"/>
      <c r="RBQ193" s="5"/>
      <c r="RBR193" s="5"/>
      <c r="RBS193" s="5"/>
      <c r="RBT193" s="5"/>
      <c r="RBU193" s="5"/>
      <c r="RBV193" s="5"/>
      <c r="RBW193" s="5"/>
      <c r="RBX193" s="5"/>
      <c r="RBY193" s="5"/>
      <c r="RBZ193" s="5"/>
      <c r="RCA193" s="5"/>
      <c r="RCB193" s="5"/>
      <c r="RCC193" s="5"/>
      <c r="RCD193" s="5"/>
      <c r="RCE193" s="5"/>
      <c r="RCF193" s="5"/>
      <c r="RCG193" s="5"/>
      <c r="RCH193" s="5"/>
      <c r="RCI193" s="5"/>
      <c r="RCJ193" s="5"/>
      <c r="RCK193" s="5"/>
      <c r="RCL193" s="5"/>
      <c r="RCM193" s="5"/>
      <c r="RCN193" s="5"/>
      <c r="RCO193" s="5"/>
      <c r="RCP193" s="5"/>
      <c r="RCQ193" s="5"/>
      <c r="RCR193" s="5"/>
      <c r="RCS193" s="5"/>
      <c r="RCT193" s="5"/>
      <c r="RCU193" s="5"/>
      <c r="RCV193" s="5"/>
      <c r="RCW193" s="5"/>
      <c r="RCX193" s="5"/>
      <c r="RCY193" s="5"/>
      <c r="RCZ193" s="5"/>
      <c r="RDA193" s="5"/>
      <c r="RDB193" s="5"/>
      <c r="RDC193" s="5"/>
      <c r="RDD193" s="5"/>
      <c r="RDE193" s="5"/>
      <c r="RDF193" s="5"/>
      <c r="RDG193" s="5"/>
      <c r="RDH193" s="5"/>
      <c r="RDI193" s="5"/>
      <c r="RDJ193" s="5"/>
      <c r="RDK193" s="5"/>
      <c r="RDL193" s="5"/>
      <c r="RDM193" s="5"/>
      <c r="RDN193" s="5"/>
      <c r="RDO193" s="5"/>
      <c r="RDP193" s="5"/>
      <c r="RDQ193" s="5"/>
      <c r="RDR193" s="5"/>
      <c r="RDS193" s="5"/>
      <c r="RDT193" s="5"/>
      <c r="RDU193" s="5"/>
      <c r="RDV193" s="5"/>
      <c r="RDW193" s="5"/>
      <c r="RDX193" s="5"/>
      <c r="RDY193" s="5"/>
      <c r="RDZ193" s="5"/>
      <c r="REA193" s="5"/>
      <c r="REB193" s="5"/>
      <c r="REC193" s="5"/>
      <c r="RED193" s="5"/>
      <c r="REE193" s="5"/>
      <c r="REF193" s="5"/>
      <c r="REG193" s="5"/>
      <c r="REH193" s="5"/>
      <c r="REI193" s="5"/>
      <c r="REJ193" s="5"/>
      <c r="REK193" s="5"/>
      <c r="REL193" s="5"/>
      <c r="REM193" s="5"/>
      <c r="REN193" s="5"/>
      <c r="REO193" s="5"/>
      <c r="REP193" s="5"/>
      <c r="REQ193" s="5"/>
      <c r="RER193" s="5"/>
      <c r="RES193" s="5"/>
      <c r="RET193" s="5"/>
      <c r="REU193" s="5"/>
      <c r="REV193" s="5"/>
      <c r="REW193" s="5"/>
      <c r="REX193" s="5"/>
      <c r="REY193" s="5"/>
      <c r="REZ193" s="5"/>
      <c r="RFA193" s="5"/>
      <c r="RFB193" s="5"/>
      <c r="RFC193" s="5"/>
      <c r="RFD193" s="5"/>
      <c r="RFE193" s="5"/>
      <c r="RFF193" s="5"/>
      <c r="RFG193" s="5"/>
      <c r="RFH193" s="5"/>
      <c r="RFI193" s="5"/>
      <c r="RFJ193" s="5"/>
      <c r="RFK193" s="5"/>
      <c r="RFL193" s="5"/>
      <c r="RFM193" s="5"/>
      <c r="RFN193" s="5"/>
      <c r="RFO193" s="5"/>
      <c r="RFP193" s="5"/>
      <c r="RFQ193" s="5"/>
      <c r="RFR193" s="5"/>
      <c r="RFS193" s="5"/>
      <c r="RFT193" s="5"/>
      <c r="RFU193" s="5"/>
      <c r="RFV193" s="5"/>
      <c r="RFW193" s="5"/>
      <c r="RFX193" s="5"/>
      <c r="RFY193" s="5"/>
      <c r="RFZ193" s="5"/>
      <c r="RGA193" s="5"/>
      <c r="RGB193" s="5"/>
      <c r="RGC193" s="5"/>
      <c r="RGD193" s="5"/>
      <c r="RGE193" s="5"/>
      <c r="RGF193" s="5"/>
      <c r="RGG193" s="5"/>
      <c r="RGH193" s="5"/>
      <c r="RGI193" s="5"/>
      <c r="RGJ193" s="5"/>
      <c r="RGK193" s="5"/>
      <c r="RGL193" s="5"/>
      <c r="RGM193" s="5"/>
      <c r="RGN193" s="5"/>
      <c r="RGO193" s="5"/>
      <c r="RGP193" s="5"/>
      <c r="RGQ193" s="5"/>
      <c r="RGR193" s="5"/>
      <c r="RGS193" s="5"/>
      <c r="RGT193" s="5"/>
      <c r="RGU193" s="5"/>
      <c r="RGV193" s="5"/>
      <c r="RGW193" s="5"/>
      <c r="RGX193" s="5"/>
      <c r="RGY193" s="5"/>
      <c r="RGZ193" s="5"/>
      <c r="RHA193" s="5"/>
      <c r="RHB193" s="5"/>
      <c r="RHC193" s="5"/>
      <c r="RHD193" s="5"/>
      <c r="RHE193" s="5"/>
      <c r="RHF193" s="5"/>
      <c r="RHG193" s="5"/>
      <c r="RHH193" s="5"/>
      <c r="RHI193" s="5"/>
      <c r="RHJ193" s="5"/>
      <c r="RHK193" s="5"/>
      <c r="RHL193" s="5"/>
      <c r="RHM193" s="5"/>
      <c r="RHN193" s="5"/>
      <c r="RHO193" s="5"/>
      <c r="RHP193" s="5"/>
      <c r="RHQ193" s="5"/>
      <c r="RHR193" s="5"/>
      <c r="RHS193" s="5"/>
      <c r="RHT193" s="5"/>
      <c r="RHU193" s="5"/>
      <c r="RHV193" s="5"/>
      <c r="RHW193" s="5"/>
      <c r="RHX193" s="5"/>
      <c r="RHY193" s="5"/>
      <c r="RHZ193" s="5"/>
      <c r="RIA193" s="5"/>
      <c r="RIB193" s="5"/>
      <c r="RIC193" s="5"/>
      <c r="RID193" s="5"/>
      <c r="RIE193" s="5"/>
      <c r="RIF193" s="5"/>
      <c r="RIG193" s="5"/>
      <c r="RIH193" s="5"/>
      <c r="RII193" s="5"/>
      <c r="RIJ193" s="5"/>
      <c r="RIK193" s="5"/>
      <c r="RIL193" s="5"/>
      <c r="RIM193" s="5"/>
      <c r="RIN193" s="5"/>
      <c r="RIO193" s="5"/>
      <c r="RIP193" s="5"/>
      <c r="RIQ193" s="5"/>
      <c r="RIR193" s="5"/>
      <c r="RIS193" s="5"/>
      <c r="RIT193" s="5"/>
      <c r="RIU193" s="5"/>
      <c r="RIV193" s="5"/>
      <c r="RIW193" s="5"/>
      <c r="RIX193" s="5"/>
      <c r="RIY193" s="5"/>
      <c r="RIZ193" s="5"/>
      <c r="RJA193" s="5"/>
      <c r="RJB193" s="5"/>
      <c r="RJC193" s="5"/>
      <c r="RJD193" s="5"/>
      <c r="RJE193" s="5"/>
      <c r="RJF193" s="5"/>
      <c r="RJG193" s="5"/>
      <c r="RJH193" s="5"/>
      <c r="RJI193" s="5"/>
      <c r="RJJ193" s="5"/>
      <c r="RJK193" s="5"/>
      <c r="RJL193" s="5"/>
      <c r="RJM193" s="5"/>
      <c r="RJN193" s="5"/>
      <c r="RJO193" s="5"/>
      <c r="RJP193" s="5"/>
      <c r="RJQ193" s="5"/>
      <c r="RJR193" s="5"/>
      <c r="RJS193" s="5"/>
      <c r="RJT193" s="5"/>
      <c r="RJU193" s="5"/>
      <c r="RJV193" s="5"/>
      <c r="RJW193" s="5"/>
      <c r="RJX193" s="5"/>
      <c r="RJY193" s="5"/>
      <c r="RJZ193" s="5"/>
      <c r="RKA193" s="5"/>
      <c r="RKB193" s="5"/>
      <c r="RKC193" s="5"/>
      <c r="RKD193" s="5"/>
      <c r="RKE193" s="5"/>
      <c r="RKF193" s="5"/>
      <c r="RKG193" s="5"/>
      <c r="RKH193" s="5"/>
      <c r="RKI193" s="5"/>
      <c r="RKJ193" s="5"/>
      <c r="RKK193" s="5"/>
      <c r="RKL193" s="5"/>
      <c r="RKM193" s="5"/>
      <c r="RKN193" s="5"/>
      <c r="RKO193" s="5"/>
      <c r="RKP193" s="5"/>
      <c r="RKQ193" s="5"/>
      <c r="RKR193" s="5"/>
      <c r="RKS193" s="5"/>
      <c r="RKT193" s="5"/>
      <c r="RKU193" s="5"/>
      <c r="RKV193" s="5"/>
      <c r="RKW193" s="5"/>
      <c r="RKX193" s="5"/>
      <c r="RKY193" s="5"/>
      <c r="RKZ193" s="5"/>
      <c r="RLA193" s="5"/>
      <c r="RLB193" s="5"/>
      <c r="RLC193" s="5"/>
      <c r="RLD193" s="5"/>
      <c r="RLE193" s="5"/>
      <c r="RLF193" s="5"/>
      <c r="RLG193" s="5"/>
      <c r="RLH193" s="5"/>
      <c r="RLI193" s="5"/>
      <c r="RLJ193" s="5"/>
      <c r="RLK193" s="5"/>
      <c r="RLL193" s="5"/>
      <c r="RLM193" s="5"/>
      <c r="RLN193" s="5"/>
      <c r="RLO193" s="5"/>
      <c r="RLP193" s="5"/>
      <c r="RLQ193" s="5"/>
      <c r="RLR193" s="5"/>
      <c r="RLS193" s="5"/>
      <c r="RLT193" s="5"/>
      <c r="RLU193" s="5"/>
      <c r="RLV193" s="5"/>
      <c r="RLW193" s="5"/>
      <c r="RLX193" s="5"/>
      <c r="RLY193" s="5"/>
      <c r="RLZ193" s="5"/>
      <c r="RMA193" s="5"/>
      <c r="RMB193" s="5"/>
      <c r="RMC193" s="5"/>
      <c r="RMD193" s="5"/>
      <c r="RME193" s="5"/>
      <c r="RMF193" s="5"/>
      <c r="RMG193" s="5"/>
      <c r="RMH193" s="5"/>
      <c r="RMI193" s="5"/>
      <c r="RMJ193" s="5"/>
      <c r="RMK193" s="5"/>
      <c r="RML193" s="5"/>
      <c r="RMM193" s="5"/>
      <c r="RMN193" s="5"/>
      <c r="RMO193" s="5"/>
      <c r="RMP193" s="5"/>
      <c r="RMQ193" s="5"/>
      <c r="RMR193" s="5"/>
      <c r="RMS193" s="5"/>
      <c r="RMT193" s="5"/>
      <c r="RMU193" s="5"/>
      <c r="RMV193" s="5"/>
      <c r="RMW193" s="5"/>
      <c r="RMX193" s="5"/>
      <c r="RMY193" s="5"/>
      <c r="RMZ193" s="5"/>
      <c r="RNA193" s="5"/>
      <c r="RNB193" s="5"/>
      <c r="RNC193" s="5"/>
      <c r="RND193" s="5"/>
      <c r="RNE193" s="5"/>
      <c r="RNF193" s="5"/>
      <c r="RNG193" s="5"/>
      <c r="RNH193" s="5"/>
      <c r="RNI193" s="5"/>
      <c r="RNJ193" s="5"/>
      <c r="RNK193" s="5"/>
      <c r="RNL193" s="5"/>
      <c r="RNM193" s="5"/>
      <c r="RNN193" s="5"/>
      <c r="RNO193" s="5"/>
      <c r="RNP193" s="5"/>
      <c r="RNQ193" s="5"/>
      <c r="RNR193" s="5"/>
      <c r="RNS193" s="5"/>
      <c r="RNT193" s="5"/>
      <c r="RNU193" s="5"/>
      <c r="RNV193" s="5"/>
      <c r="RNW193" s="5"/>
      <c r="RNX193" s="5"/>
      <c r="RNY193" s="5"/>
      <c r="RNZ193" s="5"/>
      <c r="ROA193" s="5"/>
      <c r="ROB193" s="5"/>
      <c r="ROC193" s="5"/>
      <c r="ROD193" s="5"/>
      <c r="ROE193" s="5"/>
      <c r="ROF193" s="5"/>
      <c r="ROG193" s="5"/>
      <c r="ROH193" s="5"/>
      <c r="ROI193" s="5"/>
      <c r="ROJ193" s="5"/>
      <c r="ROK193" s="5"/>
      <c r="ROL193" s="5"/>
      <c r="ROM193" s="5"/>
      <c r="RON193" s="5"/>
      <c r="ROO193" s="5"/>
      <c r="ROP193" s="5"/>
      <c r="ROQ193" s="5"/>
      <c r="ROR193" s="5"/>
      <c r="ROS193" s="5"/>
      <c r="ROT193" s="5"/>
      <c r="ROU193" s="5"/>
      <c r="ROV193" s="5"/>
      <c r="ROW193" s="5"/>
      <c r="ROX193" s="5"/>
      <c r="ROY193" s="5"/>
      <c r="ROZ193" s="5"/>
      <c r="RPA193" s="5"/>
      <c r="RPB193" s="5"/>
      <c r="RPC193" s="5"/>
      <c r="RPD193" s="5"/>
      <c r="RPE193" s="5"/>
      <c r="RPF193" s="5"/>
      <c r="RPG193" s="5"/>
      <c r="RPH193" s="5"/>
      <c r="RPI193" s="5"/>
      <c r="RPJ193" s="5"/>
      <c r="RPK193" s="5"/>
      <c r="RPL193" s="5"/>
      <c r="RPM193" s="5"/>
      <c r="RPN193" s="5"/>
      <c r="RPO193" s="5"/>
      <c r="RPP193" s="5"/>
      <c r="RPQ193" s="5"/>
      <c r="RPR193" s="5"/>
      <c r="RPS193" s="5"/>
      <c r="RPT193" s="5"/>
      <c r="RPU193" s="5"/>
      <c r="RPV193" s="5"/>
      <c r="RPW193" s="5"/>
      <c r="RPX193" s="5"/>
      <c r="RPY193" s="5"/>
      <c r="RPZ193" s="5"/>
      <c r="RQA193" s="5"/>
      <c r="RQB193" s="5"/>
      <c r="RQC193" s="5"/>
      <c r="RQD193" s="5"/>
      <c r="RQE193" s="5"/>
      <c r="RQF193" s="5"/>
      <c r="RQG193" s="5"/>
      <c r="RQH193" s="5"/>
      <c r="RQI193" s="5"/>
      <c r="RQJ193" s="5"/>
      <c r="RQK193" s="5"/>
      <c r="RQL193" s="5"/>
      <c r="RQM193" s="5"/>
      <c r="RQN193" s="5"/>
      <c r="RQO193" s="5"/>
      <c r="RQP193" s="5"/>
      <c r="RQQ193" s="5"/>
      <c r="RQR193" s="5"/>
      <c r="RQS193" s="5"/>
      <c r="RQT193" s="5"/>
      <c r="RQU193" s="5"/>
      <c r="RQV193" s="5"/>
      <c r="RQW193" s="5"/>
      <c r="RQX193" s="5"/>
      <c r="RQY193" s="5"/>
      <c r="RQZ193" s="5"/>
      <c r="RRA193" s="5"/>
      <c r="RRB193" s="5"/>
      <c r="RRC193" s="5"/>
      <c r="RRD193" s="5"/>
      <c r="RRE193" s="5"/>
      <c r="RRF193" s="5"/>
      <c r="RRG193" s="5"/>
      <c r="RRH193" s="5"/>
      <c r="RRI193" s="5"/>
      <c r="RRJ193" s="5"/>
      <c r="RRK193" s="5"/>
      <c r="RRL193" s="5"/>
      <c r="RRM193" s="5"/>
      <c r="RRN193" s="5"/>
      <c r="RRO193" s="5"/>
      <c r="RRP193" s="5"/>
      <c r="RRQ193" s="5"/>
      <c r="RRR193" s="5"/>
      <c r="RRS193" s="5"/>
      <c r="RRT193" s="5"/>
      <c r="RRU193" s="5"/>
      <c r="RRV193" s="5"/>
      <c r="RRW193" s="5"/>
      <c r="RRX193" s="5"/>
      <c r="RRY193" s="5"/>
      <c r="RRZ193" s="5"/>
      <c r="RSA193" s="5"/>
      <c r="RSB193" s="5"/>
      <c r="RSC193" s="5"/>
      <c r="RSD193" s="5"/>
      <c r="RSE193" s="5"/>
      <c r="RSF193" s="5"/>
      <c r="RSG193" s="5"/>
      <c r="RSH193" s="5"/>
      <c r="RSI193" s="5"/>
      <c r="RSJ193" s="5"/>
      <c r="RSK193" s="5"/>
      <c r="RSL193" s="5"/>
      <c r="RSM193" s="5"/>
      <c r="RSN193" s="5"/>
      <c r="RSO193" s="5"/>
      <c r="RSP193" s="5"/>
      <c r="RSQ193" s="5"/>
      <c r="RSR193" s="5"/>
      <c r="RSS193" s="5"/>
      <c r="RST193" s="5"/>
      <c r="RSU193" s="5"/>
      <c r="RSV193" s="5"/>
      <c r="RSW193" s="5"/>
      <c r="RSX193" s="5"/>
      <c r="RSY193" s="5"/>
      <c r="RSZ193" s="5"/>
      <c r="RTA193" s="5"/>
      <c r="RTB193" s="5"/>
      <c r="RTC193" s="5"/>
      <c r="RTD193" s="5"/>
      <c r="RTE193" s="5"/>
      <c r="RTF193" s="5"/>
      <c r="RTG193" s="5"/>
      <c r="RTH193" s="5"/>
      <c r="RTI193" s="5"/>
      <c r="RTJ193" s="5"/>
      <c r="RTK193" s="5"/>
      <c r="RTL193" s="5"/>
      <c r="RTM193" s="5"/>
      <c r="RTN193" s="5"/>
      <c r="RTO193" s="5"/>
      <c r="RTP193" s="5"/>
      <c r="RTQ193" s="5"/>
      <c r="RTR193" s="5"/>
      <c r="RTS193" s="5"/>
      <c r="RTT193" s="5"/>
      <c r="RTU193" s="5"/>
      <c r="RTV193" s="5"/>
      <c r="RTW193" s="5"/>
      <c r="RTX193" s="5"/>
      <c r="RTY193" s="5"/>
      <c r="RTZ193" s="5"/>
      <c r="RUA193" s="5"/>
      <c r="RUB193" s="5"/>
      <c r="RUC193" s="5"/>
      <c r="RUD193" s="5"/>
      <c r="RUE193" s="5"/>
      <c r="RUF193" s="5"/>
      <c r="RUG193" s="5"/>
      <c r="RUH193" s="5"/>
      <c r="RUI193" s="5"/>
      <c r="RUJ193" s="5"/>
      <c r="RUK193" s="5"/>
      <c r="RUL193" s="5"/>
      <c r="RUM193" s="5"/>
      <c r="RUN193" s="5"/>
      <c r="RUO193" s="5"/>
      <c r="RUP193" s="5"/>
      <c r="RUQ193" s="5"/>
      <c r="RUR193" s="5"/>
      <c r="RUS193" s="5"/>
      <c r="RUT193" s="5"/>
      <c r="RUU193" s="5"/>
      <c r="RUV193" s="5"/>
      <c r="RUW193" s="5"/>
      <c r="RUX193" s="5"/>
      <c r="RUY193" s="5"/>
      <c r="RUZ193" s="5"/>
      <c r="RVA193" s="5"/>
      <c r="RVB193" s="5"/>
      <c r="RVC193" s="5"/>
      <c r="RVD193" s="5"/>
      <c r="RVE193" s="5"/>
      <c r="RVF193" s="5"/>
      <c r="RVG193" s="5"/>
      <c r="RVH193" s="5"/>
      <c r="RVI193" s="5"/>
      <c r="RVJ193" s="5"/>
      <c r="RVK193" s="5"/>
      <c r="RVL193" s="5"/>
      <c r="RVM193" s="5"/>
      <c r="RVN193" s="5"/>
      <c r="RVO193" s="5"/>
      <c r="RVP193" s="5"/>
      <c r="RVQ193" s="5"/>
      <c r="RVR193" s="5"/>
      <c r="RVS193" s="5"/>
      <c r="RVT193" s="5"/>
      <c r="RVU193" s="5"/>
      <c r="RVV193" s="5"/>
      <c r="RVW193" s="5"/>
      <c r="RVX193" s="5"/>
      <c r="RVY193" s="5"/>
      <c r="RVZ193" s="5"/>
      <c r="RWA193" s="5"/>
      <c r="RWB193" s="5"/>
      <c r="RWC193" s="5"/>
      <c r="RWD193" s="5"/>
      <c r="RWE193" s="5"/>
      <c r="RWF193" s="5"/>
      <c r="RWG193" s="5"/>
      <c r="RWH193" s="5"/>
      <c r="RWI193" s="5"/>
      <c r="RWJ193" s="5"/>
      <c r="RWK193" s="5"/>
      <c r="RWL193" s="5"/>
      <c r="RWM193" s="5"/>
      <c r="RWN193" s="5"/>
      <c r="RWO193" s="5"/>
      <c r="RWP193" s="5"/>
      <c r="RWQ193" s="5"/>
      <c r="RWR193" s="5"/>
      <c r="RWS193" s="5"/>
      <c r="RWT193" s="5"/>
      <c r="RWU193" s="5"/>
      <c r="RWV193" s="5"/>
      <c r="RWW193" s="5"/>
      <c r="RWX193" s="5"/>
      <c r="RWY193" s="5"/>
      <c r="RWZ193" s="5"/>
      <c r="RXA193" s="5"/>
      <c r="RXB193" s="5"/>
      <c r="RXC193" s="5"/>
      <c r="RXD193" s="5"/>
      <c r="RXE193" s="5"/>
      <c r="RXF193" s="5"/>
      <c r="RXG193" s="5"/>
      <c r="RXH193" s="5"/>
      <c r="RXI193" s="5"/>
      <c r="RXJ193" s="5"/>
      <c r="RXK193" s="5"/>
      <c r="RXL193" s="5"/>
      <c r="RXM193" s="5"/>
      <c r="RXN193" s="5"/>
      <c r="RXO193" s="5"/>
      <c r="RXP193" s="5"/>
      <c r="RXQ193" s="5"/>
      <c r="RXR193" s="5"/>
      <c r="RXS193" s="5"/>
      <c r="RXT193" s="5"/>
      <c r="RXU193" s="5"/>
      <c r="RXV193" s="5"/>
      <c r="RXW193" s="5"/>
      <c r="RXX193" s="5"/>
      <c r="RXY193" s="5"/>
      <c r="RXZ193" s="5"/>
      <c r="RYA193" s="5"/>
      <c r="RYB193" s="5"/>
      <c r="RYC193" s="5"/>
      <c r="RYD193" s="5"/>
      <c r="RYE193" s="5"/>
      <c r="RYF193" s="5"/>
      <c r="RYG193" s="5"/>
      <c r="RYH193" s="5"/>
      <c r="RYI193" s="5"/>
      <c r="RYJ193" s="5"/>
      <c r="RYK193" s="5"/>
      <c r="RYL193" s="5"/>
      <c r="RYM193" s="5"/>
      <c r="RYN193" s="5"/>
      <c r="RYO193" s="5"/>
      <c r="RYP193" s="5"/>
      <c r="RYQ193" s="5"/>
      <c r="RYR193" s="5"/>
      <c r="RYS193" s="5"/>
      <c r="RYT193" s="5"/>
      <c r="RYU193" s="5"/>
      <c r="RYV193" s="5"/>
      <c r="RYW193" s="5"/>
      <c r="RYX193" s="5"/>
      <c r="RYY193" s="5"/>
      <c r="RYZ193" s="5"/>
      <c r="RZA193" s="5"/>
      <c r="RZB193" s="5"/>
      <c r="RZC193" s="5"/>
      <c r="RZD193" s="5"/>
      <c r="RZE193" s="5"/>
      <c r="RZF193" s="5"/>
      <c r="RZG193" s="5"/>
      <c r="RZH193" s="5"/>
      <c r="RZI193" s="5"/>
      <c r="RZJ193" s="5"/>
      <c r="RZK193" s="5"/>
      <c r="RZL193" s="5"/>
      <c r="RZM193" s="5"/>
      <c r="RZN193" s="5"/>
      <c r="RZO193" s="5"/>
      <c r="RZP193" s="5"/>
      <c r="RZQ193" s="5"/>
      <c r="RZR193" s="5"/>
      <c r="RZS193" s="5"/>
      <c r="RZT193" s="5"/>
      <c r="RZU193" s="5"/>
      <c r="RZV193" s="5"/>
      <c r="RZW193" s="5"/>
      <c r="RZX193" s="5"/>
      <c r="RZY193" s="5"/>
      <c r="RZZ193" s="5"/>
      <c r="SAA193" s="5"/>
      <c r="SAB193" s="5"/>
      <c r="SAC193" s="5"/>
      <c r="SAD193" s="5"/>
      <c r="SAE193" s="5"/>
      <c r="SAF193" s="5"/>
      <c r="SAG193" s="5"/>
      <c r="SAH193" s="5"/>
      <c r="SAI193" s="5"/>
      <c r="SAJ193" s="5"/>
      <c r="SAK193" s="5"/>
      <c r="SAL193" s="5"/>
      <c r="SAM193" s="5"/>
      <c r="SAN193" s="5"/>
      <c r="SAO193" s="5"/>
      <c r="SAP193" s="5"/>
      <c r="SAQ193" s="5"/>
      <c r="SAR193" s="5"/>
      <c r="SAS193" s="5"/>
      <c r="SAT193" s="5"/>
      <c r="SAU193" s="5"/>
      <c r="SAV193" s="5"/>
      <c r="SAW193" s="5"/>
      <c r="SAX193" s="5"/>
      <c r="SAY193" s="5"/>
      <c r="SAZ193" s="5"/>
      <c r="SBA193" s="5"/>
      <c r="SBB193" s="5"/>
      <c r="SBC193" s="5"/>
      <c r="SBD193" s="5"/>
      <c r="SBE193" s="5"/>
      <c r="SBF193" s="5"/>
      <c r="SBG193" s="5"/>
      <c r="SBH193" s="5"/>
      <c r="SBI193" s="5"/>
      <c r="SBJ193" s="5"/>
      <c r="SBK193" s="5"/>
      <c r="SBL193" s="5"/>
      <c r="SBM193" s="5"/>
      <c r="SBN193" s="5"/>
      <c r="SBO193" s="5"/>
      <c r="SBP193" s="5"/>
      <c r="SBQ193" s="5"/>
      <c r="SBR193" s="5"/>
      <c r="SBS193" s="5"/>
      <c r="SBT193" s="5"/>
      <c r="SBU193" s="5"/>
      <c r="SBV193" s="5"/>
      <c r="SBW193" s="5"/>
      <c r="SBX193" s="5"/>
      <c r="SBY193" s="5"/>
      <c r="SBZ193" s="5"/>
      <c r="SCA193" s="5"/>
      <c r="SCB193" s="5"/>
      <c r="SCC193" s="5"/>
      <c r="SCD193" s="5"/>
      <c r="SCE193" s="5"/>
      <c r="SCF193" s="5"/>
      <c r="SCG193" s="5"/>
      <c r="SCH193" s="5"/>
      <c r="SCI193" s="5"/>
      <c r="SCJ193" s="5"/>
      <c r="SCK193" s="5"/>
      <c r="SCL193" s="5"/>
      <c r="SCM193" s="5"/>
      <c r="SCN193" s="5"/>
      <c r="SCO193" s="5"/>
      <c r="SCP193" s="5"/>
      <c r="SCQ193" s="5"/>
      <c r="SCR193" s="5"/>
      <c r="SCS193" s="5"/>
      <c r="SCT193" s="5"/>
      <c r="SCU193" s="5"/>
      <c r="SCV193" s="5"/>
      <c r="SCW193" s="5"/>
      <c r="SCX193" s="5"/>
      <c r="SCY193" s="5"/>
      <c r="SCZ193" s="5"/>
      <c r="SDA193" s="5"/>
      <c r="SDB193" s="5"/>
      <c r="SDC193" s="5"/>
      <c r="SDD193" s="5"/>
      <c r="SDE193" s="5"/>
      <c r="SDF193" s="5"/>
      <c r="SDG193" s="5"/>
      <c r="SDH193" s="5"/>
      <c r="SDI193" s="5"/>
      <c r="SDJ193" s="5"/>
      <c r="SDK193" s="5"/>
      <c r="SDL193" s="5"/>
      <c r="SDM193" s="5"/>
      <c r="SDN193" s="5"/>
      <c r="SDO193" s="5"/>
      <c r="SDP193" s="5"/>
      <c r="SDQ193" s="5"/>
      <c r="SDR193" s="5"/>
      <c r="SDS193" s="5"/>
      <c r="SDT193" s="5"/>
      <c r="SDU193" s="5"/>
      <c r="SDV193" s="5"/>
      <c r="SDW193" s="5"/>
      <c r="SDX193" s="5"/>
      <c r="SDY193" s="5"/>
      <c r="SDZ193" s="5"/>
      <c r="SEA193" s="5"/>
      <c r="SEB193" s="5"/>
      <c r="SEC193" s="5"/>
      <c r="SED193" s="5"/>
      <c r="SEE193" s="5"/>
      <c r="SEF193" s="5"/>
      <c r="SEG193" s="5"/>
      <c r="SEH193" s="5"/>
      <c r="SEI193" s="5"/>
      <c r="SEJ193" s="5"/>
      <c r="SEK193" s="5"/>
      <c r="SEL193" s="5"/>
      <c r="SEM193" s="5"/>
      <c r="SEN193" s="5"/>
      <c r="SEO193" s="5"/>
      <c r="SEP193" s="5"/>
      <c r="SEQ193" s="5"/>
      <c r="SER193" s="5"/>
      <c r="SES193" s="5"/>
      <c r="SET193" s="5"/>
      <c r="SEU193" s="5"/>
      <c r="SEV193" s="5"/>
      <c r="SEW193" s="5"/>
      <c r="SEX193" s="5"/>
      <c r="SEY193" s="5"/>
      <c r="SEZ193" s="5"/>
      <c r="SFA193" s="5"/>
      <c r="SFB193" s="5"/>
      <c r="SFC193" s="5"/>
      <c r="SFD193" s="5"/>
      <c r="SFE193" s="5"/>
      <c r="SFF193" s="5"/>
      <c r="SFG193" s="5"/>
      <c r="SFH193" s="5"/>
      <c r="SFI193" s="5"/>
      <c r="SFJ193" s="5"/>
      <c r="SFK193" s="5"/>
      <c r="SFL193" s="5"/>
      <c r="SFM193" s="5"/>
      <c r="SFN193" s="5"/>
      <c r="SFO193" s="5"/>
      <c r="SFP193" s="5"/>
      <c r="SFQ193" s="5"/>
      <c r="SFR193" s="5"/>
      <c r="SFS193" s="5"/>
      <c r="SFT193" s="5"/>
      <c r="SFU193" s="5"/>
      <c r="SFV193" s="5"/>
      <c r="SFW193" s="5"/>
      <c r="SFX193" s="5"/>
      <c r="SFY193" s="5"/>
      <c r="SFZ193" s="5"/>
      <c r="SGA193" s="5"/>
      <c r="SGB193" s="5"/>
      <c r="SGC193" s="5"/>
      <c r="SGD193" s="5"/>
      <c r="SGE193" s="5"/>
      <c r="SGF193" s="5"/>
      <c r="SGG193" s="5"/>
      <c r="SGH193" s="5"/>
      <c r="SGI193" s="5"/>
      <c r="SGJ193" s="5"/>
      <c r="SGK193" s="5"/>
      <c r="SGL193" s="5"/>
      <c r="SGM193" s="5"/>
      <c r="SGN193" s="5"/>
      <c r="SGO193" s="5"/>
      <c r="SGP193" s="5"/>
      <c r="SGQ193" s="5"/>
      <c r="SGR193" s="5"/>
      <c r="SGS193" s="5"/>
      <c r="SGT193" s="5"/>
      <c r="SGU193" s="5"/>
      <c r="SGV193" s="5"/>
      <c r="SGW193" s="5"/>
      <c r="SGX193" s="5"/>
      <c r="SGY193" s="5"/>
      <c r="SGZ193" s="5"/>
      <c r="SHA193" s="5"/>
      <c r="SHB193" s="5"/>
      <c r="SHC193" s="5"/>
      <c r="SHD193" s="5"/>
      <c r="SHE193" s="5"/>
      <c r="SHF193" s="5"/>
      <c r="SHG193" s="5"/>
      <c r="SHH193" s="5"/>
      <c r="SHI193" s="5"/>
      <c r="SHJ193" s="5"/>
      <c r="SHK193" s="5"/>
      <c r="SHL193" s="5"/>
      <c r="SHM193" s="5"/>
      <c r="SHN193" s="5"/>
      <c r="SHO193" s="5"/>
      <c r="SHP193" s="5"/>
      <c r="SHQ193" s="5"/>
      <c r="SHR193" s="5"/>
      <c r="SHS193" s="5"/>
      <c r="SHT193" s="5"/>
      <c r="SHU193" s="5"/>
      <c r="SHV193" s="5"/>
      <c r="SHW193" s="5"/>
      <c r="SHX193" s="5"/>
      <c r="SHY193" s="5"/>
      <c r="SHZ193" s="5"/>
      <c r="SIA193" s="5"/>
      <c r="SIB193" s="5"/>
      <c r="SIC193" s="5"/>
      <c r="SID193" s="5"/>
      <c r="SIE193" s="5"/>
      <c r="SIF193" s="5"/>
      <c r="SIG193" s="5"/>
      <c r="SIH193" s="5"/>
      <c r="SII193" s="5"/>
      <c r="SIJ193" s="5"/>
      <c r="SIK193" s="5"/>
      <c r="SIL193" s="5"/>
      <c r="SIM193" s="5"/>
      <c r="SIN193" s="5"/>
      <c r="SIO193" s="5"/>
      <c r="SIP193" s="5"/>
      <c r="SIQ193" s="5"/>
      <c r="SIR193" s="5"/>
      <c r="SIS193" s="5"/>
      <c r="SIT193" s="5"/>
      <c r="SIU193" s="5"/>
      <c r="SIV193" s="5"/>
      <c r="SIW193" s="5"/>
      <c r="SIX193" s="5"/>
      <c r="SIY193" s="5"/>
      <c r="SIZ193" s="5"/>
      <c r="SJA193" s="5"/>
      <c r="SJB193" s="5"/>
      <c r="SJC193" s="5"/>
      <c r="SJD193" s="5"/>
      <c r="SJE193" s="5"/>
      <c r="SJF193" s="5"/>
      <c r="SJG193" s="5"/>
      <c r="SJH193" s="5"/>
      <c r="SJI193" s="5"/>
      <c r="SJJ193" s="5"/>
      <c r="SJK193" s="5"/>
      <c r="SJL193" s="5"/>
      <c r="SJM193" s="5"/>
      <c r="SJN193" s="5"/>
      <c r="SJO193" s="5"/>
      <c r="SJP193" s="5"/>
      <c r="SJQ193" s="5"/>
      <c r="SJR193" s="5"/>
      <c r="SJS193" s="5"/>
      <c r="SJT193" s="5"/>
      <c r="SJU193" s="5"/>
      <c r="SJV193" s="5"/>
      <c r="SJW193" s="5"/>
      <c r="SJX193" s="5"/>
      <c r="SJY193" s="5"/>
      <c r="SJZ193" s="5"/>
      <c r="SKA193" s="5"/>
      <c r="SKB193" s="5"/>
      <c r="SKC193" s="5"/>
      <c r="SKD193" s="5"/>
      <c r="SKE193" s="5"/>
      <c r="SKF193" s="5"/>
      <c r="SKG193" s="5"/>
      <c r="SKH193" s="5"/>
      <c r="SKI193" s="5"/>
      <c r="SKJ193" s="5"/>
      <c r="SKK193" s="5"/>
      <c r="SKL193" s="5"/>
      <c r="SKM193" s="5"/>
      <c r="SKN193" s="5"/>
      <c r="SKO193" s="5"/>
      <c r="SKP193" s="5"/>
      <c r="SKQ193" s="5"/>
      <c r="SKR193" s="5"/>
      <c r="SKS193" s="5"/>
      <c r="SKT193" s="5"/>
      <c r="SKU193" s="5"/>
      <c r="SKV193" s="5"/>
      <c r="SKW193" s="5"/>
      <c r="SKX193" s="5"/>
      <c r="SKY193" s="5"/>
      <c r="SKZ193" s="5"/>
      <c r="SLA193" s="5"/>
      <c r="SLB193" s="5"/>
      <c r="SLC193" s="5"/>
      <c r="SLD193" s="5"/>
      <c r="SLE193" s="5"/>
      <c r="SLF193" s="5"/>
      <c r="SLG193" s="5"/>
      <c r="SLH193" s="5"/>
      <c r="SLI193" s="5"/>
      <c r="SLJ193" s="5"/>
      <c r="SLK193" s="5"/>
      <c r="SLL193" s="5"/>
      <c r="SLM193" s="5"/>
      <c r="SLN193" s="5"/>
      <c r="SLO193" s="5"/>
      <c r="SLP193" s="5"/>
      <c r="SLQ193" s="5"/>
      <c r="SLR193" s="5"/>
      <c r="SLS193" s="5"/>
      <c r="SLT193" s="5"/>
      <c r="SLU193" s="5"/>
      <c r="SLV193" s="5"/>
      <c r="SLW193" s="5"/>
      <c r="SLX193" s="5"/>
      <c r="SLY193" s="5"/>
      <c r="SLZ193" s="5"/>
      <c r="SMA193" s="5"/>
      <c r="SMB193" s="5"/>
      <c r="SMC193" s="5"/>
      <c r="SMD193" s="5"/>
      <c r="SME193" s="5"/>
      <c r="SMF193" s="5"/>
      <c r="SMG193" s="5"/>
      <c r="SMH193" s="5"/>
      <c r="SMI193" s="5"/>
      <c r="SMJ193" s="5"/>
      <c r="SMK193" s="5"/>
      <c r="SML193" s="5"/>
      <c r="SMM193" s="5"/>
      <c r="SMN193" s="5"/>
      <c r="SMO193" s="5"/>
      <c r="SMP193" s="5"/>
      <c r="SMQ193" s="5"/>
      <c r="SMR193" s="5"/>
      <c r="SMS193" s="5"/>
      <c r="SMT193" s="5"/>
      <c r="SMU193" s="5"/>
      <c r="SMV193" s="5"/>
      <c r="SMW193" s="5"/>
      <c r="SMX193" s="5"/>
      <c r="SMY193" s="5"/>
      <c r="SMZ193" s="5"/>
      <c r="SNA193" s="5"/>
      <c r="SNB193" s="5"/>
      <c r="SNC193" s="5"/>
      <c r="SND193" s="5"/>
      <c r="SNE193" s="5"/>
      <c r="SNF193" s="5"/>
      <c r="SNG193" s="5"/>
      <c r="SNH193" s="5"/>
      <c r="SNI193" s="5"/>
      <c r="SNJ193" s="5"/>
      <c r="SNK193" s="5"/>
      <c r="SNL193" s="5"/>
      <c r="SNM193" s="5"/>
      <c r="SNN193" s="5"/>
      <c r="SNO193" s="5"/>
      <c r="SNP193" s="5"/>
      <c r="SNQ193" s="5"/>
      <c r="SNR193" s="5"/>
      <c r="SNS193" s="5"/>
      <c r="SNT193" s="5"/>
      <c r="SNU193" s="5"/>
      <c r="SNV193" s="5"/>
      <c r="SNW193" s="5"/>
      <c r="SNX193" s="5"/>
      <c r="SNY193" s="5"/>
      <c r="SNZ193" s="5"/>
      <c r="SOA193" s="5"/>
      <c r="SOB193" s="5"/>
      <c r="SOC193" s="5"/>
      <c r="SOD193" s="5"/>
      <c r="SOE193" s="5"/>
      <c r="SOF193" s="5"/>
      <c r="SOG193" s="5"/>
      <c r="SOH193" s="5"/>
      <c r="SOI193" s="5"/>
      <c r="SOJ193" s="5"/>
      <c r="SOK193" s="5"/>
      <c r="SOL193" s="5"/>
      <c r="SOM193" s="5"/>
      <c r="SON193" s="5"/>
      <c r="SOO193" s="5"/>
      <c r="SOP193" s="5"/>
      <c r="SOQ193" s="5"/>
      <c r="SOR193" s="5"/>
      <c r="SOS193" s="5"/>
      <c r="SOT193" s="5"/>
      <c r="SOU193" s="5"/>
      <c r="SOV193" s="5"/>
      <c r="SOW193" s="5"/>
      <c r="SOX193" s="5"/>
      <c r="SOY193" s="5"/>
      <c r="SOZ193" s="5"/>
      <c r="SPA193" s="5"/>
      <c r="SPB193" s="5"/>
      <c r="SPC193" s="5"/>
      <c r="SPD193" s="5"/>
      <c r="SPE193" s="5"/>
      <c r="SPF193" s="5"/>
      <c r="SPG193" s="5"/>
      <c r="SPH193" s="5"/>
      <c r="SPI193" s="5"/>
      <c r="SPJ193" s="5"/>
      <c r="SPK193" s="5"/>
      <c r="SPL193" s="5"/>
      <c r="SPM193" s="5"/>
      <c r="SPN193" s="5"/>
      <c r="SPO193" s="5"/>
      <c r="SPP193" s="5"/>
      <c r="SPQ193" s="5"/>
      <c r="SPR193" s="5"/>
      <c r="SPS193" s="5"/>
      <c r="SPT193" s="5"/>
      <c r="SPU193" s="5"/>
      <c r="SPV193" s="5"/>
      <c r="SPW193" s="5"/>
      <c r="SPX193" s="5"/>
      <c r="SPY193" s="5"/>
      <c r="SPZ193" s="5"/>
      <c r="SQA193" s="5"/>
      <c r="SQB193" s="5"/>
      <c r="SQC193" s="5"/>
      <c r="SQD193" s="5"/>
      <c r="SQE193" s="5"/>
      <c r="SQF193" s="5"/>
      <c r="SQG193" s="5"/>
      <c r="SQH193" s="5"/>
      <c r="SQI193" s="5"/>
      <c r="SQJ193" s="5"/>
      <c r="SQK193" s="5"/>
      <c r="SQL193" s="5"/>
      <c r="SQM193" s="5"/>
      <c r="SQN193" s="5"/>
      <c r="SQO193" s="5"/>
      <c r="SQP193" s="5"/>
      <c r="SQQ193" s="5"/>
      <c r="SQR193" s="5"/>
      <c r="SQS193" s="5"/>
      <c r="SQT193" s="5"/>
      <c r="SQU193" s="5"/>
      <c r="SQV193" s="5"/>
      <c r="SQW193" s="5"/>
      <c r="SQX193" s="5"/>
      <c r="SQY193" s="5"/>
      <c r="SQZ193" s="5"/>
      <c r="SRA193" s="5"/>
      <c r="SRB193" s="5"/>
      <c r="SRC193" s="5"/>
      <c r="SRD193" s="5"/>
      <c r="SRE193" s="5"/>
      <c r="SRF193" s="5"/>
      <c r="SRG193" s="5"/>
      <c r="SRH193" s="5"/>
      <c r="SRI193" s="5"/>
      <c r="SRJ193" s="5"/>
      <c r="SRK193" s="5"/>
      <c r="SRL193" s="5"/>
      <c r="SRM193" s="5"/>
      <c r="SRN193" s="5"/>
      <c r="SRO193" s="5"/>
      <c r="SRP193" s="5"/>
      <c r="SRQ193" s="5"/>
      <c r="SRR193" s="5"/>
      <c r="SRS193" s="5"/>
      <c r="SRT193" s="5"/>
      <c r="SRU193" s="5"/>
      <c r="SRV193" s="5"/>
      <c r="SRW193" s="5"/>
      <c r="SRX193" s="5"/>
      <c r="SRY193" s="5"/>
      <c r="SRZ193" s="5"/>
      <c r="SSA193" s="5"/>
      <c r="SSB193" s="5"/>
      <c r="SSC193" s="5"/>
      <c r="SSD193" s="5"/>
      <c r="SSE193" s="5"/>
      <c r="SSF193" s="5"/>
      <c r="SSG193" s="5"/>
      <c r="SSH193" s="5"/>
      <c r="SSI193" s="5"/>
      <c r="SSJ193" s="5"/>
      <c r="SSK193" s="5"/>
      <c r="SSL193" s="5"/>
      <c r="SSM193" s="5"/>
      <c r="SSN193" s="5"/>
      <c r="SSO193" s="5"/>
      <c r="SSP193" s="5"/>
      <c r="SSQ193" s="5"/>
      <c r="SSR193" s="5"/>
      <c r="SSS193" s="5"/>
      <c r="SST193" s="5"/>
      <c r="SSU193" s="5"/>
      <c r="SSV193" s="5"/>
      <c r="SSW193" s="5"/>
      <c r="SSX193" s="5"/>
      <c r="SSY193" s="5"/>
      <c r="SSZ193" s="5"/>
      <c r="STA193" s="5"/>
      <c r="STB193" s="5"/>
      <c r="STC193" s="5"/>
      <c r="STD193" s="5"/>
      <c r="STE193" s="5"/>
      <c r="STF193" s="5"/>
      <c r="STG193" s="5"/>
      <c r="STH193" s="5"/>
      <c r="STI193" s="5"/>
      <c r="STJ193" s="5"/>
      <c r="STK193" s="5"/>
      <c r="STL193" s="5"/>
      <c r="STM193" s="5"/>
      <c r="STN193" s="5"/>
      <c r="STO193" s="5"/>
      <c r="STP193" s="5"/>
      <c r="STQ193" s="5"/>
      <c r="STR193" s="5"/>
      <c r="STS193" s="5"/>
      <c r="STT193" s="5"/>
      <c r="STU193" s="5"/>
      <c r="STV193" s="5"/>
      <c r="STW193" s="5"/>
      <c r="STX193" s="5"/>
      <c r="STY193" s="5"/>
      <c r="STZ193" s="5"/>
      <c r="SUA193" s="5"/>
      <c r="SUB193" s="5"/>
      <c r="SUC193" s="5"/>
      <c r="SUD193" s="5"/>
      <c r="SUE193" s="5"/>
      <c r="SUF193" s="5"/>
      <c r="SUG193" s="5"/>
      <c r="SUH193" s="5"/>
      <c r="SUI193" s="5"/>
      <c r="SUJ193" s="5"/>
      <c r="SUK193" s="5"/>
      <c r="SUL193" s="5"/>
      <c r="SUM193" s="5"/>
      <c r="SUN193" s="5"/>
      <c r="SUO193" s="5"/>
      <c r="SUP193" s="5"/>
      <c r="SUQ193" s="5"/>
      <c r="SUR193" s="5"/>
      <c r="SUS193" s="5"/>
      <c r="SUT193" s="5"/>
      <c r="SUU193" s="5"/>
      <c r="SUV193" s="5"/>
      <c r="SUW193" s="5"/>
      <c r="SUX193" s="5"/>
      <c r="SUY193" s="5"/>
      <c r="SUZ193" s="5"/>
      <c r="SVA193" s="5"/>
      <c r="SVB193" s="5"/>
      <c r="SVC193" s="5"/>
      <c r="SVD193" s="5"/>
      <c r="SVE193" s="5"/>
      <c r="SVF193" s="5"/>
      <c r="SVG193" s="5"/>
      <c r="SVH193" s="5"/>
      <c r="SVI193" s="5"/>
      <c r="SVJ193" s="5"/>
      <c r="SVK193" s="5"/>
      <c r="SVL193" s="5"/>
      <c r="SVM193" s="5"/>
      <c r="SVN193" s="5"/>
      <c r="SVO193" s="5"/>
      <c r="SVP193" s="5"/>
      <c r="SVQ193" s="5"/>
      <c r="SVR193" s="5"/>
      <c r="SVS193" s="5"/>
      <c r="SVT193" s="5"/>
      <c r="SVU193" s="5"/>
      <c r="SVV193" s="5"/>
      <c r="SVW193" s="5"/>
      <c r="SVX193" s="5"/>
      <c r="SVY193" s="5"/>
      <c r="SVZ193" s="5"/>
      <c r="SWA193" s="5"/>
      <c r="SWB193" s="5"/>
      <c r="SWC193" s="5"/>
      <c r="SWD193" s="5"/>
      <c r="SWE193" s="5"/>
      <c r="SWF193" s="5"/>
      <c r="SWG193" s="5"/>
      <c r="SWH193" s="5"/>
      <c r="SWI193" s="5"/>
      <c r="SWJ193" s="5"/>
      <c r="SWK193" s="5"/>
      <c r="SWL193" s="5"/>
      <c r="SWM193" s="5"/>
      <c r="SWN193" s="5"/>
      <c r="SWO193" s="5"/>
      <c r="SWP193" s="5"/>
      <c r="SWQ193" s="5"/>
      <c r="SWR193" s="5"/>
      <c r="SWS193" s="5"/>
      <c r="SWT193" s="5"/>
      <c r="SWU193" s="5"/>
      <c r="SWV193" s="5"/>
      <c r="SWW193" s="5"/>
      <c r="SWX193" s="5"/>
      <c r="SWY193" s="5"/>
      <c r="SWZ193" s="5"/>
      <c r="SXA193" s="5"/>
      <c r="SXB193" s="5"/>
      <c r="SXC193" s="5"/>
      <c r="SXD193" s="5"/>
      <c r="SXE193" s="5"/>
      <c r="SXF193" s="5"/>
      <c r="SXG193" s="5"/>
      <c r="SXH193" s="5"/>
      <c r="SXI193" s="5"/>
      <c r="SXJ193" s="5"/>
      <c r="SXK193" s="5"/>
      <c r="SXL193" s="5"/>
      <c r="SXM193" s="5"/>
      <c r="SXN193" s="5"/>
      <c r="SXO193" s="5"/>
      <c r="SXP193" s="5"/>
      <c r="SXQ193" s="5"/>
      <c r="SXR193" s="5"/>
      <c r="SXS193" s="5"/>
      <c r="SXT193" s="5"/>
      <c r="SXU193" s="5"/>
      <c r="SXV193" s="5"/>
      <c r="SXW193" s="5"/>
      <c r="SXX193" s="5"/>
      <c r="SXY193" s="5"/>
      <c r="SXZ193" s="5"/>
      <c r="SYA193" s="5"/>
      <c r="SYB193" s="5"/>
      <c r="SYC193" s="5"/>
      <c r="SYD193" s="5"/>
      <c r="SYE193" s="5"/>
      <c r="SYF193" s="5"/>
      <c r="SYG193" s="5"/>
      <c r="SYH193" s="5"/>
      <c r="SYI193" s="5"/>
      <c r="SYJ193" s="5"/>
      <c r="SYK193" s="5"/>
      <c r="SYL193" s="5"/>
      <c r="SYM193" s="5"/>
      <c r="SYN193" s="5"/>
      <c r="SYO193" s="5"/>
      <c r="SYP193" s="5"/>
      <c r="SYQ193" s="5"/>
      <c r="SYR193" s="5"/>
      <c r="SYS193" s="5"/>
      <c r="SYT193" s="5"/>
      <c r="SYU193" s="5"/>
      <c r="SYV193" s="5"/>
      <c r="SYW193" s="5"/>
      <c r="SYX193" s="5"/>
      <c r="SYY193" s="5"/>
      <c r="SYZ193" s="5"/>
      <c r="SZA193" s="5"/>
      <c r="SZB193" s="5"/>
      <c r="SZC193" s="5"/>
      <c r="SZD193" s="5"/>
      <c r="SZE193" s="5"/>
      <c r="SZF193" s="5"/>
      <c r="SZG193" s="5"/>
      <c r="SZH193" s="5"/>
      <c r="SZI193" s="5"/>
      <c r="SZJ193" s="5"/>
      <c r="SZK193" s="5"/>
      <c r="SZL193" s="5"/>
      <c r="SZM193" s="5"/>
      <c r="SZN193" s="5"/>
      <c r="SZO193" s="5"/>
      <c r="SZP193" s="5"/>
      <c r="SZQ193" s="5"/>
      <c r="SZR193" s="5"/>
      <c r="SZS193" s="5"/>
      <c r="SZT193" s="5"/>
      <c r="SZU193" s="5"/>
      <c r="SZV193" s="5"/>
      <c r="SZW193" s="5"/>
      <c r="SZX193" s="5"/>
      <c r="SZY193" s="5"/>
      <c r="SZZ193" s="5"/>
      <c r="TAA193" s="5"/>
      <c r="TAB193" s="5"/>
      <c r="TAC193" s="5"/>
      <c r="TAD193" s="5"/>
      <c r="TAE193" s="5"/>
      <c r="TAF193" s="5"/>
      <c r="TAG193" s="5"/>
      <c r="TAH193" s="5"/>
      <c r="TAI193" s="5"/>
      <c r="TAJ193" s="5"/>
      <c r="TAK193" s="5"/>
      <c r="TAL193" s="5"/>
      <c r="TAM193" s="5"/>
      <c r="TAN193" s="5"/>
      <c r="TAO193" s="5"/>
      <c r="TAP193" s="5"/>
      <c r="TAQ193" s="5"/>
      <c r="TAR193" s="5"/>
      <c r="TAS193" s="5"/>
      <c r="TAT193" s="5"/>
      <c r="TAU193" s="5"/>
      <c r="TAV193" s="5"/>
      <c r="TAW193" s="5"/>
      <c r="TAX193" s="5"/>
      <c r="TAY193" s="5"/>
      <c r="TAZ193" s="5"/>
      <c r="TBA193" s="5"/>
      <c r="TBB193" s="5"/>
      <c r="TBC193" s="5"/>
      <c r="TBD193" s="5"/>
      <c r="TBE193" s="5"/>
      <c r="TBF193" s="5"/>
      <c r="TBG193" s="5"/>
      <c r="TBH193" s="5"/>
      <c r="TBI193" s="5"/>
      <c r="TBJ193" s="5"/>
      <c r="TBK193" s="5"/>
      <c r="TBL193" s="5"/>
      <c r="TBM193" s="5"/>
      <c r="TBN193" s="5"/>
      <c r="TBO193" s="5"/>
      <c r="TBP193" s="5"/>
      <c r="TBQ193" s="5"/>
      <c r="TBR193" s="5"/>
      <c r="TBS193" s="5"/>
      <c r="TBT193" s="5"/>
      <c r="TBU193" s="5"/>
      <c r="TBV193" s="5"/>
      <c r="TBW193" s="5"/>
      <c r="TBX193" s="5"/>
      <c r="TBY193" s="5"/>
      <c r="TBZ193" s="5"/>
      <c r="TCA193" s="5"/>
      <c r="TCB193" s="5"/>
      <c r="TCC193" s="5"/>
      <c r="TCD193" s="5"/>
      <c r="TCE193" s="5"/>
      <c r="TCF193" s="5"/>
      <c r="TCG193" s="5"/>
      <c r="TCH193" s="5"/>
      <c r="TCI193" s="5"/>
      <c r="TCJ193" s="5"/>
      <c r="TCK193" s="5"/>
      <c r="TCL193" s="5"/>
      <c r="TCM193" s="5"/>
      <c r="TCN193" s="5"/>
      <c r="TCO193" s="5"/>
      <c r="TCP193" s="5"/>
      <c r="TCQ193" s="5"/>
      <c r="TCR193" s="5"/>
      <c r="TCS193" s="5"/>
      <c r="TCT193" s="5"/>
      <c r="TCU193" s="5"/>
      <c r="TCV193" s="5"/>
      <c r="TCW193" s="5"/>
      <c r="TCX193" s="5"/>
      <c r="TCY193" s="5"/>
      <c r="TCZ193" s="5"/>
      <c r="TDA193" s="5"/>
      <c r="TDB193" s="5"/>
      <c r="TDC193" s="5"/>
      <c r="TDD193" s="5"/>
      <c r="TDE193" s="5"/>
      <c r="TDF193" s="5"/>
      <c r="TDG193" s="5"/>
      <c r="TDH193" s="5"/>
      <c r="TDI193" s="5"/>
      <c r="TDJ193" s="5"/>
      <c r="TDK193" s="5"/>
      <c r="TDL193" s="5"/>
      <c r="TDM193" s="5"/>
      <c r="TDN193" s="5"/>
      <c r="TDO193" s="5"/>
      <c r="TDP193" s="5"/>
      <c r="TDQ193" s="5"/>
      <c r="TDR193" s="5"/>
      <c r="TDS193" s="5"/>
      <c r="TDT193" s="5"/>
      <c r="TDU193" s="5"/>
      <c r="TDV193" s="5"/>
      <c r="TDW193" s="5"/>
      <c r="TDX193" s="5"/>
      <c r="TDY193" s="5"/>
      <c r="TDZ193" s="5"/>
      <c r="TEA193" s="5"/>
      <c r="TEB193" s="5"/>
      <c r="TEC193" s="5"/>
      <c r="TED193" s="5"/>
      <c r="TEE193" s="5"/>
      <c r="TEF193" s="5"/>
      <c r="TEG193" s="5"/>
      <c r="TEH193" s="5"/>
      <c r="TEI193" s="5"/>
      <c r="TEJ193" s="5"/>
      <c r="TEK193" s="5"/>
      <c r="TEL193" s="5"/>
      <c r="TEM193" s="5"/>
      <c r="TEN193" s="5"/>
      <c r="TEO193" s="5"/>
      <c r="TEP193" s="5"/>
      <c r="TEQ193" s="5"/>
      <c r="TER193" s="5"/>
      <c r="TES193" s="5"/>
      <c r="TET193" s="5"/>
      <c r="TEU193" s="5"/>
      <c r="TEV193" s="5"/>
      <c r="TEW193" s="5"/>
      <c r="TEX193" s="5"/>
      <c r="TEY193" s="5"/>
      <c r="TEZ193" s="5"/>
      <c r="TFA193" s="5"/>
      <c r="TFB193" s="5"/>
      <c r="TFC193" s="5"/>
      <c r="TFD193" s="5"/>
      <c r="TFE193" s="5"/>
      <c r="TFF193" s="5"/>
      <c r="TFG193" s="5"/>
      <c r="TFH193" s="5"/>
      <c r="TFI193" s="5"/>
      <c r="TFJ193" s="5"/>
      <c r="TFK193" s="5"/>
      <c r="TFL193" s="5"/>
      <c r="TFM193" s="5"/>
      <c r="TFN193" s="5"/>
      <c r="TFO193" s="5"/>
      <c r="TFP193" s="5"/>
      <c r="TFQ193" s="5"/>
      <c r="TFR193" s="5"/>
      <c r="TFS193" s="5"/>
      <c r="TFT193" s="5"/>
      <c r="TFU193" s="5"/>
      <c r="TFV193" s="5"/>
      <c r="TFW193" s="5"/>
      <c r="TFX193" s="5"/>
      <c r="TFY193" s="5"/>
      <c r="TFZ193" s="5"/>
      <c r="TGA193" s="5"/>
      <c r="TGB193" s="5"/>
      <c r="TGC193" s="5"/>
      <c r="TGD193" s="5"/>
      <c r="TGE193" s="5"/>
      <c r="TGF193" s="5"/>
      <c r="TGG193" s="5"/>
      <c r="TGH193" s="5"/>
      <c r="TGI193" s="5"/>
      <c r="TGJ193" s="5"/>
      <c r="TGK193" s="5"/>
      <c r="TGL193" s="5"/>
      <c r="TGM193" s="5"/>
      <c r="TGN193" s="5"/>
      <c r="TGO193" s="5"/>
      <c r="TGP193" s="5"/>
      <c r="TGQ193" s="5"/>
      <c r="TGR193" s="5"/>
      <c r="TGS193" s="5"/>
      <c r="TGT193" s="5"/>
      <c r="TGU193" s="5"/>
      <c r="TGV193" s="5"/>
      <c r="TGW193" s="5"/>
      <c r="TGX193" s="5"/>
      <c r="TGY193" s="5"/>
      <c r="TGZ193" s="5"/>
      <c r="THA193" s="5"/>
      <c r="THB193" s="5"/>
      <c r="THC193" s="5"/>
      <c r="THD193" s="5"/>
      <c r="THE193" s="5"/>
      <c r="THF193" s="5"/>
      <c r="THG193" s="5"/>
      <c r="THH193" s="5"/>
      <c r="THI193" s="5"/>
      <c r="THJ193" s="5"/>
      <c r="THK193" s="5"/>
      <c r="THL193" s="5"/>
      <c r="THM193" s="5"/>
      <c r="THN193" s="5"/>
      <c r="THO193" s="5"/>
      <c r="THP193" s="5"/>
      <c r="THQ193" s="5"/>
      <c r="THR193" s="5"/>
      <c r="THS193" s="5"/>
      <c r="THT193" s="5"/>
      <c r="THU193" s="5"/>
      <c r="THV193" s="5"/>
      <c r="THW193" s="5"/>
      <c r="THX193" s="5"/>
      <c r="THY193" s="5"/>
      <c r="THZ193" s="5"/>
      <c r="TIA193" s="5"/>
      <c r="TIB193" s="5"/>
      <c r="TIC193" s="5"/>
      <c r="TID193" s="5"/>
      <c r="TIE193" s="5"/>
      <c r="TIF193" s="5"/>
      <c r="TIG193" s="5"/>
      <c r="TIH193" s="5"/>
      <c r="TII193" s="5"/>
      <c r="TIJ193" s="5"/>
      <c r="TIK193" s="5"/>
      <c r="TIL193" s="5"/>
      <c r="TIM193" s="5"/>
      <c r="TIN193" s="5"/>
      <c r="TIO193" s="5"/>
      <c r="TIP193" s="5"/>
      <c r="TIQ193" s="5"/>
      <c r="TIR193" s="5"/>
      <c r="TIS193" s="5"/>
      <c r="TIT193" s="5"/>
      <c r="TIU193" s="5"/>
      <c r="TIV193" s="5"/>
      <c r="TIW193" s="5"/>
      <c r="TIX193" s="5"/>
      <c r="TIY193" s="5"/>
      <c r="TIZ193" s="5"/>
      <c r="TJA193" s="5"/>
      <c r="TJB193" s="5"/>
      <c r="TJC193" s="5"/>
      <c r="TJD193" s="5"/>
      <c r="TJE193" s="5"/>
      <c r="TJF193" s="5"/>
      <c r="TJG193" s="5"/>
      <c r="TJH193" s="5"/>
      <c r="TJI193" s="5"/>
      <c r="TJJ193" s="5"/>
      <c r="TJK193" s="5"/>
      <c r="TJL193" s="5"/>
      <c r="TJM193" s="5"/>
      <c r="TJN193" s="5"/>
      <c r="TJO193" s="5"/>
      <c r="TJP193" s="5"/>
      <c r="TJQ193" s="5"/>
      <c r="TJR193" s="5"/>
      <c r="TJS193" s="5"/>
      <c r="TJT193" s="5"/>
      <c r="TJU193" s="5"/>
      <c r="TJV193" s="5"/>
      <c r="TJW193" s="5"/>
      <c r="TJX193" s="5"/>
      <c r="TJY193" s="5"/>
      <c r="TJZ193" s="5"/>
      <c r="TKA193" s="5"/>
      <c r="TKB193" s="5"/>
      <c r="TKC193" s="5"/>
      <c r="TKD193" s="5"/>
      <c r="TKE193" s="5"/>
      <c r="TKF193" s="5"/>
      <c r="TKG193" s="5"/>
      <c r="TKH193" s="5"/>
      <c r="TKI193" s="5"/>
      <c r="TKJ193" s="5"/>
      <c r="TKK193" s="5"/>
      <c r="TKL193" s="5"/>
      <c r="TKM193" s="5"/>
      <c r="TKN193" s="5"/>
      <c r="TKO193" s="5"/>
      <c r="TKP193" s="5"/>
      <c r="TKQ193" s="5"/>
      <c r="TKR193" s="5"/>
      <c r="TKS193" s="5"/>
      <c r="TKT193" s="5"/>
      <c r="TKU193" s="5"/>
      <c r="TKV193" s="5"/>
      <c r="TKW193" s="5"/>
      <c r="TKX193" s="5"/>
      <c r="TKY193" s="5"/>
      <c r="TKZ193" s="5"/>
      <c r="TLA193" s="5"/>
      <c r="TLB193" s="5"/>
      <c r="TLC193" s="5"/>
      <c r="TLD193" s="5"/>
      <c r="TLE193" s="5"/>
      <c r="TLF193" s="5"/>
      <c r="TLG193" s="5"/>
      <c r="TLH193" s="5"/>
      <c r="TLI193" s="5"/>
      <c r="TLJ193" s="5"/>
      <c r="TLK193" s="5"/>
      <c r="TLL193" s="5"/>
      <c r="TLM193" s="5"/>
      <c r="TLN193" s="5"/>
      <c r="TLO193" s="5"/>
      <c r="TLP193" s="5"/>
      <c r="TLQ193" s="5"/>
      <c r="TLR193" s="5"/>
      <c r="TLS193" s="5"/>
      <c r="TLT193" s="5"/>
      <c r="TLU193" s="5"/>
      <c r="TLV193" s="5"/>
      <c r="TLW193" s="5"/>
      <c r="TLX193" s="5"/>
      <c r="TLY193" s="5"/>
      <c r="TLZ193" s="5"/>
      <c r="TMA193" s="5"/>
      <c r="TMB193" s="5"/>
      <c r="TMC193" s="5"/>
      <c r="TMD193" s="5"/>
      <c r="TME193" s="5"/>
      <c r="TMF193" s="5"/>
      <c r="TMG193" s="5"/>
      <c r="TMH193" s="5"/>
      <c r="TMI193" s="5"/>
      <c r="TMJ193" s="5"/>
      <c r="TMK193" s="5"/>
      <c r="TML193" s="5"/>
      <c r="TMM193" s="5"/>
      <c r="TMN193" s="5"/>
      <c r="TMO193" s="5"/>
      <c r="TMP193" s="5"/>
      <c r="TMQ193" s="5"/>
      <c r="TMR193" s="5"/>
      <c r="TMS193" s="5"/>
      <c r="TMT193" s="5"/>
      <c r="TMU193" s="5"/>
      <c r="TMV193" s="5"/>
      <c r="TMW193" s="5"/>
      <c r="TMX193" s="5"/>
      <c r="TMY193" s="5"/>
      <c r="TMZ193" s="5"/>
      <c r="TNA193" s="5"/>
      <c r="TNB193" s="5"/>
      <c r="TNC193" s="5"/>
      <c r="TND193" s="5"/>
      <c r="TNE193" s="5"/>
      <c r="TNF193" s="5"/>
      <c r="TNG193" s="5"/>
      <c r="TNH193" s="5"/>
      <c r="TNI193" s="5"/>
      <c r="TNJ193" s="5"/>
      <c r="TNK193" s="5"/>
      <c r="TNL193" s="5"/>
      <c r="TNM193" s="5"/>
      <c r="TNN193" s="5"/>
      <c r="TNO193" s="5"/>
      <c r="TNP193" s="5"/>
      <c r="TNQ193" s="5"/>
      <c r="TNR193" s="5"/>
      <c r="TNS193" s="5"/>
      <c r="TNT193" s="5"/>
      <c r="TNU193" s="5"/>
      <c r="TNV193" s="5"/>
      <c r="TNW193" s="5"/>
      <c r="TNX193" s="5"/>
      <c r="TNY193" s="5"/>
      <c r="TNZ193" s="5"/>
      <c r="TOA193" s="5"/>
      <c r="TOB193" s="5"/>
      <c r="TOC193" s="5"/>
      <c r="TOD193" s="5"/>
      <c r="TOE193" s="5"/>
      <c r="TOF193" s="5"/>
      <c r="TOG193" s="5"/>
      <c r="TOH193" s="5"/>
      <c r="TOI193" s="5"/>
      <c r="TOJ193" s="5"/>
      <c r="TOK193" s="5"/>
      <c r="TOL193" s="5"/>
      <c r="TOM193" s="5"/>
      <c r="TON193" s="5"/>
      <c r="TOO193" s="5"/>
      <c r="TOP193" s="5"/>
      <c r="TOQ193" s="5"/>
      <c r="TOR193" s="5"/>
      <c r="TOS193" s="5"/>
      <c r="TOT193" s="5"/>
      <c r="TOU193" s="5"/>
      <c r="TOV193" s="5"/>
      <c r="TOW193" s="5"/>
      <c r="TOX193" s="5"/>
      <c r="TOY193" s="5"/>
      <c r="TOZ193" s="5"/>
      <c r="TPA193" s="5"/>
      <c r="TPB193" s="5"/>
      <c r="TPC193" s="5"/>
      <c r="TPD193" s="5"/>
      <c r="TPE193" s="5"/>
      <c r="TPF193" s="5"/>
      <c r="TPG193" s="5"/>
      <c r="TPH193" s="5"/>
      <c r="TPI193" s="5"/>
      <c r="TPJ193" s="5"/>
      <c r="TPK193" s="5"/>
      <c r="TPL193" s="5"/>
      <c r="TPM193" s="5"/>
      <c r="TPN193" s="5"/>
      <c r="TPO193" s="5"/>
      <c r="TPP193" s="5"/>
      <c r="TPQ193" s="5"/>
      <c r="TPR193" s="5"/>
      <c r="TPS193" s="5"/>
      <c r="TPT193" s="5"/>
      <c r="TPU193" s="5"/>
      <c r="TPV193" s="5"/>
      <c r="TPW193" s="5"/>
      <c r="TPX193" s="5"/>
      <c r="TPY193" s="5"/>
      <c r="TPZ193" s="5"/>
      <c r="TQA193" s="5"/>
      <c r="TQB193" s="5"/>
      <c r="TQC193" s="5"/>
      <c r="TQD193" s="5"/>
      <c r="TQE193" s="5"/>
      <c r="TQF193" s="5"/>
      <c r="TQG193" s="5"/>
      <c r="TQH193" s="5"/>
      <c r="TQI193" s="5"/>
      <c r="TQJ193" s="5"/>
      <c r="TQK193" s="5"/>
      <c r="TQL193" s="5"/>
      <c r="TQM193" s="5"/>
      <c r="TQN193" s="5"/>
      <c r="TQO193" s="5"/>
      <c r="TQP193" s="5"/>
      <c r="TQQ193" s="5"/>
      <c r="TQR193" s="5"/>
      <c r="TQS193" s="5"/>
      <c r="TQT193" s="5"/>
      <c r="TQU193" s="5"/>
      <c r="TQV193" s="5"/>
      <c r="TQW193" s="5"/>
      <c r="TQX193" s="5"/>
      <c r="TQY193" s="5"/>
      <c r="TQZ193" s="5"/>
      <c r="TRA193" s="5"/>
      <c r="TRB193" s="5"/>
      <c r="TRC193" s="5"/>
      <c r="TRD193" s="5"/>
      <c r="TRE193" s="5"/>
      <c r="TRF193" s="5"/>
      <c r="TRG193" s="5"/>
      <c r="TRH193" s="5"/>
      <c r="TRI193" s="5"/>
      <c r="TRJ193" s="5"/>
      <c r="TRK193" s="5"/>
      <c r="TRL193" s="5"/>
      <c r="TRM193" s="5"/>
      <c r="TRN193" s="5"/>
      <c r="TRO193" s="5"/>
      <c r="TRP193" s="5"/>
      <c r="TRQ193" s="5"/>
      <c r="TRR193" s="5"/>
      <c r="TRS193" s="5"/>
      <c r="TRT193" s="5"/>
      <c r="TRU193" s="5"/>
      <c r="TRV193" s="5"/>
      <c r="TRW193" s="5"/>
      <c r="TRX193" s="5"/>
      <c r="TRY193" s="5"/>
      <c r="TRZ193" s="5"/>
      <c r="TSA193" s="5"/>
      <c r="TSB193" s="5"/>
      <c r="TSC193" s="5"/>
      <c r="TSD193" s="5"/>
      <c r="TSE193" s="5"/>
      <c r="TSF193" s="5"/>
      <c r="TSG193" s="5"/>
      <c r="TSH193" s="5"/>
      <c r="TSI193" s="5"/>
      <c r="TSJ193" s="5"/>
      <c r="TSK193" s="5"/>
      <c r="TSL193" s="5"/>
      <c r="TSM193" s="5"/>
      <c r="TSN193" s="5"/>
      <c r="TSO193" s="5"/>
      <c r="TSP193" s="5"/>
      <c r="TSQ193" s="5"/>
      <c r="TSR193" s="5"/>
      <c r="TSS193" s="5"/>
      <c r="TST193" s="5"/>
      <c r="TSU193" s="5"/>
      <c r="TSV193" s="5"/>
      <c r="TSW193" s="5"/>
      <c r="TSX193" s="5"/>
      <c r="TSY193" s="5"/>
      <c r="TSZ193" s="5"/>
      <c r="TTA193" s="5"/>
      <c r="TTB193" s="5"/>
      <c r="TTC193" s="5"/>
      <c r="TTD193" s="5"/>
      <c r="TTE193" s="5"/>
      <c r="TTF193" s="5"/>
      <c r="TTG193" s="5"/>
      <c r="TTH193" s="5"/>
      <c r="TTI193" s="5"/>
      <c r="TTJ193" s="5"/>
      <c r="TTK193" s="5"/>
      <c r="TTL193" s="5"/>
      <c r="TTM193" s="5"/>
      <c r="TTN193" s="5"/>
      <c r="TTO193" s="5"/>
      <c r="TTP193" s="5"/>
      <c r="TTQ193" s="5"/>
      <c r="TTR193" s="5"/>
      <c r="TTS193" s="5"/>
      <c r="TTT193" s="5"/>
      <c r="TTU193" s="5"/>
      <c r="TTV193" s="5"/>
      <c r="TTW193" s="5"/>
      <c r="TTX193" s="5"/>
      <c r="TTY193" s="5"/>
      <c r="TTZ193" s="5"/>
      <c r="TUA193" s="5"/>
      <c r="TUB193" s="5"/>
      <c r="TUC193" s="5"/>
      <c r="TUD193" s="5"/>
      <c r="TUE193" s="5"/>
      <c r="TUF193" s="5"/>
      <c r="TUG193" s="5"/>
      <c r="TUH193" s="5"/>
      <c r="TUI193" s="5"/>
      <c r="TUJ193" s="5"/>
      <c r="TUK193" s="5"/>
      <c r="TUL193" s="5"/>
      <c r="TUM193" s="5"/>
      <c r="TUN193" s="5"/>
      <c r="TUO193" s="5"/>
      <c r="TUP193" s="5"/>
      <c r="TUQ193" s="5"/>
      <c r="TUR193" s="5"/>
      <c r="TUS193" s="5"/>
      <c r="TUT193" s="5"/>
      <c r="TUU193" s="5"/>
      <c r="TUV193" s="5"/>
      <c r="TUW193" s="5"/>
      <c r="TUX193" s="5"/>
      <c r="TUY193" s="5"/>
      <c r="TUZ193" s="5"/>
      <c r="TVA193" s="5"/>
      <c r="TVB193" s="5"/>
      <c r="TVC193" s="5"/>
      <c r="TVD193" s="5"/>
      <c r="TVE193" s="5"/>
      <c r="TVF193" s="5"/>
      <c r="TVG193" s="5"/>
      <c r="TVH193" s="5"/>
      <c r="TVI193" s="5"/>
      <c r="TVJ193" s="5"/>
      <c r="TVK193" s="5"/>
      <c r="TVL193" s="5"/>
      <c r="TVM193" s="5"/>
      <c r="TVN193" s="5"/>
      <c r="TVO193" s="5"/>
      <c r="TVP193" s="5"/>
      <c r="TVQ193" s="5"/>
      <c r="TVR193" s="5"/>
      <c r="TVS193" s="5"/>
      <c r="TVT193" s="5"/>
      <c r="TVU193" s="5"/>
      <c r="TVV193" s="5"/>
      <c r="TVW193" s="5"/>
      <c r="TVX193" s="5"/>
      <c r="TVY193" s="5"/>
      <c r="TVZ193" s="5"/>
      <c r="TWA193" s="5"/>
      <c r="TWB193" s="5"/>
      <c r="TWC193" s="5"/>
      <c r="TWD193" s="5"/>
      <c r="TWE193" s="5"/>
      <c r="TWF193" s="5"/>
      <c r="TWG193" s="5"/>
      <c r="TWH193" s="5"/>
      <c r="TWI193" s="5"/>
      <c r="TWJ193" s="5"/>
      <c r="TWK193" s="5"/>
      <c r="TWL193" s="5"/>
      <c r="TWM193" s="5"/>
      <c r="TWN193" s="5"/>
      <c r="TWO193" s="5"/>
      <c r="TWP193" s="5"/>
      <c r="TWQ193" s="5"/>
      <c r="TWR193" s="5"/>
      <c r="TWS193" s="5"/>
      <c r="TWT193" s="5"/>
      <c r="TWU193" s="5"/>
      <c r="TWV193" s="5"/>
      <c r="TWW193" s="5"/>
      <c r="TWX193" s="5"/>
      <c r="TWY193" s="5"/>
      <c r="TWZ193" s="5"/>
      <c r="TXA193" s="5"/>
      <c r="TXB193" s="5"/>
      <c r="TXC193" s="5"/>
      <c r="TXD193" s="5"/>
      <c r="TXE193" s="5"/>
      <c r="TXF193" s="5"/>
      <c r="TXG193" s="5"/>
      <c r="TXH193" s="5"/>
      <c r="TXI193" s="5"/>
      <c r="TXJ193" s="5"/>
      <c r="TXK193" s="5"/>
      <c r="TXL193" s="5"/>
      <c r="TXM193" s="5"/>
      <c r="TXN193" s="5"/>
      <c r="TXO193" s="5"/>
      <c r="TXP193" s="5"/>
      <c r="TXQ193" s="5"/>
      <c r="TXR193" s="5"/>
      <c r="TXS193" s="5"/>
      <c r="TXT193" s="5"/>
      <c r="TXU193" s="5"/>
      <c r="TXV193" s="5"/>
      <c r="TXW193" s="5"/>
      <c r="TXX193" s="5"/>
      <c r="TXY193" s="5"/>
      <c r="TXZ193" s="5"/>
      <c r="TYA193" s="5"/>
      <c r="TYB193" s="5"/>
      <c r="TYC193" s="5"/>
      <c r="TYD193" s="5"/>
      <c r="TYE193" s="5"/>
      <c r="TYF193" s="5"/>
      <c r="TYG193" s="5"/>
      <c r="TYH193" s="5"/>
      <c r="TYI193" s="5"/>
      <c r="TYJ193" s="5"/>
      <c r="TYK193" s="5"/>
      <c r="TYL193" s="5"/>
      <c r="TYM193" s="5"/>
      <c r="TYN193" s="5"/>
      <c r="TYO193" s="5"/>
      <c r="TYP193" s="5"/>
      <c r="TYQ193" s="5"/>
      <c r="TYR193" s="5"/>
      <c r="TYS193" s="5"/>
      <c r="TYT193" s="5"/>
      <c r="TYU193" s="5"/>
      <c r="TYV193" s="5"/>
      <c r="TYW193" s="5"/>
      <c r="TYX193" s="5"/>
      <c r="TYY193" s="5"/>
      <c r="TYZ193" s="5"/>
      <c r="TZA193" s="5"/>
      <c r="TZB193" s="5"/>
      <c r="TZC193" s="5"/>
      <c r="TZD193" s="5"/>
      <c r="TZE193" s="5"/>
      <c r="TZF193" s="5"/>
      <c r="TZG193" s="5"/>
      <c r="TZH193" s="5"/>
      <c r="TZI193" s="5"/>
      <c r="TZJ193" s="5"/>
      <c r="TZK193" s="5"/>
      <c r="TZL193" s="5"/>
      <c r="TZM193" s="5"/>
      <c r="TZN193" s="5"/>
      <c r="TZO193" s="5"/>
      <c r="TZP193" s="5"/>
      <c r="TZQ193" s="5"/>
      <c r="TZR193" s="5"/>
      <c r="TZS193" s="5"/>
      <c r="TZT193" s="5"/>
      <c r="TZU193" s="5"/>
      <c r="TZV193" s="5"/>
      <c r="TZW193" s="5"/>
      <c r="TZX193" s="5"/>
      <c r="TZY193" s="5"/>
      <c r="TZZ193" s="5"/>
      <c r="UAA193" s="5"/>
      <c r="UAB193" s="5"/>
      <c r="UAC193" s="5"/>
      <c r="UAD193" s="5"/>
      <c r="UAE193" s="5"/>
      <c r="UAF193" s="5"/>
      <c r="UAG193" s="5"/>
      <c r="UAH193" s="5"/>
      <c r="UAI193" s="5"/>
      <c r="UAJ193" s="5"/>
      <c r="UAK193" s="5"/>
      <c r="UAL193" s="5"/>
      <c r="UAM193" s="5"/>
      <c r="UAN193" s="5"/>
      <c r="UAO193" s="5"/>
      <c r="UAP193" s="5"/>
      <c r="UAQ193" s="5"/>
      <c r="UAR193" s="5"/>
      <c r="UAS193" s="5"/>
      <c r="UAT193" s="5"/>
      <c r="UAU193" s="5"/>
      <c r="UAV193" s="5"/>
      <c r="UAW193" s="5"/>
      <c r="UAX193" s="5"/>
      <c r="UAY193" s="5"/>
      <c r="UAZ193" s="5"/>
      <c r="UBA193" s="5"/>
      <c r="UBB193" s="5"/>
      <c r="UBC193" s="5"/>
      <c r="UBD193" s="5"/>
      <c r="UBE193" s="5"/>
      <c r="UBF193" s="5"/>
      <c r="UBG193" s="5"/>
      <c r="UBH193" s="5"/>
      <c r="UBI193" s="5"/>
      <c r="UBJ193" s="5"/>
      <c r="UBK193" s="5"/>
      <c r="UBL193" s="5"/>
      <c r="UBM193" s="5"/>
      <c r="UBN193" s="5"/>
      <c r="UBO193" s="5"/>
      <c r="UBP193" s="5"/>
      <c r="UBQ193" s="5"/>
      <c r="UBR193" s="5"/>
      <c r="UBS193" s="5"/>
      <c r="UBT193" s="5"/>
      <c r="UBU193" s="5"/>
      <c r="UBV193" s="5"/>
      <c r="UBW193" s="5"/>
      <c r="UBX193" s="5"/>
      <c r="UBY193" s="5"/>
      <c r="UBZ193" s="5"/>
      <c r="UCA193" s="5"/>
      <c r="UCB193" s="5"/>
      <c r="UCC193" s="5"/>
      <c r="UCD193" s="5"/>
      <c r="UCE193" s="5"/>
      <c r="UCF193" s="5"/>
      <c r="UCG193" s="5"/>
      <c r="UCH193" s="5"/>
      <c r="UCI193" s="5"/>
      <c r="UCJ193" s="5"/>
      <c r="UCK193" s="5"/>
      <c r="UCL193" s="5"/>
      <c r="UCM193" s="5"/>
      <c r="UCN193" s="5"/>
      <c r="UCO193" s="5"/>
      <c r="UCP193" s="5"/>
      <c r="UCQ193" s="5"/>
      <c r="UCR193" s="5"/>
      <c r="UCS193" s="5"/>
      <c r="UCT193" s="5"/>
      <c r="UCU193" s="5"/>
      <c r="UCV193" s="5"/>
      <c r="UCW193" s="5"/>
      <c r="UCX193" s="5"/>
      <c r="UCY193" s="5"/>
      <c r="UCZ193" s="5"/>
      <c r="UDA193" s="5"/>
      <c r="UDB193" s="5"/>
      <c r="UDC193" s="5"/>
      <c r="UDD193" s="5"/>
      <c r="UDE193" s="5"/>
      <c r="UDF193" s="5"/>
      <c r="UDG193" s="5"/>
      <c r="UDH193" s="5"/>
      <c r="UDI193" s="5"/>
      <c r="UDJ193" s="5"/>
      <c r="UDK193" s="5"/>
      <c r="UDL193" s="5"/>
      <c r="UDM193" s="5"/>
      <c r="UDN193" s="5"/>
      <c r="UDO193" s="5"/>
      <c r="UDP193" s="5"/>
      <c r="UDQ193" s="5"/>
      <c r="UDR193" s="5"/>
      <c r="UDS193" s="5"/>
      <c r="UDT193" s="5"/>
      <c r="UDU193" s="5"/>
      <c r="UDV193" s="5"/>
      <c r="UDW193" s="5"/>
      <c r="UDX193" s="5"/>
      <c r="UDY193" s="5"/>
      <c r="UDZ193" s="5"/>
      <c r="UEA193" s="5"/>
      <c r="UEB193" s="5"/>
      <c r="UEC193" s="5"/>
      <c r="UED193" s="5"/>
      <c r="UEE193" s="5"/>
      <c r="UEF193" s="5"/>
      <c r="UEG193" s="5"/>
      <c r="UEH193" s="5"/>
      <c r="UEI193" s="5"/>
      <c r="UEJ193" s="5"/>
      <c r="UEK193" s="5"/>
      <c r="UEL193" s="5"/>
      <c r="UEM193" s="5"/>
      <c r="UEN193" s="5"/>
      <c r="UEO193" s="5"/>
      <c r="UEP193" s="5"/>
      <c r="UEQ193" s="5"/>
      <c r="UER193" s="5"/>
      <c r="UES193" s="5"/>
      <c r="UET193" s="5"/>
      <c r="UEU193" s="5"/>
      <c r="UEV193" s="5"/>
      <c r="UEW193" s="5"/>
      <c r="UEX193" s="5"/>
      <c r="UEY193" s="5"/>
      <c r="UEZ193" s="5"/>
      <c r="UFA193" s="5"/>
      <c r="UFB193" s="5"/>
      <c r="UFC193" s="5"/>
      <c r="UFD193" s="5"/>
      <c r="UFE193" s="5"/>
      <c r="UFF193" s="5"/>
      <c r="UFG193" s="5"/>
      <c r="UFH193" s="5"/>
      <c r="UFI193" s="5"/>
      <c r="UFJ193" s="5"/>
      <c r="UFK193" s="5"/>
      <c r="UFL193" s="5"/>
      <c r="UFM193" s="5"/>
      <c r="UFN193" s="5"/>
      <c r="UFO193" s="5"/>
      <c r="UFP193" s="5"/>
      <c r="UFQ193" s="5"/>
      <c r="UFR193" s="5"/>
      <c r="UFS193" s="5"/>
      <c r="UFT193" s="5"/>
      <c r="UFU193" s="5"/>
      <c r="UFV193" s="5"/>
      <c r="UFW193" s="5"/>
      <c r="UFX193" s="5"/>
      <c r="UFY193" s="5"/>
      <c r="UFZ193" s="5"/>
      <c r="UGA193" s="5"/>
      <c r="UGB193" s="5"/>
      <c r="UGC193" s="5"/>
      <c r="UGD193" s="5"/>
      <c r="UGE193" s="5"/>
      <c r="UGF193" s="5"/>
      <c r="UGG193" s="5"/>
      <c r="UGH193" s="5"/>
      <c r="UGI193" s="5"/>
      <c r="UGJ193" s="5"/>
      <c r="UGK193" s="5"/>
      <c r="UGL193" s="5"/>
      <c r="UGM193" s="5"/>
      <c r="UGN193" s="5"/>
      <c r="UGO193" s="5"/>
      <c r="UGP193" s="5"/>
      <c r="UGQ193" s="5"/>
      <c r="UGR193" s="5"/>
      <c r="UGS193" s="5"/>
      <c r="UGT193" s="5"/>
      <c r="UGU193" s="5"/>
      <c r="UGV193" s="5"/>
      <c r="UGW193" s="5"/>
      <c r="UGX193" s="5"/>
      <c r="UGY193" s="5"/>
      <c r="UGZ193" s="5"/>
      <c r="UHA193" s="5"/>
      <c r="UHB193" s="5"/>
      <c r="UHC193" s="5"/>
      <c r="UHD193" s="5"/>
      <c r="UHE193" s="5"/>
      <c r="UHF193" s="5"/>
      <c r="UHG193" s="5"/>
      <c r="UHH193" s="5"/>
      <c r="UHI193" s="5"/>
      <c r="UHJ193" s="5"/>
      <c r="UHK193" s="5"/>
      <c r="UHL193" s="5"/>
      <c r="UHM193" s="5"/>
      <c r="UHN193" s="5"/>
      <c r="UHO193" s="5"/>
      <c r="UHP193" s="5"/>
      <c r="UHQ193" s="5"/>
      <c r="UHR193" s="5"/>
      <c r="UHS193" s="5"/>
      <c r="UHT193" s="5"/>
      <c r="UHU193" s="5"/>
      <c r="UHV193" s="5"/>
      <c r="UHW193" s="5"/>
      <c r="UHX193" s="5"/>
      <c r="UHY193" s="5"/>
      <c r="UHZ193" s="5"/>
      <c r="UIA193" s="5"/>
      <c r="UIB193" s="5"/>
      <c r="UIC193" s="5"/>
      <c r="UID193" s="5"/>
      <c r="UIE193" s="5"/>
      <c r="UIF193" s="5"/>
      <c r="UIG193" s="5"/>
      <c r="UIH193" s="5"/>
      <c r="UII193" s="5"/>
      <c r="UIJ193" s="5"/>
      <c r="UIK193" s="5"/>
      <c r="UIL193" s="5"/>
      <c r="UIM193" s="5"/>
      <c r="UIN193" s="5"/>
      <c r="UIO193" s="5"/>
      <c r="UIP193" s="5"/>
      <c r="UIQ193" s="5"/>
      <c r="UIR193" s="5"/>
      <c r="UIS193" s="5"/>
      <c r="UIT193" s="5"/>
      <c r="UIU193" s="5"/>
      <c r="UIV193" s="5"/>
      <c r="UIW193" s="5"/>
      <c r="UIX193" s="5"/>
      <c r="UIY193" s="5"/>
      <c r="UIZ193" s="5"/>
      <c r="UJA193" s="5"/>
      <c r="UJB193" s="5"/>
      <c r="UJC193" s="5"/>
      <c r="UJD193" s="5"/>
      <c r="UJE193" s="5"/>
      <c r="UJF193" s="5"/>
      <c r="UJG193" s="5"/>
      <c r="UJH193" s="5"/>
      <c r="UJI193" s="5"/>
      <c r="UJJ193" s="5"/>
      <c r="UJK193" s="5"/>
      <c r="UJL193" s="5"/>
      <c r="UJM193" s="5"/>
      <c r="UJN193" s="5"/>
      <c r="UJO193" s="5"/>
      <c r="UJP193" s="5"/>
      <c r="UJQ193" s="5"/>
      <c r="UJR193" s="5"/>
      <c r="UJS193" s="5"/>
      <c r="UJT193" s="5"/>
      <c r="UJU193" s="5"/>
      <c r="UJV193" s="5"/>
      <c r="UJW193" s="5"/>
      <c r="UJX193" s="5"/>
      <c r="UJY193" s="5"/>
      <c r="UJZ193" s="5"/>
      <c r="UKA193" s="5"/>
      <c r="UKB193" s="5"/>
      <c r="UKC193" s="5"/>
      <c r="UKD193" s="5"/>
      <c r="UKE193" s="5"/>
      <c r="UKF193" s="5"/>
      <c r="UKG193" s="5"/>
      <c r="UKH193" s="5"/>
      <c r="UKI193" s="5"/>
      <c r="UKJ193" s="5"/>
      <c r="UKK193" s="5"/>
      <c r="UKL193" s="5"/>
      <c r="UKM193" s="5"/>
      <c r="UKN193" s="5"/>
      <c r="UKO193" s="5"/>
      <c r="UKP193" s="5"/>
      <c r="UKQ193" s="5"/>
      <c r="UKR193" s="5"/>
      <c r="UKS193" s="5"/>
      <c r="UKT193" s="5"/>
      <c r="UKU193" s="5"/>
      <c r="UKV193" s="5"/>
      <c r="UKW193" s="5"/>
      <c r="UKX193" s="5"/>
      <c r="UKY193" s="5"/>
      <c r="UKZ193" s="5"/>
      <c r="ULA193" s="5"/>
      <c r="ULB193" s="5"/>
      <c r="ULC193" s="5"/>
      <c r="ULD193" s="5"/>
      <c r="ULE193" s="5"/>
      <c r="ULF193" s="5"/>
      <c r="ULG193" s="5"/>
      <c r="ULH193" s="5"/>
      <c r="ULI193" s="5"/>
      <c r="ULJ193" s="5"/>
      <c r="ULK193" s="5"/>
      <c r="ULL193" s="5"/>
      <c r="ULM193" s="5"/>
      <c r="ULN193" s="5"/>
      <c r="ULO193" s="5"/>
      <c r="ULP193" s="5"/>
      <c r="ULQ193" s="5"/>
      <c r="ULR193" s="5"/>
      <c r="ULS193" s="5"/>
      <c r="ULT193" s="5"/>
      <c r="ULU193" s="5"/>
      <c r="ULV193" s="5"/>
      <c r="ULW193" s="5"/>
      <c r="ULX193" s="5"/>
      <c r="ULY193" s="5"/>
      <c r="ULZ193" s="5"/>
      <c r="UMA193" s="5"/>
      <c r="UMB193" s="5"/>
      <c r="UMC193" s="5"/>
      <c r="UMD193" s="5"/>
      <c r="UME193" s="5"/>
      <c r="UMF193" s="5"/>
      <c r="UMG193" s="5"/>
      <c r="UMH193" s="5"/>
      <c r="UMI193" s="5"/>
      <c r="UMJ193" s="5"/>
      <c r="UMK193" s="5"/>
      <c r="UML193" s="5"/>
      <c r="UMM193" s="5"/>
      <c r="UMN193" s="5"/>
      <c r="UMO193" s="5"/>
      <c r="UMP193" s="5"/>
      <c r="UMQ193" s="5"/>
      <c r="UMR193" s="5"/>
      <c r="UMS193" s="5"/>
      <c r="UMT193" s="5"/>
      <c r="UMU193" s="5"/>
      <c r="UMV193" s="5"/>
      <c r="UMW193" s="5"/>
      <c r="UMX193" s="5"/>
      <c r="UMY193" s="5"/>
      <c r="UMZ193" s="5"/>
      <c r="UNA193" s="5"/>
      <c r="UNB193" s="5"/>
      <c r="UNC193" s="5"/>
      <c r="UND193" s="5"/>
      <c r="UNE193" s="5"/>
      <c r="UNF193" s="5"/>
      <c r="UNG193" s="5"/>
      <c r="UNH193" s="5"/>
      <c r="UNI193" s="5"/>
      <c r="UNJ193" s="5"/>
      <c r="UNK193" s="5"/>
      <c r="UNL193" s="5"/>
      <c r="UNM193" s="5"/>
      <c r="UNN193" s="5"/>
      <c r="UNO193" s="5"/>
      <c r="UNP193" s="5"/>
      <c r="UNQ193" s="5"/>
      <c r="UNR193" s="5"/>
      <c r="UNS193" s="5"/>
      <c r="UNT193" s="5"/>
      <c r="UNU193" s="5"/>
      <c r="UNV193" s="5"/>
      <c r="UNW193" s="5"/>
      <c r="UNX193" s="5"/>
      <c r="UNY193" s="5"/>
      <c r="UNZ193" s="5"/>
      <c r="UOA193" s="5"/>
      <c r="UOB193" s="5"/>
      <c r="UOC193" s="5"/>
      <c r="UOD193" s="5"/>
      <c r="UOE193" s="5"/>
      <c r="UOF193" s="5"/>
      <c r="UOG193" s="5"/>
      <c r="UOH193" s="5"/>
      <c r="UOI193" s="5"/>
      <c r="UOJ193" s="5"/>
      <c r="UOK193" s="5"/>
      <c r="UOL193" s="5"/>
      <c r="UOM193" s="5"/>
      <c r="UON193" s="5"/>
      <c r="UOO193" s="5"/>
      <c r="UOP193" s="5"/>
      <c r="UOQ193" s="5"/>
      <c r="UOR193" s="5"/>
      <c r="UOS193" s="5"/>
      <c r="UOT193" s="5"/>
      <c r="UOU193" s="5"/>
      <c r="UOV193" s="5"/>
      <c r="UOW193" s="5"/>
      <c r="UOX193" s="5"/>
      <c r="UOY193" s="5"/>
      <c r="UOZ193" s="5"/>
      <c r="UPA193" s="5"/>
      <c r="UPB193" s="5"/>
      <c r="UPC193" s="5"/>
      <c r="UPD193" s="5"/>
      <c r="UPE193" s="5"/>
      <c r="UPF193" s="5"/>
      <c r="UPG193" s="5"/>
      <c r="UPH193" s="5"/>
      <c r="UPI193" s="5"/>
      <c r="UPJ193" s="5"/>
      <c r="UPK193" s="5"/>
      <c r="UPL193" s="5"/>
      <c r="UPM193" s="5"/>
      <c r="UPN193" s="5"/>
      <c r="UPO193" s="5"/>
      <c r="UPP193" s="5"/>
      <c r="UPQ193" s="5"/>
      <c r="UPR193" s="5"/>
      <c r="UPS193" s="5"/>
      <c r="UPT193" s="5"/>
      <c r="UPU193" s="5"/>
      <c r="UPV193" s="5"/>
      <c r="UPW193" s="5"/>
      <c r="UPX193" s="5"/>
      <c r="UPY193" s="5"/>
      <c r="UPZ193" s="5"/>
      <c r="UQA193" s="5"/>
      <c r="UQB193" s="5"/>
      <c r="UQC193" s="5"/>
      <c r="UQD193" s="5"/>
      <c r="UQE193" s="5"/>
      <c r="UQF193" s="5"/>
      <c r="UQG193" s="5"/>
      <c r="UQH193" s="5"/>
      <c r="UQI193" s="5"/>
      <c r="UQJ193" s="5"/>
      <c r="UQK193" s="5"/>
      <c r="UQL193" s="5"/>
      <c r="UQM193" s="5"/>
      <c r="UQN193" s="5"/>
      <c r="UQO193" s="5"/>
      <c r="UQP193" s="5"/>
      <c r="UQQ193" s="5"/>
      <c r="UQR193" s="5"/>
      <c r="UQS193" s="5"/>
      <c r="UQT193" s="5"/>
      <c r="UQU193" s="5"/>
      <c r="UQV193" s="5"/>
      <c r="UQW193" s="5"/>
      <c r="UQX193" s="5"/>
      <c r="UQY193" s="5"/>
      <c r="UQZ193" s="5"/>
      <c r="URA193" s="5"/>
      <c r="URB193" s="5"/>
      <c r="URC193" s="5"/>
      <c r="URD193" s="5"/>
      <c r="URE193" s="5"/>
      <c r="URF193" s="5"/>
      <c r="URG193" s="5"/>
      <c r="URH193" s="5"/>
      <c r="URI193" s="5"/>
      <c r="URJ193" s="5"/>
      <c r="URK193" s="5"/>
      <c r="URL193" s="5"/>
      <c r="URM193" s="5"/>
      <c r="URN193" s="5"/>
      <c r="URO193" s="5"/>
      <c r="URP193" s="5"/>
      <c r="URQ193" s="5"/>
      <c r="URR193" s="5"/>
      <c r="URS193" s="5"/>
      <c r="URT193" s="5"/>
      <c r="URU193" s="5"/>
      <c r="URV193" s="5"/>
      <c r="URW193" s="5"/>
      <c r="URX193" s="5"/>
      <c r="URY193" s="5"/>
      <c r="URZ193" s="5"/>
      <c r="USA193" s="5"/>
      <c r="USB193" s="5"/>
      <c r="USC193" s="5"/>
      <c r="USD193" s="5"/>
      <c r="USE193" s="5"/>
      <c r="USF193" s="5"/>
      <c r="USG193" s="5"/>
      <c r="USH193" s="5"/>
      <c r="USI193" s="5"/>
      <c r="USJ193" s="5"/>
      <c r="USK193" s="5"/>
      <c r="USL193" s="5"/>
      <c r="USM193" s="5"/>
      <c r="USN193" s="5"/>
      <c r="USO193" s="5"/>
      <c r="USP193" s="5"/>
      <c r="USQ193" s="5"/>
      <c r="USR193" s="5"/>
      <c r="USS193" s="5"/>
      <c r="UST193" s="5"/>
      <c r="USU193" s="5"/>
      <c r="USV193" s="5"/>
      <c r="USW193" s="5"/>
      <c r="USX193" s="5"/>
      <c r="USY193" s="5"/>
      <c r="USZ193" s="5"/>
      <c r="UTA193" s="5"/>
      <c r="UTB193" s="5"/>
      <c r="UTC193" s="5"/>
      <c r="UTD193" s="5"/>
      <c r="UTE193" s="5"/>
      <c r="UTF193" s="5"/>
      <c r="UTG193" s="5"/>
      <c r="UTH193" s="5"/>
      <c r="UTI193" s="5"/>
      <c r="UTJ193" s="5"/>
      <c r="UTK193" s="5"/>
      <c r="UTL193" s="5"/>
      <c r="UTM193" s="5"/>
      <c r="UTN193" s="5"/>
      <c r="UTO193" s="5"/>
      <c r="UTP193" s="5"/>
      <c r="UTQ193" s="5"/>
      <c r="UTR193" s="5"/>
      <c r="UTS193" s="5"/>
      <c r="UTT193" s="5"/>
      <c r="UTU193" s="5"/>
      <c r="UTV193" s="5"/>
      <c r="UTW193" s="5"/>
      <c r="UTX193" s="5"/>
      <c r="UTY193" s="5"/>
      <c r="UTZ193" s="5"/>
      <c r="UUA193" s="5"/>
      <c r="UUB193" s="5"/>
      <c r="UUC193" s="5"/>
      <c r="UUD193" s="5"/>
      <c r="UUE193" s="5"/>
      <c r="UUF193" s="5"/>
      <c r="UUG193" s="5"/>
      <c r="UUH193" s="5"/>
      <c r="UUI193" s="5"/>
      <c r="UUJ193" s="5"/>
      <c r="UUK193" s="5"/>
      <c r="UUL193" s="5"/>
      <c r="UUM193" s="5"/>
      <c r="UUN193" s="5"/>
      <c r="UUO193" s="5"/>
      <c r="UUP193" s="5"/>
      <c r="UUQ193" s="5"/>
      <c r="UUR193" s="5"/>
      <c r="UUS193" s="5"/>
      <c r="UUT193" s="5"/>
      <c r="UUU193" s="5"/>
      <c r="UUV193" s="5"/>
      <c r="UUW193" s="5"/>
      <c r="UUX193" s="5"/>
      <c r="UUY193" s="5"/>
      <c r="UUZ193" s="5"/>
      <c r="UVA193" s="5"/>
      <c r="UVB193" s="5"/>
      <c r="UVC193" s="5"/>
      <c r="UVD193" s="5"/>
      <c r="UVE193" s="5"/>
      <c r="UVF193" s="5"/>
      <c r="UVG193" s="5"/>
      <c r="UVH193" s="5"/>
      <c r="UVI193" s="5"/>
      <c r="UVJ193" s="5"/>
      <c r="UVK193" s="5"/>
      <c r="UVL193" s="5"/>
      <c r="UVM193" s="5"/>
      <c r="UVN193" s="5"/>
      <c r="UVO193" s="5"/>
      <c r="UVP193" s="5"/>
      <c r="UVQ193" s="5"/>
      <c r="UVR193" s="5"/>
      <c r="UVS193" s="5"/>
      <c r="UVT193" s="5"/>
      <c r="UVU193" s="5"/>
      <c r="UVV193" s="5"/>
      <c r="UVW193" s="5"/>
      <c r="UVX193" s="5"/>
      <c r="UVY193" s="5"/>
      <c r="UVZ193" s="5"/>
      <c r="UWA193" s="5"/>
      <c r="UWB193" s="5"/>
      <c r="UWC193" s="5"/>
      <c r="UWD193" s="5"/>
      <c r="UWE193" s="5"/>
      <c r="UWF193" s="5"/>
      <c r="UWG193" s="5"/>
      <c r="UWH193" s="5"/>
      <c r="UWI193" s="5"/>
      <c r="UWJ193" s="5"/>
      <c r="UWK193" s="5"/>
      <c r="UWL193" s="5"/>
      <c r="UWM193" s="5"/>
      <c r="UWN193" s="5"/>
      <c r="UWO193" s="5"/>
      <c r="UWP193" s="5"/>
      <c r="UWQ193" s="5"/>
      <c r="UWR193" s="5"/>
      <c r="UWS193" s="5"/>
      <c r="UWT193" s="5"/>
      <c r="UWU193" s="5"/>
      <c r="UWV193" s="5"/>
      <c r="UWW193" s="5"/>
      <c r="UWX193" s="5"/>
      <c r="UWY193" s="5"/>
      <c r="UWZ193" s="5"/>
      <c r="UXA193" s="5"/>
      <c r="UXB193" s="5"/>
      <c r="UXC193" s="5"/>
      <c r="UXD193" s="5"/>
      <c r="UXE193" s="5"/>
      <c r="UXF193" s="5"/>
      <c r="UXG193" s="5"/>
      <c r="UXH193" s="5"/>
      <c r="UXI193" s="5"/>
      <c r="UXJ193" s="5"/>
      <c r="UXK193" s="5"/>
      <c r="UXL193" s="5"/>
      <c r="UXM193" s="5"/>
      <c r="UXN193" s="5"/>
      <c r="UXO193" s="5"/>
      <c r="UXP193" s="5"/>
      <c r="UXQ193" s="5"/>
      <c r="UXR193" s="5"/>
      <c r="UXS193" s="5"/>
      <c r="UXT193" s="5"/>
      <c r="UXU193" s="5"/>
      <c r="UXV193" s="5"/>
      <c r="UXW193" s="5"/>
      <c r="UXX193" s="5"/>
      <c r="UXY193" s="5"/>
      <c r="UXZ193" s="5"/>
      <c r="UYA193" s="5"/>
      <c r="UYB193" s="5"/>
      <c r="UYC193" s="5"/>
      <c r="UYD193" s="5"/>
      <c r="UYE193" s="5"/>
      <c r="UYF193" s="5"/>
      <c r="UYG193" s="5"/>
      <c r="UYH193" s="5"/>
      <c r="UYI193" s="5"/>
      <c r="UYJ193" s="5"/>
      <c r="UYK193" s="5"/>
      <c r="UYL193" s="5"/>
      <c r="UYM193" s="5"/>
      <c r="UYN193" s="5"/>
      <c r="UYO193" s="5"/>
      <c r="UYP193" s="5"/>
      <c r="UYQ193" s="5"/>
      <c r="UYR193" s="5"/>
      <c r="UYS193" s="5"/>
      <c r="UYT193" s="5"/>
      <c r="UYU193" s="5"/>
      <c r="UYV193" s="5"/>
      <c r="UYW193" s="5"/>
      <c r="UYX193" s="5"/>
      <c r="UYY193" s="5"/>
      <c r="UYZ193" s="5"/>
      <c r="UZA193" s="5"/>
      <c r="UZB193" s="5"/>
      <c r="UZC193" s="5"/>
      <c r="UZD193" s="5"/>
      <c r="UZE193" s="5"/>
      <c r="UZF193" s="5"/>
      <c r="UZG193" s="5"/>
      <c r="UZH193" s="5"/>
      <c r="UZI193" s="5"/>
      <c r="UZJ193" s="5"/>
      <c r="UZK193" s="5"/>
      <c r="UZL193" s="5"/>
      <c r="UZM193" s="5"/>
      <c r="UZN193" s="5"/>
      <c r="UZO193" s="5"/>
      <c r="UZP193" s="5"/>
      <c r="UZQ193" s="5"/>
      <c r="UZR193" s="5"/>
      <c r="UZS193" s="5"/>
      <c r="UZT193" s="5"/>
      <c r="UZU193" s="5"/>
      <c r="UZV193" s="5"/>
      <c r="UZW193" s="5"/>
      <c r="UZX193" s="5"/>
      <c r="UZY193" s="5"/>
      <c r="UZZ193" s="5"/>
      <c r="VAA193" s="5"/>
      <c r="VAB193" s="5"/>
      <c r="VAC193" s="5"/>
      <c r="VAD193" s="5"/>
      <c r="VAE193" s="5"/>
      <c r="VAF193" s="5"/>
      <c r="VAG193" s="5"/>
      <c r="VAH193" s="5"/>
      <c r="VAI193" s="5"/>
      <c r="VAJ193" s="5"/>
      <c r="VAK193" s="5"/>
      <c r="VAL193" s="5"/>
      <c r="VAM193" s="5"/>
      <c r="VAN193" s="5"/>
      <c r="VAO193" s="5"/>
      <c r="VAP193" s="5"/>
      <c r="VAQ193" s="5"/>
      <c r="VAR193" s="5"/>
      <c r="VAS193" s="5"/>
      <c r="VAT193" s="5"/>
      <c r="VAU193" s="5"/>
      <c r="VAV193" s="5"/>
      <c r="VAW193" s="5"/>
      <c r="VAX193" s="5"/>
      <c r="VAY193" s="5"/>
      <c r="VAZ193" s="5"/>
      <c r="VBA193" s="5"/>
      <c r="VBB193" s="5"/>
      <c r="VBC193" s="5"/>
      <c r="VBD193" s="5"/>
      <c r="VBE193" s="5"/>
      <c r="VBF193" s="5"/>
      <c r="VBG193" s="5"/>
      <c r="VBH193" s="5"/>
      <c r="VBI193" s="5"/>
      <c r="VBJ193" s="5"/>
      <c r="VBK193" s="5"/>
      <c r="VBL193" s="5"/>
      <c r="VBM193" s="5"/>
      <c r="VBN193" s="5"/>
      <c r="VBO193" s="5"/>
      <c r="VBP193" s="5"/>
      <c r="VBQ193" s="5"/>
      <c r="VBR193" s="5"/>
      <c r="VBS193" s="5"/>
      <c r="VBT193" s="5"/>
      <c r="VBU193" s="5"/>
      <c r="VBV193" s="5"/>
      <c r="VBW193" s="5"/>
      <c r="VBX193" s="5"/>
      <c r="VBY193" s="5"/>
      <c r="VBZ193" s="5"/>
      <c r="VCA193" s="5"/>
      <c r="VCB193" s="5"/>
      <c r="VCC193" s="5"/>
      <c r="VCD193" s="5"/>
      <c r="VCE193" s="5"/>
      <c r="VCF193" s="5"/>
      <c r="VCG193" s="5"/>
      <c r="VCH193" s="5"/>
      <c r="VCI193" s="5"/>
      <c r="VCJ193" s="5"/>
      <c r="VCK193" s="5"/>
      <c r="VCL193" s="5"/>
      <c r="VCM193" s="5"/>
      <c r="VCN193" s="5"/>
      <c r="VCO193" s="5"/>
      <c r="VCP193" s="5"/>
      <c r="VCQ193" s="5"/>
      <c r="VCR193" s="5"/>
      <c r="VCS193" s="5"/>
      <c r="VCT193" s="5"/>
      <c r="VCU193" s="5"/>
      <c r="VCV193" s="5"/>
      <c r="VCW193" s="5"/>
      <c r="VCX193" s="5"/>
      <c r="VCY193" s="5"/>
      <c r="VCZ193" s="5"/>
      <c r="VDA193" s="5"/>
      <c r="VDB193" s="5"/>
      <c r="VDC193" s="5"/>
      <c r="VDD193" s="5"/>
      <c r="VDE193" s="5"/>
      <c r="VDF193" s="5"/>
      <c r="VDG193" s="5"/>
      <c r="VDH193" s="5"/>
      <c r="VDI193" s="5"/>
      <c r="VDJ193" s="5"/>
      <c r="VDK193" s="5"/>
      <c r="VDL193" s="5"/>
      <c r="VDM193" s="5"/>
      <c r="VDN193" s="5"/>
      <c r="VDO193" s="5"/>
      <c r="VDP193" s="5"/>
      <c r="VDQ193" s="5"/>
      <c r="VDR193" s="5"/>
      <c r="VDS193" s="5"/>
      <c r="VDT193" s="5"/>
      <c r="VDU193" s="5"/>
      <c r="VDV193" s="5"/>
      <c r="VDW193" s="5"/>
      <c r="VDX193" s="5"/>
      <c r="VDY193" s="5"/>
      <c r="VDZ193" s="5"/>
      <c r="VEA193" s="5"/>
      <c r="VEB193" s="5"/>
      <c r="VEC193" s="5"/>
      <c r="VED193" s="5"/>
      <c r="VEE193" s="5"/>
      <c r="VEF193" s="5"/>
      <c r="VEG193" s="5"/>
      <c r="VEH193" s="5"/>
      <c r="VEI193" s="5"/>
      <c r="VEJ193" s="5"/>
      <c r="VEK193" s="5"/>
      <c r="VEL193" s="5"/>
      <c r="VEM193" s="5"/>
      <c r="VEN193" s="5"/>
      <c r="VEO193" s="5"/>
      <c r="VEP193" s="5"/>
      <c r="VEQ193" s="5"/>
      <c r="VER193" s="5"/>
      <c r="VES193" s="5"/>
      <c r="VET193" s="5"/>
      <c r="VEU193" s="5"/>
      <c r="VEV193" s="5"/>
      <c r="VEW193" s="5"/>
      <c r="VEX193" s="5"/>
      <c r="VEY193" s="5"/>
      <c r="VEZ193" s="5"/>
      <c r="VFA193" s="5"/>
      <c r="VFB193" s="5"/>
      <c r="VFC193" s="5"/>
      <c r="VFD193" s="5"/>
      <c r="VFE193" s="5"/>
      <c r="VFF193" s="5"/>
      <c r="VFG193" s="5"/>
      <c r="VFH193" s="5"/>
      <c r="VFI193" s="5"/>
      <c r="VFJ193" s="5"/>
      <c r="VFK193" s="5"/>
      <c r="VFL193" s="5"/>
      <c r="VFM193" s="5"/>
      <c r="VFN193" s="5"/>
      <c r="VFO193" s="5"/>
      <c r="VFP193" s="5"/>
      <c r="VFQ193" s="5"/>
      <c r="VFR193" s="5"/>
      <c r="VFS193" s="5"/>
      <c r="VFT193" s="5"/>
      <c r="VFU193" s="5"/>
      <c r="VFV193" s="5"/>
      <c r="VFW193" s="5"/>
      <c r="VFX193" s="5"/>
      <c r="VFY193" s="5"/>
      <c r="VFZ193" s="5"/>
      <c r="VGA193" s="5"/>
      <c r="VGB193" s="5"/>
      <c r="VGC193" s="5"/>
      <c r="VGD193" s="5"/>
      <c r="VGE193" s="5"/>
      <c r="VGF193" s="5"/>
      <c r="VGG193" s="5"/>
      <c r="VGH193" s="5"/>
      <c r="VGI193" s="5"/>
      <c r="VGJ193" s="5"/>
      <c r="VGK193" s="5"/>
      <c r="VGL193" s="5"/>
      <c r="VGM193" s="5"/>
      <c r="VGN193" s="5"/>
      <c r="VGO193" s="5"/>
      <c r="VGP193" s="5"/>
      <c r="VGQ193" s="5"/>
      <c r="VGR193" s="5"/>
      <c r="VGS193" s="5"/>
      <c r="VGT193" s="5"/>
      <c r="VGU193" s="5"/>
      <c r="VGV193" s="5"/>
      <c r="VGW193" s="5"/>
      <c r="VGX193" s="5"/>
      <c r="VGY193" s="5"/>
      <c r="VGZ193" s="5"/>
      <c r="VHA193" s="5"/>
      <c r="VHB193" s="5"/>
      <c r="VHC193" s="5"/>
      <c r="VHD193" s="5"/>
      <c r="VHE193" s="5"/>
      <c r="VHF193" s="5"/>
      <c r="VHG193" s="5"/>
      <c r="VHH193" s="5"/>
      <c r="VHI193" s="5"/>
      <c r="VHJ193" s="5"/>
      <c r="VHK193" s="5"/>
      <c r="VHL193" s="5"/>
      <c r="VHM193" s="5"/>
      <c r="VHN193" s="5"/>
      <c r="VHO193" s="5"/>
      <c r="VHP193" s="5"/>
      <c r="VHQ193" s="5"/>
      <c r="VHR193" s="5"/>
      <c r="VHS193" s="5"/>
      <c r="VHT193" s="5"/>
      <c r="VHU193" s="5"/>
      <c r="VHV193" s="5"/>
      <c r="VHW193" s="5"/>
      <c r="VHX193" s="5"/>
      <c r="VHY193" s="5"/>
      <c r="VHZ193" s="5"/>
      <c r="VIA193" s="5"/>
      <c r="VIB193" s="5"/>
      <c r="VIC193" s="5"/>
      <c r="VID193" s="5"/>
      <c r="VIE193" s="5"/>
      <c r="VIF193" s="5"/>
      <c r="VIG193" s="5"/>
      <c r="VIH193" s="5"/>
      <c r="VII193" s="5"/>
      <c r="VIJ193" s="5"/>
      <c r="VIK193" s="5"/>
      <c r="VIL193" s="5"/>
      <c r="VIM193" s="5"/>
      <c r="VIN193" s="5"/>
      <c r="VIO193" s="5"/>
      <c r="VIP193" s="5"/>
      <c r="VIQ193" s="5"/>
      <c r="VIR193" s="5"/>
      <c r="VIS193" s="5"/>
      <c r="VIT193" s="5"/>
      <c r="VIU193" s="5"/>
      <c r="VIV193" s="5"/>
      <c r="VIW193" s="5"/>
      <c r="VIX193" s="5"/>
      <c r="VIY193" s="5"/>
      <c r="VIZ193" s="5"/>
      <c r="VJA193" s="5"/>
      <c r="VJB193" s="5"/>
      <c r="VJC193" s="5"/>
      <c r="VJD193" s="5"/>
      <c r="VJE193" s="5"/>
      <c r="VJF193" s="5"/>
      <c r="VJG193" s="5"/>
      <c r="VJH193" s="5"/>
      <c r="VJI193" s="5"/>
      <c r="VJJ193" s="5"/>
      <c r="VJK193" s="5"/>
      <c r="VJL193" s="5"/>
      <c r="VJM193" s="5"/>
      <c r="VJN193" s="5"/>
      <c r="VJO193" s="5"/>
      <c r="VJP193" s="5"/>
      <c r="VJQ193" s="5"/>
      <c r="VJR193" s="5"/>
      <c r="VJS193" s="5"/>
      <c r="VJT193" s="5"/>
      <c r="VJU193" s="5"/>
      <c r="VJV193" s="5"/>
      <c r="VJW193" s="5"/>
      <c r="VJX193" s="5"/>
      <c r="VJY193" s="5"/>
      <c r="VJZ193" s="5"/>
      <c r="VKA193" s="5"/>
      <c r="VKB193" s="5"/>
      <c r="VKC193" s="5"/>
      <c r="VKD193" s="5"/>
      <c r="VKE193" s="5"/>
      <c r="VKF193" s="5"/>
      <c r="VKG193" s="5"/>
      <c r="VKH193" s="5"/>
      <c r="VKI193" s="5"/>
      <c r="VKJ193" s="5"/>
      <c r="VKK193" s="5"/>
      <c r="VKL193" s="5"/>
      <c r="VKM193" s="5"/>
      <c r="VKN193" s="5"/>
      <c r="VKO193" s="5"/>
      <c r="VKP193" s="5"/>
      <c r="VKQ193" s="5"/>
      <c r="VKR193" s="5"/>
      <c r="VKS193" s="5"/>
      <c r="VKT193" s="5"/>
      <c r="VKU193" s="5"/>
      <c r="VKV193" s="5"/>
      <c r="VKW193" s="5"/>
      <c r="VKX193" s="5"/>
      <c r="VKY193" s="5"/>
      <c r="VKZ193" s="5"/>
      <c r="VLA193" s="5"/>
      <c r="VLB193" s="5"/>
      <c r="VLC193" s="5"/>
      <c r="VLD193" s="5"/>
      <c r="VLE193" s="5"/>
      <c r="VLF193" s="5"/>
      <c r="VLG193" s="5"/>
      <c r="VLH193" s="5"/>
      <c r="VLI193" s="5"/>
      <c r="VLJ193" s="5"/>
      <c r="VLK193" s="5"/>
      <c r="VLL193" s="5"/>
      <c r="VLM193" s="5"/>
      <c r="VLN193" s="5"/>
      <c r="VLO193" s="5"/>
      <c r="VLP193" s="5"/>
      <c r="VLQ193" s="5"/>
      <c r="VLR193" s="5"/>
      <c r="VLS193" s="5"/>
      <c r="VLT193" s="5"/>
      <c r="VLU193" s="5"/>
      <c r="VLV193" s="5"/>
      <c r="VLW193" s="5"/>
      <c r="VLX193" s="5"/>
      <c r="VLY193" s="5"/>
      <c r="VLZ193" s="5"/>
      <c r="VMA193" s="5"/>
      <c r="VMB193" s="5"/>
      <c r="VMC193" s="5"/>
      <c r="VMD193" s="5"/>
      <c r="VME193" s="5"/>
      <c r="VMF193" s="5"/>
      <c r="VMG193" s="5"/>
      <c r="VMH193" s="5"/>
      <c r="VMI193" s="5"/>
      <c r="VMJ193" s="5"/>
      <c r="VMK193" s="5"/>
      <c r="VML193" s="5"/>
      <c r="VMM193" s="5"/>
      <c r="VMN193" s="5"/>
      <c r="VMO193" s="5"/>
      <c r="VMP193" s="5"/>
      <c r="VMQ193" s="5"/>
      <c r="VMR193" s="5"/>
      <c r="VMS193" s="5"/>
      <c r="VMT193" s="5"/>
      <c r="VMU193" s="5"/>
      <c r="VMV193" s="5"/>
      <c r="VMW193" s="5"/>
      <c r="VMX193" s="5"/>
      <c r="VMY193" s="5"/>
      <c r="VMZ193" s="5"/>
      <c r="VNA193" s="5"/>
      <c r="VNB193" s="5"/>
      <c r="VNC193" s="5"/>
      <c r="VND193" s="5"/>
      <c r="VNE193" s="5"/>
      <c r="VNF193" s="5"/>
      <c r="VNG193" s="5"/>
      <c r="VNH193" s="5"/>
      <c r="VNI193" s="5"/>
      <c r="VNJ193" s="5"/>
      <c r="VNK193" s="5"/>
      <c r="VNL193" s="5"/>
      <c r="VNM193" s="5"/>
      <c r="VNN193" s="5"/>
      <c r="VNO193" s="5"/>
      <c r="VNP193" s="5"/>
      <c r="VNQ193" s="5"/>
      <c r="VNR193" s="5"/>
      <c r="VNS193" s="5"/>
      <c r="VNT193" s="5"/>
      <c r="VNU193" s="5"/>
      <c r="VNV193" s="5"/>
      <c r="VNW193" s="5"/>
      <c r="VNX193" s="5"/>
      <c r="VNY193" s="5"/>
      <c r="VNZ193" s="5"/>
      <c r="VOA193" s="5"/>
      <c r="VOB193" s="5"/>
      <c r="VOC193" s="5"/>
      <c r="VOD193" s="5"/>
      <c r="VOE193" s="5"/>
      <c r="VOF193" s="5"/>
      <c r="VOG193" s="5"/>
      <c r="VOH193" s="5"/>
      <c r="VOI193" s="5"/>
      <c r="VOJ193" s="5"/>
      <c r="VOK193" s="5"/>
      <c r="VOL193" s="5"/>
      <c r="VOM193" s="5"/>
      <c r="VON193" s="5"/>
      <c r="VOO193" s="5"/>
      <c r="VOP193" s="5"/>
      <c r="VOQ193" s="5"/>
      <c r="VOR193" s="5"/>
      <c r="VOS193" s="5"/>
      <c r="VOT193" s="5"/>
      <c r="VOU193" s="5"/>
      <c r="VOV193" s="5"/>
      <c r="VOW193" s="5"/>
      <c r="VOX193" s="5"/>
      <c r="VOY193" s="5"/>
      <c r="VOZ193" s="5"/>
      <c r="VPA193" s="5"/>
      <c r="VPB193" s="5"/>
      <c r="VPC193" s="5"/>
      <c r="VPD193" s="5"/>
      <c r="VPE193" s="5"/>
      <c r="VPF193" s="5"/>
      <c r="VPG193" s="5"/>
      <c r="VPH193" s="5"/>
      <c r="VPI193" s="5"/>
      <c r="VPJ193" s="5"/>
      <c r="VPK193" s="5"/>
      <c r="VPL193" s="5"/>
      <c r="VPM193" s="5"/>
      <c r="VPN193" s="5"/>
      <c r="VPO193" s="5"/>
      <c r="VPP193" s="5"/>
      <c r="VPQ193" s="5"/>
      <c r="VPR193" s="5"/>
      <c r="VPS193" s="5"/>
      <c r="VPT193" s="5"/>
      <c r="VPU193" s="5"/>
      <c r="VPV193" s="5"/>
      <c r="VPW193" s="5"/>
      <c r="VPX193" s="5"/>
      <c r="VPY193" s="5"/>
      <c r="VPZ193" s="5"/>
      <c r="VQA193" s="5"/>
      <c r="VQB193" s="5"/>
      <c r="VQC193" s="5"/>
      <c r="VQD193" s="5"/>
      <c r="VQE193" s="5"/>
      <c r="VQF193" s="5"/>
      <c r="VQG193" s="5"/>
      <c r="VQH193" s="5"/>
      <c r="VQI193" s="5"/>
      <c r="VQJ193" s="5"/>
      <c r="VQK193" s="5"/>
      <c r="VQL193" s="5"/>
      <c r="VQM193" s="5"/>
      <c r="VQN193" s="5"/>
      <c r="VQO193" s="5"/>
      <c r="VQP193" s="5"/>
      <c r="VQQ193" s="5"/>
      <c r="VQR193" s="5"/>
      <c r="VQS193" s="5"/>
      <c r="VQT193" s="5"/>
      <c r="VQU193" s="5"/>
      <c r="VQV193" s="5"/>
      <c r="VQW193" s="5"/>
      <c r="VQX193" s="5"/>
      <c r="VQY193" s="5"/>
      <c r="VQZ193" s="5"/>
      <c r="VRA193" s="5"/>
      <c r="VRB193" s="5"/>
      <c r="VRC193" s="5"/>
      <c r="VRD193" s="5"/>
      <c r="VRE193" s="5"/>
      <c r="VRF193" s="5"/>
      <c r="VRG193" s="5"/>
      <c r="VRH193" s="5"/>
      <c r="VRI193" s="5"/>
      <c r="VRJ193" s="5"/>
      <c r="VRK193" s="5"/>
      <c r="VRL193" s="5"/>
      <c r="VRM193" s="5"/>
      <c r="VRN193" s="5"/>
      <c r="VRO193" s="5"/>
      <c r="VRP193" s="5"/>
      <c r="VRQ193" s="5"/>
      <c r="VRR193" s="5"/>
      <c r="VRS193" s="5"/>
      <c r="VRT193" s="5"/>
      <c r="VRU193" s="5"/>
      <c r="VRV193" s="5"/>
      <c r="VRW193" s="5"/>
      <c r="VRX193" s="5"/>
      <c r="VRY193" s="5"/>
      <c r="VRZ193" s="5"/>
      <c r="VSA193" s="5"/>
      <c r="VSB193" s="5"/>
      <c r="VSC193" s="5"/>
      <c r="VSD193" s="5"/>
      <c r="VSE193" s="5"/>
      <c r="VSF193" s="5"/>
      <c r="VSG193" s="5"/>
      <c r="VSH193" s="5"/>
      <c r="VSI193" s="5"/>
      <c r="VSJ193" s="5"/>
      <c r="VSK193" s="5"/>
      <c r="VSL193" s="5"/>
      <c r="VSM193" s="5"/>
      <c r="VSN193" s="5"/>
      <c r="VSO193" s="5"/>
      <c r="VSP193" s="5"/>
      <c r="VSQ193" s="5"/>
      <c r="VSR193" s="5"/>
      <c r="VSS193" s="5"/>
      <c r="VST193" s="5"/>
      <c r="VSU193" s="5"/>
      <c r="VSV193" s="5"/>
      <c r="VSW193" s="5"/>
      <c r="VSX193" s="5"/>
      <c r="VSY193" s="5"/>
      <c r="VSZ193" s="5"/>
      <c r="VTA193" s="5"/>
      <c r="VTB193" s="5"/>
      <c r="VTC193" s="5"/>
      <c r="VTD193" s="5"/>
      <c r="VTE193" s="5"/>
      <c r="VTF193" s="5"/>
      <c r="VTG193" s="5"/>
      <c r="VTH193" s="5"/>
      <c r="VTI193" s="5"/>
      <c r="VTJ193" s="5"/>
      <c r="VTK193" s="5"/>
      <c r="VTL193" s="5"/>
      <c r="VTM193" s="5"/>
      <c r="VTN193" s="5"/>
      <c r="VTO193" s="5"/>
      <c r="VTP193" s="5"/>
      <c r="VTQ193" s="5"/>
      <c r="VTR193" s="5"/>
      <c r="VTS193" s="5"/>
      <c r="VTT193" s="5"/>
      <c r="VTU193" s="5"/>
      <c r="VTV193" s="5"/>
      <c r="VTW193" s="5"/>
      <c r="VTX193" s="5"/>
      <c r="VTY193" s="5"/>
      <c r="VTZ193" s="5"/>
      <c r="VUA193" s="5"/>
      <c r="VUB193" s="5"/>
      <c r="VUC193" s="5"/>
      <c r="VUD193" s="5"/>
      <c r="VUE193" s="5"/>
      <c r="VUF193" s="5"/>
      <c r="VUG193" s="5"/>
      <c r="VUH193" s="5"/>
      <c r="VUI193" s="5"/>
      <c r="VUJ193" s="5"/>
      <c r="VUK193" s="5"/>
      <c r="VUL193" s="5"/>
      <c r="VUM193" s="5"/>
      <c r="VUN193" s="5"/>
      <c r="VUO193" s="5"/>
      <c r="VUP193" s="5"/>
      <c r="VUQ193" s="5"/>
      <c r="VUR193" s="5"/>
      <c r="VUS193" s="5"/>
      <c r="VUT193" s="5"/>
      <c r="VUU193" s="5"/>
      <c r="VUV193" s="5"/>
      <c r="VUW193" s="5"/>
      <c r="VUX193" s="5"/>
      <c r="VUY193" s="5"/>
      <c r="VUZ193" s="5"/>
      <c r="VVA193" s="5"/>
      <c r="VVB193" s="5"/>
      <c r="VVC193" s="5"/>
      <c r="VVD193" s="5"/>
      <c r="VVE193" s="5"/>
      <c r="VVF193" s="5"/>
      <c r="VVG193" s="5"/>
      <c r="VVH193" s="5"/>
      <c r="VVI193" s="5"/>
      <c r="VVJ193" s="5"/>
      <c r="VVK193" s="5"/>
      <c r="VVL193" s="5"/>
      <c r="VVM193" s="5"/>
      <c r="VVN193" s="5"/>
      <c r="VVO193" s="5"/>
      <c r="VVP193" s="5"/>
      <c r="VVQ193" s="5"/>
      <c r="VVR193" s="5"/>
      <c r="VVS193" s="5"/>
      <c r="VVT193" s="5"/>
      <c r="VVU193" s="5"/>
      <c r="VVV193" s="5"/>
      <c r="VVW193" s="5"/>
      <c r="VVX193" s="5"/>
      <c r="VVY193" s="5"/>
      <c r="VVZ193" s="5"/>
      <c r="VWA193" s="5"/>
      <c r="VWB193" s="5"/>
      <c r="VWC193" s="5"/>
      <c r="VWD193" s="5"/>
      <c r="VWE193" s="5"/>
      <c r="VWF193" s="5"/>
      <c r="VWG193" s="5"/>
      <c r="VWH193" s="5"/>
      <c r="VWI193" s="5"/>
      <c r="VWJ193" s="5"/>
      <c r="VWK193" s="5"/>
      <c r="VWL193" s="5"/>
      <c r="VWM193" s="5"/>
      <c r="VWN193" s="5"/>
      <c r="VWO193" s="5"/>
      <c r="VWP193" s="5"/>
      <c r="VWQ193" s="5"/>
      <c r="VWR193" s="5"/>
      <c r="VWS193" s="5"/>
      <c r="VWT193" s="5"/>
      <c r="VWU193" s="5"/>
      <c r="VWV193" s="5"/>
      <c r="VWW193" s="5"/>
      <c r="VWX193" s="5"/>
      <c r="VWY193" s="5"/>
      <c r="VWZ193" s="5"/>
      <c r="VXA193" s="5"/>
      <c r="VXB193" s="5"/>
      <c r="VXC193" s="5"/>
      <c r="VXD193" s="5"/>
      <c r="VXE193" s="5"/>
      <c r="VXF193" s="5"/>
      <c r="VXG193" s="5"/>
      <c r="VXH193" s="5"/>
      <c r="VXI193" s="5"/>
      <c r="VXJ193" s="5"/>
      <c r="VXK193" s="5"/>
      <c r="VXL193" s="5"/>
      <c r="VXM193" s="5"/>
      <c r="VXN193" s="5"/>
      <c r="VXO193" s="5"/>
      <c r="VXP193" s="5"/>
      <c r="VXQ193" s="5"/>
      <c r="VXR193" s="5"/>
      <c r="VXS193" s="5"/>
      <c r="VXT193" s="5"/>
      <c r="VXU193" s="5"/>
      <c r="VXV193" s="5"/>
      <c r="VXW193" s="5"/>
      <c r="VXX193" s="5"/>
      <c r="VXY193" s="5"/>
      <c r="VXZ193" s="5"/>
      <c r="VYA193" s="5"/>
      <c r="VYB193" s="5"/>
      <c r="VYC193" s="5"/>
      <c r="VYD193" s="5"/>
      <c r="VYE193" s="5"/>
      <c r="VYF193" s="5"/>
      <c r="VYG193" s="5"/>
      <c r="VYH193" s="5"/>
      <c r="VYI193" s="5"/>
      <c r="VYJ193" s="5"/>
      <c r="VYK193" s="5"/>
      <c r="VYL193" s="5"/>
      <c r="VYM193" s="5"/>
      <c r="VYN193" s="5"/>
      <c r="VYO193" s="5"/>
      <c r="VYP193" s="5"/>
      <c r="VYQ193" s="5"/>
      <c r="VYR193" s="5"/>
      <c r="VYS193" s="5"/>
      <c r="VYT193" s="5"/>
      <c r="VYU193" s="5"/>
      <c r="VYV193" s="5"/>
      <c r="VYW193" s="5"/>
      <c r="VYX193" s="5"/>
      <c r="VYY193" s="5"/>
      <c r="VYZ193" s="5"/>
      <c r="VZA193" s="5"/>
      <c r="VZB193" s="5"/>
      <c r="VZC193" s="5"/>
      <c r="VZD193" s="5"/>
      <c r="VZE193" s="5"/>
      <c r="VZF193" s="5"/>
      <c r="VZG193" s="5"/>
      <c r="VZH193" s="5"/>
      <c r="VZI193" s="5"/>
      <c r="VZJ193" s="5"/>
      <c r="VZK193" s="5"/>
      <c r="VZL193" s="5"/>
      <c r="VZM193" s="5"/>
      <c r="VZN193" s="5"/>
      <c r="VZO193" s="5"/>
      <c r="VZP193" s="5"/>
      <c r="VZQ193" s="5"/>
      <c r="VZR193" s="5"/>
      <c r="VZS193" s="5"/>
      <c r="VZT193" s="5"/>
      <c r="VZU193" s="5"/>
      <c r="VZV193" s="5"/>
      <c r="VZW193" s="5"/>
      <c r="VZX193" s="5"/>
      <c r="VZY193" s="5"/>
      <c r="VZZ193" s="5"/>
      <c r="WAA193" s="5"/>
      <c r="WAB193" s="5"/>
      <c r="WAC193" s="5"/>
      <c r="WAD193" s="5"/>
      <c r="WAE193" s="5"/>
      <c r="WAF193" s="5"/>
      <c r="WAG193" s="5"/>
      <c r="WAH193" s="5"/>
      <c r="WAI193" s="5"/>
      <c r="WAJ193" s="5"/>
      <c r="WAK193" s="5"/>
      <c r="WAL193" s="5"/>
      <c r="WAM193" s="5"/>
      <c r="WAN193" s="5"/>
      <c r="WAO193" s="5"/>
      <c r="WAP193" s="5"/>
      <c r="WAQ193" s="5"/>
      <c r="WAR193" s="5"/>
      <c r="WAS193" s="5"/>
      <c r="WAT193" s="5"/>
      <c r="WAU193" s="5"/>
      <c r="WAV193" s="5"/>
      <c r="WAW193" s="5"/>
      <c r="WAX193" s="5"/>
      <c r="WAY193" s="5"/>
      <c r="WAZ193" s="5"/>
      <c r="WBA193" s="5"/>
      <c r="WBB193" s="5"/>
      <c r="WBC193" s="5"/>
      <c r="WBD193" s="5"/>
      <c r="WBE193" s="5"/>
      <c r="WBF193" s="5"/>
      <c r="WBG193" s="5"/>
      <c r="WBH193" s="5"/>
      <c r="WBI193" s="5"/>
      <c r="WBJ193" s="5"/>
      <c r="WBK193" s="5"/>
      <c r="WBL193" s="5"/>
      <c r="WBM193" s="5"/>
      <c r="WBN193" s="5"/>
      <c r="WBO193" s="5"/>
      <c r="WBP193" s="5"/>
      <c r="WBQ193" s="5"/>
      <c r="WBR193" s="5"/>
      <c r="WBS193" s="5"/>
      <c r="WBT193" s="5"/>
      <c r="WBU193" s="5"/>
      <c r="WBV193" s="5"/>
      <c r="WBW193" s="5"/>
      <c r="WBX193" s="5"/>
      <c r="WBY193" s="5"/>
      <c r="WBZ193" s="5"/>
      <c r="WCA193" s="5"/>
      <c r="WCB193" s="5"/>
      <c r="WCC193" s="5"/>
      <c r="WCD193" s="5"/>
      <c r="WCE193" s="5"/>
      <c r="WCF193" s="5"/>
      <c r="WCG193" s="5"/>
      <c r="WCH193" s="5"/>
      <c r="WCI193" s="5"/>
      <c r="WCJ193" s="5"/>
      <c r="WCK193" s="5"/>
      <c r="WCL193" s="5"/>
      <c r="WCM193" s="5"/>
      <c r="WCN193" s="5"/>
      <c r="WCO193" s="5"/>
      <c r="WCP193" s="5"/>
      <c r="WCQ193" s="5"/>
      <c r="WCR193" s="5"/>
      <c r="WCS193" s="5"/>
      <c r="WCT193" s="5"/>
      <c r="WCU193" s="5"/>
      <c r="WCV193" s="5"/>
      <c r="WCW193" s="5"/>
      <c r="WCX193" s="5"/>
      <c r="WCY193" s="5"/>
      <c r="WCZ193" s="5"/>
      <c r="WDA193" s="5"/>
      <c r="WDB193" s="5"/>
      <c r="WDC193" s="5"/>
      <c r="WDD193" s="5"/>
      <c r="WDE193" s="5"/>
      <c r="WDF193" s="5"/>
      <c r="WDG193" s="5"/>
      <c r="WDH193" s="5"/>
      <c r="WDI193" s="5"/>
      <c r="WDJ193" s="5"/>
      <c r="WDK193" s="5"/>
      <c r="WDL193" s="5"/>
      <c r="WDM193" s="5"/>
      <c r="WDN193" s="5"/>
      <c r="WDO193" s="5"/>
      <c r="WDP193" s="5"/>
      <c r="WDQ193" s="5"/>
      <c r="WDR193" s="5"/>
      <c r="WDS193" s="5"/>
      <c r="WDT193" s="5"/>
      <c r="WDU193" s="5"/>
      <c r="WDV193" s="5"/>
      <c r="WDW193" s="5"/>
      <c r="WDX193" s="5"/>
      <c r="WDY193" s="5"/>
      <c r="WDZ193" s="5"/>
      <c r="WEA193" s="5"/>
      <c r="WEB193" s="5"/>
      <c r="WEC193" s="5"/>
      <c r="WED193" s="5"/>
      <c r="WEE193" s="5"/>
      <c r="WEF193" s="5"/>
      <c r="WEG193" s="5"/>
      <c r="WEH193" s="5"/>
      <c r="WEI193" s="5"/>
      <c r="WEJ193" s="5"/>
      <c r="WEK193" s="5"/>
      <c r="WEL193" s="5"/>
      <c r="WEM193" s="5"/>
      <c r="WEN193" s="5"/>
      <c r="WEO193" s="5"/>
      <c r="WEP193" s="5"/>
      <c r="WEQ193" s="5"/>
      <c r="WER193" s="5"/>
      <c r="WES193" s="5"/>
      <c r="WET193" s="5"/>
      <c r="WEU193" s="5"/>
      <c r="WEV193" s="5"/>
      <c r="WEW193" s="5"/>
      <c r="WEX193" s="5"/>
      <c r="WEY193" s="5"/>
      <c r="WEZ193" s="5"/>
      <c r="WFA193" s="5"/>
      <c r="WFB193" s="5"/>
      <c r="WFC193" s="5"/>
      <c r="WFD193" s="5"/>
      <c r="WFE193" s="5"/>
      <c r="WFF193" s="5"/>
      <c r="WFG193" s="5"/>
      <c r="WFH193" s="5"/>
      <c r="WFI193" s="5"/>
      <c r="WFJ193" s="5"/>
      <c r="WFK193" s="5"/>
      <c r="WFL193" s="5"/>
      <c r="WFM193" s="5"/>
      <c r="WFN193" s="5"/>
      <c r="WFO193" s="5"/>
      <c r="WFP193" s="5"/>
      <c r="WFQ193" s="5"/>
      <c r="WFR193" s="5"/>
      <c r="WFS193" s="5"/>
      <c r="WFT193" s="5"/>
      <c r="WFU193" s="5"/>
      <c r="WFV193" s="5"/>
      <c r="WFW193" s="5"/>
      <c r="WFX193" s="5"/>
      <c r="WFY193" s="5"/>
      <c r="WFZ193" s="5"/>
      <c r="WGA193" s="5"/>
      <c r="WGB193" s="5"/>
      <c r="WGC193" s="5"/>
      <c r="WGD193" s="5"/>
      <c r="WGE193" s="5"/>
      <c r="WGF193" s="5"/>
      <c r="WGG193" s="5"/>
      <c r="WGH193" s="5"/>
      <c r="WGI193" s="5"/>
      <c r="WGJ193" s="5"/>
      <c r="WGK193" s="5"/>
      <c r="WGL193" s="5"/>
      <c r="WGM193" s="5"/>
      <c r="WGN193" s="5"/>
      <c r="WGO193" s="5"/>
      <c r="WGP193" s="5"/>
      <c r="WGQ193" s="5"/>
      <c r="WGR193" s="5"/>
      <c r="WGS193" s="5"/>
      <c r="WGT193" s="5"/>
      <c r="WGU193" s="5"/>
      <c r="WGV193" s="5"/>
      <c r="WGW193" s="5"/>
      <c r="WGX193" s="5"/>
      <c r="WGY193" s="5"/>
      <c r="WGZ193" s="5"/>
      <c r="WHA193" s="5"/>
      <c r="WHB193" s="5"/>
      <c r="WHC193" s="5"/>
      <c r="WHD193" s="5"/>
      <c r="WHE193" s="5"/>
      <c r="WHF193" s="5"/>
      <c r="WHG193" s="5"/>
      <c r="WHH193" s="5"/>
      <c r="WHI193" s="5"/>
      <c r="WHJ193" s="5"/>
      <c r="WHK193" s="5"/>
      <c r="WHL193" s="5"/>
      <c r="WHM193" s="5"/>
      <c r="WHN193" s="5"/>
      <c r="WHO193" s="5"/>
      <c r="WHP193" s="5"/>
      <c r="WHQ193" s="5"/>
      <c r="WHR193" s="5"/>
      <c r="WHS193" s="5"/>
      <c r="WHT193" s="5"/>
      <c r="WHU193" s="5"/>
      <c r="WHV193" s="5"/>
      <c r="WHW193" s="5"/>
      <c r="WHX193" s="5"/>
      <c r="WHY193" s="5"/>
      <c r="WHZ193" s="5"/>
      <c r="WIA193" s="5"/>
      <c r="WIB193" s="5"/>
      <c r="WIC193" s="5"/>
      <c r="WID193" s="5"/>
      <c r="WIE193" s="5"/>
      <c r="WIF193" s="5"/>
      <c r="WIG193" s="5"/>
      <c r="WIH193" s="5"/>
      <c r="WII193" s="5"/>
      <c r="WIJ193" s="5"/>
      <c r="WIK193" s="5"/>
      <c r="WIL193" s="5"/>
      <c r="WIM193" s="5"/>
      <c r="WIN193" s="5"/>
      <c r="WIO193" s="5"/>
      <c r="WIP193" s="5"/>
      <c r="WIQ193" s="5"/>
      <c r="WIR193" s="5"/>
      <c r="WIS193" s="5"/>
      <c r="WIT193" s="5"/>
      <c r="WIU193" s="5"/>
      <c r="WIV193" s="5"/>
      <c r="WIW193" s="5"/>
      <c r="WIX193" s="5"/>
      <c r="WIY193" s="5"/>
      <c r="WIZ193" s="5"/>
      <c r="WJA193" s="5"/>
      <c r="WJB193" s="5"/>
      <c r="WJC193" s="5"/>
      <c r="WJD193" s="5"/>
      <c r="WJE193" s="5"/>
      <c r="WJF193" s="5"/>
      <c r="WJG193" s="5"/>
      <c r="WJH193" s="5"/>
      <c r="WJI193" s="5"/>
      <c r="WJJ193" s="5"/>
      <c r="WJK193" s="5"/>
      <c r="WJL193" s="5"/>
      <c r="WJM193" s="5"/>
      <c r="WJN193" s="5"/>
      <c r="WJO193" s="5"/>
      <c r="WJP193" s="5"/>
      <c r="WJQ193" s="5"/>
      <c r="WJR193" s="5"/>
      <c r="WJS193" s="5"/>
      <c r="WJT193" s="5"/>
      <c r="WJU193" s="5"/>
      <c r="WJV193" s="5"/>
      <c r="WJW193" s="5"/>
      <c r="WJX193" s="5"/>
      <c r="WJY193" s="5"/>
      <c r="WJZ193" s="5"/>
      <c r="WKA193" s="5"/>
      <c r="WKB193" s="5"/>
      <c r="WKC193" s="5"/>
      <c r="WKD193" s="5"/>
      <c r="WKE193" s="5"/>
      <c r="WKF193" s="5"/>
      <c r="WKG193" s="5"/>
      <c r="WKH193" s="5"/>
      <c r="WKI193" s="5"/>
      <c r="WKJ193" s="5"/>
      <c r="WKK193" s="5"/>
      <c r="WKL193" s="5"/>
      <c r="WKM193" s="5"/>
      <c r="WKN193" s="5"/>
      <c r="WKO193" s="5"/>
      <c r="WKP193" s="5"/>
      <c r="WKQ193" s="5"/>
      <c r="WKR193" s="5"/>
      <c r="WKS193" s="5"/>
      <c r="WKT193" s="5"/>
      <c r="WKU193" s="5"/>
      <c r="WKV193" s="5"/>
      <c r="WKW193" s="5"/>
      <c r="WKX193" s="5"/>
      <c r="WKY193" s="5"/>
      <c r="WKZ193" s="5"/>
      <c r="WLA193" s="5"/>
      <c r="WLB193" s="5"/>
      <c r="WLC193" s="5"/>
      <c r="WLD193" s="5"/>
      <c r="WLE193" s="5"/>
      <c r="WLF193" s="5"/>
      <c r="WLG193" s="5"/>
      <c r="WLH193" s="5"/>
      <c r="WLI193" s="5"/>
      <c r="WLJ193" s="5"/>
      <c r="WLK193" s="5"/>
      <c r="WLL193" s="5"/>
      <c r="WLM193" s="5"/>
      <c r="WLN193" s="5"/>
      <c r="WLO193" s="5"/>
      <c r="WLP193" s="5"/>
      <c r="WLQ193" s="5"/>
      <c r="WLR193" s="5"/>
      <c r="WLS193" s="5"/>
      <c r="WLT193" s="5"/>
      <c r="WLU193" s="5"/>
      <c r="WLV193" s="5"/>
      <c r="WLW193" s="5"/>
      <c r="WLX193" s="5"/>
      <c r="WLY193" s="5"/>
      <c r="WLZ193" s="5"/>
      <c r="WMA193" s="5"/>
      <c r="WMB193" s="5"/>
      <c r="WMC193" s="5"/>
      <c r="WMD193" s="5"/>
      <c r="WME193" s="5"/>
      <c r="WMF193" s="5"/>
      <c r="WMG193" s="5"/>
      <c r="WMH193" s="5"/>
      <c r="WMI193" s="5"/>
      <c r="WMJ193" s="5"/>
      <c r="WMK193" s="5"/>
      <c r="WML193" s="5"/>
      <c r="WMM193" s="5"/>
      <c r="WMN193" s="5"/>
      <c r="WMO193" s="5"/>
      <c r="WMP193" s="5"/>
      <c r="WMQ193" s="5"/>
      <c r="WMR193" s="5"/>
      <c r="WMS193" s="5"/>
      <c r="WMT193" s="5"/>
      <c r="WMU193" s="5"/>
      <c r="WMV193" s="5"/>
      <c r="WMW193" s="5"/>
      <c r="WMX193" s="5"/>
      <c r="WMY193" s="5"/>
      <c r="WMZ193" s="5"/>
      <c r="WNA193" s="5"/>
      <c r="WNB193" s="5"/>
      <c r="WNC193" s="5"/>
      <c r="WND193" s="5"/>
      <c r="WNE193" s="5"/>
      <c r="WNF193" s="5"/>
      <c r="WNG193" s="5"/>
      <c r="WNH193" s="5"/>
      <c r="WNI193" s="5"/>
      <c r="WNJ193" s="5"/>
      <c r="WNK193" s="5"/>
      <c r="WNL193" s="5"/>
      <c r="WNM193" s="5"/>
      <c r="WNN193" s="5"/>
      <c r="WNO193" s="5"/>
      <c r="WNP193" s="5"/>
      <c r="WNQ193" s="5"/>
      <c r="WNR193" s="5"/>
      <c r="WNS193" s="5"/>
      <c r="WNT193" s="5"/>
      <c r="WNU193" s="5"/>
      <c r="WNV193" s="5"/>
      <c r="WNW193" s="5"/>
      <c r="WNX193" s="5"/>
      <c r="WNY193" s="5"/>
      <c r="WNZ193" s="5"/>
      <c r="WOA193" s="5"/>
      <c r="WOB193" s="5"/>
      <c r="WOC193" s="5"/>
      <c r="WOD193" s="5"/>
      <c r="WOE193" s="5"/>
      <c r="WOF193" s="5"/>
      <c r="WOG193" s="5"/>
      <c r="WOH193" s="5"/>
      <c r="WOI193" s="5"/>
      <c r="WOJ193" s="5"/>
      <c r="WOK193" s="5"/>
      <c r="WOL193" s="5"/>
      <c r="WOM193" s="5"/>
      <c r="WON193" s="5"/>
      <c r="WOO193" s="5"/>
      <c r="WOP193" s="5"/>
      <c r="WOQ193" s="5"/>
      <c r="WOR193" s="5"/>
      <c r="WOS193" s="5"/>
      <c r="WOT193" s="5"/>
      <c r="WOU193" s="5"/>
      <c r="WOV193" s="5"/>
      <c r="WOW193" s="5"/>
      <c r="WOX193" s="5"/>
      <c r="WOY193" s="5"/>
      <c r="WOZ193" s="5"/>
      <c r="WPA193" s="5"/>
      <c r="WPB193" s="5"/>
      <c r="WPC193" s="5"/>
      <c r="WPD193" s="5"/>
      <c r="WPE193" s="5"/>
      <c r="WPF193" s="5"/>
      <c r="WPG193" s="5"/>
      <c r="WPH193" s="5"/>
      <c r="WPI193" s="5"/>
      <c r="WPJ193" s="5"/>
      <c r="WPK193" s="5"/>
      <c r="WPL193" s="5"/>
      <c r="WPM193" s="5"/>
      <c r="WPN193" s="5"/>
      <c r="WPO193" s="5"/>
      <c r="WPP193" s="5"/>
      <c r="WPQ193" s="5"/>
      <c r="WPR193" s="5"/>
      <c r="WPS193" s="5"/>
      <c r="WPT193" s="5"/>
      <c r="WPU193" s="5"/>
      <c r="WPV193" s="5"/>
      <c r="WPW193" s="5"/>
      <c r="WPX193" s="5"/>
      <c r="WPY193" s="5"/>
      <c r="WPZ193" s="5"/>
      <c r="WQA193" s="5"/>
      <c r="WQB193" s="5"/>
      <c r="WQC193" s="5"/>
      <c r="WQD193" s="5"/>
      <c r="WQE193" s="5"/>
      <c r="WQF193" s="5"/>
      <c r="WQG193" s="5"/>
      <c r="WQH193" s="5"/>
      <c r="WQI193" s="5"/>
      <c r="WQJ193" s="5"/>
      <c r="WQK193" s="5"/>
      <c r="WQL193" s="5"/>
      <c r="WQM193" s="5"/>
      <c r="WQN193" s="5"/>
      <c r="WQO193" s="5"/>
      <c r="WQP193" s="5"/>
      <c r="WQQ193" s="5"/>
      <c r="WQR193" s="5"/>
      <c r="WQS193" s="5"/>
      <c r="WQT193" s="5"/>
      <c r="WQU193" s="5"/>
      <c r="WQV193" s="5"/>
      <c r="WQW193" s="5"/>
      <c r="WQX193" s="5"/>
      <c r="WQY193" s="5"/>
      <c r="WQZ193" s="5"/>
      <c r="WRA193" s="5"/>
      <c r="WRB193" s="5"/>
      <c r="WRC193" s="5"/>
      <c r="WRD193" s="5"/>
      <c r="WRE193" s="5"/>
      <c r="WRF193" s="5"/>
      <c r="WRG193" s="5"/>
      <c r="WRH193" s="5"/>
      <c r="WRI193" s="5"/>
      <c r="WRJ193" s="5"/>
      <c r="WRK193" s="5"/>
      <c r="WRL193" s="5"/>
      <c r="WRM193" s="5"/>
      <c r="WRN193" s="5"/>
      <c r="WRO193" s="5"/>
      <c r="WRP193" s="5"/>
      <c r="WRQ193" s="5"/>
      <c r="WRR193" s="5"/>
      <c r="WRS193" s="5"/>
      <c r="WRT193" s="5"/>
      <c r="WRU193" s="5"/>
      <c r="WRV193" s="5"/>
      <c r="WRW193" s="5"/>
      <c r="WRX193" s="5"/>
      <c r="WRY193" s="5"/>
      <c r="WRZ193" s="5"/>
      <c r="WSA193" s="5"/>
      <c r="WSB193" s="5"/>
      <c r="WSC193" s="5"/>
      <c r="WSD193" s="5"/>
      <c r="WSE193" s="5"/>
      <c r="WSF193" s="5"/>
      <c r="WSG193" s="5"/>
      <c r="WSH193" s="5"/>
      <c r="WSI193" s="5"/>
      <c r="WSJ193" s="5"/>
      <c r="WSK193" s="5"/>
      <c r="WSL193" s="5"/>
      <c r="WSM193" s="5"/>
      <c r="WSN193" s="5"/>
      <c r="WSO193" s="5"/>
      <c r="WSP193" s="5"/>
      <c r="WSQ193" s="5"/>
      <c r="WSR193" s="5"/>
      <c r="WSS193" s="5"/>
      <c r="WST193" s="5"/>
      <c r="WSU193" s="5"/>
      <c r="WSV193" s="5"/>
      <c r="WSW193" s="5"/>
      <c r="WSX193" s="5"/>
      <c r="WSY193" s="5"/>
      <c r="WSZ193" s="5"/>
      <c r="WTA193" s="5"/>
      <c r="WTB193" s="5"/>
      <c r="WTC193" s="5"/>
      <c r="WTD193" s="5"/>
      <c r="WTE193" s="5"/>
      <c r="WTF193" s="5"/>
      <c r="WTG193" s="5"/>
      <c r="WTH193" s="5"/>
      <c r="WTI193" s="5"/>
      <c r="WTJ193" s="5"/>
      <c r="WTK193" s="5"/>
      <c r="WTL193" s="5"/>
      <c r="WTM193" s="5"/>
      <c r="WTN193" s="5"/>
      <c r="WTO193" s="5"/>
      <c r="WTP193" s="5"/>
      <c r="WTQ193" s="5"/>
      <c r="WTR193" s="5"/>
      <c r="WTS193" s="5"/>
      <c r="WTT193" s="5"/>
      <c r="WTU193" s="5"/>
      <c r="WTV193" s="5"/>
      <c r="WTW193" s="5"/>
      <c r="WTX193" s="5"/>
      <c r="WTY193" s="5"/>
      <c r="WTZ193" s="5"/>
      <c r="WUA193" s="5"/>
      <c r="WUB193" s="5"/>
      <c r="WUC193" s="5"/>
      <c r="WUD193" s="5"/>
      <c r="WUE193" s="5"/>
      <c r="WUF193" s="5"/>
      <c r="WUG193" s="5"/>
      <c r="WUH193" s="5"/>
      <c r="WUI193" s="5"/>
      <c r="WUJ193" s="5"/>
      <c r="WUK193" s="5"/>
      <c r="WUL193" s="5"/>
      <c r="WUM193" s="5"/>
      <c r="WUN193" s="5"/>
      <c r="WUO193" s="5"/>
      <c r="WUP193" s="5"/>
      <c r="WUQ193" s="5"/>
      <c r="WUR193" s="5"/>
      <c r="WUS193" s="5"/>
      <c r="WUT193" s="5"/>
      <c r="WUU193" s="5"/>
      <c r="WUV193" s="5"/>
      <c r="WUW193" s="5"/>
      <c r="WUX193" s="5"/>
      <c r="WUY193" s="5"/>
      <c r="WUZ193" s="5"/>
      <c r="WVA193" s="5"/>
      <c r="WVB193" s="5"/>
      <c r="WVC193" s="5"/>
      <c r="WVD193" s="5"/>
      <c r="WVE193" s="5"/>
      <c r="WVF193" s="5"/>
      <c r="WVG193" s="5"/>
      <c r="WVH193" s="5"/>
      <c r="WVI193" s="5"/>
      <c r="WVJ193" s="5"/>
      <c r="WVK193" s="5"/>
      <c r="WVL193" s="5"/>
      <c r="WVM193" s="5"/>
      <c r="WVN193" s="5"/>
      <c r="WVO193" s="5"/>
      <c r="WVP193" s="5"/>
      <c r="WVQ193" s="5"/>
      <c r="WVR193" s="5"/>
      <c r="WVS193" s="5"/>
      <c r="WVT193" s="5"/>
      <c r="WVU193" s="5"/>
      <c r="WVV193" s="5"/>
      <c r="WVW193" s="5"/>
      <c r="WVX193" s="5"/>
      <c r="WVY193" s="5"/>
      <c r="WVZ193" s="5"/>
      <c r="WWA193" s="5"/>
      <c r="WWB193" s="5"/>
      <c r="WWC193" s="5"/>
      <c r="WWD193" s="5"/>
      <c r="WWE193" s="5"/>
      <c r="WWF193" s="5"/>
      <c r="WWG193" s="5"/>
      <c r="WWH193" s="5"/>
      <c r="WWI193" s="5"/>
      <c r="WWJ193" s="5"/>
      <c r="WWK193" s="5"/>
      <c r="WWL193" s="5"/>
      <c r="WWM193" s="5"/>
      <c r="WWN193" s="5"/>
      <c r="WWO193" s="5"/>
      <c r="WWP193" s="5"/>
      <c r="WWQ193" s="5"/>
      <c r="WWR193" s="5"/>
      <c r="WWS193" s="5"/>
      <c r="WWT193" s="5"/>
      <c r="WWU193" s="5"/>
      <c r="WWV193" s="5"/>
      <c r="WWW193" s="5"/>
      <c r="WWX193" s="5"/>
      <c r="WWY193" s="5"/>
      <c r="WWZ193" s="5"/>
      <c r="WXA193" s="5"/>
      <c r="WXB193" s="5"/>
      <c r="WXC193" s="5"/>
      <c r="WXD193" s="5"/>
      <c r="WXE193" s="5"/>
      <c r="WXF193" s="5"/>
      <c r="WXG193" s="5"/>
      <c r="WXH193" s="5"/>
      <c r="WXI193" s="5"/>
      <c r="WXJ193" s="5"/>
      <c r="WXK193" s="5"/>
      <c r="WXL193" s="5"/>
      <c r="WXM193" s="5"/>
      <c r="WXN193" s="5"/>
      <c r="WXO193" s="5"/>
      <c r="WXP193" s="5"/>
      <c r="WXQ193" s="5"/>
      <c r="WXR193" s="5"/>
      <c r="WXS193" s="5"/>
      <c r="WXT193" s="5"/>
      <c r="WXU193" s="5"/>
      <c r="WXV193" s="5"/>
      <c r="WXW193" s="5"/>
      <c r="WXX193" s="5"/>
      <c r="WXY193" s="5"/>
      <c r="WXZ193" s="5"/>
      <c r="WYA193" s="5"/>
      <c r="WYB193" s="5"/>
      <c r="WYC193" s="5"/>
      <c r="WYD193" s="5"/>
      <c r="WYE193" s="5"/>
      <c r="WYF193" s="5"/>
      <c r="WYG193" s="5"/>
      <c r="WYH193" s="5"/>
      <c r="WYI193" s="5"/>
      <c r="WYJ193" s="5"/>
      <c r="WYK193" s="5"/>
      <c r="WYL193" s="5"/>
      <c r="WYM193" s="5"/>
      <c r="WYN193" s="5"/>
      <c r="WYO193" s="5"/>
      <c r="WYP193" s="5"/>
      <c r="WYQ193" s="5"/>
      <c r="WYR193" s="5"/>
      <c r="WYS193" s="5"/>
      <c r="WYT193" s="5"/>
      <c r="WYU193" s="5"/>
      <c r="WYV193" s="5"/>
      <c r="WYW193" s="5"/>
      <c r="WYX193" s="5"/>
      <c r="WYY193" s="5"/>
      <c r="WYZ193" s="5"/>
      <c r="WZA193" s="5"/>
      <c r="WZB193" s="5"/>
      <c r="WZC193" s="5"/>
      <c r="WZD193" s="5"/>
      <c r="WZE193" s="5"/>
      <c r="WZF193" s="5"/>
      <c r="WZG193" s="5"/>
      <c r="WZH193" s="5"/>
      <c r="WZI193" s="5"/>
      <c r="WZJ193" s="5"/>
      <c r="WZK193" s="5"/>
      <c r="WZL193" s="5"/>
      <c r="WZM193" s="5"/>
      <c r="WZN193" s="5"/>
      <c r="WZO193" s="5"/>
      <c r="WZP193" s="5"/>
      <c r="WZQ193" s="5"/>
      <c r="WZR193" s="5"/>
      <c r="WZS193" s="5"/>
      <c r="WZT193" s="5"/>
      <c r="WZU193" s="5"/>
      <c r="WZV193" s="5"/>
      <c r="WZW193" s="5"/>
      <c r="WZX193" s="5"/>
      <c r="WZY193" s="5"/>
      <c r="WZZ193" s="5"/>
      <c r="XAA193" s="5"/>
      <c r="XAB193" s="5"/>
      <c r="XAC193" s="5"/>
      <c r="XAD193" s="5"/>
      <c r="XAE193" s="5"/>
      <c r="XAF193" s="5"/>
      <c r="XAG193" s="5"/>
      <c r="XAH193" s="5"/>
      <c r="XAI193" s="5"/>
      <c r="XAJ193" s="5"/>
      <c r="XAK193" s="5"/>
      <c r="XAL193" s="5"/>
      <c r="XAM193" s="5"/>
      <c r="XAN193" s="5"/>
      <c r="XAO193" s="5"/>
      <c r="XAP193" s="5"/>
      <c r="XAQ193" s="5"/>
      <c r="XAR193" s="5"/>
      <c r="XAS193" s="5"/>
      <c r="XAT193" s="5"/>
      <c r="XAU193" s="5"/>
      <c r="XAV193" s="5"/>
      <c r="XAW193" s="5"/>
      <c r="XAX193" s="5"/>
      <c r="XAY193" s="5"/>
      <c r="XAZ193" s="5"/>
      <c r="XBA193" s="5"/>
      <c r="XBB193" s="5"/>
      <c r="XBC193" s="5"/>
      <c r="XBD193" s="5"/>
      <c r="XBE193" s="5"/>
      <c r="XBF193" s="5"/>
      <c r="XBG193" s="5"/>
      <c r="XBH193" s="5"/>
      <c r="XBI193" s="5"/>
      <c r="XBJ193" s="5"/>
      <c r="XBK193" s="5"/>
      <c r="XBL193" s="5"/>
      <c r="XBM193" s="5"/>
      <c r="XBN193" s="5"/>
      <c r="XBO193" s="5"/>
      <c r="XBP193" s="5"/>
      <c r="XBQ193" s="5"/>
      <c r="XBR193" s="5"/>
      <c r="XBS193" s="5"/>
      <c r="XBT193" s="5"/>
      <c r="XBU193" s="5"/>
      <c r="XBV193" s="5"/>
      <c r="XBW193" s="5"/>
      <c r="XBX193" s="5"/>
      <c r="XBY193" s="5"/>
      <c r="XBZ193" s="5"/>
      <c r="XCA193" s="5"/>
      <c r="XCB193" s="5"/>
      <c r="XCC193" s="5"/>
      <c r="XCD193" s="5"/>
      <c r="XCE193" s="5"/>
      <c r="XCF193" s="5"/>
      <c r="XCG193" s="5"/>
      <c r="XCH193" s="5"/>
      <c r="XCI193" s="5"/>
      <c r="XCJ193" s="5"/>
      <c r="XCK193" s="5"/>
      <c r="XCL193" s="5"/>
      <c r="XCM193" s="5"/>
      <c r="XCN193" s="5"/>
      <c r="XCO193" s="5"/>
      <c r="XCP193" s="5"/>
      <c r="XCQ193" s="5"/>
      <c r="XCR193" s="5"/>
      <c r="XCS193" s="5"/>
      <c r="XCT193" s="5"/>
      <c r="XCU193" s="5"/>
      <c r="XCV193" s="5"/>
      <c r="XCW193" s="5"/>
      <c r="XCX193" s="5"/>
      <c r="XCY193" s="5"/>
      <c r="XCZ193" s="5"/>
      <c r="XDA193" s="5"/>
      <c r="XDB193" s="5"/>
      <c r="XDC193" s="5"/>
      <c r="XDD193" s="5"/>
      <c r="XDE193" s="5"/>
      <c r="XDF193" s="5"/>
      <c r="XDG193" s="5"/>
      <c r="XDH193" s="5"/>
      <c r="XDI193" s="5"/>
      <c r="XDJ193" s="5"/>
      <c r="XDK193" s="5"/>
      <c r="XDL193" s="5"/>
      <c r="XDM193" s="5"/>
      <c r="XDN193" s="5"/>
      <c r="XDO193" s="5"/>
      <c r="XDP193" s="5"/>
      <c r="XDQ193" s="5"/>
      <c r="XDR193" s="5"/>
      <c r="XDS193" s="5"/>
      <c r="XDT193" s="5"/>
      <c r="XDU193" s="5"/>
      <c r="XDV193" s="5"/>
      <c r="XDW193" s="5"/>
      <c r="XDX193" s="5"/>
      <c r="XDY193" s="5"/>
      <c r="XDZ193" s="5"/>
      <c r="XEA193" s="5"/>
      <c r="XEB193" s="5"/>
      <c r="XEC193" s="5"/>
      <c r="XED193" s="5"/>
      <c r="XEE193" s="5"/>
      <c r="XEF193" s="5"/>
      <c r="XEG193" s="5"/>
      <c r="XEH193" s="5"/>
      <c r="XEI193" s="5"/>
      <c r="XEJ193" s="5"/>
      <c r="XEK193" s="5"/>
      <c r="XEL193" s="5"/>
      <c r="XEM193" s="5"/>
      <c r="XEN193" s="5"/>
      <c r="XEO193" s="5"/>
      <c r="XEP193" s="5"/>
    </row>
    <row r="194" spans="2:16370" s="5" customFormat="1" ht="15.75" hidden="1" x14ac:dyDescent="0.25">
      <c r="B194" s="381"/>
      <c r="C194" s="381"/>
      <c r="D194" s="385"/>
      <c r="E194" s="385"/>
      <c r="F194" s="385"/>
      <c r="G194" s="385"/>
      <c r="H194" s="385"/>
      <c r="I194" s="381"/>
      <c r="J194" s="381"/>
      <c r="K194" s="381"/>
      <c r="L194" s="382"/>
      <c r="AE194" s="939" t="s">
        <v>997</v>
      </c>
      <c r="AF194" s="939">
        <f>C178</f>
        <v>0</v>
      </c>
      <c r="AG194" s="1080" t="e">
        <f>VLOOKUP($D$14,$AF$186:$AN$192,2,FALSE)</f>
        <v>#N/A</v>
      </c>
      <c r="AH194" s="1080" t="e">
        <f>VLOOKUP($D$14,$AF$186:$AN$192,3,FALSE)</f>
        <v>#N/A</v>
      </c>
      <c r="AI194" s="1080" t="e">
        <f>VLOOKUP($D$14,$AF$186:$AN$192,4,FALSE)</f>
        <v>#N/A</v>
      </c>
      <c r="AJ194" s="1080" t="e">
        <f>VLOOKUP($D$14,$AF$186:$AN$192,5,FALSE)</f>
        <v>#N/A</v>
      </c>
      <c r="AK194" s="1080"/>
      <c r="AL194" s="1080" t="e">
        <f>VLOOKUP($D$14,$AF$186:$AN$192,7,FALSE)</f>
        <v>#N/A</v>
      </c>
      <c r="AM194" s="1080"/>
      <c r="AN194" s="1080" t="e">
        <f>VLOOKUP($D$14,$AF$186:$AN$192,9,FALSE)</f>
        <v>#N/A</v>
      </c>
    </row>
    <row r="195" spans="2:16370" s="5" customFormat="1" ht="15.75" hidden="1" x14ac:dyDescent="0.25">
      <c r="B195" s="383" t="s">
        <v>273</v>
      </c>
      <c r="C195" s="381"/>
      <c r="D195" s="383" t="s">
        <v>1680</v>
      </c>
      <c r="E195" s="386"/>
      <c r="F195" s="381"/>
      <c r="G195" s="381"/>
      <c r="H195" s="381"/>
      <c r="I195" s="381"/>
      <c r="J195" s="381"/>
      <c r="K195" s="381"/>
      <c r="L195" s="384" t="s">
        <v>1405</v>
      </c>
      <c r="AE195" s="939" t="s">
        <v>999</v>
      </c>
      <c r="AF195" s="939"/>
      <c r="AG195" s="940">
        <f>AR168*100</f>
        <v>100</v>
      </c>
      <c r="AH195" s="940">
        <f>AR182*100</f>
        <v>0</v>
      </c>
      <c r="AI195" s="940">
        <f>AR183*100</f>
        <v>0</v>
      </c>
      <c r="AJ195" s="940">
        <f>AR181*100</f>
        <v>0</v>
      </c>
      <c r="AK195" s="940"/>
      <c r="AL195" s="940">
        <f>AR180*100</f>
        <v>0</v>
      </c>
      <c r="AM195" s="1080"/>
      <c r="AN195" s="940" t="e">
        <f>BC180</f>
        <v>#N/A</v>
      </c>
    </row>
    <row r="196" spans="2:16370" s="5" customFormat="1" ht="15.75" hidden="1" x14ac:dyDescent="0.25">
      <c r="B196" s="381"/>
      <c r="C196" s="381"/>
      <c r="D196" s="383"/>
      <c r="E196" s="386"/>
      <c r="F196" s="386"/>
      <c r="G196" s="381"/>
      <c r="H196" s="381"/>
      <c r="I196" s="381"/>
      <c r="J196" s="381"/>
      <c r="K196" s="381"/>
      <c r="L196" s="382"/>
      <c r="AE196" s="611" t="s">
        <v>998</v>
      </c>
      <c r="AG196" s="940" t="e">
        <f>IF($AC$170=1,AG194,AG195)</f>
        <v>#N/A</v>
      </c>
      <c r="AH196" s="940" t="e">
        <f>IF($AC$170=1,AH194,AH195)</f>
        <v>#N/A</v>
      </c>
      <c r="AI196" s="940" t="e">
        <f>IF($AC$170=1,AI194,AI195)</f>
        <v>#N/A</v>
      </c>
      <c r="AJ196" s="940" t="e">
        <f>IF($AC$170=1,AJ194,AJ195)</f>
        <v>#N/A</v>
      </c>
      <c r="AK196" s="940"/>
      <c r="AL196" s="940" t="e">
        <f>IF($AC$170=1,AL194,AL195)</f>
        <v>#N/A</v>
      </c>
      <c r="AM196" s="940"/>
      <c r="AN196" s="940" t="e">
        <f>IF($AC$170=1,AN194,AN195)</f>
        <v>#N/A</v>
      </c>
    </row>
    <row r="197" spans="2:16370" s="5" customFormat="1" ht="15.75" hidden="1" x14ac:dyDescent="0.25">
      <c r="B197" s="381"/>
      <c r="C197" s="381" t="s">
        <v>472</v>
      </c>
      <c r="D197" s="1096" t="e">
        <f t="shared" ref="D197:H197" si="3">20.7*D189/1000</f>
        <v>#DIV/0!</v>
      </c>
      <c r="E197" s="1096">
        <f t="shared" si="3"/>
        <v>2.9067457500000001E-2</v>
      </c>
      <c r="F197" s="1096">
        <f t="shared" si="3"/>
        <v>2.9067457500000001E-2</v>
      </c>
      <c r="G197" s="1096">
        <f t="shared" si="3"/>
        <v>2.9067457500000001E-2</v>
      </c>
      <c r="H197" s="1096">
        <f t="shared" si="3"/>
        <v>2.9067457500000001E-2</v>
      </c>
      <c r="I197" s="1096">
        <v>1.8249999999999999E-2</v>
      </c>
      <c r="J197" s="1096">
        <v>2.0809999999999999E-2</v>
      </c>
      <c r="K197" s="386" t="s">
        <v>274</v>
      </c>
      <c r="L197" s="382"/>
      <c r="AE197" s="939" t="s">
        <v>1427</v>
      </c>
      <c r="AG197" s="1080">
        <v>100</v>
      </c>
      <c r="AH197" s="1080">
        <v>0</v>
      </c>
      <c r="AI197" s="1080">
        <v>0</v>
      </c>
      <c r="AJ197" s="1080">
        <v>0</v>
      </c>
      <c r="AK197" s="1080"/>
      <c r="AL197" s="1080">
        <v>0</v>
      </c>
      <c r="AM197" s="1080"/>
      <c r="AN197" s="1080">
        <v>1</v>
      </c>
    </row>
    <row r="198" spans="2:16370" s="5" customFormat="1" ht="15.75" hidden="1" x14ac:dyDescent="0.25">
      <c r="B198" s="381"/>
      <c r="C198" s="381"/>
      <c r="D198" s="381"/>
      <c r="E198" s="381"/>
      <c r="F198" s="381"/>
      <c r="G198" s="381"/>
      <c r="H198" s="381"/>
      <c r="I198" s="381"/>
      <c r="J198" s="381"/>
      <c r="K198" s="381"/>
      <c r="L198" s="382"/>
      <c r="AE198" s="611" t="s">
        <v>1002</v>
      </c>
      <c r="AG198" s="940">
        <f>AU168*100</f>
        <v>100</v>
      </c>
      <c r="AH198" s="940">
        <f>AU177*100</f>
        <v>0</v>
      </c>
      <c r="AI198" s="940">
        <f>AU178*100</f>
        <v>0</v>
      </c>
      <c r="AJ198" s="940">
        <f>AU176*100</f>
        <v>0</v>
      </c>
      <c r="AK198" s="940"/>
      <c r="AL198" s="940">
        <f>AU175*100</f>
        <v>0</v>
      </c>
      <c r="AM198" s="1080"/>
      <c r="AN198" s="955" t="e">
        <f>BC183</f>
        <v>#N/A</v>
      </c>
    </row>
    <row r="199" spans="2:16370" s="5" customFormat="1" ht="15.75" hidden="1" x14ac:dyDescent="0.25">
      <c r="B199" s="389" t="s">
        <v>275</v>
      </c>
      <c r="C199" s="381"/>
      <c r="D199" s="381"/>
      <c r="E199" s="381"/>
      <c r="F199" s="381"/>
      <c r="G199" s="381"/>
      <c r="H199" s="381"/>
      <c r="I199" s="381"/>
      <c r="J199" s="381"/>
      <c r="K199" s="381"/>
      <c r="L199" s="382"/>
      <c r="AE199" s="939" t="s">
        <v>1003</v>
      </c>
      <c r="AG199" s="940">
        <f>IF($AC$170=1,AG197,AG198)</f>
        <v>100</v>
      </c>
      <c r="AH199" s="940">
        <f>IF($AC$170=1,AH197,AH198)</f>
        <v>0</v>
      </c>
      <c r="AI199" s="940">
        <f>IF($AC$170=1,AI197,AI198)</f>
        <v>0</v>
      </c>
      <c r="AJ199" s="940">
        <f>IF($AC$170=1,AJ197,AJ198)</f>
        <v>0</v>
      </c>
      <c r="AK199" s="940"/>
      <c r="AL199" s="940">
        <f>IF($AC$170=1,AL197,AL198)</f>
        <v>0</v>
      </c>
      <c r="AM199" s="940"/>
      <c r="AN199" s="940">
        <f>IF($AC$170=1,AN197,AN198)</f>
        <v>1</v>
      </c>
    </row>
    <row r="200" spans="2:16370" s="5" customFormat="1" ht="15.75" hidden="1" x14ac:dyDescent="0.25">
      <c r="B200" s="381"/>
      <c r="C200" s="381"/>
      <c r="D200" s="390" t="s">
        <v>1429</v>
      </c>
      <c r="E200" s="381"/>
      <c r="F200" s="381"/>
      <c r="G200" s="381"/>
      <c r="H200" s="381"/>
      <c r="I200" s="381"/>
      <c r="J200" s="381"/>
      <c r="K200" s="381"/>
      <c r="L200" s="384" t="s">
        <v>1406</v>
      </c>
    </row>
    <row r="201" spans="2:16370" s="5" customFormat="1" ht="15.75" hidden="1" x14ac:dyDescent="0.25">
      <c r="B201" s="381"/>
      <c r="C201" s="381"/>
      <c r="D201" s="381"/>
      <c r="E201" s="381"/>
      <c r="F201" s="381"/>
      <c r="G201" s="381"/>
      <c r="H201" s="381"/>
      <c r="I201" s="381"/>
      <c r="J201" s="381"/>
      <c r="K201" s="381"/>
      <c r="L201" s="382"/>
    </row>
    <row r="202" spans="2:16370" s="5" customFormat="1" ht="15.75" hidden="1" x14ac:dyDescent="0.25">
      <c r="B202" s="381"/>
      <c r="C202" s="381" t="s">
        <v>472</v>
      </c>
      <c r="D202" s="1342" t="e">
        <f>(365*D17*D197)*10^-6</f>
        <v>#DIV/0!</v>
      </c>
      <c r="E202" s="1342">
        <f>(365*E17*E197)*10^-6</f>
        <v>0</v>
      </c>
      <c r="F202" s="1342">
        <f>(281*F17*F197)*10^-6</f>
        <v>0</v>
      </c>
      <c r="G202" s="1342">
        <f>(365*G17*G197)*10^-6</f>
        <v>0</v>
      </c>
      <c r="H202" s="1342">
        <f>(281*H17*H197)*10^-6</f>
        <v>0</v>
      </c>
      <c r="I202" s="1342">
        <f>(84*F17*I197)*10^-6</f>
        <v>0</v>
      </c>
      <c r="J202" s="1342">
        <f>(84*H17*J197)*10^-6</f>
        <v>0</v>
      </c>
      <c r="K202" s="381" t="s">
        <v>473</v>
      </c>
      <c r="L202" s="382"/>
      <c r="AG202" s="1957"/>
      <c r="AH202" s="1957"/>
      <c r="AI202" s="1957"/>
      <c r="AJ202" s="1957"/>
      <c r="AL202" s="1957"/>
      <c r="AN202" s="1958"/>
    </row>
    <row r="203" spans="2:16370" s="5" customFormat="1" ht="15.75" hidden="1" x14ac:dyDescent="0.25">
      <c r="B203" s="381"/>
      <c r="C203" s="381"/>
      <c r="D203" s="381"/>
      <c r="E203" s="381"/>
      <c r="F203" s="1112"/>
      <c r="G203" s="381"/>
      <c r="H203" s="381"/>
      <c r="I203" s="1112"/>
      <c r="J203" s="393"/>
      <c r="K203" s="381"/>
      <c r="L203" s="382"/>
      <c r="AN203" s="1958"/>
    </row>
    <row r="204" spans="2:16370" s="5" customFormat="1" ht="15.75" hidden="1" x14ac:dyDescent="0.25">
      <c r="B204" s="389" t="s">
        <v>277</v>
      </c>
      <c r="C204" s="1978" t="e">
        <f>SUM(D202:J202)</f>
        <v>#DIV/0!</v>
      </c>
      <c r="D204" s="1977"/>
      <c r="E204" s="1977"/>
      <c r="F204" s="1977"/>
      <c r="G204" s="1977"/>
      <c r="H204" s="1977"/>
      <c r="I204" s="1977"/>
      <c r="J204" s="1977"/>
      <c r="K204" s="393" t="s">
        <v>278</v>
      </c>
      <c r="L204" s="382"/>
      <c r="AG204" s="1957"/>
    </row>
    <row r="205" spans="2:16370" s="5" customFormat="1" ht="15.75" hidden="1" x14ac:dyDescent="0.25">
      <c r="B205" s="389" t="s">
        <v>279</v>
      </c>
      <c r="C205" s="1978" t="e">
        <f>C204*25</f>
        <v>#DIV/0!</v>
      </c>
      <c r="D205" s="392"/>
      <c r="E205" s="392"/>
      <c r="F205" s="392"/>
      <c r="G205" s="392"/>
      <c r="H205" s="392"/>
      <c r="I205" s="393"/>
      <c r="J205" s="393"/>
      <c r="K205" s="393" t="s">
        <v>280</v>
      </c>
      <c r="L205" s="382"/>
    </row>
    <row r="206" spans="2:16370" s="5" customFormat="1" ht="15.75" hidden="1" x14ac:dyDescent="0.25">
      <c r="B206" s="394" t="s">
        <v>279</v>
      </c>
      <c r="C206" s="395" t="e">
        <f>C205*10^3</f>
        <v>#DIV/0!</v>
      </c>
      <c r="D206" s="396"/>
      <c r="E206" s="396"/>
      <c r="F206" s="396"/>
      <c r="G206" s="396"/>
      <c r="H206" s="396"/>
      <c r="I206" s="1081"/>
      <c r="J206" s="1081"/>
      <c r="K206" s="397" t="s">
        <v>281</v>
      </c>
      <c r="L206" s="398"/>
      <c r="AG206" s="1957"/>
      <c r="AH206" s="1957"/>
      <c r="AI206" s="1957"/>
      <c r="AJ206" s="1957"/>
      <c r="AK206" s="1957"/>
      <c r="AL206" s="1957"/>
      <c r="AN206" s="1959"/>
    </row>
    <row r="207" spans="2:16370" s="5" customFormat="1" hidden="1" x14ac:dyDescent="0.25"/>
    <row r="208" spans="2:16370" s="5" customFormat="1" ht="15.75" hidden="1" x14ac:dyDescent="0.25">
      <c r="B208" s="399" t="s">
        <v>459</v>
      </c>
      <c r="C208" s="399"/>
      <c r="D208" s="400" t="str">
        <f>D16</f>
        <v>Milking Cows</v>
      </c>
      <c r="E208" s="400" t="str">
        <f>E16</f>
        <v xml:space="preserve">Heifers &gt;1 </v>
      </c>
      <c r="F208" s="400" t="str">
        <f>F16</f>
        <v xml:space="preserve">Heifers &lt;1 </v>
      </c>
      <c r="G208" s="400" t="str">
        <f>G16</f>
        <v>Mature bulls</v>
      </c>
      <c r="H208" s="400" t="str">
        <f>H16</f>
        <v>Immature bulls</v>
      </c>
      <c r="I208" s="400" t="str">
        <f>I186</f>
        <v>Unweaned heifers</v>
      </c>
      <c r="J208" s="400" t="str">
        <f>J186</f>
        <v>Unweaned bulls</v>
      </c>
      <c r="K208" s="400">
        <f>I16</f>
        <v>0</v>
      </c>
      <c r="L208" s="401" t="s">
        <v>267</v>
      </c>
    </row>
    <row r="209" spans="2:33" s="5" customFormat="1" ht="15.75" hidden="1" x14ac:dyDescent="0.25">
      <c r="B209" s="402" t="s">
        <v>283</v>
      </c>
      <c r="C209" s="403">
        <v>0.08</v>
      </c>
      <c r="D209" s="404"/>
      <c r="E209" s="403"/>
      <c r="F209" s="403"/>
      <c r="G209" s="403"/>
      <c r="H209" s="403"/>
      <c r="I209" s="403"/>
      <c r="J209" s="403"/>
      <c r="K209" s="403" t="s">
        <v>284</v>
      </c>
      <c r="L209" s="405"/>
    </row>
    <row r="210" spans="2:33" s="5" customFormat="1" ht="15.75" hidden="1" x14ac:dyDescent="0.25">
      <c r="B210" s="402" t="s">
        <v>285</v>
      </c>
      <c r="C210" s="403">
        <v>0.24</v>
      </c>
      <c r="D210" s="404"/>
      <c r="E210" s="403"/>
      <c r="F210" s="403"/>
      <c r="G210" s="403"/>
      <c r="H210" s="403"/>
      <c r="I210" s="403"/>
      <c r="J210" s="403"/>
      <c r="K210" s="403" t="s">
        <v>286</v>
      </c>
      <c r="L210" s="405"/>
      <c r="AG210" s="1956"/>
    </row>
    <row r="211" spans="2:33" s="5" customFormat="1" ht="15.75" hidden="1" x14ac:dyDescent="0.25">
      <c r="B211" s="406" t="s">
        <v>287</v>
      </c>
      <c r="C211" s="407">
        <v>0.6784</v>
      </c>
      <c r="D211" s="408"/>
      <c r="E211" s="407"/>
      <c r="F211" s="407"/>
      <c r="G211" s="407"/>
      <c r="H211" s="407"/>
      <c r="I211" s="407"/>
      <c r="J211" s="407"/>
      <c r="K211" s="407" t="s">
        <v>288</v>
      </c>
      <c r="L211" s="409"/>
    </row>
    <row r="212" spans="2:33" s="5" customFormat="1" ht="15.75" hidden="1" x14ac:dyDescent="0.25">
      <c r="B212" s="404"/>
      <c r="C212" s="410"/>
      <c r="D212" s="404"/>
      <c r="E212" s="404"/>
      <c r="F212" s="404"/>
      <c r="G212" s="404"/>
      <c r="H212" s="404"/>
      <c r="I212" s="404"/>
      <c r="J212" s="404"/>
      <c r="K212" s="404"/>
      <c r="L212" s="405"/>
    </row>
    <row r="213" spans="2:33" s="5" customFormat="1" ht="15.75" hidden="1" x14ac:dyDescent="0.25">
      <c r="B213" s="402" t="s">
        <v>289</v>
      </c>
      <c r="C213" s="1375" t="s">
        <v>1520</v>
      </c>
      <c r="D213" s="403"/>
      <c r="E213" s="404"/>
      <c r="F213" s="404"/>
      <c r="G213" s="404"/>
      <c r="H213" s="404"/>
      <c r="I213" s="404"/>
      <c r="J213" s="404"/>
      <c r="K213" s="404"/>
      <c r="L213" s="411" t="s">
        <v>1431</v>
      </c>
    </row>
    <row r="214" spans="2:33" s="5" customFormat="1" ht="15.75" hidden="1" x14ac:dyDescent="0.25">
      <c r="B214" s="404"/>
      <c r="C214" s="404" t="s">
        <v>472</v>
      </c>
      <c r="D214" s="1701" t="e">
        <f>(D189*(1-(F36/100))+(0.04*D189))*(1-$C$209)</f>
        <v>#DIV/0!</v>
      </c>
      <c r="E214" s="1701">
        <f>(E189*(1-($D$38/100))+(0.04*E189))*(1-$C$209)</f>
        <v>1.3435624800000001</v>
      </c>
      <c r="F214" s="1701">
        <f>(F189*(1-($D$38/100))+(0.04*F189))*(1-$C$209)</f>
        <v>1.3435624800000001</v>
      </c>
      <c r="G214" s="1701">
        <f>(G189*(1-($D$38/100))+(0.04*G189))*(1-$C$209)</f>
        <v>1.3435624800000001</v>
      </c>
      <c r="H214" s="1701">
        <f>(H189*(1-($D$38/100))+(0.04*H189))*(1-$C$209)</f>
        <v>1.3435624800000001</v>
      </c>
      <c r="I214" s="1701">
        <v>0.26850000000000002</v>
      </c>
      <c r="J214" s="1701">
        <v>0.30030000000000001</v>
      </c>
      <c r="K214" s="403" t="s">
        <v>292</v>
      </c>
      <c r="L214" s="405"/>
    </row>
    <row r="215" spans="2:33" s="5" customFormat="1" ht="15.75" hidden="1" x14ac:dyDescent="0.25">
      <c r="B215" s="404"/>
      <c r="C215" s="404"/>
      <c r="D215" s="1979"/>
      <c r="E215" s="1979"/>
      <c r="F215" s="1979"/>
      <c r="G215" s="1979"/>
      <c r="H215" s="1979"/>
      <c r="I215" s="1979"/>
      <c r="J215" s="1979"/>
      <c r="K215" s="404"/>
      <c r="L215" s="405"/>
    </row>
    <row r="216" spans="2:33" s="5" customFormat="1" ht="15.75" hidden="1" x14ac:dyDescent="0.25">
      <c r="B216" s="402" t="s">
        <v>293</v>
      </c>
      <c r="C216" s="402" t="s">
        <v>294</v>
      </c>
      <c r="D216" s="403"/>
      <c r="E216" s="403"/>
      <c r="F216" s="413"/>
      <c r="G216" s="413"/>
      <c r="H216" s="404"/>
      <c r="I216" s="404"/>
      <c r="J216" s="404"/>
      <c r="K216" s="413"/>
      <c r="L216" s="411" t="s">
        <v>1432</v>
      </c>
    </row>
    <row r="217" spans="2:33" s="5" customFormat="1" ht="15.75" hidden="1" x14ac:dyDescent="0.25">
      <c r="B217" s="404"/>
      <c r="C217" s="403" t="s">
        <v>296</v>
      </c>
      <c r="D217" s="404"/>
      <c r="E217" s="404"/>
      <c r="F217" s="404"/>
      <c r="G217" s="404"/>
      <c r="H217" s="404"/>
      <c r="I217" s="404"/>
      <c r="J217" s="404"/>
      <c r="K217" s="404"/>
      <c r="L217" s="405"/>
    </row>
    <row r="218" spans="2:33" s="5" customFormat="1" ht="15.75" hidden="1" x14ac:dyDescent="0.25">
      <c r="B218" s="404"/>
      <c r="C218" s="403"/>
      <c r="D218" s="403"/>
      <c r="E218" s="413"/>
      <c r="F218" s="413"/>
      <c r="G218" s="413"/>
      <c r="H218" s="413"/>
      <c r="I218" s="404"/>
      <c r="J218" s="404"/>
      <c r="K218" s="404"/>
      <c r="L218" s="405"/>
    </row>
    <row r="219" spans="2:33" s="5" customFormat="1" ht="15.75" hidden="1" x14ac:dyDescent="0.25">
      <c r="B219" s="404"/>
      <c r="C219" s="404"/>
      <c r="D219" s="404"/>
      <c r="E219" s="404"/>
      <c r="F219" s="404"/>
      <c r="G219" s="404"/>
      <c r="H219" s="404"/>
      <c r="I219" s="404"/>
      <c r="J219" s="404"/>
      <c r="K219" s="404"/>
      <c r="L219" s="415"/>
    </row>
    <row r="220" spans="2:33" s="5" customFormat="1" ht="15.75" hidden="1" x14ac:dyDescent="0.25">
      <c r="B220" s="404"/>
      <c r="C220" s="402" t="s">
        <v>896</v>
      </c>
      <c r="D220" s="404"/>
      <c r="E220" s="404"/>
      <c r="F220" s="404"/>
      <c r="G220" s="404"/>
      <c r="H220" s="404"/>
      <c r="I220" s="404"/>
      <c r="J220" s="404"/>
      <c r="K220" s="404"/>
      <c r="L220" s="414"/>
    </row>
    <row r="221" spans="2:33" s="5" customFormat="1" ht="15.75" hidden="1" x14ac:dyDescent="0.25">
      <c r="B221" s="404"/>
      <c r="C221" s="404"/>
      <c r="D221" s="404"/>
      <c r="E221" s="404"/>
      <c r="F221" s="404"/>
      <c r="G221" s="404"/>
      <c r="H221" s="404"/>
      <c r="I221" s="404"/>
      <c r="J221" s="404"/>
      <c r="K221" s="404"/>
      <c r="L221" s="416"/>
    </row>
    <row r="222" spans="2:33" s="5" customFormat="1" ht="15.75" hidden="1" x14ac:dyDescent="0.25">
      <c r="B222" s="404"/>
      <c r="C222" s="404" t="s">
        <v>472</v>
      </c>
      <c r="D222" s="1701" t="e">
        <f>D214*$C$210*I90%*$C$211</f>
        <v>#DIV/0!</v>
      </c>
      <c r="E222" s="1701">
        <f>E214*$C$210*I95%*$C$211</f>
        <v>2.1875346874368003E-3</v>
      </c>
      <c r="F222" s="1701">
        <f>F214*$C$210*I95%*$C$211</f>
        <v>2.1875346874368003E-3</v>
      </c>
      <c r="G222" s="1701">
        <f>G214*$C$210*I95%*$C$211</f>
        <v>2.1875346874368003E-3</v>
      </c>
      <c r="H222" s="1701">
        <f>H214*$C$210*I95%*$C$211</f>
        <v>2.1875346874368003E-3</v>
      </c>
      <c r="I222" s="1701">
        <f>I214*$C$210*$I$95%*$C$211</f>
        <v>4.3716095999999998E-4</v>
      </c>
      <c r="J222" s="1701">
        <f>J214*$C$210*$I$95%*$C$211</f>
        <v>4.8893644799999998E-4</v>
      </c>
      <c r="K222" s="403" t="s">
        <v>274</v>
      </c>
      <c r="L222" s="405"/>
    </row>
    <row r="223" spans="2:33" s="5" customFormat="1" ht="15.75" hidden="1" x14ac:dyDescent="0.25">
      <c r="B223" s="418"/>
      <c r="C223" s="418"/>
      <c r="D223" s="418"/>
      <c r="E223" s="418"/>
      <c r="F223" s="418"/>
      <c r="G223" s="418"/>
      <c r="H223" s="418"/>
      <c r="I223" s="404"/>
      <c r="J223" s="404"/>
      <c r="K223" s="418"/>
      <c r="L223" s="416"/>
    </row>
    <row r="224" spans="2:33" s="5" customFormat="1" ht="15.75" hidden="1" x14ac:dyDescent="0.25">
      <c r="B224" s="402" t="s">
        <v>298</v>
      </c>
      <c r="C224" s="402"/>
      <c r="D224" s="402"/>
      <c r="E224" s="403"/>
      <c r="F224" s="403"/>
      <c r="G224" s="403"/>
      <c r="H224" s="403"/>
      <c r="I224" s="404"/>
      <c r="J224" s="404"/>
      <c r="K224" s="403"/>
      <c r="L224" s="405"/>
    </row>
    <row r="225" spans="2:12" s="5" customFormat="1" ht="15.75" hidden="1" x14ac:dyDescent="0.25">
      <c r="B225" s="403"/>
      <c r="C225" s="402" t="s">
        <v>1430</v>
      </c>
      <c r="D225" s="403"/>
      <c r="E225" s="403"/>
      <c r="F225" s="403"/>
      <c r="G225" s="403"/>
      <c r="H225" s="403"/>
      <c r="I225" s="404"/>
      <c r="J225" s="404"/>
      <c r="K225" s="403"/>
      <c r="L225" s="411" t="s">
        <v>1433</v>
      </c>
    </row>
    <row r="226" spans="2:12" s="5" customFormat="1" ht="15.75" hidden="1" x14ac:dyDescent="0.25">
      <c r="B226" s="403"/>
      <c r="C226" s="402"/>
      <c r="D226" s="403"/>
      <c r="E226" s="403"/>
      <c r="F226" s="403"/>
      <c r="G226" s="403"/>
      <c r="H226" s="403"/>
      <c r="I226" s="404"/>
      <c r="J226" s="404"/>
      <c r="K226" s="403"/>
      <c r="L226" s="405"/>
    </row>
    <row r="227" spans="2:12" s="5" customFormat="1" ht="15.75" hidden="1" x14ac:dyDescent="0.25">
      <c r="B227" s="403"/>
      <c r="C227" s="404" t="s">
        <v>472</v>
      </c>
      <c r="D227" s="1701" t="e">
        <f>(365*D17*D222)*10^-6</f>
        <v>#DIV/0!</v>
      </c>
      <c r="E227" s="1701">
        <f>(365*E17*E222)*10^-6</f>
        <v>0</v>
      </c>
      <c r="F227" s="1701">
        <f>(281*F17*F222)*10^-6</f>
        <v>0</v>
      </c>
      <c r="G227" s="1701">
        <f>(365*G17*G222)*10^-6</f>
        <v>0</v>
      </c>
      <c r="H227" s="1701">
        <f>(281*H17*H222)*10^-6</f>
        <v>0</v>
      </c>
      <c r="I227" s="1701">
        <f>(84*F17*I222)*10^-6</f>
        <v>0</v>
      </c>
      <c r="J227" s="1701">
        <f>(84*H17*J222)*10^-6</f>
        <v>0</v>
      </c>
      <c r="K227" s="403" t="s">
        <v>473</v>
      </c>
      <c r="L227" s="405"/>
    </row>
    <row r="228" spans="2:12" s="5" customFormat="1" ht="15.75" hidden="1" x14ac:dyDescent="0.25">
      <c r="B228" s="403"/>
      <c r="C228" s="403"/>
      <c r="D228" s="403"/>
      <c r="E228" s="403"/>
      <c r="F228" s="1955"/>
      <c r="G228" s="1955"/>
      <c r="H228" s="1955"/>
      <c r="I228" s="404"/>
      <c r="J228" s="404"/>
      <c r="K228" s="404"/>
      <c r="L228" s="405"/>
    </row>
    <row r="229" spans="2:12" s="5" customFormat="1" ht="15.75" hidden="1" x14ac:dyDescent="0.25">
      <c r="B229" s="402" t="s">
        <v>300</v>
      </c>
      <c r="C229" s="1218" t="e">
        <f>SUM(D227:J227)</f>
        <v>#DIV/0!</v>
      </c>
      <c r="D229" s="417"/>
      <c r="E229" s="417"/>
      <c r="F229" s="417"/>
      <c r="G229" s="417"/>
      <c r="H229" s="417"/>
      <c r="I229" s="404"/>
      <c r="J229" s="404"/>
      <c r="K229" s="403" t="s">
        <v>301</v>
      </c>
      <c r="L229" s="416"/>
    </row>
    <row r="230" spans="2:12" s="5" customFormat="1" ht="15.75" hidden="1" x14ac:dyDescent="0.25">
      <c r="B230" s="402" t="s">
        <v>300</v>
      </c>
      <c r="C230" s="1701" t="e">
        <f>C229*25</f>
        <v>#DIV/0!</v>
      </c>
      <c r="D230" s="417"/>
      <c r="E230" s="417"/>
      <c r="F230" s="417"/>
      <c r="G230" s="417"/>
      <c r="H230" s="417"/>
      <c r="I230" s="404"/>
      <c r="J230" s="404"/>
      <c r="K230" s="403" t="s">
        <v>302</v>
      </c>
      <c r="L230" s="416"/>
    </row>
    <row r="231" spans="2:12" s="5" customFormat="1" ht="15.75" hidden="1" x14ac:dyDescent="0.25">
      <c r="B231" s="406" t="s">
        <v>300</v>
      </c>
      <c r="C231" s="421" t="e">
        <f>C230*10^3</f>
        <v>#DIV/0!</v>
      </c>
      <c r="D231" s="421"/>
      <c r="E231" s="421"/>
      <c r="F231" s="421"/>
      <c r="G231" s="421"/>
      <c r="H231" s="421"/>
      <c r="I231" s="421"/>
      <c r="J231" s="421"/>
      <c r="K231" s="408" t="s">
        <v>303</v>
      </c>
      <c r="L231" s="409"/>
    </row>
    <row r="232" spans="2:12" s="5" customFormat="1" hidden="1" x14ac:dyDescent="0.25"/>
    <row r="233" spans="2:12" s="5" customFormat="1" ht="15.75" hidden="1" x14ac:dyDescent="0.25">
      <c r="B233" s="63" t="s">
        <v>304</v>
      </c>
      <c r="C233" s="63" t="s">
        <v>253</v>
      </c>
      <c r="D233" s="64" t="str">
        <f>D16</f>
        <v>Milking Cows</v>
      </c>
      <c r="E233" s="64" t="str">
        <f>E16</f>
        <v xml:space="preserve">Heifers &gt;1 </v>
      </c>
      <c r="F233" s="64" t="str">
        <f>F16</f>
        <v xml:space="preserve">Heifers &lt;1 </v>
      </c>
      <c r="G233" s="64" t="str">
        <f>G16</f>
        <v>Mature bulls</v>
      </c>
      <c r="H233" s="64" t="str">
        <f>H16</f>
        <v>Immature bulls</v>
      </c>
      <c r="I233" s="1097" t="s">
        <v>1400</v>
      </c>
      <c r="J233" s="1097" t="s">
        <v>1401</v>
      </c>
      <c r="K233" s="64" t="s">
        <v>252</v>
      </c>
      <c r="L233" s="65" t="s">
        <v>267</v>
      </c>
    </row>
    <row r="234" spans="2:12" s="5" customFormat="1" ht="15.75" hidden="1" x14ac:dyDescent="0.25">
      <c r="B234" s="66"/>
      <c r="C234" s="66"/>
      <c r="D234" s="66"/>
      <c r="E234" s="66"/>
      <c r="F234" s="66"/>
      <c r="G234" s="66"/>
      <c r="H234" s="66"/>
      <c r="I234" s="66"/>
      <c r="J234" s="66"/>
      <c r="K234" s="66"/>
      <c r="L234" s="67"/>
    </row>
    <row r="235" spans="2:12" s="5" customFormat="1" ht="15.75" hidden="1" x14ac:dyDescent="0.25">
      <c r="B235" s="68" t="s">
        <v>305</v>
      </c>
      <c r="C235" s="66"/>
      <c r="D235" s="68" t="s">
        <v>306</v>
      </c>
      <c r="E235" s="69"/>
      <c r="F235" s="69"/>
      <c r="G235" s="70"/>
      <c r="H235" s="66"/>
      <c r="I235" s="66"/>
      <c r="J235" s="66"/>
      <c r="K235" s="66"/>
      <c r="L235" s="67" t="s">
        <v>1440</v>
      </c>
    </row>
    <row r="236" spans="2:12" s="5" customFormat="1" ht="15.75" hidden="1" x14ac:dyDescent="0.25">
      <c r="B236" s="66"/>
      <c r="C236" s="71" t="s">
        <v>472</v>
      </c>
      <c r="D236" s="1599" t="e">
        <f>D189*H36%</f>
        <v>#DIV/0!</v>
      </c>
      <c r="E236" s="1599">
        <f>E189*D39%</f>
        <v>0</v>
      </c>
      <c r="F236" s="1599">
        <f>F189*D39%</f>
        <v>0</v>
      </c>
      <c r="G236" s="1599">
        <f>G189*D39%</f>
        <v>0</v>
      </c>
      <c r="H236" s="1599">
        <f>H189*D39%</f>
        <v>0</v>
      </c>
      <c r="I236" s="72"/>
      <c r="J236" s="72"/>
      <c r="K236" s="66" t="s">
        <v>292</v>
      </c>
      <c r="L236" s="67"/>
    </row>
    <row r="237" spans="2:12" s="5" customFormat="1" ht="15.75" hidden="1" x14ac:dyDescent="0.25">
      <c r="B237" s="73"/>
      <c r="C237" s="73"/>
      <c r="D237" s="73"/>
      <c r="E237" s="73"/>
      <c r="F237" s="73"/>
      <c r="G237" s="74"/>
      <c r="H237" s="66"/>
      <c r="I237" s="66"/>
      <c r="J237" s="66"/>
      <c r="K237" s="66"/>
      <c r="L237" s="67"/>
    </row>
    <row r="238" spans="2:12" s="5" customFormat="1" ht="15.75" hidden="1" x14ac:dyDescent="0.25">
      <c r="B238" s="68" t="s">
        <v>308</v>
      </c>
      <c r="C238" s="69"/>
      <c r="D238" s="68" t="s">
        <v>309</v>
      </c>
      <c r="E238" s="69"/>
      <c r="F238" s="69"/>
      <c r="G238" s="70"/>
      <c r="H238" s="66"/>
      <c r="I238" s="66"/>
      <c r="J238" s="66"/>
      <c r="K238" s="66"/>
      <c r="L238" s="67" t="s">
        <v>1442</v>
      </c>
    </row>
    <row r="239" spans="2:12" s="5" customFormat="1" ht="15.75" hidden="1" x14ac:dyDescent="0.25">
      <c r="B239" s="69"/>
      <c r="C239" s="66"/>
      <c r="D239" s="66" t="s">
        <v>311</v>
      </c>
      <c r="E239" s="69"/>
      <c r="F239" s="69"/>
      <c r="G239" s="70"/>
      <c r="H239" s="66"/>
      <c r="I239" s="66"/>
      <c r="J239" s="66"/>
      <c r="K239" s="66"/>
      <c r="L239" s="67"/>
    </row>
    <row r="240" spans="2:12" s="5" customFormat="1" ht="15.75" hidden="1" x14ac:dyDescent="0.25">
      <c r="B240" s="66"/>
      <c r="C240" s="66"/>
      <c r="D240" s="66" t="s">
        <v>312</v>
      </c>
      <c r="E240" s="75"/>
      <c r="F240" s="75"/>
      <c r="G240" s="70"/>
      <c r="H240" s="66"/>
      <c r="I240" s="66"/>
      <c r="J240" s="66"/>
      <c r="K240" s="66"/>
      <c r="L240" s="67"/>
    </row>
    <row r="241" spans="2:12" s="5" customFormat="1" ht="15.75" hidden="1" x14ac:dyDescent="0.25">
      <c r="B241" s="66"/>
      <c r="C241" s="71" t="s">
        <v>472</v>
      </c>
      <c r="D241" s="1599" t="e">
        <f>(0.3*((D236*(1-((F36+10)/100))))+(0.105*((0.1604*F36-1.037)*D189*0.008))+(0.0152*D189))/6.25</f>
        <v>#DIV/0!</v>
      </c>
      <c r="E241" s="1599">
        <f>(0.3*((E236*(1-((D38+10)/100))))+(0.105*((0.1604*D38-1.037)*E189*0.008))+(0.0152*E189))/6.25</f>
        <v>3.2193644299200004E-3</v>
      </c>
      <c r="F241" s="1599">
        <f>(0.3*((F236*(1-((D38+10)/100))))+(0.105*((0.1604*D38-1.037)*F189*0.008))+(0.0152*F189))/6.25</f>
        <v>3.2193644299200004E-3</v>
      </c>
      <c r="G241" s="1599">
        <f>(0.3*((G236*(1-((D38+10)/100))))+(0.105*((0.1604*D38-1.037)*G189*0.008))+(0.0152*G189))/6.25</f>
        <v>3.2193644299200004E-3</v>
      </c>
      <c r="H241" s="1599">
        <f>(0.3*((H236*(1-((D38+10)/100))))+(0.105*((0.1604*D38-1.037)*H189*0.008))+(0.0152*H189))/6.25</f>
        <v>3.2193644299200004E-3</v>
      </c>
      <c r="I241" s="1997">
        <v>8.2000000000000007E-3</v>
      </c>
      <c r="J241" s="1997">
        <v>4.1999999999999997E-3</v>
      </c>
      <c r="K241" s="66" t="s">
        <v>292</v>
      </c>
      <c r="L241" s="67"/>
    </row>
    <row r="242" spans="2:12" s="5" customFormat="1" ht="15.75" hidden="1" x14ac:dyDescent="0.25">
      <c r="B242" s="66"/>
      <c r="C242" s="66"/>
      <c r="D242" s="66"/>
      <c r="E242" s="66"/>
      <c r="F242" s="66"/>
      <c r="G242" s="66"/>
      <c r="H242" s="66"/>
      <c r="I242" s="66"/>
      <c r="J242" s="66"/>
      <c r="K242" s="66"/>
      <c r="L242" s="67"/>
    </row>
    <row r="243" spans="2:12" s="5" customFormat="1" ht="17.25" hidden="1" x14ac:dyDescent="0.3">
      <c r="B243" s="68" t="s">
        <v>313</v>
      </c>
      <c r="C243" s="66"/>
      <c r="D243" s="76" t="s">
        <v>1562</v>
      </c>
      <c r="E243" s="77"/>
      <c r="F243" s="77"/>
      <c r="G243" s="77"/>
      <c r="H243" s="77"/>
      <c r="I243" s="77"/>
      <c r="J243" s="77"/>
      <c r="K243" s="66"/>
      <c r="L243" s="67" t="s">
        <v>1441</v>
      </c>
    </row>
    <row r="244" spans="2:12" s="5" customFormat="1" ht="16.5" hidden="1" thickBot="1" x14ac:dyDescent="0.3">
      <c r="B244" s="66"/>
      <c r="C244" s="66"/>
      <c r="D244" s="66"/>
      <c r="E244" s="66"/>
      <c r="F244" s="66"/>
      <c r="G244" s="66"/>
      <c r="H244" s="66"/>
      <c r="I244" s="66"/>
      <c r="J244" s="66"/>
      <c r="K244" s="66"/>
      <c r="L244" s="67"/>
    </row>
    <row r="245" spans="2:12" s="5" customFormat="1" ht="16.5" hidden="1" thickBot="1" x14ac:dyDescent="0.3">
      <c r="B245" s="78"/>
      <c r="C245" s="79" t="s">
        <v>897</v>
      </c>
      <c r="D245" s="80"/>
      <c r="E245" s="80"/>
      <c r="F245" s="80"/>
      <c r="G245" s="80"/>
      <c r="H245" s="81"/>
      <c r="I245" s="82"/>
      <c r="J245" s="82"/>
      <c r="K245" s="66"/>
      <c r="L245" s="67" t="s">
        <v>1443</v>
      </c>
    </row>
    <row r="246" spans="2:12" s="5" customFormat="1" ht="15.75" hidden="1" x14ac:dyDescent="0.25">
      <c r="B246" s="66"/>
      <c r="C246" s="79"/>
      <c r="D246" s="80" t="s">
        <v>249</v>
      </c>
      <c r="E246" s="80" t="s">
        <v>316</v>
      </c>
      <c r="F246" s="80" t="s">
        <v>317</v>
      </c>
      <c r="G246" s="80" t="s">
        <v>318</v>
      </c>
      <c r="H246" s="81" t="s">
        <v>319</v>
      </c>
      <c r="I246" s="82"/>
      <c r="J246" s="82"/>
      <c r="K246" s="66"/>
      <c r="L246" s="67"/>
    </row>
    <row r="247" spans="2:12" s="5" customFormat="1" ht="15.75" hidden="1" x14ac:dyDescent="0.25">
      <c r="B247" s="78">
        <v>1</v>
      </c>
      <c r="C247" s="621" t="s">
        <v>1008</v>
      </c>
      <c r="D247" s="82">
        <v>590</v>
      </c>
      <c r="E247" s="82">
        <v>590</v>
      </c>
      <c r="F247" s="82">
        <v>590</v>
      </c>
      <c r="G247" s="82">
        <v>770</v>
      </c>
      <c r="H247" s="83">
        <v>770</v>
      </c>
      <c r="I247" s="82"/>
      <c r="J247" s="82"/>
      <c r="K247" s="66"/>
      <c r="L247" s="67"/>
    </row>
    <row r="248" spans="2:12" s="5" customFormat="1" ht="15.75" hidden="1" x14ac:dyDescent="0.25">
      <c r="B248" s="78">
        <v>2</v>
      </c>
      <c r="C248" s="621" t="s">
        <v>1015</v>
      </c>
      <c r="D248" s="82">
        <v>590</v>
      </c>
      <c r="E248" s="82">
        <v>590</v>
      </c>
      <c r="F248" s="82">
        <v>590</v>
      </c>
      <c r="G248" s="82">
        <v>770</v>
      </c>
      <c r="H248" s="83">
        <v>770</v>
      </c>
      <c r="I248" s="82"/>
      <c r="J248" s="82"/>
      <c r="K248" s="66"/>
      <c r="L248" s="67"/>
    </row>
    <row r="249" spans="2:12" s="5" customFormat="1" ht="15.75" hidden="1" x14ac:dyDescent="0.25">
      <c r="B249" s="78">
        <v>3</v>
      </c>
      <c r="C249" s="621" t="s">
        <v>960</v>
      </c>
      <c r="D249" s="82">
        <v>590</v>
      </c>
      <c r="E249" s="82">
        <v>590</v>
      </c>
      <c r="F249" s="82">
        <v>590</v>
      </c>
      <c r="G249" s="82">
        <v>770</v>
      </c>
      <c r="H249" s="83">
        <v>770</v>
      </c>
      <c r="I249" s="82"/>
      <c r="J249" s="82"/>
      <c r="K249" s="78"/>
      <c r="L249" s="67"/>
    </row>
    <row r="250" spans="2:12" s="5" customFormat="1" ht="15.75" hidden="1" x14ac:dyDescent="0.25">
      <c r="B250" s="78">
        <v>4</v>
      </c>
      <c r="C250" s="621" t="s">
        <v>1010</v>
      </c>
      <c r="D250" s="82">
        <v>590</v>
      </c>
      <c r="E250" s="82">
        <v>590</v>
      </c>
      <c r="F250" s="82">
        <v>590</v>
      </c>
      <c r="G250" s="82">
        <v>770</v>
      </c>
      <c r="H250" s="83">
        <v>770</v>
      </c>
      <c r="I250" s="82"/>
      <c r="J250" s="82"/>
      <c r="K250" s="66"/>
      <c r="L250" s="67"/>
    </row>
    <row r="251" spans="2:12" s="5" customFormat="1" ht="15.75" hidden="1" x14ac:dyDescent="0.25">
      <c r="B251" s="78">
        <v>5</v>
      </c>
      <c r="C251" s="621" t="s">
        <v>1016</v>
      </c>
      <c r="D251" s="82">
        <v>590</v>
      </c>
      <c r="E251" s="82">
        <v>590</v>
      </c>
      <c r="F251" s="82">
        <v>590</v>
      </c>
      <c r="G251" s="82">
        <v>770</v>
      </c>
      <c r="H251" s="83">
        <v>770</v>
      </c>
      <c r="I251" s="82"/>
      <c r="J251" s="82"/>
      <c r="K251" s="66"/>
      <c r="L251" s="67"/>
    </row>
    <row r="252" spans="2:12" s="5" customFormat="1" ht="15.75" hidden="1" x14ac:dyDescent="0.25">
      <c r="B252" s="78">
        <v>6</v>
      </c>
      <c r="C252" s="622" t="s">
        <v>1017</v>
      </c>
      <c r="D252" s="82">
        <v>590</v>
      </c>
      <c r="E252" s="82">
        <v>590</v>
      </c>
      <c r="F252" s="82">
        <v>590</v>
      </c>
      <c r="G252" s="82">
        <v>770</v>
      </c>
      <c r="H252" s="83">
        <v>770</v>
      </c>
      <c r="I252" s="82"/>
      <c r="J252" s="82"/>
      <c r="K252" s="66"/>
      <c r="L252" s="67"/>
    </row>
    <row r="253" spans="2:12" s="5" customFormat="1" ht="16.5" hidden="1" thickBot="1" x14ac:dyDescent="0.3">
      <c r="B253" s="78">
        <v>7</v>
      </c>
      <c r="C253" s="623" t="s">
        <v>1018</v>
      </c>
      <c r="D253" s="82">
        <v>590</v>
      </c>
      <c r="E253" s="82">
        <v>590</v>
      </c>
      <c r="F253" s="82">
        <v>590</v>
      </c>
      <c r="G253" s="82">
        <v>770</v>
      </c>
      <c r="H253" s="83">
        <v>770</v>
      </c>
      <c r="I253" s="82"/>
      <c r="J253" s="82"/>
      <c r="K253" s="66"/>
      <c r="L253" s="67"/>
    </row>
    <row r="254" spans="2:12" s="5" customFormat="1" ht="16.5" hidden="1" thickBot="1" x14ac:dyDescent="0.3">
      <c r="B254" s="71" t="s">
        <v>265</v>
      </c>
      <c r="C254" s="84" t="e">
        <f>VLOOKUP($D$14,$C$247:$H$253,1,FALSE)</f>
        <v>#N/A</v>
      </c>
      <c r="D254" s="85" t="e">
        <f>VLOOKUP($C$178,$C$247:$H$253,2,FALSE)</f>
        <v>#N/A</v>
      </c>
      <c r="E254" s="85" t="e">
        <f>VLOOKUP($C$178,$C$247:$H$253,3,FALSE)</f>
        <v>#N/A</v>
      </c>
      <c r="F254" s="85" t="e">
        <f>VLOOKUP($C$178,$C$247:$H$253,4,FALSE)</f>
        <v>#N/A</v>
      </c>
      <c r="G254" s="85" t="e">
        <f>VLOOKUP($C$178,$C$247:$H$253,5,FALSE)</f>
        <v>#N/A</v>
      </c>
      <c r="H254" s="1996" t="e">
        <f>VLOOKUP($C$178,$C$247:$H$253,6,FALSE)</f>
        <v>#N/A</v>
      </c>
      <c r="I254" s="89"/>
      <c r="J254" s="89"/>
      <c r="K254" s="66"/>
      <c r="L254" s="67"/>
    </row>
    <row r="255" spans="2:12" s="5" customFormat="1" ht="16.5" hidden="1" thickBot="1" x14ac:dyDescent="0.3">
      <c r="B255" s="66"/>
      <c r="C255" s="84" t="s">
        <v>337</v>
      </c>
      <c r="D255" s="86" t="e">
        <f>IF(D254&gt;0,D19/D254,0)</f>
        <v>#N/A</v>
      </c>
      <c r="E255" s="86" t="e">
        <f>IF(E254&gt;0,E19/E254,0)</f>
        <v>#N/A</v>
      </c>
      <c r="F255" s="86" t="e">
        <f>IF(F254&gt;0,F19/F254,0)</f>
        <v>#N/A</v>
      </c>
      <c r="G255" s="86" t="e">
        <f>IF(G254&gt;0,G19/G254,0)</f>
        <v>#N/A</v>
      </c>
      <c r="H255" s="87" t="e">
        <f>IF(H254&gt;0,H19/H254,0)</f>
        <v>#N/A</v>
      </c>
      <c r="I255" s="88"/>
      <c r="J255" s="88"/>
      <c r="K255" s="78"/>
      <c r="L255" s="67"/>
    </row>
    <row r="256" spans="2:12" s="5" customFormat="1" ht="15.75" hidden="1" x14ac:dyDescent="0.25">
      <c r="B256" s="68" t="s">
        <v>1428</v>
      </c>
      <c r="C256" s="66"/>
      <c r="D256" s="1599" t="e">
        <f>D189/(1.185+(0.00454*D19)-(0.0000026*(D19)^2)+((0.315*0)))^2</f>
        <v>#DIV/0!</v>
      </c>
      <c r="E256" s="1599">
        <f>E189/(1.185+(0.00454*E19)-(0.0000026*(E19)^2)+((0.315*0)))^2</f>
        <v>1</v>
      </c>
      <c r="F256" s="1599">
        <f>F189/(1.185+(0.00454*F19)-(0.0000026*(F19)^2)+((0.315*0)))^2</f>
        <v>1</v>
      </c>
      <c r="G256" s="1599">
        <f>G189/(1.185+(0.00454*G19)-(0.0000026*(G19)^2)+((0.315*0)))^2</f>
        <v>1</v>
      </c>
      <c r="H256" s="1599">
        <f>H189/(1.185+(0.00454*H19)-(0.0000026*(H19)^2)+((0.315*0)))^2</f>
        <v>1</v>
      </c>
      <c r="I256" s="66"/>
      <c r="J256" s="66"/>
      <c r="K256" s="66"/>
      <c r="L256" s="67"/>
    </row>
    <row r="257" spans="2:12" s="5" customFormat="1" ht="15.75" hidden="1" x14ac:dyDescent="0.25">
      <c r="B257" s="66"/>
      <c r="C257" s="71" t="s">
        <v>472</v>
      </c>
      <c r="D257" s="1180" t="e">
        <f>((0.032*(H28*1.03*D28/365)/6.38)+((0.212-0.008*(D256-2)-((0.14-0.008*(D256-2))/(1+EXP(-6*(D$255-0.4)))))*(D21*0.92))/6.25)</f>
        <v>#DIV/0!</v>
      </c>
      <c r="E257" s="1180" t="e">
        <f>((0.032*0)+((0.212-0.008*(E256-2)-((0.14-0.008*(E256-2))/(1+EXP(-6*(E$255-0.4)))))*(E21*0.92))/6.25)</f>
        <v>#N/A</v>
      </c>
      <c r="F257" s="1180" t="e">
        <f>((0.032*0)+((0.212-0.008*(F256-2)-((0.14-0.008*(F256-2))/(1+EXP(-6*(F$255-0.4)))))*(F21*0.92))/6.25)</f>
        <v>#N/A</v>
      </c>
      <c r="G257" s="1180" t="e">
        <f>((0.032*0)+((0.212-0.008*(G256-2)-((0.14-0.008*(G256-2))/(1+EXP(-6*(G$255-0.4)))))*(G21*0.92))/6.25)</f>
        <v>#N/A</v>
      </c>
      <c r="H257" s="1180" t="e">
        <f>((0.032*0)+((0.212-0.008*(H256-2)-((0.14-0.008*(H256-2))/(1+EXP(-6*(H$255-0.4)))))*(H21*0.92))/6.25)</f>
        <v>#N/A</v>
      </c>
      <c r="I257" s="88"/>
      <c r="J257" s="88"/>
      <c r="K257" s="78" t="s">
        <v>320</v>
      </c>
      <c r="L257" s="67"/>
    </row>
    <row r="258" spans="2:12" s="5" customFormat="1" ht="15.75" hidden="1" x14ac:dyDescent="0.25">
      <c r="B258" s="66"/>
      <c r="C258" s="89"/>
      <c r="D258" s="88"/>
      <c r="E258" s="88"/>
      <c r="F258" s="88"/>
      <c r="G258" s="88"/>
      <c r="H258" s="88"/>
      <c r="I258" s="88"/>
      <c r="J258" s="88"/>
      <c r="K258" s="78"/>
      <c r="L258" s="67"/>
    </row>
    <row r="259" spans="2:12" s="5" customFormat="1" ht="18.75" hidden="1" x14ac:dyDescent="0.25">
      <c r="B259" s="68" t="s">
        <v>321</v>
      </c>
      <c r="C259" s="66"/>
      <c r="D259" s="90" t="s">
        <v>322</v>
      </c>
      <c r="E259" s="88"/>
      <c r="F259" s="88"/>
      <c r="G259" s="88"/>
      <c r="H259" s="66"/>
      <c r="I259" s="66"/>
      <c r="J259" s="66"/>
      <c r="K259" s="78"/>
      <c r="L259" s="67" t="s">
        <v>1444</v>
      </c>
    </row>
    <row r="260" spans="2:12" s="5" customFormat="1" ht="15.75" hidden="1" x14ac:dyDescent="0.25">
      <c r="B260" s="66"/>
      <c r="C260" s="71" t="s">
        <v>472</v>
      </c>
      <c r="D260" s="1180" t="e">
        <f>(D236/6.25)-D257-D241-((1.1*10^-4*D19^0.75)/6.25)</f>
        <v>#DIV/0!</v>
      </c>
      <c r="E260" s="1180" t="e">
        <f>(E236/6.25)-E257-E241-((1.1*10^-4*E19^0.75)/6.25)</f>
        <v>#N/A</v>
      </c>
      <c r="F260" s="1180" t="e">
        <f>(F236/6.25)-F257-F241-((1.1*10^-4*F19^0.75)/6.25)</f>
        <v>#N/A</v>
      </c>
      <c r="G260" s="1180" t="e">
        <f>(G236/6.25)-G257-G241-((1.1*10^-4*G19^0.75)/6.25)</f>
        <v>#N/A</v>
      </c>
      <c r="H260" s="1180" t="e">
        <f>(H236/6.25)-H257-H241-((1.1*10^-4*H19^0.75)/6.25)</f>
        <v>#N/A</v>
      </c>
      <c r="I260" s="1180">
        <v>5.4999999999999997E-3</v>
      </c>
      <c r="J260" s="1180">
        <v>5.0000000000000001E-3</v>
      </c>
      <c r="K260" s="78" t="s">
        <v>320</v>
      </c>
      <c r="L260" s="67"/>
    </row>
    <row r="261" spans="2:12" s="5" customFormat="1" ht="15.75" hidden="1" x14ac:dyDescent="0.25">
      <c r="B261" s="66"/>
      <c r="C261" s="66"/>
      <c r="D261" s="66"/>
      <c r="E261" s="66"/>
      <c r="F261" s="66"/>
      <c r="G261" s="66"/>
      <c r="H261" s="66"/>
      <c r="I261" s="66"/>
      <c r="J261" s="66"/>
      <c r="K261" s="78"/>
      <c r="L261" s="67"/>
    </row>
    <row r="262" spans="2:12" s="5" customFormat="1" ht="15.75" hidden="1" x14ac:dyDescent="0.25">
      <c r="B262" s="68" t="s">
        <v>482</v>
      </c>
      <c r="C262" s="66"/>
      <c r="D262" s="68" t="s">
        <v>1434</v>
      </c>
      <c r="E262" s="66"/>
      <c r="F262" s="66"/>
      <c r="G262" s="66"/>
      <c r="H262" s="66"/>
      <c r="I262" s="66"/>
      <c r="J262" s="66"/>
      <c r="K262" s="78"/>
      <c r="L262" s="67" t="s">
        <v>1445</v>
      </c>
    </row>
    <row r="263" spans="2:12" s="5" customFormat="1" ht="15.75" hidden="1" x14ac:dyDescent="0.25">
      <c r="B263" s="66"/>
      <c r="C263" s="66"/>
      <c r="D263" s="66"/>
      <c r="E263" s="66"/>
      <c r="F263" s="66"/>
      <c r="G263" s="66"/>
      <c r="H263" s="66"/>
      <c r="I263" s="66"/>
      <c r="J263" s="66"/>
      <c r="K263" s="66"/>
      <c r="L263" s="67"/>
    </row>
    <row r="264" spans="2:12" s="5" customFormat="1" ht="15.75" hidden="1" x14ac:dyDescent="0.25">
      <c r="B264" s="66"/>
      <c r="C264" s="71" t="s">
        <v>472</v>
      </c>
      <c r="D264" s="1599" t="e">
        <f>(365*D17*D241)*10^-6</f>
        <v>#DIV/0!</v>
      </c>
      <c r="E264" s="1599">
        <f>(365*E17*E241)*10^-6</f>
        <v>0</v>
      </c>
      <c r="F264" s="1599">
        <f>(281*F17*F241)*10^-6</f>
        <v>0</v>
      </c>
      <c r="G264" s="1599">
        <f>(365*G17*G241)*10^-6</f>
        <v>0</v>
      </c>
      <c r="H264" s="1599">
        <f>(281*H17*H241)*10^-6</f>
        <v>0</v>
      </c>
      <c r="I264" s="1599">
        <f>(84*F17*I241)*10^-6</f>
        <v>0</v>
      </c>
      <c r="J264" s="1599">
        <f>(84*H17*J241)*10^-6</f>
        <v>0</v>
      </c>
      <c r="K264" s="66" t="s">
        <v>476</v>
      </c>
      <c r="L264" s="67"/>
    </row>
    <row r="265" spans="2:12" s="5" customFormat="1" ht="15.75" hidden="1" x14ac:dyDescent="0.25">
      <c r="B265" s="66"/>
      <c r="C265" s="66"/>
      <c r="D265" s="1488"/>
      <c r="E265" s="66"/>
      <c r="F265" s="1488"/>
      <c r="G265" s="1488"/>
      <c r="H265" s="1488"/>
      <c r="I265" s="66"/>
      <c r="J265" s="66"/>
      <c r="K265" s="66"/>
      <c r="L265" s="67"/>
    </row>
    <row r="266" spans="2:12" s="5" customFormat="1" ht="15.75" hidden="1" x14ac:dyDescent="0.25">
      <c r="B266" s="68" t="s">
        <v>483</v>
      </c>
      <c r="C266" s="66"/>
      <c r="D266" s="68" t="s">
        <v>1435</v>
      </c>
      <c r="E266" s="66"/>
      <c r="F266" s="66"/>
      <c r="G266" s="66"/>
      <c r="H266" s="66"/>
      <c r="I266" s="66"/>
      <c r="J266" s="66"/>
      <c r="K266" s="66"/>
      <c r="L266" s="67" t="s">
        <v>1446</v>
      </c>
    </row>
    <row r="267" spans="2:12" s="5" customFormat="1" ht="15.75" hidden="1" x14ac:dyDescent="0.25">
      <c r="B267" s="66"/>
      <c r="C267" s="66"/>
      <c r="D267" s="66"/>
      <c r="E267" s="66"/>
      <c r="F267" s="66"/>
      <c r="G267" s="66"/>
      <c r="H267" s="66"/>
      <c r="I267" s="66"/>
      <c r="J267" s="66"/>
      <c r="K267" s="66"/>
      <c r="L267" s="67"/>
    </row>
    <row r="268" spans="2:12" s="5" customFormat="1" ht="15.75" hidden="1" x14ac:dyDescent="0.25">
      <c r="B268" s="66"/>
      <c r="C268" s="71" t="s">
        <v>472</v>
      </c>
      <c r="D268" s="1180" t="e">
        <f>(365*D17*D260)*10^-6</f>
        <v>#DIV/0!</v>
      </c>
      <c r="E268" s="1180" t="e">
        <f>(365*E17*E260)*10^-6</f>
        <v>#N/A</v>
      </c>
      <c r="F268" s="1180" t="e">
        <f>(281*F17*F260)*10^-6</f>
        <v>#N/A</v>
      </c>
      <c r="G268" s="1180" t="e">
        <f>(365*G17*G260)*10^-6</f>
        <v>#N/A</v>
      </c>
      <c r="H268" s="1180" t="e">
        <f>(281*H17*H260)*10^-6</f>
        <v>#N/A</v>
      </c>
      <c r="I268" s="1180">
        <f>(84*F17*I260)*10^-6</f>
        <v>0</v>
      </c>
      <c r="J268" s="1180">
        <f>(84*H17*J260)*10^-6</f>
        <v>0</v>
      </c>
      <c r="K268" s="66" t="s">
        <v>476</v>
      </c>
      <c r="L268" s="67"/>
    </row>
    <row r="269" spans="2:12" s="5" customFormat="1" ht="15.75" hidden="1" x14ac:dyDescent="0.25">
      <c r="B269" s="66"/>
      <c r="C269" s="66"/>
      <c r="D269" s="1488"/>
      <c r="E269" s="66"/>
      <c r="F269" s="1488"/>
      <c r="G269" s="66"/>
      <c r="H269" s="1488"/>
      <c r="I269" s="66"/>
      <c r="J269" s="66"/>
      <c r="K269" s="66"/>
      <c r="L269" s="67"/>
    </row>
    <row r="270" spans="2:12" s="5" customFormat="1" ht="17.25" hidden="1" x14ac:dyDescent="0.3">
      <c r="B270" s="68" t="s">
        <v>1448</v>
      </c>
      <c r="C270" s="66"/>
      <c r="D270" s="68" t="s">
        <v>1531</v>
      </c>
      <c r="E270" s="66"/>
      <c r="F270" s="66"/>
      <c r="G270" s="66"/>
      <c r="H270" s="66"/>
      <c r="I270" s="66"/>
      <c r="J270" s="66"/>
      <c r="K270" s="66"/>
      <c r="L270" s="67"/>
    </row>
    <row r="271" spans="2:12" s="5" customFormat="1" ht="15.75" hidden="1" x14ac:dyDescent="0.25">
      <c r="B271" s="66"/>
      <c r="C271" s="66"/>
      <c r="D271" s="1492"/>
      <c r="E271" s="91"/>
      <c r="F271" s="91"/>
      <c r="G271" s="91"/>
      <c r="H271" s="91"/>
      <c r="I271" s="91"/>
      <c r="J271" s="91"/>
      <c r="K271" s="78"/>
      <c r="L271" s="67"/>
    </row>
    <row r="272" spans="2:12" s="5" customFormat="1" ht="15.75" hidden="1" x14ac:dyDescent="0.25">
      <c r="B272" s="66" t="s">
        <v>1530</v>
      </c>
      <c r="C272" s="71" t="s">
        <v>472</v>
      </c>
      <c r="D272" s="1180" t="e">
        <f>(D264+D268)</f>
        <v>#DIV/0!</v>
      </c>
      <c r="E272" s="1180" t="e">
        <f t="shared" ref="E272:J272" si="4">(E264+E268)</f>
        <v>#N/A</v>
      </c>
      <c r="F272" s="1180" t="e">
        <f t="shared" si="4"/>
        <v>#N/A</v>
      </c>
      <c r="G272" s="1180" t="e">
        <f t="shared" si="4"/>
        <v>#N/A</v>
      </c>
      <c r="H272" s="1180" t="e">
        <f t="shared" si="4"/>
        <v>#N/A</v>
      </c>
      <c r="I272" s="1180">
        <f t="shared" si="4"/>
        <v>0</v>
      </c>
      <c r="J272" s="1180">
        <f t="shared" si="4"/>
        <v>0</v>
      </c>
      <c r="K272" s="66" t="s">
        <v>476</v>
      </c>
      <c r="L272" s="67"/>
    </row>
    <row r="273" spans="2:12" s="5" customFormat="1" ht="15.75" hidden="1" x14ac:dyDescent="0.25">
      <c r="B273" s="66"/>
      <c r="C273" s="71"/>
      <c r="D273" s="1492"/>
      <c r="E273" s="1387"/>
      <c r="F273" s="1387"/>
      <c r="G273" s="1387"/>
      <c r="H273" s="1387"/>
      <c r="I273" s="1387"/>
      <c r="J273" s="1387"/>
      <c r="K273" s="66"/>
      <c r="L273" s="67"/>
    </row>
    <row r="274" spans="2:12" s="5" customFormat="1" ht="17.25" hidden="1" x14ac:dyDescent="0.3">
      <c r="B274" s="94" t="s">
        <v>332</v>
      </c>
      <c r="C274" s="66"/>
      <c r="D274" s="1443" t="s">
        <v>1531</v>
      </c>
      <c r="E274" s="66"/>
      <c r="F274" s="66"/>
      <c r="G274" s="66"/>
      <c r="H274" s="66"/>
      <c r="I274" s="66"/>
      <c r="J274" s="66"/>
      <c r="K274" s="94" t="s">
        <v>333</v>
      </c>
      <c r="L274" s="67"/>
    </row>
    <row r="275" spans="2:12" s="5" customFormat="1" ht="15.75" hidden="1" x14ac:dyDescent="0.25">
      <c r="B275" s="1192" t="s">
        <v>1462</v>
      </c>
      <c r="C275" s="71" t="s">
        <v>472</v>
      </c>
      <c r="D275" s="1599" t="e">
        <f>D272*$C$73%</f>
        <v>#DIV/0!</v>
      </c>
      <c r="E275" s="1599" t="e">
        <f t="shared" ref="E275:J275" si="5">E272*$C$74%</f>
        <v>#N/A</v>
      </c>
      <c r="F275" s="1599" t="e">
        <f t="shared" si="5"/>
        <v>#N/A</v>
      </c>
      <c r="G275" s="1599" t="e">
        <f t="shared" si="5"/>
        <v>#N/A</v>
      </c>
      <c r="H275" s="1599" t="e">
        <f t="shared" si="5"/>
        <v>#N/A</v>
      </c>
      <c r="I275" s="1599">
        <f t="shared" si="5"/>
        <v>0</v>
      </c>
      <c r="J275" s="1599">
        <f t="shared" si="5"/>
        <v>0</v>
      </c>
      <c r="K275" s="89">
        <v>0</v>
      </c>
      <c r="L275" s="67"/>
    </row>
    <row r="276" spans="2:12" s="5" customFormat="1" ht="15.75" hidden="1" x14ac:dyDescent="0.25">
      <c r="B276" s="1191"/>
      <c r="C276" s="66"/>
      <c r="D276" s="1599"/>
      <c r="E276" s="1599"/>
      <c r="F276" s="1599"/>
      <c r="G276" s="1599"/>
      <c r="H276" s="1599"/>
      <c r="I276" s="1599"/>
      <c r="J276" s="1599"/>
      <c r="K276" s="66"/>
      <c r="L276" s="67"/>
    </row>
    <row r="277" spans="2:12" s="5" customFormat="1" ht="15.75" hidden="1" x14ac:dyDescent="0.25">
      <c r="B277" s="1192" t="s">
        <v>1461</v>
      </c>
      <c r="C277" s="71" t="s">
        <v>472</v>
      </c>
      <c r="D277" s="1599" t="e">
        <f>D272*$D$73%</f>
        <v>#DIV/0!</v>
      </c>
      <c r="E277" s="1599" t="e">
        <f t="shared" ref="E277:J277" si="6">E272*$D$74%</f>
        <v>#N/A</v>
      </c>
      <c r="F277" s="1599" t="e">
        <f t="shared" si="6"/>
        <v>#N/A</v>
      </c>
      <c r="G277" s="1599" t="e">
        <f t="shared" si="6"/>
        <v>#N/A</v>
      </c>
      <c r="H277" s="1599" t="e">
        <f t="shared" si="6"/>
        <v>#N/A</v>
      </c>
      <c r="I277" s="1599">
        <f t="shared" si="6"/>
        <v>0</v>
      </c>
      <c r="J277" s="1599">
        <f t="shared" si="6"/>
        <v>0</v>
      </c>
      <c r="K277" s="89">
        <v>0</v>
      </c>
      <c r="L277" s="67"/>
    </row>
    <row r="278" spans="2:12" s="5" customFormat="1" ht="15.75" hidden="1" x14ac:dyDescent="0.25">
      <c r="B278" s="1191"/>
      <c r="C278" s="66"/>
      <c r="D278" s="1599"/>
      <c r="E278" s="1599"/>
      <c r="F278" s="1599"/>
      <c r="G278" s="1599"/>
      <c r="H278" s="1599"/>
      <c r="I278" s="1599"/>
      <c r="J278" s="1599"/>
      <c r="K278" s="66"/>
      <c r="L278" s="67"/>
    </row>
    <row r="279" spans="2:12" s="5" customFormat="1" ht="15.75" hidden="1" x14ac:dyDescent="0.25">
      <c r="B279" s="1192" t="s">
        <v>1463</v>
      </c>
      <c r="C279" s="71" t="s">
        <v>472</v>
      </c>
      <c r="D279" s="1599" t="e">
        <f>D272*$E$73%</f>
        <v>#DIV/0!</v>
      </c>
      <c r="E279" s="1599" t="e">
        <f t="shared" ref="E279:J279" si="7">E272*$E$74%</f>
        <v>#N/A</v>
      </c>
      <c r="F279" s="1599" t="e">
        <f t="shared" si="7"/>
        <v>#N/A</v>
      </c>
      <c r="G279" s="1599" t="e">
        <f t="shared" si="7"/>
        <v>#N/A</v>
      </c>
      <c r="H279" s="1599" t="e">
        <f t="shared" si="7"/>
        <v>#N/A</v>
      </c>
      <c r="I279" s="1599">
        <f t="shared" si="7"/>
        <v>0</v>
      </c>
      <c r="J279" s="1599">
        <f t="shared" si="7"/>
        <v>0</v>
      </c>
      <c r="K279" s="89">
        <v>0</v>
      </c>
      <c r="L279" s="67"/>
    </row>
    <row r="280" spans="2:12" s="5" customFormat="1" ht="15.75" hidden="1" x14ac:dyDescent="0.25">
      <c r="B280" s="1191"/>
      <c r="C280" s="71"/>
      <c r="D280" s="1599"/>
      <c r="E280" s="1599"/>
      <c r="F280" s="1599"/>
      <c r="G280" s="1599"/>
      <c r="H280" s="1599"/>
      <c r="I280" s="1599"/>
      <c r="J280" s="1599"/>
      <c r="K280" s="66"/>
      <c r="L280" s="67"/>
    </row>
    <row r="281" spans="2:12" s="5" customFormat="1" ht="15.75" hidden="1" x14ac:dyDescent="0.25">
      <c r="B281" s="1192" t="s">
        <v>1464</v>
      </c>
      <c r="C281" s="71" t="s">
        <v>472</v>
      </c>
      <c r="D281" s="1599" t="e">
        <f>D272*$F$73%</f>
        <v>#DIV/0!</v>
      </c>
      <c r="E281" s="1599" t="e">
        <f t="shared" ref="E281:J281" si="8">E272*$F$74%</f>
        <v>#N/A</v>
      </c>
      <c r="F281" s="1599" t="e">
        <f t="shared" si="8"/>
        <v>#N/A</v>
      </c>
      <c r="G281" s="1599" t="e">
        <f t="shared" si="8"/>
        <v>#N/A</v>
      </c>
      <c r="H281" s="1599" t="e">
        <f t="shared" si="8"/>
        <v>#N/A</v>
      </c>
      <c r="I281" s="1599">
        <f t="shared" si="8"/>
        <v>0</v>
      </c>
      <c r="J281" s="1599">
        <f t="shared" si="8"/>
        <v>0</v>
      </c>
      <c r="K281" s="71">
        <v>5.0000000000000001E-3</v>
      </c>
      <c r="L281" s="67"/>
    </row>
    <row r="282" spans="2:12" s="5" customFormat="1" ht="15.75" hidden="1" x14ac:dyDescent="0.25">
      <c r="B282" s="1191"/>
      <c r="C282" s="71"/>
      <c r="D282" s="1599"/>
      <c r="E282" s="1599"/>
      <c r="F282" s="1599"/>
      <c r="G282" s="1599"/>
      <c r="H282" s="1599"/>
      <c r="I282" s="1599"/>
      <c r="J282" s="1599"/>
      <c r="K282" s="66"/>
      <c r="L282" s="67"/>
    </row>
    <row r="283" spans="2:12" s="5" customFormat="1" ht="15.75" hidden="1" x14ac:dyDescent="0.25">
      <c r="B283" s="1192" t="s">
        <v>1465</v>
      </c>
      <c r="C283" s="71" t="s">
        <v>472</v>
      </c>
      <c r="D283" s="1599" t="e">
        <f>D272*$G$73%</f>
        <v>#DIV/0!</v>
      </c>
      <c r="E283" s="1599" t="e">
        <f t="shared" ref="E283:J283" si="9">E272*$G$74%</f>
        <v>#N/A</v>
      </c>
      <c r="F283" s="1599" t="e">
        <f t="shared" si="9"/>
        <v>#N/A</v>
      </c>
      <c r="G283" s="1599" t="e">
        <f t="shared" si="9"/>
        <v>#N/A</v>
      </c>
      <c r="H283" s="1599" t="e">
        <f t="shared" si="9"/>
        <v>#N/A</v>
      </c>
      <c r="I283" s="1599">
        <f t="shared" si="9"/>
        <v>0</v>
      </c>
      <c r="J283" s="1599">
        <f t="shared" si="9"/>
        <v>0</v>
      </c>
      <c r="K283" s="89">
        <v>0</v>
      </c>
      <c r="L283" s="67"/>
    </row>
    <row r="284" spans="2:12" s="5" customFormat="1" ht="15.75" hidden="1" x14ac:dyDescent="0.25">
      <c r="B284" s="66"/>
      <c r="C284" s="66"/>
      <c r="D284" s="1599"/>
      <c r="E284" s="1599"/>
      <c r="F284" s="1599"/>
      <c r="G284" s="1599"/>
      <c r="H284" s="1599"/>
      <c r="I284" s="1599"/>
      <c r="J284" s="1599"/>
      <c r="K284" s="66"/>
      <c r="L284" s="67"/>
    </row>
    <row r="285" spans="2:12" s="5" customFormat="1" ht="17.25" hidden="1" x14ac:dyDescent="0.3">
      <c r="B285" s="68" t="s">
        <v>1450</v>
      </c>
      <c r="C285" s="71" t="s">
        <v>472</v>
      </c>
      <c r="D285" s="1599" t="e">
        <f>SUM(D275,D277,D279,D281,D283)</f>
        <v>#DIV/0!</v>
      </c>
      <c r="E285" s="1599" t="e">
        <f t="shared" ref="E285:H285" si="10">SUM(E275,E277,E279,E281,E283)</f>
        <v>#N/A</v>
      </c>
      <c r="F285" s="1599" t="e">
        <f t="shared" si="10"/>
        <v>#N/A</v>
      </c>
      <c r="G285" s="1599" t="e">
        <f t="shared" si="10"/>
        <v>#N/A</v>
      </c>
      <c r="H285" s="1599" t="e">
        <f t="shared" si="10"/>
        <v>#N/A</v>
      </c>
      <c r="I285" s="1599">
        <f t="shared" ref="I285:J285" si="11">SUM(I275,I277,I279,I281,I283)</f>
        <v>0</v>
      </c>
      <c r="J285" s="1599">
        <f t="shared" si="11"/>
        <v>0</v>
      </c>
      <c r="K285" s="66" t="s">
        <v>476</v>
      </c>
      <c r="L285" s="67" t="s">
        <v>1451</v>
      </c>
    </row>
    <row r="286" spans="2:12" s="5" customFormat="1" ht="15.75" hidden="1" x14ac:dyDescent="0.25">
      <c r="B286" s="66"/>
      <c r="C286" s="66"/>
      <c r="D286" s="66"/>
      <c r="E286" s="66"/>
      <c r="F286" s="66"/>
      <c r="G286" s="66"/>
      <c r="H286" s="66"/>
      <c r="I286" s="1286"/>
      <c r="J286" s="1286"/>
      <c r="K286" s="66"/>
      <c r="L286" s="67"/>
    </row>
    <row r="287" spans="2:12" s="5" customFormat="1" ht="17.25" hidden="1" x14ac:dyDescent="0.3">
      <c r="B287" s="68" t="s">
        <v>1480</v>
      </c>
      <c r="C287" s="71" t="s">
        <v>472</v>
      </c>
      <c r="D287" s="1599" t="e">
        <f>((D275*$K$275)+(D277*$K$277)+(D279*$K$279)+(D281*$K$281))*44/28</f>
        <v>#DIV/0!</v>
      </c>
      <c r="E287" s="1599" t="e">
        <f t="shared" ref="E287:J287" si="12">((E275*$K$275)+(E277*$K$277)+(E279*$K$279)+(E281*$K$281))*44/28</f>
        <v>#N/A</v>
      </c>
      <c r="F287" s="1599" t="e">
        <f t="shared" si="12"/>
        <v>#N/A</v>
      </c>
      <c r="G287" s="1599" t="e">
        <f t="shared" si="12"/>
        <v>#N/A</v>
      </c>
      <c r="H287" s="1599" t="e">
        <f t="shared" si="12"/>
        <v>#N/A</v>
      </c>
      <c r="I287" s="1599">
        <f t="shared" si="12"/>
        <v>0</v>
      </c>
      <c r="J287" s="1599">
        <f t="shared" si="12"/>
        <v>0</v>
      </c>
      <c r="K287" s="66" t="s">
        <v>1452</v>
      </c>
      <c r="L287" s="67" t="s">
        <v>1447</v>
      </c>
    </row>
    <row r="288" spans="2:12" s="5" customFormat="1" ht="15.75" hidden="1" x14ac:dyDescent="0.25">
      <c r="B288" s="66"/>
      <c r="C288" s="71"/>
      <c r="D288" s="1569"/>
      <c r="E288" s="66"/>
      <c r="F288" s="66"/>
      <c r="G288" s="66"/>
      <c r="H288" s="66"/>
      <c r="I288" s="66"/>
      <c r="J288" s="66"/>
      <c r="K288" s="66"/>
      <c r="L288" s="67"/>
    </row>
    <row r="289" spans="2:12" s="5" customFormat="1" ht="15.75" hidden="1" x14ac:dyDescent="0.25">
      <c r="B289" s="68" t="s">
        <v>1437</v>
      </c>
      <c r="C289" s="71"/>
      <c r="D289" s="68" t="s">
        <v>1438</v>
      </c>
      <c r="E289" s="66"/>
      <c r="F289" s="66"/>
      <c r="G289" s="66"/>
      <c r="H289" s="66"/>
      <c r="I289" s="66"/>
      <c r="J289" s="66"/>
      <c r="K289" s="1443" t="s">
        <v>1453</v>
      </c>
      <c r="L289" s="67"/>
    </row>
    <row r="290" spans="2:12" s="5" customFormat="1" ht="15.75" hidden="1" x14ac:dyDescent="0.25">
      <c r="B290" s="89"/>
      <c r="C290" s="71"/>
      <c r="D290" s="66"/>
      <c r="E290" s="66"/>
      <c r="F290" s="66"/>
      <c r="G290" s="66"/>
      <c r="H290" s="66"/>
      <c r="I290" s="66"/>
      <c r="J290" s="66"/>
      <c r="K290" s="68"/>
      <c r="L290" s="67" t="s">
        <v>1454</v>
      </c>
    </row>
    <row r="291" spans="2:12" s="5" customFormat="1" ht="15.75" hidden="1" x14ac:dyDescent="0.25">
      <c r="B291" s="89" t="s">
        <v>1462</v>
      </c>
      <c r="C291" s="71"/>
      <c r="D291" s="1599" t="e">
        <f>D275*$K$291</f>
        <v>#DIV/0!</v>
      </c>
      <c r="E291" s="1599" t="e">
        <f t="shared" ref="E291:H291" si="13">E275*$K$291</f>
        <v>#N/A</v>
      </c>
      <c r="F291" s="1599" t="e">
        <f t="shared" si="13"/>
        <v>#N/A</v>
      </c>
      <c r="G291" s="1599" t="e">
        <f t="shared" si="13"/>
        <v>#N/A</v>
      </c>
      <c r="H291" s="1599" t="e">
        <f t="shared" si="13"/>
        <v>#N/A</v>
      </c>
      <c r="I291" s="1599">
        <f t="shared" ref="I291:J291" si="14">I275*$K$291</f>
        <v>0</v>
      </c>
      <c r="J291" s="1599">
        <f t="shared" si="14"/>
        <v>0</v>
      </c>
      <c r="K291" s="66">
        <v>0.35</v>
      </c>
      <c r="L291" s="67"/>
    </row>
    <row r="292" spans="2:12" s="5" customFormat="1" ht="15.75" hidden="1" x14ac:dyDescent="0.25">
      <c r="B292" s="66"/>
      <c r="C292" s="71"/>
      <c r="D292" s="1599"/>
      <c r="E292" s="1599"/>
      <c r="F292" s="1599"/>
      <c r="G292" s="1599"/>
      <c r="H292" s="1599"/>
      <c r="I292" s="1599"/>
      <c r="J292" s="1599"/>
      <c r="K292" s="66"/>
      <c r="L292" s="67"/>
    </row>
    <row r="293" spans="2:12" s="5" customFormat="1" ht="15.75" hidden="1" x14ac:dyDescent="0.25">
      <c r="B293" s="89" t="s">
        <v>1461</v>
      </c>
      <c r="C293" s="71"/>
      <c r="D293" s="1599" t="e">
        <f>D277*$K$293</f>
        <v>#DIV/0!</v>
      </c>
      <c r="E293" s="1599" t="e">
        <f t="shared" ref="E293:H293" si="15">E277*$K$293</f>
        <v>#N/A</v>
      </c>
      <c r="F293" s="1599" t="e">
        <f t="shared" si="15"/>
        <v>#N/A</v>
      </c>
      <c r="G293" s="1599" t="e">
        <f t="shared" si="15"/>
        <v>#N/A</v>
      </c>
      <c r="H293" s="1599" t="e">
        <f t="shared" si="15"/>
        <v>#N/A</v>
      </c>
      <c r="I293" s="1599">
        <f t="shared" ref="I293:J293" si="16">I277*$K$293</f>
        <v>0</v>
      </c>
      <c r="J293" s="1599">
        <f t="shared" si="16"/>
        <v>0</v>
      </c>
      <c r="K293" s="66">
        <v>7.0000000000000007E-2</v>
      </c>
      <c r="L293" s="67"/>
    </row>
    <row r="294" spans="2:12" s="5" customFormat="1" ht="15.75" hidden="1" x14ac:dyDescent="0.25">
      <c r="B294" s="66"/>
      <c r="C294" s="71"/>
      <c r="D294" s="1599"/>
      <c r="E294" s="1599"/>
      <c r="F294" s="1599"/>
      <c r="G294" s="1599"/>
      <c r="H294" s="1599"/>
      <c r="I294" s="1599"/>
      <c r="J294" s="1599"/>
      <c r="K294" s="66"/>
      <c r="L294" s="67"/>
    </row>
    <row r="295" spans="2:12" s="5" customFormat="1" ht="15.75" hidden="1" x14ac:dyDescent="0.25">
      <c r="B295" s="89" t="s">
        <v>1463</v>
      </c>
      <c r="C295" s="71"/>
      <c r="D295" s="1599" t="e">
        <f>D279*$K$295</f>
        <v>#DIV/0!</v>
      </c>
      <c r="E295" s="1599" t="e">
        <f t="shared" ref="E295:H295" si="17">E279*$K$295</f>
        <v>#N/A</v>
      </c>
      <c r="F295" s="1599" t="e">
        <f t="shared" si="17"/>
        <v>#N/A</v>
      </c>
      <c r="G295" s="1599" t="e">
        <f t="shared" si="17"/>
        <v>#N/A</v>
      </c>
      <c r="H295" s="1599" t="e">
        <f t="shared" si="17"/>
        <v>#N/A</v>
      </c>
      <c r="I295" s="1599">
        <f t="shared" ref="I295:J295" si="18">I279*$K$295</f>
        <v>0</v>
      </c>
      <c r="J295" s="1599">
        <f t="shared" si="18"/>
        <v>0</v>
      </c>
      <c r="K295" s="66">
        <v>0.2</v>
      </c>
      <c r="L295" s="67"/>
    </row>
    <row r="296" spans="2:12" s="5" customFormat="1" ht="15.75" hidden="1" x14ac:dyDescent="0.25">
      <c r="B296" s="66"/>
      <c r="C296" s="71"/>
      <c r="D296" s="1599"/>
      <c r="E296" s="1599"/>
      <c r="F296" s="1599"/>
      <c r="G296" s="1599"/>
      <c r="H296" s="1599"/>
      <c r="I296" s="1599"/>
      <c r="J296" s="1599"/>
      <c r="K296" s="66"/>
      <c r="L296" s="67"/>
    </row>
    <row r="297" spans="2:12" s="5" customFormat="1" ht="15.75" hidden="1" x14ac:dyDescent="0.25">
      <c r="B297" s="89" t="s">
        <v>1464</v>
      </c>
      <c r="C297" s="71"/>
      <c r="D297" s="1599" t="e">
        <f>D281*$K$297</f>
        <v>#DIV/0!</v>
      </c>
      <c r="E297" s="1599" t="e">
        <f t="shared" ref="E297:H297" si="19">E281*$K$297</f>
        <v>#N/A</v>
      </c>
      <c r="F297" s="1599" t="e">
        <f t="shared" si="19"/>
        <v>#N/A</v>
      </c>
      <c r="G297" s="1599" t="e">
        <f t="shared" si="19"/>
        <v>#N/A</v>
      </c>
      <c r="H297" s="1599" t="e">
        <f t="shared" si="19"/>
        <v>#N/A</v>
      </c>
      <c r="I297" s="1599">
        <f t="shared" ref="I297:J297" si="20">I281*$K$297</f>
        <v>0</v>
      </c>
      <c r="J297" s="1599">
        <f t="shared" si="20"/>
        <v>0</v>
      </c>
      <c r="K297" s="66">
        <v>0.3</v>
      </c>
      <c r="L297" s="67"/>
    </row>
    <row r="298" spans="2:12" s="5" customFormat="1" ht="15.75" hidden="1" x14ac:dyDescent="0.25">
      <c r="B298" s="66"/>
      <c r="C298" s="71"/>
      <c r="D298" s="1599"/>
      <c r="E298" s="1599"/>
      <c r="F298" s="1599"/>
      <c r="G298" s="1599"/>
      <c r="H298" s="1599"/>
      <c r="I298" s="1599"/>
      <c r="J298" s="1599"/>
      <c r="K298" s="66"/>
      <c r="L298" s="67"/>
    </row>
    <row r="299" spans="2:12" s="5" customFormat="1" ht="15.75" hidden="1" x14ac:dyDescent="0.25">
      <c r="B299" s="89" t="s">
        <v>1465</v>
      </c>
      <c r="C299" s="71"/>
      <c r="D299" s="1599" t="e">
        <f>D283*$K$299</f>
        <v>#DIV/0!</v>
      </c>
      <c r="E299" s="1599" t="e">
        <f t="shared" ref="E299:H299" si="21">E283*$K$299</f>
        <v>#N/A</v>
      </c>
      <c r="F299" s="1599" t="e">
        <f t="shared" si="21"/>
        <v>#N/A</v>
      </c>
      <c r="G299" s="1599" t="e">
        <f t="shared" si="21"/>
        <v>#N/A</v>
      </c>
      <c r="H299" s="1599" t="e">
        <f t="shared" si="21"/>
        <v>#N/A</v>
      </c>
      <c r="I299" s="1599">
        <f t="shared" ref="I299:J299" si="22">I283*$K$299</f>
        <v>0</v>
      </c>
      <c r="J299" s="1599">
        <f t="shared" si="22"/>
        <v>0</v>
      </c>
      <c r="K299" s="66">
        <v>0</v>
      </c>
      <c r="L299" s="67" t="s">
        <v>1439</v>
      </c>
    </row>
    <row r="300" spans="2:12" s="5" customFormat="1" ht="15.75" hidden="1" x14ac:dyDescent="0.25">
      <c r="B300" s="66"/>
      <c r="C300" s="71"/>
      <c r="D300" s="66"/>
      <c r="E300" s="66"/>
      <c r="F300" s="66"/>
      <c r="G300" s="66"/>
      <c r="H300" s="66"/>
      <c r="I300" s="1286"/>
      <c r="J300" s="1286"/>
      <c r="K300" s="66"/>
      <c r="L300" s="67"/>
    </row>
    <row r="301" spans="2:12" s="5" customFormat="1" ht="15.75" hidden="1" x14ac:dyDescent="0.25">
      <c r="B301" s="68" t="s">
        <v>1455</v>
      </c>
      <c r="C301" s="71"/>
      <c r="D301" s="68" t="s">
        <v>1456</v>
      </c>
      <c r="E301" s="66"/>
      <c r="F301" s="66"/>
      <c r="G301" s="66"/>
      <c r="H301" s="66"/>
      <c r="I301" s="1286"/>
      <c r="J301" s="1286"/>
      <c r="K301" s="68" t="s">
        <v>1457</v>
      </c>
      <c r="L301" s="67"/>
    </row>
    <row r="302" spans="2:12" s="5" customFormat="1" ht="15.75" hidden="1" x14ac:dyDescent="0.25">
      <c r="B302" s="66"/>
      <c r="C302" s="71"/>
      <c r="D302" s="1599" t="e">
        <f>SUM(D291:D297)*$K$302*44/28</f>
        <v>#DIV/0!</v>
      </c>
      <c r="E302" s="1599" t="e">
        <f>SUM(E291:E297)*$K$302*44/28</f>
        <v>#N/A</v>
      </c>
      <c r="F302" s="1575" t="e">
        <f t="shared" ref="F302:J302" si="23">SUM(F291:F297)*$K$302*44/28</f>
        <v>#N/A</v>
      </c>
      <c r="G302" s="1575" t="e">
        <f t="shared" si="23"/>
        <v>#N/A</v>
      </c>
      <c r="H302" s="1575" t="e">
        <f t="shared" si="23"/>
        <v>#N/A</v>
      </c>
      <c r="I302" s="1575">
        <f t="shared" si="23"/>
        <v>0</v>
      </c>
      <c r="J302" s="1575">
        <f t="shared" si="23"/>
        <v>0</v>
      </c>
      <c r="K302" s="66">
        <v>4.0000000000000001E-3</v>
      </c>
      <c r="L302" s="67" t="s">
        <v>1458</v>
      </c>
    </row>
    <row r="303" spans="2:12" s="5" customFormat="1" ht="15.75" hidden="1" x14ac:dyDescent="0.25">
      <c r="B303" s="66"/>
      <c r="C303" s="71"/>
      <c r="D303" s="66"/>
      <c r="E303" s="66"/>
      <c r="F303" s="1575"/>
      <c r="G303" s="1575"/>
      <c r="H303" s="1575"/>
      <c r="I303" s="1575"/>
      <c r="J303" s="1575"/>
      <c r="K303" s="66"/>
      <c r="L303" s="67"/>
    </row>
    <row r="304" spans="2:12" s="5" customFormat="1" ht="15.75" hidden="1" x14ac:dyDescent="0.25">
      <c r="B304" s="66" t="s">
        <v>1460</v>
      </c>
      <c r="C304" s="71"/>
      <c r="D304" s="1980" t="e">
        <f>SUM(D302:J302)*298*10^3</f>
        <v>#DIV/0!</v>
      </c>
      <c r="E304" s="66"/>
      <c r="F304" s="1575"/>
      <c r="G304" s="1575"/>
      <c r="H304" s="1575"/>
      <c r="I304" s="1575"/>
      <c r="J304" s="1575"/>
      <c r="K304" s="66" t="s">
        <v>1468</v>
      </c>
      <c r="L304" s="67"/>
    </row>
    <row r="305" spans="2:15" s="5" customFormat="1" ht="15.75" hidden="1" x14ac:dyDescent="0.25">
      <c r="B305" s="66"/>
      <c r="C305" s="71"/>
      <c r="D305" s="66"/>
      <c r="E305" s="66"/>
      <c r="F305" s="1575"/>
      <c r="G305" s="1575"/>
      <c r="H305" s="1575"/>
      <c r="I305" s="1575"/>
      <c r="J305" s="1575"/>
      <c r="K305" s="66"/>
      <c r="L305" s="67"/>
    </row>
    <row r="306" spans="2:15" s="5" customFormat="1" ht="17.25" hidden="1" x14ac:dyDescent="0.3">
      <c r="B306" s="68" t="s">
        <v>1459</v>
      </c>
      <c r="C306" s="71"/>
      <c r="D306" s="68" t="s">
        <v>1510</v>
      </c>
      <c r="E306" s="66"/>
      <c r="F306" s="1575"/>
      <c r="G306" s="1575"/>
      <c r="H306" s="1575"/>
      <c r="I306" s="1575"/>
      <c r="J306" s="1575"/>
      <c r="K306" s="68" t="s">
        <v>1466</v>
      </c>
      <c r="L306" s="67" t="s">
        <v>1500</v>
      </c>
    </row>
    <row r="307" spans="2:15" s="5" customFormat="1" ht="15.75" hidden="1" x14ac:dyDescent="0.25">
      <c r="B307" s="66"/>
      <c r="C307" s="71"/>
      <c r="D307" s="66"/>
      <c r="E307" s="66"/>
      <c r="F307" s="1575"/>
      <c r="G307" s="1575"/>
      <c r="H307" s="1575"/>
      <c r="I307" s="1575"/>
      <c r="J307" s="1575"/>
      <c r="K307" s="66">
        <v>1</v>
      </c>
      <c r="L307" s="67"/>
    </row>
    <row r="308" spans="2:15" s="5" customFormat="1" ht="15.75" hidden="1" x14ac:dyDescent="0.25">
      <c r="B308" s="1433" t="s">
        <v>1522</v>
      </c>
      <c r="C308" s="71"/>
      <c r="D308" s="1599" t="e">
        <f>D281*$K$307*$K$309</f>
        <v>#DIV/0!</v>
      </c>
      <c r="E308" s="1599" t="e">
        <f t="shared" ref="E308:J308" si="24">E281*$K$307*$K$309</f>
        <v>#N/A</v>
      </c>
      <c r="F308" s="1575" t="e">
        <f t="shared" si="24"/>
        <v>#N/A</v>
      </c>
      <c r="G308" s="1575" t="e">
        <f t="shared" si="24"/>
        <v>#N/A</v>
      </c>
      <c r="H308" s="1575" t="e">
        <f t="shared" si="24"/>
        <v>#N/A</v>
      </c>
      <c r="I308" s="1575">
        <f t="shared" si="24"/>
        <v>0</v>
      </c>
      <c r="J308" s="1575">
        <f t="shared" si="24"/>
        <v>0</v>
      </c>
      <c r="K308" s="68" t="s">
        <v>1467</v>
      </c>
      <c r="L308" s="67"/>
    </row>
    <row r="309" spans="2:15" s="5" customFormat="1" ht="15.75" hidden="1" x14ac:dyDescent="0.25">
      <c r="B309" s="68"/>
      <c r="C309" s="95"/>
      <c r="D309" s="66"/>
      <c r="E309" s="66"/>
      <c r="F309" s="1575"/>
      <c r="G309" s="1575"/>
      <c r="H309" s="1575"/>
      <c r="I309" s="1575"/>
      <c r="J309" s="1575"/>
      <c r="K309" s="92">
        <v>0.3</v>
      </c>
      <c r="L309" s="67"/>
    </row>
    <row r="310" spans="2:15" s="1261" customFormat="1" ht="15.75" hidden="1" x14ac:dyDescent="0.25">
      <c r="B310" s="1231"/>
      <c r="C310" s="1287"/>
      <c r="D310" s="1231" t="s">
        <v>1513</v>
      </c>
      <c r="E310" s="1286"/>
      <c r="F310" s="1575"/>
      <c r="G310" s="1575"/>
      <c r="H310" s="1575"/>
      <c r="I310" s="1575"/>
      <c r="J310" s="1575"/>
      <c r="K310" s="1291" t="s">
        <v>1475</v>
      </c>
      <c r="L310" s="1230"/>
    </row>
    <row r="311" spans="2:15" s="1261" customFormat="1" ht="15.75" hidden="1" x14ac:dyDescent="0.25">
      <c r="B311" s="1231"/>
      <c r="C311" s="1287"/>
      <c r="D311" s="1599" t="e">
        <f>D308*$K$311*44/28</f>
        <v>#DIV/0!</v>
      </c>
      <c r="E311" s="1599" t="e">
        <f t="shared" ref="E311:J311" si="25">E308*$K$311*44/28</f>
        <v>#N/A</v>
      </c>
      <c r="F311" s="1575" t="e">
        <f t="shared" si="25"/>
        <v>#N/A</v>
      </c>
      <c r="G311" s="1575" t="e">
        <f t="shared" si="25"/>
        <v>#N/A</v>
      </c>
      <c r="H311" s="1575" t="e">
        <f t="shared" si="25"/>
        <v>#N/A</v>
      </c>
      <c r="I311" s="1575">
        <f t="shared" si="25"/>
        <v>0</v>
      </c>
      <c r="J311" s="1575">
        <f t="shared" si="25"/>
        <v>0</v>
      </c>
      <c r="K311" s="1157">
        <v>7.4999999999999997E-3</v>
      </c>
      <c r="L311" s="1230" t="s">
        <v>1501</v>
      </c>
    </row>
    <row r="312" spans="2:15" s="5" customFormat="1" ht="15.75" hidden="1" x14ac:dyDescent="0.25">
      <c r="B312" s="68"/>
      <c r="C312" s="96"/>
      <c r="D312" s="1599"/>
      <c r="E312" s="1599"/>
      <c r="F312" s="1599"/>
      <c r="G312" s="1599"/>
      <c r="H312" s="1599"/>
      <c r="I312" s="1599"/>
      <c r="J312" s="1599"/>
      <c r="K312" s="66"/>
      <c r="L312" s="67"/>
    </row>
    <row r="313" spans="2:15" s="5" customFormat="1" ht="15.75" hidden="1" x14ac:dyDescent="0.25">
      <c r="B313" s="97" t="s">
        <v>1469</v>
      </c>
      <c r="C313" s="618"/>
      <c r="D313" s="1981" t="e">
        <f>SUM(D311:J311)*298*10^3</f>
        <v>#DIV/0!</v>
      </c>
      <c r="E313" s="1982"/>
      <c r="F313" s="1982"/>
      <c r="G313" s="1982"/>
      <c r="H313" s="1982"/>
      <c r="I313" s="1982"/>
      <c r="J313" s="1982"/>
      <c r="K313" s="98" t="s">
        <v>1468</v>
      </c>
      <c r="L313" s="99"/>
    </row>
    <row r="314" spans="2:15" s="5" customFormat="1" ht="15.75" hidden="1" x14ac:dyDescent="0.25">
      <c r="N314" s="62"/>
      <c r="O314" s="62"/>
    </row>
    <row r="315" spans="2:15" s="5" customFormat="1" ht="15.75" hidden="1" x14ac:dyDescent="0.25">
      <c r="B315" s="100" t="s">
        <v>282</v>
      </c>
      <c r="C315" s="101"/>
      <c r="D315" s="102"/>
      <c r="E315" s="102"/>
      <c r="F315" s="102"/>
      <c r="G315" s="102"/>
      <c r="H315" s="102"/>
      <c r="I315" s="1098"/>
      <c r="J315" s="1098"/>
      <c r="K315" s="103" t="s">
        <v>252</v>
      </c>
      <c r="L315" s="104" t="s">
        <v>267</v>
      </c>
      <c r="M315" s="105"/>
      <c r="N315" s="62"/>
      <c r="O315" s="62"/>
    </row>
    <row r="316" spans="2:15" s="5" customFormat="1" ht="15.75" hidden="1" x14ac:dyDescent="0.25">
      <c r="B316" s="106" t="s">
        <v>340</v>
      </c>
      <c r="C316" s="107"/>
      <c r="D316" s="107"/>
      <c r="E316" s="107"/>
      <c r="F316" s="107"/>
      <c r="G316" s="107"/>
      <c r="H316" s="107"/>
      <c r="I316" s="107"/>
      <c r="J316" s="107"/>
      <c r="K316" s="107"/>
      <c r="L316" s="108"/>
      <c r="M316" s="105"/>
      <c r="N316" s="62"/>
      <c r="O316" s="62"/>
    </row>
    <row r="317" spans="2:15" s="5" customFormat="1" ht="15.75" hidden="1" x14ac:dyDescent="0.25">
      <c r="B317" s="106" t="s">
        <v>898</v>
      </c>
      <c r="C317" s="106" t="s">
        <v>341</v>
      </c>
      <c r="D317" s="107"/>
      <c r="E317" s="107"/>
      <c r="F317" s="107"/>
      <c r="G317" s="107"/>
      <c r="H317" s="107"/>
      <c r="I317" s="107"/>
      <c r="J317" s="107"/>
      <c r="K317" s="107"/>
      <c r="L317" s="108" t="s">
        <v>1472</v>
      </c>
      <c r="M317" s="105"/>
      <c r="N317" s="62"/>
      <c r="O317" s="62"/>
    </row>
    <row r="318" spans="2:15" s="5" customFormat="1" ht="15.75" hidden="1" x14ac:dyDescent="0.25">
      <c r="B318" s="107"/>
      <c r="C318" s="107" t="s">
        <v>343</v>
      </c>
      <c r="D318" s="107"/>
      <c r="E318" s="107"/>
      <c r="F318" s="107"/>
      <c r="G318" s="107"/>
      <c r="H318" s="107"/>
      <c r="I318" s="107"/>
      <c r="J318" s="107"/>
      <c r="K318" s="107" t="s">
        <v>344</v>
      </c>
      <c r="L318" s="108"/>
      <c r="M318" s="105"/>
      <c r="N318" s="62"/>
      <c r="O318" s="62"/>
    </row>
    <row r="319" spans="2:15" s="5" customFormat="1" ht="15.75" hidden="1" x14ac:dyDescent="0.25">
      <c r="B319" s="107"/>
      <c r="C319" s="107" t="s">
        <v>345</v>
      </c>
      <c r="D319" s="107"/>
      <c r="E319" s="107"/>
      <c r="F319" s="107"/>
      <c r="G319" s="107"/>
      <c r="H319" s="107"/>
      <c r="I319" s="107"/>
      <c r="J319" s="107"/>
      <c r="K319" s="107"/>
      <c r="L319" s="108" t="s">
        <v>346</v>
      </c>
      <c r="M319" s="105"/>
      <c r="N319" s="62"/>
      <c r="O319" s="62"/>
    </row>
    <row r="320" spans="2:15" s="5" customFormat="1" ht="15.75" hidden="1" x14ac:dyDescent="0.25">
      <c r="B320" s="107"/>
      <c r="C320" s="107"/>
      <c r="D320" s="107"/>
      <c r="E320" s="107"/>
      <c r="F320" s="107"/>
      <c r="G320" s="107"/>
      <c r="H320" s="107"/>
      <c r="I320" s="107"/>
      <c r="J320" s="107"/>
      <c r="K320" s="107"/>
      <c r="L320" s="108"/>
      <c r="M320" s="105"/>
      <c r="N320" s="62"/>
      <c r="O320" s="62"/>
    </row>
    <row r="321" spans="2:15" s="5" customFormat="1" ht="15.75" hidden="1" x14ac:dyDescent="0.25">
      <c r="B321" s="109" t="s">
        <v>339</v>
      </c>
      <c r="C321" s="110"/>
      <c r="D321" s="122">
        <f>IF($T$170="1",($C$45*G45*10^-6),(G45*10^-3))</f>
        <v>0</v>
      </c>
      <c r="E321" s="107"/>
      <c r="F321" s="107"/>
      <c r="G321" s="107"/>
      <c r="H321" s="107"/>
      <c r="I321" s="107"/>
      <c r="J321" s="107"/>
      <c r="K321" s="107" t="s">
        <v>952</v>
      </c>
      <c r="L321" s="108"/>
      <c r="M321" s="105"/>
      <c r="N321" s="62"/>
      <c r="O321" s="62"/>
    </row>
    <row r="322" spans="2:15" s="5" customFormat="1" ht="15.75" hidden="1" x14ac:dyDescent="0.25">
      <c r="B322" s="109" t="s">
        <v>951</v>
      </c>
      <c r="C322" s="110"/>
      <c r="D322" s="122">
        <f>IF($T$170="1",($C$46*G46)*10^-6,(G46*10^-3))</f>
        <v>0</v>
      </c>
      <c r="E322" s="107"/>
      <c r="F322" s="107"/>
      <c r="G322" s="107"/>
      <c r="H322" s="107"/>
      <c r="I322" s="107"/>
      <c r="J322" s="107"/>
      <c r="K322" s="107" t="s">
        <v>952</v>
      </c>
      <c r="L322" s="108"/>
      <c r="M322" s="62"/>
      <c r="N322" s="62"/>
      <c r="O322" s="62"/>
    </row>
    <row r="323" spans="2:15" s="5" customFormat="1" ht="15.75" hidden="1" x14ac:dyDescent="0.25">
      <c r="B323" s="107"/>
      <c r="C323" s="107"/>
      <c r="D323" s="122"/>
      <c r="E323" s="107"/>
      <c r="F323" s="107"/>
      <c r="G323" s="107"/>
      <c r="H323" s="107"/>
      <c r="I323" s="107"/>
      <c r="J323" s="107"/>
      <c r="K323" s="107"/>
      <c r="L323" s="108"/>
      <c r="M323" s="62"/>
      <c r="N323" s="62"/>
      <c r="O323" s="62"/>
    </row>
    <row r="324" spans="2:15" s="5" customFormat="1" ht="15.75" hidden="1" x14ac:dyDescent="0.25">
      <c r="B324" s="106" t="s">
        <v>347</v>
      </c>
      <c r="C324" s="106" t="s">
        <v>348</v>
      </c>
      <c r="D324" s="107"/>
      <c r="E324" s="107"/>
      <c r="F324" s="107"/>
      <c r="G324" s="107"/>
      <c r="H324" s="107"/>
      <c r="I324" s="107"/>
      <c r="J324" s="107"/>
      <c r="K324" s="107" t="s">
        <v>953</v>
      </c>
      <c r="L324" s="108" t="s">
        <v>1471</v>
      </c>
      <c r="M324" s="62"/>
      <c r="N324" s="62"/>
      <c r="O324" s="62"/>
    </row>
    <row r="325" spans="2:15" s="5" customFormat="1" ht="15.75" hidden="1" x14ac:dyDescent="0.25">
      <c r="B325" s="107"/>
      <c r="C325" s="107" t="s">
        <v>351</v>
      </c>
      <c r="D325" s="107"/>
      <c r="E325" s="107"/>
      <c r="F325" s="107"/>
      <c r="G325" s="107"/>
      <c r="H325" s="107"/>
      <c r="I325" s="107"/>
      <c r="J325" s="107"/>
      <c r="K325" s="107" t="s">
        <v>352</v>
      </c>
      <c r="L325" s="108" t="s">
        <v>1470</v>
      </c>
      <c r="M325" s="62"/>
      <c r="N325" s="62"/>
      <c r="O325" s="62"/>
    </row>
    <row r="326" spans="2:15" s="5" customFormat="1" ht="15.75" hidden="1" x14ac:dyDescent="0.25">
      <c r="B326" s="107"/>
      <c r="C326" s="107"/>
      <c r="D326" s="107"/>
      <c r="E326" s="107"/>
      <c r="F326" s="107"/>
      <c r="G326" s="107"/>
      <c r="H326" s="107"/>
      <c r="I326" s="107"/>
      <c r="J326" s="107"/>
      <c r="K326" s="107"/>
      <c r="L326" s="108"/>
      <c r="M326" s="62"/>
      <c r="N326" s="62"/>
      <c r="O326" s="62"/>
    </row>
    <row r="327" spans="2:15" s="5" customFormat="1" ht="15.75" hidden="1" x14ac:dyDescent="0.25">
      <c r="B327" s="422" t="s">
        <v>354</v>
      </c>
      <c r="C327" s="423" t="s">
        <v>355</v>
      </c>
      <c r="D327" s="107"/>
      <c r="E327" s="112" t="s">
        <v>339</v>
      </c>
      <c r="F327" s="107"/>
      <c r="G327" s="122">
        <f>D321*$C$328*44/28</f>
        <v>0</v>
      </c>
      <c r="H327" s="424"/>
      <c r="I327" s="424"/>
      <c r="J327" s="424"/>
      <c r="K327" s="107" t="s">
        <v>953</v>
      </c>
      <c r="L327" s="108"/>
      <c r="M327" s="62"/>
      <c r="N327" s="62"/>
      <c r="O327" s="62"/>
    </row>
    <row r="328" spans="2:15" s="5" customFormat="1" ht="15.75" hidden="1" x14ac:dyDescent="0.25">
      <c r="B328" s="425" t="s">
        <v>356</v>
      </c>
      <c r="C328" s="1439">
        <v>4.0000000000000001E-3</v>
      </c>
      <c r="D328" s="107"/>
      <c r="E328" s="112" t="s">
        <v>338</v>
      </c>
      <c r="F328" s="107"/>
      <c r="G328" s="122">
        <f>D322*$C$328*44/28</f>
        <v>0</v>
      </c>
      <c r="H328" s="424"/>
      <c r="I328" s="424"/>
      <c r="J328" s="424"/>
      <c r="K328" s="107" t="s">
        <v>953</v>
      </c>
      <c r="L328" s="108"/>
      <c r="M328" s="62"/>
      <c r="N328" s="62"/>
      <c r="O328" s="62"/>
    </row>
    <row r="329" spans="2:15" s="5" customFormat="1" ht="15.75" hidden="1" x14ac:dyDescent="0.25">
      <c r="B329" s="425" t="s">
        <v>357</v>
      </c>
      <c r="C329" s="1439">
        <v>8.5000000000000006E-3</v>
      </c>
      <c r="D329" s="107"/>
      <c r="E329" s="109"/>
      <c r="F329" s="107"/>
      <c r="G329" s="111"/>
      <c r="H329" s="424"/>
      <c r="I329" s="424"/>
      <c r="J329" s="424"/>
      <c r="K329" s="107"/>
      <c r="L329" s="108"/>
      <c r="M329" s="62"/>
      <c r="N329" s="62"/>
      <c r="O329" s="62"/>
    </row>
    <row r="330" spans="2:15" s="5" customFormat="1" ht="15.75" hidden="1" x14ac:dyDescent="0.25">
      <c r="B330" s="426" t="s">
        <v>358</v>
      </c>
      <c r="C330" s="1439">
        <v>2E-3</v>
      </c>
      <c r="D330" s="107"/>
      <c r="E330" s="109"/>
      <c r="F330" s="107"/>
      <c r="G330" s="111"/>
      <c r="H330" s="424"/>
      <c r="I330" s="424"/>
      <c r="J330" s="424"/>
      <c r="K330" s="107"/>
      <c r="L330" s="108"/>
      <c r="M330" s="62"/>
      <c r="N330" s="62"/>
      <c r="O330" s="62"/>
    </row>
    <row r="331" spans="2:15" s="5" customFormat="1" ht="15.75" hidden="1" x14ac:dyDescent="0.25">
      <c r="B331" s="426" t="s">
        <v>359</v>
      </c>
      <c r="C331" s="1439">
        <v>2E-3</v>
      </c>
      <c r="D331" s="107"/>
      <c r="E331" s="107"/>
      <c r="F331" s="107"/>
      <c r="G331" s="111"/>
      <c r="H331" s="424"/>
      <c r="I331" s="424"/>
      <c r="J331" s="424"/>
      <c r="K331" s="107"/>
      <c r="L331" s="108"/>
      <c r="M331" s="62"/>
      <c r="N331" s="62"/>
      <c r="O331" s="62"/>
    </row>
    <row r="332" spans="2:15" s="5" customFormat="1" ht="15.75" hidden="1" x14ac:dyDescent="0.25">
      <c r="B332" s="425" t="s">
        <v>360</v>
      </c>
      <c r="C332" s="1439">
        <v>1.9900000000000001E-2</v>
      </c>
      <c r="D332" s="107"/>
      <c r="E332" s="107"/>
      <c r="F332" s="107"/>
      <c r="G332" s="111"/>
      <c r="H332" s="107"/>
      <c r="I332" s="107"/>
      <c r="J332" s="107"/>
      <c r="K332" s="107"/>
      <c r="L332" s="108"/>
      <c r="M332" s="62"/>
      <c r="N332" s="62"/>
      <c r="O332" s="62"/>
    </row>
    <row r="333" spans="2:15" s="5" customFormat="1" ht="15.75" hidden="1" x14ac:dyDescent="0.25">
      <c r="B333" s="425" t="s">
        <v>361</v>
      </c>
      <c r="C333" s="1439">
        <v>5.4999999999999997E-3</v>
      </c>
      <c r="D333" s="107"/>
      <c r="E333" s="112"/>
      <c r="F333" s="107"/>
      <c r="G333" s="113"/>
      <c r="H333" s="427"/>
      <c r="I333" s="427"/>
      <c r="J333" s="427"/>
      <c r="K333" s="107"/>
      <c r="L333" s="108"/>
      <c r="M333" s="62"/>
      <c r="N333" s="62"/>
      <c r="O333" s="62"/>
    </row>
    <row r="334" spans="2:15" s="5" customFormat="1" ht="15.75" hidden="1" x14ac:dyDescent="0.25">
      <c r="B334" s="428" t="s">
        <v>362</v>
      </c>
      <c r="C334" s="429">
        <v>8.5000000000000006E-3</v>
      </c>
      <c r="D334" s="107"/>
      <c r="E334" s="109"/>
      <c r="F334" s="107"/>
      <c r="G334" s="113"/>
      <c r="H334" s="427"/>
      <c r="I334" s="427"/>
      <c r="J334" s="427"/>
      <c r="K334" s="107"/>
      <c r="L334" s="108"/>
      <c r="M334" s="62"/>
      <c r="N334" s="62"/>
      <c r="O334" s="62"/>
    </row>
    <row r="335" spans="2:15" s="5" customFormat="1" ht="15.75" hidden="1" x14ac:dyDescent="0.25">
      <c r="B335" s="107"/>
      <c r="C335" s="107"/>
      <c r="D335" s="107"/>
      <c r="E335" s="109"/>
      <c r="F335" s="107"/>
      <c r="G335" s="113"/>
      <c r="H335" s="427"/>
      <c r="I335" s="427"/>
      <c r="J335" s="427"/>
      <c r="K335" s="107"/>
      <c r="L335" s="108"/>
      <c r="M335" s="62"/>
      <c r="N335" s="62"/>
      <c r="O335" s="62"/>
    </row>
    <row r="336" spans="2:15" s="5" customFormat="1" ht="15.75" hidden="1" x14ac:dyDescent="0.25">
      <c r="B336" s="107"/>
      <c r="C336" s="107"/>
      <c r="D336" s="107"/>
      <c r="E336" s="109"/>
      <c r="F336" s="107"/>
      <c r="G336" s="113"/>
      <c r="H336" s="427"/>
      <c r="I336" s="427"/>
      <c r="J336" s="427"/>
      <c r="K336" s="107"/>
      <c r="L336" s="108"/>
      <c r="M336" s="62"/>
      <c r="N336" s="62"/>
      <c r="O336" s="62"/>
    </row>
    <row r="337" spans="2:22" s="5" customFormat="1" ht="15.75" hidden="1" x14ac:dyDescent="0.25">
      <c r="B337" s="107"/>
      <c r="C337" s="107"/>
      <c r="D337" s="107"/>
      <c r="E337" s="107"/>
      <c r="F337" s="107"/>
      <c r="G337" s="111"/>
      <c r="H337" s="430"/>
      <c r="I337" s="430"/>
      <c r="J337" s="430"/>
      <c r="K337" s="107"/>
      <c r="L337" s="108"/>
      <c r="M337" s="62"/>
      <c r="N337" s="62"/>
      <c r="O337" s="62"/>
    </row>
    <row r="338" spans="2:22" s="5" customFormat="1" ht="15.75" hidden="1" x14ac:dyDescent="0.25">
      <c r="B338" s="107"/>
      <c r="C338" s="107"/>
      <c r="D338" s="107"/>
      <c r="E338" s="107"/>
      <c r="F338" s="107"/>
      <c r="G338" s="107"/>
      <c r="H338" s="107"/>
      <c r="I338" s="107"/>
      <c r="J338" s="107"/>
      <c r="K338" s="107"/>
      <c r="L338" s="108"/>
      <c r="M338" s="62"/>
      <c r="N338" s="62"/>
      <c r="O338" s="62"/>
    </row>
    <row r="339" spans="2:22" s="5" customFormat="1" ht="15.75" hidden="1" x14ac:dyDescent="0.25">
      <c r="B339" s="106" t="s">
        <v>363</v>
      </c>
      <c r="C339" s="126">
        <f>SUM(G327:G328)</f>
        <v>0</v>
      </c>
      <c r="D339" s="107"/>
      <c r="E339" s="107"/>
      <c r="F339" s="107"/>
      <c r="G339" s="107"/>
      <c r="H339" s="107"/>
      <c r="I339" s="107"/>
      <c r="J339" s="107"/>
      <c r="K339" s="107" t="s">
        <v>336</v>
      </c>
      <c r="L339" s="108"/>
      <c r="M339" s="62"/>
      <c r="N339" s="62"/>
      <c r="O339" s="62"/>
    </row>
    <row r="340" spans="2:22" s="5" customFormat="1" ht="15.75" hidden="1" x14ac:dyDescent="0.25">
      <c r="B340" s="106" t="s">
        <v>363</v>
      </c>
      <c r="C340" s="144">
        <f>C339*298</f>
        <v>0</v>
      </c>
      <c r="D340" s="107"/>
      <c r="E340" s="107"/>
      <c r="F340" s="107"/>
      <c r="G340" s="107"/>
      <c r="H340" s="107"/>
      <c r="I340" s="107"/>
      <c r="J340" s="107"/>
      <c r="K340" s="107" t="s">
        <v>302</v>
      </c>
      <c r="L340" s="108"/>
      <c r="M340" s="62"/>
      <c r="N340" s="62"/>
      <c r="O340" s="62"/>
    </row>
    <row r="341" spans="2:22" s="5" customFormat="1" ht="15.75" hidden="1" x14ac:dyDescent="0.25">
      <c r="B341" s="106" t="s">
        <v>363</v>
      </c>
      <c r="C341" s="114">
        <f>C340*10^3</f>
        <v>0</v>
      </c>
      <c r="D341" s="107"/>
      <c r="E341" s="109"/>
      <c r="F341" s="109"/>
      <c r="G341" s="109"/>
      <c r="H341" s="109"/>
      <c r="I341" s="109"/>
      <c r="J341" s="109"/>
      <c r="K341" s="107" t="s">
        <v>303</v>
      </c>
      <c r="L341" s="108"/>
      <c r="M341" s="62"/>
      <c r="N341" s="62"/>
      <c r="O341" s="62"/>
    </row>
    <row r="342" spans="2:22" s="5" customFormat="1" ht="15.75" hidden="1" x14ac:dyDescent="0.25">
      <c r="B342" s="107"/>
      <c r="C342" s="107"/>
      <c r="D342" s="107"/>
      <c r="E342" s="109"/>
      <c r="F342" s="109"/>
      <c r="G342" s="109"/>
      <c r="H342" s="109"/>
      <c r="I342" s="109"/>
      <c r="J342" s="109"/>
      <c r="K342" s="109"/>
      <c r="L342" s="108"/>
      <c r="M342" s="62"/>
      <c r="N342" s="62"/>
      <c r="O342" s="62"/>
    </row>
    <row r="343" spans="2:22" s="5" customFormat="1" ht="15.75" hidden="1" x14ac:dyDescent="0.25">
      <c r="B343" s="106" t="s">
        <v>364</v>
      </c>
      <c r="C343" s="107"/>
      <c r="D343" s="107"/>
      <c r="E343" s="109"/>
      <c r="F343" s="109"/>
      <c r="G343" s="115"/>
      <c r="H343" s="115"/>
      <c r="I343" s="115"/>
      <c r="J343" s="115"/>
      <c r="K343" s="109"/>
      <c r="L343" s="108"/>
      <c r="M343" s="62"/>
      <c r="N343" s="62"/>
      <c r="O343" s="62"/>
    </row>
    <row r="344" spans="2:22" s="5" customFormat="1" ht="17.25" hidden="1" x14ac:dyDescent="0.3">
      <c r="B344" s="106" t="s">
        <v>365</v>
      </c>
      <c r="C344" s="106" t="s">
        <v>1477</v>
      </c>
      <c r="D344" s="107"/>
      <c r="E344" s="109"/>
      <c r="F344" s="109"/>
      <c r="G344" s="109"/>
      <c r="H344" s="109"/>
      <c r="I344" s="109"/>
      <c r="J344" s="109"/>
      <c r="K344" s="109"/>
      <c r="L344" s="108" t="s">
        <v>1476</v>
      </c>
      <c r="M344" s="62"/>
      <c r="N344" s="62"/>
      <c r="O344" s="62"/>
    </row>
    <row r="345" spans="2:22" s="5" customFormat="1" ht="15.75" hidden="1" x14ac:dyDescent="0.25">
      <c r="B345" s="109"/>
      <c r="C345" s="109" t="s">
        <v>367</v>
      </c>
      <c r="D345" s="109"/>
      <c r="E345" s="109"/>
      <c r="F345" s="109"/>
      <c r="G345" s="109"/>
      <c r="H345" s="109"/>
      <c r="I345" s="109"/>
      <c r="J345" s="109"/>
      <c r="K345" s="109"/>
      <c r="L345" s="108"/>
      <c r="M345" s="62"/>
      <c r="N345" s="62"/>
      <c r="O345" s="62"/>
    </row>
    <row r="346" spans="2:22" s="5" customFormat="1" ht="15.75" hidden="1" x14ac:dyDescent="0.25">
      <c r="B346" s="109"/>
      <c r="C346" s="107" t="s">
        <v>1504</v>
      </c>
      <c r="D346" s="109"/>
      <c r="E346" s="109"/>
      <c r="F346" s="109"/>
      <c r="G346" s="109"/>
      <c r="H346" s="109"/>
      <c r="I346" s="109"/>
      <c r="J346" s="109"/>
      <c r="K346" s="109"/>
      <c r="L346" s="108"/>
      <c r="M346" s="62"/>
      <c r="N346" s="62"/>
      <c r="O346" s="62"/>
    </row>
    <row r="347" spans="2:22" s="5" customFormat="1" ht="15.75" hidden="1" x14ac:dyDescent="0.25">
      <c r="B347" s="107"/>
      <c r="C347" s="107" t="s">
        <v>1478</v>
      </c>
      <c r="D347" s="109"/>
      <c r="E347" s="116"/>
      <c r="F347" s="107"/>
      <c r="G347" s="107"/>
      <c r="H347" s="107"/>
      <c r="I347" s="107"/>
      <c r="J347" s="107"/>
      <c r="K347" s="107"/>
      <c r="L347" s="108"/>
      <c r="M347" s="62"/>
      <c r="N347" s="62"/>
      <c r="O347" s="62"/>
    </row>
    <row r="348" spans="2:22" s="5" customFormat="1" ht="15.75" hidden="1" x14ac:dyDescent="0.25">
      <c r="B348" s="107"/>
      <c r="C348" s="107" t="s">
        <v>1479</v>
      </c>
      <c r="D348" s="109"/>
      <c r="E348" s="116"/>
      <c r="F348" s="107"/>
      <c r="G348" s="107"/>
      <c r="H348" s="107"/>
      <c r="I348" s="107"/>
      <c r="J348" s="107"/>
      <c r="K348" s="107"/>
      <c r="L348" s="108"/>
      <c r="M348" s="62"/>
      <c r="N348" s="62"/>
      <c r="O348" s="62"/>
    </row>
    <row r="349" spans="2:22" s="5" customFormat="1" ht="15.75" hidden="1" x14ac:dyDescent="0.25">
      <c r="B349" s="107"/>
      <c r="C349" s="109"/>
      <c r="D349" s="109"/>
      <c r="E349" s="116"/>
      <c r="F349" s="107"/>
      <c r="G349" s="107"/>
      <c r="H349" s="107"/>
      <c r="I349" s="107"/>
      <c r="J349" s="107"/>
      <c r="K349" s="107"/>
      <c r="L349" s="108"/>
      <c r="M349" s="62"/>
      <c r="N349" s="62"/>
      <c r="O349" s="62"/>
    </row>
    <row r="350" spans="2:22" s="5" customFormat="1" ht="15.75" hidden="1" x14ac:dyDescent="0.25">
      <c r="B350" s="106"/>
      <c r="C350" s="107"/>
      <c r="D350" s="117" t="str">
        <f>D16</f>
        <v>Milking Cows</v>
      </c>
      <c r="E350" s="117" t="str">
        <f>E16</f>
        <v xml:space="preserve">Heifers &gt;1 </v>
      </c>
      <c r="F350" s="117" t="str">
        <f>F16</f>
        <v xml:space="preserve">Heifers &lt;1 </v>
      </c>
      <c r="G350" s="117" t="str">
        <f>G16</f>
        <v>Mature bulls</v>
      </c>
      <c r="H350" s="117" t="str">
        <f>H16</f>
        <v>Immature bulls</v>
      </c>
      <c r="I350" s="1099" t="s">
        <v>1400</v>
      </c>
      <c r="J350" s="1099" t="s">
        <v>1401</v>
      </c>
      <c r="K350" s="107"/>
      <c r="L350" s="108"/>
      <c r="M350" s="62"/>
      <c r="N350" s="119"/>
      <c r="O350" s="120"/>
      <c r="U350" s="62"/>
      <c r="V350" s="62"/>
    </row>
    <row r="351" spans="2:22" s="5" customFormat="1" ht="15.75" hidden="1" x14ac:dyDescent="0.25">
      <c r="B351" s="106" t="s">
        <v>1525</v>
      </c>
      <c r="C351" s="110" t="s">
        <v>478</v>
      </c>
      <c r="D351" s="1618" t="e">
        <f>((D272*C73%)*(1-$K$275-$K$291))-0</f>
        <v>#DIV/0!</v>
      </c>
      <c r="E351" s="1618" t="e">
        <f t="shared" ref="E351:J351" si="26">((E272*$C$74%)*(1-$K$275-$K$291))-0</f>
        <v>#N/A</v>
      </c>
      <c r="F351" s="1618" t="e">
        <f t="shared" si="26"/>
        <v>#N/A</v>
      </c>
      <c r="G351" s="1618" t="e">
        <f t="shared" si="26"/>
        <v>#N/A</v>
      </c>
      <c r="H351" s="1618" t="e">
        <f t="shared" si="26"/>
        <v>#N/A</v>
      </c>
      <c r="I351" s="1618">
        <f t="shared" si="26"/>
        <v>0</v>
      </c>
      <c r="J351" s="1618">
        <f t="shared" si="26"/>
        <v>0</v>
      </c>
      <c r="K351" s="107"/>
      <c r="L351" s="108"/>
      <c r="M351" s="61"/>
      <c r="N351" s="119"/>
      <c r="O351" s="121"/>
      <c r="U351" s="62"/>
      <c r="V351" s="62"/>
    </row>
    <row r="352" spans="2:22" s="5" customFormat="1" ht="15.75" hidden="1" x14ac:dyDescent="0.25">
      <c r="B352" s="107"/>
      <c r="C352" s="107"/>
      <c r="D352" s="1618"/>
      <c r="E352" s="1618"/>
      <c r="F352" s="1618"/>
      <c r="G352" s="1618"/>
      <c r="H352" s="1618"/>
      <c r="I352" s="1618"/>
      <c r="J352" s="1618"/>
      <c r="K352" s="118"/>
      <c r="L352" s="108"/>
      <c r="M352" s="61"/>
      <c r="N352" s="61"/>
      <c r="O352" s="121"/>
      <c r="U352" s="62"/>
      <c r="V352" s="62"/>
    </row>
    <row r="353" spans="2:22" s="5" customFormat="1" ht="15.75" hidden="1" x14ac:dyDescent="0.25">
      <c r="B353" s="106" t="s">
        <v>1526</v>
      </c>
      <c r="C353" s="110" t="s">
        <v>478</v>
      </c>
      <c r="D353" s="1618" t="e">
        <f>((D272*D73%)*(1-$K$277-$K$293))-0</f>
        <v>#DIV/0!</v>
      </c>
      <c r="E353" s="1618" t="e">
        <f t="shared" ref="E353:J353" si="27">((E272*$D$74%)*(1-$K$277-$K$293))-0</f>
        <v>#N/A</v>
      </c>
      <c r="F353" s="1618" t="e">
        <f t="shared" si="27"/>
        <v>#N/A</v>
      </c>
      <c r="G353" s="1618" t="e">
        <f t="shared" si="27"/>
        <v>#N/A</v>
      </c>
      <c r="H353" s="1618" t="e">
        <f t="shared" si="27"/>
        <v>#N/A</v>
      </c>
      <c r="I353" s="1618">
        <f t="shared" si="27"/>
        <v>0</v>
      </c>
      <c r="J353" s="1618">
        <f t="shared" si="27"/>
        <v>0</v>
      </c>
      <c r="K353" s="107"/>
      <c r="L353" s="108"/>
      <c r="M353" s="62"/>
      <c r="N353" s="124"/>
      <c r="O353" s="121"/>
      <c r="P353" s="62"/>
      <c r="Q353" s="62"/>
      <c r="R353" s="62"/>
      <c r="S353" s="62"/>
      <c r="T353" s="62"/>
      <c r="U353" s="62"/>
      <c r="V353" s="62"/>
    </row>
    <row r="354" spans="2:22" s="5" customFormat="1" ht="15.75" hidden="1" x14ac:dyDescent="0.25">
      <c r="B354" s="107"/>
      <c r="C354" s="107"/>
      <c r="D354" s="1618"/>
      <c r="E354" s="1618"/>
      <c r="F354" s="1618"/>
      <c r="G354" s="1618"/>
      <c r="H354" s="1618"/>
      <c r="I354" s="1618"/>
      <c r="J354" s="1618"/>
      <c r="K354" s="107"/>
      <c r="L354" s="123"/>
      <c r="M354" s="62"/>
      <c r="N354" s="124"/>
      <c r="O354" s="121"/>
      <c r="P354" s="62"/>
      <c r="Q354" s="62"/>
      <c r="R354" s="62"/>
      <c r="S354" s="62"/>
      <c r="T354" s="62"/>
      <c r="U354" s="62"/>
      <c r="V354" s="62"/>
    </row>
    <row r="355" spans="2:22" s="5" customFormat="1" ht="15.75" hidden="1" x14ac:dyDescent="0.25">
      <c r="B355" s="106" t="s">
        <v>1527</v>
      </c>
      <c r="C355" s="110" t="s">
        <v>478</v>
      </c>
      <c r="D355" s="1983" t="e">
        <f>((D272*E73%)*(1-$K$279-$K$295)-0)</f>
        <v>#DIV/0!</v>
      </c>
      <c r="E355" s="1983" t="e">
        <f>((E272*$E$74%)*(1-$K$279-$K$295)-0)</f>
        <v>#N/A</v>
      </c>
      <c r="F355" s="1983" t="e">
        <f t="shared" ref="F355:J355" si="28">((F272*$E$74%)*(1-$K$279-$K$295)-0)</f>
        <v>#N/A</v>
      </c>
      <c r="G355" s="1983" t="e">
        <f t="shared" si="28"/>
        <v>#N/A</v>
      </c>
      <c r="H355" s="1983" t="e">
        <f t="shared" si="28"/>
        <v>#N/A</v>
      </c>
      <c r="I355" s="1983">
        <f t="shared" si="28"/>
        <v>0</v>
      </c>
      <c r="J355" s="1983">
        <f t="shared" si="28"/>
        <v>0</v>
      </c>
      <c r="K355" s="107"/>
      <c r="L355" s="123"/>
      <c r="M355" s="62"/>
      <c r="N355" s="124"/>
      <c r="O355" s="124"/>
      <c r="P355" s="62"/>
      <c r="Q355" s="62"/>
      <c r="R355" s="62"/>
      <c r="S355" s="62"/>
      <c r="T355" s="62"/>
      <c r="U355" s="62"/>
      <c r="V355" s="62"/>
    </row>
    <row r="356" spans="2:22" s="5" customFormat="1" ht="15.75" hidden="1" x14ac:dyDescent="0.25">
      <c r="B356" s="107"/>
      <c r="C356" s="110"/>
      <c r="D356" s="1618"/>
      <c r="E356" s="1984"/>
      <c r="F356" s="1984"/>
      <c r="G356" s="1984"/>
      <c r="H356" s="1984"/>
      <c r="I356" s="1984"/>
      <c r="J356" s="1984"/>
      <c r="K356" s="107"/>
      <c r="L356" s="123"/>
      <c r="M356" s="62"/>
      <c r="N356" s="124"/>
      <c r="O356" s="124"/>
      <c r="P356" s="62"/>
      <c r="Q356" s="62"/>
      <c r="R356" s="62"/>
      <c r="S356" s="62"/>
      <c r="T356" s="62"/>
      <c r="U356" s="62"/>
      <c r="V356" s="62"/>
    </row>
    <row r="357" spans="2:22" s="5" customFormat="1" ht="15.75" hidden="1" x14ac:dyDescent="0.25">
      <c r="B357" s="106" t="s">
        <v>1528</v>
      </c>
      <c r="C357" s="110" t="s">
        <v>478</v>
      </c>
      <c r="D357" s="1618" t="e">
        <f>((D272*F73%)*(1-$K$281-$K$297))-D308</f>
        <v>#DIV/0!</v>
      </c>
      <c r="E357" s="1618" t="e">
        <f t="shared" ref="E357:J357" si="29">((E272*$F$74%)*(1-$K$281-$K$297))-E308</f>
        <v>#N/A</v>
      </c>
      <c r="F357" s="1618" t="e">
        <f t="shared" si="29"/>
        <v>#N/A</v>
      </c>
      <c r="G357" s="1618" t="e">
        <f t="shared" si="29"/>
        <v>#N/A</v>
      </c>
      <c r="H357" s="1618" t="e">
        <f t="shared" si="29"/>
        <v>#N/A</v>
      </c>
      <c r="I357" s="1618">
        <f t="shared" si="29"/>
        <v>0</v>
      </c>
      <c r="J357" s="1618">
        <f t="shared" si="29"/>
        <v>0</v>
      </c>
      <c r="K357" s="107"/>
      <c r="L357" s="123"/>
      <c r="M357" s="62"/>
      <c r="N357" s="124"/>
      <c r="O357" s="124"/>
      <c r="P357" s="62"/>
      <c r="Q357" s="62"/>
      <c r="R357" s="62"/>
      <c r="S357" s="62"/>
      <c r="T357" s="62"/>
      <c r="U357" s="62"/>
      <c r="V357" s="62"/>
    </row>
    <row r="358" spans="2:22" s="5" customFormat="1" ht="15.75" hidden="1" x14ac:dyDescent="0.25">
      <c r="B358" s="107"/>
      <c r="C358" s="110"/>
      <c r="D358" s="1618"/>
      <c r="E358" s="1984"/>
      <c r="F358" s="1984"/>
      <c r="G358" s="1984"/>
      <c r="H358" s="1984"/>
      <c r="I358" s="1984"/>
      <c r="J358" s="1984"/>
      <c r="K358" s="107"/>
      <c r="L358" s="123"/>
      <c r="M358" s="62"/>
      <c r="N358" s="124"/>
      <c r="O358" s="124"/>
      <c r="P358" s="62"/>
      <c r="Q358" s="62"/>
      <c r="R358" s="62"/>
      <c r="S358" s="62"/>
      <c r="T358" s="62"/>
      <c r="U358" s="62"/>
      <c r="V358" s="62"/>
    </row>
    <row r="359" spans="2:22" s="5" customFormat="1" ht="15.75" hidden="1" x14ac:dyDescent="0.25">
      <c r="B359" s="106" t="s">
        <v>1529</v>
      </c>
      <c r="C359" s="110" t="s">
        <v>478</v>
      </c>
      <c r="D359" s="1618" t="e">
        <f>SUM(D351:D357)</f>
        <v>#DIV/0!</v>
      </c>
      <c r="E359" s="1618" t="e">
        <f t="shared" ref="E359:J359" si="30">SUM(E351:E357)</f>
        <v>#N/A</v>
      </c>
      <c r="F359" s="1618" t="e">
        <f t="shared" si="30"/>
        <v>#N/A</v>
      </c>
      <c r="G359" s="1618" t="e">
        <f t="shared" si="30"/>
        <v>#N/A</v>
      </c>
      <c r="H359" s="1618" t="e">
        <f t="shared" si="30"/>
        <v>#N/A</v>
      </c>
      <c r="I359" s="1618">
        <f t="shared" si="30"/>
        <v>0</v>
      </c>
      <c r="J359" s="1618">
        <f t="shared" si="30"/>
        <v>0</v>
      </c>
      <c r="K359" s="107"/>
      <c r="L359" s="123"/>
      <c r="M359" s="62"/>
      <c r="N359" s="125"/>
      <c r="O359" s="62"/>
      <c r="P359" s="62"/>
      <c r="Q359" s="62"/>
      <c r="R359" s="62"/>
      <c r="S359" s="62"/>
      <c r="T359" s="62"/>
      <c r="U359" s="62"/>
      <c r="V359" s="62"/>
    </row>
    <row r="360" spans="2:22" s="5" customFormat="1" ht="15.75" hidden="1" x14ac:dyDescent="0.25">
      <c r="B360" s="107"/>
      <c r="C360" s="107"/>
      <c r="D360" s="1618"/>
      <c r="E360" s="107"/>
      <c r="F360" s="107"/>
      <c r="G360" s="107"/>
      <c r="H360" s="107"/>
      <c r="I360" s="1288"/>
      <c r="J360" s="1288"/>
      <c r="K360" s="107"/>
      <c r="L360" s="123"/>
      <c r="M360" s="61"/>
      <c r="N360" s="121"/>
      <c r="O360" s="62"/>
      <c r="P360" s="62"/>
      <c r="Q360" s="62"/>
      <c r="R360" s="62"/>
      <c r="S360" s="62"/>
      <c r="T360" s="62"/>
      <c r="U360" s="62"/>
      <c r="V360" s="62"/>
    </row>
    <row r="361" spans="2:22" s="5" customFormat="1" ht="15.75" hidden="1" x14ac:dyDescent="0.25">
      <c r="B361" s="106" t="s">
        <v>368</v>
      </c>
      <c r="C361" s="106" t="s">
        <v>369</v>
      </c>
      <c r="D361" s="139"/>
      <c r="E361" s="107"/>
      <c r="F361" s="107"/>
      <c r="G361" s="107"/>
      <c r="H361" s="107"/>
      <c r="I361" s="1288"/>
      <c r="J361" s="1288"/>
      <c r="K361" s="110"/>
      <c r="L361" s="108" t="s">
        <v>1481</v>
      </c>
      <c r="M361" s="61"/>
      <c r="N361" s="127"/>
      <c r="O361" s="62"/>
      <c r="P361" s="62"/>
      <c r="Q361" s="62"/>
      <c r="R361" s="62"/>
      <c r="S361" s="62"/>
      <c r="T361" s="62"/>
      <c r="U361" s="62"/>
      <c r="V361" s="62"/>
    </row>
    <row r="362" spans="2:22" s="5" customFormat="1" ht="15.75" hidden="1" x14ac:dyDescent="0.25">
      <c r="B362" s="107"/>
      <c r="C362" s="107" t="s">
        <v>371</v>
      </c>
      <c r="D362" s="126">
        <v>0.01</v>
      </c>
      <c r="E362" s="107"/>
      <c r="F362" s="107"/>
      <c r="G362" s="107"/>
      <c r="H362" s="107"/>
      <c r="I362" s="1288"/>
      <c r="J362" s="1288"/>
      <c r="K362" s="107"/>
      <c r="L362" s="123"/>
      <c r="M362" s="61"/>
      <c r="N362" s="125"/>
      <c r="O362" s="62"/>
      <c r="P362" s="62"/>
      <c r="Q362" s="62"/>
      <c r="R362" s="62"/>
      <c r="S362" s="62"/>
      <c r="T362" s="62"/>
      <c r="U362" s="62"/>
      <c r="V362" s="62"/>
    </row>
    <row r="363" spans="2:22" s="5" customFormat="1" ht="15.75" hidden="1" x14ac:dyDescent="0.25">
      <c r="B363" s="107"/>
      <c r="C363" s="110" t="s">
        <v>478</v>
      </c>
      <c r="D363" s="1642" t="e">
        <f>D359*$D$362*44/28</f>
        <v>#DIV/0!</v>
      </c>
      <c r="E363" s="1642" t="e">
        <f>E359*$D$362*44/28</f>
        <v>#N/A</v>
      </c>
      <c r="F363" s="1642" t="e">
        <f t="shared" ref="F363:J363" si="31">F359*$D$362*44/28</f>
        <v>#N/A</v>
      </c>
      <c r="G363" s="1642" t="e">
        <f t="shared" si="31"/>
        <v>#N/A</v>
      </c>
      <c r="H363" s="1642" t="e">
        <f t="shared" si="31"/>
        <v>#N/A</v>
      </c>
      <c r="I363" s="1642">
        <f t="shared" si="31"/>
        <v>0</v>
      </c>
      <c r="J363" s="1642">
        <f t="shared" si="31"/>
        <v>0</v>
      </c>
      <c r="K363" s="110" t="s">
        <v>335</v>
      </c>
      <c r="L363" s="123"/>
      <c r="M363" s="61"/>
      <c r="N363" s="61"/>
      <c r="O363" s="61"/>
      <c r="P363" s="62"/>
      <c r="Q363" s="62"/>
      <c r="R363" s="62"/>
      <c r="S363" s="62"/>
      <c r="T363" s="62"/>
      <c r="U363" s="62"/>
      <c r="V363" s="62"/>
    </row>
    <row r="364" spans="2:22" s="5" customFormat="1" ht="15.75" hidden="1" x14ac:dyDescent="0.25">
      <c r="B364" s="107"/>
      <c r="C364" s="107"/>
      <c r="D364" s="2001"/>
      <c r="E364" s="107"/>
      <c r="F364" s="107"/>
      <c r="G364" s="107"/>
      <c r="H364" s="107"/>
      <c r="I364" s="107"/>
      <c r="J364" s="107"/>
      <c r="K364" s="107"/>
      <c r="L364" s="123"/>
      <c r="M364" s="128"/>
      <c r="N364" s="61"/>
      <c r="O364" s="61"/>
      <c r="P364" s="62"/>
      <c r="Q364" s="62"/>
      <c r="R364" s="62"/>
      <c r="S364" s="62"/>
      <c r="T364" s="62"/>
      <c r="U364" s="62"/>
      <c r="V364" s="62"/>
    </row>
    <row r="365" spans="2:22" s="5" customFormat="1" ht="15.75" hidden="1" x14ac:dyDescent="0.25">
      <c r="B365" s="106" t="s">
        <v>372</v>
      </c>
      <c r="C365" s="106" t="s">
        <v>373</v>
      </c>
      <c r="D365" s="107"/>
      <c r="E365" s="107"/>
      <c r="F365" s="107"/>
      <c r="G365" s="107"/>
      <c r="H365" s="107"/>
      <c r="I365" s="107"/>
      <c r="J365" s="107"/>
      <c r="K365" s="107"/>
      <c r="L365" s="108" t="s">
        <v>374</v>
      </c>
      <c r="M365" s="128"/>
      <c r="N365" s="62"/>
      <c r="O365" s="62"/>
      <c r="P365" s="62"/>
      <c r="Q365" s="62"/>
      <c r="R365" s="62"/>
      <c r="S365" s="62"/>
      <c r="T365" s="62"/>
      <c r="U365" s="62"/>
      <c r="V365" s="62"/>
    </row>
    <row r="366" spans="2:22" s="5" customFormat="1" ht="15.75" hidden="1" x14ac:dyDescent="0.25">
      <c r="B366" s="107"/>
      <c r="C366" s="107" t="s">
        <v>375</v>
      </c>
      <c r="D366" s="107"/>
      <c r="E366" s="107"/>
      <c r="F366" s="107"/>
      <c r="G366" s="107"/>
      <c r="H366" s="107"/>
      <c r="I366" s="107"/>
      <c r="J366" s="107"/>
      <c r="K366" s="110" t="s">
        <v>344</v>
      </c>
      <c r="L366" s="431" t="s">
        <v>376</v>
      </c>
      <c r="M366" s="105"/>
      <c r="N366" s="62"/>
      <c r="O366" s="62"/>
      <c r="P366" s="62"/>
      <c r="Q366" s="62"/>
      <c r="R366" s="62"/>
      <c r="S366" s="62"/>
      <c r="T366" s="62"/>
      <c r="U366" s="62"/>
      <c r="V366" s="62"/>
    </row>
    <row r="367" spans="2:22" s="5" customFormat="1" ht="15.75" hidden="1" x14ac:dyDescent="0.25">
      <c r="B367" s="107"/>
      <c r="C367" s="107" t="s">
        <v>377</v>
      </c>
      <c r="D367" s="107"/>
      <c r="E367" s="107"/>
      <c r="F367" s="107"/>
      <c r="G367" s="107"/>
      <c r="H367" s="107"/>
      <c r="I367" s="107"/>
      <c r="J367" s="107"/>
      <c r="K367" s="110" t="s">
        <v>378</v>
      </c>
      <c r="L367" s="108"/>
      <c r="M367" s="105"/>
      <c r="N367" s="62"/>
      <c r="O367" s="62"/>
      <c r="P367" s="62"/>
      <c r="Q367" s="62"/>
      <c r="R367" s="62"/>
      <c r="S367" s="62"/>
      <c r="T367" s="62"/>
      <c r="U367" s="62"/>
      <c r="V367" s="62"/>
    </row>
    <row r="368" spans="2:22" s="5" customFormat="1" ht="15.75" hidden="1" x14ac:dyDescent="0.25">
      <c r="B368" s="107"/>
      <c r="C368" s="107" t="s">
        <v>379</v>
      </c>
      <c r="D368" s="107"/>
      <c r="E368" s="107"/>
      <c r="F368" s="107"/>
      <c r="G368" s="107"/>
      <c r="H368" s="107"/>
      <c r="I368" s="107"/>
      <c r="J368" s="107"/>
      <c r="K368" s="107" t="s">
        <v>380</v>
      </c>
      <c r="L368" s="108"/>
      <c r="M368" s="105"/>
      <c r="N368" s="62"/>
      <c r="O368" s="62"/>
      <c r="P368" s="62"/>
      <c r="Q368" s="62"/>
      <c r="R368" s="62"/>
      <c r="S368" s="62"/>
      <c r="T368" s="62"/>
      <c r="U368" s="62"/>
      <c r="V368" s="62"/>
    </row>
    <row r="369" spans="2:22" s="5" customFormat="1" ht="15.75" hidden="1" x14ac:dyDescent="0.25">
      <c r="B369" s="107"/>
      <c r="C369" s="107" t="s">
        <v>381</v>
      </c>
      <c r="D369" s="107"/>
      <c r="E369" s="107"/>
      <c r="F369" s="107"/>
      <c r="G369" s="107"/>
      <c r="H369" s="107"/>
      <c r="I369" s="107"/>
      <c r="J369" s="107"/>
      <c r="K369" s="107" t="s">
        <v>382</v>
      </c>
      <c r="L369" s="108"/>
      <c r="M369" s="105"/>
      <c r="N369" s="62"/>
      <c r="O369" s="62"/>
      <c r="P369" s="62"/>
      <c r="Q369" s="62"/>
      <c r="R369" s="62"/>
      <c r="S369" s="62"/>
      <c r="T369" s="62"/>
      <c r="U369" s="62"/>
      <c r="V369" s="62"/>
    </row>
    <row r="370" spans="2:22" s="5" customFormat="1" ht="15.75" hidden="1" x14ac:dyDescent="0.25">
      <c r="B370" s="107"/>
      <c r="C370" s="107" t="s">
        <v>383</v>
      </c>
      <c r="D370" s="107"/>
      <c r="E370" s="107"/>
      <c r="F370" s="107"/>
      <c r="G370" s="107"/>
      <c r="H370" s="107"/>
      <c r="I370" s="107"/>
      <c r="J370" s="107"/>
      <c r="K370" s="107"/>
      <c r="L370" s="108"/>
      <c r="M370" s="62"/>
      <c r="N370" s="62"/>
      <c r="O370" s="62"/>
      <c r="P370" s="62"/>
      <c r="Q370" s="62"/>
      <c r="R370" s="62"/>
      <c r="S370" s="62"/>
      <c r="T370" s="62"/>
      <c r="U370" s="62"/>
      <c r="V370" s="62"/>
    </row>
    <row r="371" spans="2:22" s="5" customFormat="1" ht="15.75" hidden="1" x14ac:dyDescent="0.25">
      <c r="B371" s="107"/>
      <c r="C371" s="107" t="s">
        <v>384</v>
      </c>
      <c r="D371" s="107"/>
      <c r="E371" s="107"/>
      <c r="F371" s="107"/>
      <c r="G371" s="107"/>
      <c r="H371" s="107"/>
      <c r="I371" s="107"/>
      <c r="J371" s="107"/>
      <c r="K371" s="107"/>
      <c r="L371" s="108"/>
      <c r="M371" s="62"/>
      <c r="N371" s="62"/>
      <c r="O371" s="62"/>
      <c r="P371" s="62"/>
      <c r="Q371" s="62"/>
      <c r="R371" s="62"/>
      <c r="S371" s="62"/>
      <c r="T371" s="62"/>
      <c r="U371" s="62"/>
      <c r="V371" s="62"/>
    </row>
    <row r="372" spans="2:22" s="5" customFormat="1" ht="15.75" hidden="1" x14ac:dyDescent="0.25">
      <c r="B372" s="107"/>
      <c r="C372" s="107"/>
      <c r="D372" s="107"/>
      <c r="E372" s="107"/>
      <c r="F372" s="107"/>
      <c r="G372" s="107"/>
      <c r="H372" s="107"/>
      <c r="I372" s="107"/>
      <c r="J372" s="107"/>
      <c r="K372" s="107"/>
      <c r="L372" s="108"/>
      <c r="M372" s="62"/>
      <c r="N372" s="62"/>
      <c r="O372" s="62"/>
      <c r="P372" s="62"/>
      <c r="Q372" s="62"/>
      <c r="R372" s="62"/>
      <c r="S372" s="62"/>
      <c r="T372" s="62"/>
      <c r="U372" s="62"/>
      <c r="V372" s="62"/>
    </row>
    <row r="373" spans="2:22" s="5" customFormat="1" ht="15.75" hidden="1" x14ac:dyDescent="0.25">
      <c r="B373" s="106" t="s">
        <v>385</v>
      </c>
      <c r="C373" s="106" t="s">
        <v>386</v>
      </c>
      <c r="D373" s="107"/>
      <c r="E373" s="107"/>
      <c r="F373" s="107"/>
      <c r="G373" s="107"/>
      <c r="H373" s="107"/>
      <c r="I373" s="107"/>
      <c r="J373" s="107"/>
      <c r="K373" s="107" t="s">
        <v>349</v>
      </c>
      <c r="L373" s="108" t="s">
        <v>387</v>
      </c>
      <c r="M373" s="62"/>
      <c r="N373" s="62"/>
      <c r="O373" s="62"/>
      <c r="P373" s="62"/>
      <c r="Q373" s="62"/>
      <c r="R373" s="62"/>
      <c r="S373" s="62"/>
      <c r="T373" s="62"/>
      <c r="U373" s="62"/>
      <c r="V373" s="62"/>
    </row>
    <row r="374" spans="2:22" s="5" customFormat="1" ht="15.75" hidden="1" x14ac:dyDescent="0.25">
      <c r="B374" s="107"/>
      <c r="C374" s="107" t="s">
        <v>388</v>
      </c>
      <c r="D374" s="107"/>
      <c r="E374" s="107"/>
      <c r="F374" s="107"/>
      <c r="G374" s="107"/>
      <c r="H374" s="107"/>
      <c r="I374" s="107"/>
      <c r="J374" s="107"/>
      <c r="K374" s="107" t="s">
        <v>352</v>
      </c>
      <c r="L374" s="431" t="s">
        <v>376</v>
      </c>
      <c r="M374" s="62"/>
      <c r="N374" s="124"/>
      <c r="O374" s="62"/>
      <c r="P374" s="62"/>
      <c r="Q374" s="62"/>
      <c r="R374" s="62"/>
      <c r="S374" s="62"/>
      <c r="T374" s="62"/>
      <c r="U374" s="62"/>
      <c r="V374" s="62"/>
    </row>
    <row r="375" spans="2:22" s="5" customFormat="1" ht="15.75" hidden="1" x14ac:dyDescent="0.25">
      <c r="B375" s="107"/>
      <c r="C375" s="107"/>
      <c r="D375" s="107"/>
      <c r="E375" s="107"/>
      <c r="F375" s="107"/>
      <c r="G375" s="107"/>
      <c r="H375" s="107"/>
      <c r="I375" s="107"/>
      <c r="J375" s="107"/>
      <c r="K375" s="107"/>
      <c r="L375" s="108"/>
      <c r="M375" s="62"/>
      <c r="N375" s="62"/>
      <c r="O375" s="62"/>
      <c r="P375" s="62"/>
      <c r="Q375" s="62"/>
      <c r="R375" s="62"/>
      <c r="S375" s="62"/>
      <c r="T375" s="62"/>
      <c r="U375" s="62"/>
      <c r="V375" s="62"/>
    </row>
    <row r="376" spans="2:22" s="5" customFormat="1" ht="15.75" hidden="1" x14ac:dyDescent="0.25">
      <c r="B376" s="107"/>
      <c r="C376" s="107"/>
      <c r="D376" s="107"/>
      <c r="E376" s="107"/>
      <c r="F376" s="107"/>
      <c r="G376" s="107"/>
      <c r="H376" s="107"/>
      <c r="I376" s="107"/>
      <c r="J376" s="107"/>
      <c r="K376" s="107"/>
      <c r="L376" s="108"/>
      <c r="M376" s="62"/>
      <c r="N376" s="62"/>
      <c r="O376" s="62"/>
      <c r="P376" s="62"/>
      <c r="Q376" s="62"/>
      <c r="R376" s="62"/>
      <c r="S376" s="62"/>
      <c r="T376" s="62"/>
      <c r="U376" s="62"/>
      <c r="V376" s="62"/>
    </row>
    <row r="377" spans="2:22" s="5" customFormat="1" ht="15.75" hidden="1" x14ac:dyDescent="0.25">
      <c r="B377" s="107" t="s">
        <v>389</v>
      </c>
      <c r="C377" s="107"/>
      <c r="D377" s="107"/>
      <c r="E377" s="107"/>
      <c r="F377" s="107"/>
      <c r="G377" s="107"/>
      <c r="H377" s="107"/>
      <c r="I377" s="107"/>
      <c r="J377" s="107"/>
      <c r="K377" s="107"/>
      <c r="L377" s="108"/>
      <c r="M377" s="62"/>
      <c r="N377" s="62"/>
      <c r="O377" s="62"/>
      <c r="P377" s="62"/>
      <c r="Q377" s="62"/>
      <c r="R377" s="62"/>
      <c r="S377" s="62"/>
      <c r="T377" s="62"/>
      <c r="U377" s="62"/>
      <c r="V377" s="62"/>
    </row>
    <row r="378" spans="2:22" s="5" customFormat="1" ht="15.75" hidden="1" x14ac:dyDescent="0.25">
      <c r="B378" s="106" t="s">
        <v>390</v>
      </c>
      <c r="C378" s="106" t="s">
        <v>391</v>
      </c>
      <c r="D378" s="107"/>
      <c r="E378" s="107"/>
      <c r="F378" s="107"/>
      <c r="G378" s="107"/>
      <c r="H378" s="107"/>
      <c r="I378" s="107"/>
      <c r="J378" s="107"/>
      <c r="K378" s="107"/>
      <c r="L378" s="108" t="s">
        <v>392</v>
      </c>
      <c r="M378" s="62"/>
      <c r="N378" s="62"/>
      <c r="O378" s="62"/>
      <c r="P378" s="62"/>
      <c r="Q378" s="62"/>
      <c r="R378" s="62"/>
      <c r="S378" s="62"/>
      <c r="T378" s="62"/>
      <c r="U378" s="62"/>
      <c r="V378" s="62"/>
    </row>
    <row r="379" spans="2:22" s="5" customFormat="1" ht="15.75" hidden="1" x14ac:dyDescent="0.25">
      <c r="B379" s="107"/>
      <c r="C379" s="107" t="s">
        <v>393</v>
      </c>
      <c r="D379" s="107"/>
      <c r="E379" s="107"/>
      <c r="F379" s="107"/>
      <c r="G379" s="107"/>
      <c r="H379" s="107"/>
      <c r="I379" s="107"/>
      <c r="J379" s="107"/>
      <c r="K379" s="107"/>
      <c r="L379" s="431" t="s">
        <v>376</v>
      </c>
      <c r="M379" s="62"/>
      <c r="N379" s="62"/>
      <c r="O379" s="129"/>
      <c r="P379" s="62"/>
      <c r="Q379" s="62"/>
      <c r="R379" s="62"/>
      <c r="S379" s="62"/>
      <c r="T379" s="62"/>
      <c r="U379" s="62"/>
      <c r="V379" s="62"/>
    </row>
    <row r="380" spans="2:22" s="5" customFormat="1" ht="15.75" hidden="1" x14ac:dyDescent="0.25">
      <c r="B380" s="107"/>
      <c r="C380" s="107" t="s">
        <v>394</v>
      </c>
      <c r="D380" s="107"/>
      <c r="E380" s="107"/>
      <c r="F380" s="107"/>
      <c r="G380" s="107"/>
      <c r="H380" s="107"/>
      <c r="I380" s="107"/>
      <c r="J380" s="107"/>
      <c r="K380" s="107"/>
      <c r="L380" s="108"/>
      <c r="M380" s="62"/>
      <c r="N380" s="62"/>
      <c r="O380" s="62"/>
      <c r="P380" s="62"/>
      <c r="Q380" s="62"/>
      <c r="R380" s="62"/>
      <c r="S380" s="62"/>
      <c r="T380" s="62"/>
      <c r="U380" s="62"/>
      <c r="V380" s="62"/>
    </row>
    <row r="381" spans="2:22" s="5" customFormat="1" ht="15.75" hidden="1" x14ac:dyDescent="0.25">
      <c r="B381" s="107"/>
      <c r="C381" s="107" t="s">
        <v>395</v>
      </c>
      <c r="D381" s="107"/>
      <c r="E381" s="107"/>
      <c r="F381" s="107"/>
      <c r="G381" s="107"/>
      <c r="H381" s="107"/>
      <c r="I381" s="107"/>
      <c r="J381" s="107"/>
      <c r="K381" s="107"/>
      <c r="L381" s="108"/>
      <c r="M381" s="62"/>
      <c r="N381" s="62"/>
      <c r="O381" s="62"/>
      <c r="P381" s="62"/>
      <c r="Q381" s="62"/>
      <c r="R381" s="62"/>
      <c r="S381" s="62"/>
      <c r="T381" s="62"/>
      <c r="U381" s="61"/>
      <c r="V381" s="61"/>
    </row>
    <row r="382" spans="2:22" s="5" customFormat="1" ht="15.75" hidden="1" x14ac:dyDescent="0.25">
      <c r="B382" s="107"/>
      <c r="C382" s="107"/>
      <c r="D382" s="107"/>
      <c r="E382" s="107"/>
      <c r="F382" s="107"/>
      <c r="G382" s="107"/>
      <c r="H382" s="107"/>
      <c r="I382" s="107"/>
      <c r="J382" s="107"/>
      <c r="K382" s="107"/>
      <c r="L382" s="108"/>
      <c r="M382" s="62"/>
      <c r="N382" s="62"/>
      <c r="O382" s="62"/>
      <c r="P382" s="62"/>
      <c r="Q382" s="62"/>
      <c r="R382" s="62"/>
      <c r="S382" s="62"/>
      <c r="T382" s="62"/>
      <c r="U382" s="432"/>
      <c r="V382" s="127"/>
    </row>
    <row r="383" spans="2:22" s="5" customFormat="1" ht="15.75" hidden="1" x14ac:dyDescent="0.25">
      <c r="B383" s="106" t="s">
        <v>396</v>
      </c>
      <c r="C383" s="106" t="s">
        <v>386</v>
      </c>
      <c r="D383" s="107"/>
      <c r="E383" s="107"/>
      <c r="F383" s="107"/>
      <c r="G383" s="107"/>
      <c r="H383" s="107"/>
      <c r="I383" s="107"/>
      <c r="J383" s="107"/>
      <c r="K383" s="107" t="s">
        <v>349</v>
      </c>
      <c r="L383" s="108" t="s">
        <v>397</v>
      </c>
      <c r="M383" s="62"/>
      <c r="N383" s="62"/>
      <c r="O383" s="62"/>
      <c r="P383" s="62"/>
      <c r="Q383" s="62"/>
      <c r="R383" s="62"/>
      <c r="S383" s="62"/>
      <c r="T383" s="62"/>
      <c r="U383" s="61"/>
      <c r="V383" s="127"/>
    </row>
    <row r="384" spans="2:22" s="5" customFormat="1" ht="15.75" hidden="1" x14ac:dyDescent="0.25">
      <c r="B384" s="107"/>
      <c r="C384" s="107" t="s">
        <v>388</v>
      </c>
      <c r="D384" s="107"/>
      <c r="E384" s="107"/>
      <c r="F384" s="107"/>
      <c r="G384" s="107"/>
      <c r="H384" s="107"/>
      <c r="I384" s="107"/>
      <c r="J384" s="107"/>
      <c r="K384" s="107" t="s">
        <v>352</v>
      </c>
      <c r="L384" s="431" t="s">
        <v>376</v>
      </c>
      <c r="M384" s="62"/>
      <c r="N384" s="62"/>
      <c r="O384" s="62"/>
      <c r="P384" s="61"/>
      <c r="Q384" s="61"/>
      <c r="R384" s="61"/>
      <c r="S384" s="61"/>
      <c r="T384" s="61"/>
      <c r="U384" s="61"/>
      <c r="V384" s="125"/>
    </row>
    <row r="385" spans="2:22" s="5" customFormat="1" ht="15.75" hidden="1" x14ac:dyDescent="0.25">
      <c r="B385" s="107"/>
      <c r="C385" s="107"/>
      <c r="D385" s="107"/>
      <c r="E385" s="107"/>
      <c r="F385" s="107"/>
      <c r="G385" s="107"/>
      <c r="H385" s="107"/>
      <c r="I385" s="107"/>
      <c r="J385" s="107"/>
      <c r="K385" s="107"/>
      <c r="L385" s="108"/>
      <c r="M385" s="62"/>
      <c r="N385" s="62"/>
      <c r="O385" s="62"/>
      <c r="P385" s="432"/>
      <c r="Q385" s="432"/>
      <c r="R385" s="432"/>
      <c r="S385" s="432"/>
      <c r="T385" s="432"/>
      <c r="U385" s="61"/>
      <c r="V385" s="61"/>
    </row>
    <row r="386" spans="2:22" s="5" customFormat="1" ht="15.75" hidden="1" x14ac:dyDescent="0.25">
      <c r="B386" s="107"/>
      <c r="C386" s="107"/>
      <c r="D386" s="107"/>
      <c r="E386" s="107"/>
      <c r="F386" s="107"/>
      <c r="G386" s="107"/>
      <c r="H386" s="107"/>
      <c r="I386" s="107"/>
      <c r="J386" s="107"/>
      <c r="K386" s="107"/>
      <c r="L386" s="108"/>
      <c r="M386" s="62"/>
      <c r="N386" s="124"/>
      <c r="O386" s="61"/>
      <c r="P386" s="61"/>
      <c r="Q386" s="61"/>
      <c r="R386" s="61"/>
      <c r="S386" s="61"/>
      <c r="T386" s="61"/>
      <c r="U386" s="61"/>
      <c r="V386" s="61"/>
    </row>
    <row r="387" spans="2:22" s="5" customFormat="1" ht="15.75" hidden="1" x14ac:dyDescent="0.25">
      <c r="B387" s="107"/>
      <c r="C387" s="107"/>
      <c r="D387" s="107"/>
      <c r="E387" s="107"/>
      <c r="F387" s="107"/>
      <c r="G387" s="107"/>
      <c r="H387" s="107"/>
      <c r="I387" s="107"/>
      <c r="J387" s="107"/>
      <c r="K387" s="107"/>
      <c r="L387" s="108"/>
      <c r="M387" s="62"/>
      <c r="N387" s="124"/>
      <c r="O387" s="61"/>
      <c r="P387" s="61"/>
      <c r="Q387" s="61"/>
      <c r="R387" s="61"/>
      <c r="S387" s="61"/>
      <c r="T387" s="61"/>
      <c r="U387" s="61"/>
      <c r="V387" s="61"/>
    </row>
    <row r="388" spans="2:22" s="5" customFormat="1" ht="15.75" hidden="1" x14ac:dyDescent="0.25">
      <c r="B388" s="106" t="s">
        <v>398</v>
      </c>
      <c r="C388" s="106" t="s">
        <v>399</v>
      </c>
      <c r="D388" s="107"/>
      <c r="E388" s="107"/>
      <c r="F388" s="107"/>
      <c r="G388" s="107"/>
      <c r="H388" s="107"/>
      <c r="I388" s="107"/>
      <c r="J388" s="107"/>
      <c r="K388" s="107" t="s">
        <v>349</v>
      </c>
      <c r="L388" s="108" t="s">
        <v>400</v>
      </c>
      <c r="M388" s="62"/>
      <c r="N388" s="124"/>
      <c r="O388" s="61"/>
      <c r="P388" s="61"/>
      <c r="Q388" s="61"/>
      <c r="R388" s="61"/>
      <c r="S388" s="61"/>
      <c r="T388" s="61"/>
      <c r="U388" s="62"/>
      <c r="V388" s="62"/>
    </row>
    <row r="389" spans="2:22" s="5" customFormat="1" ht="15.75" hidden="1" x14ac:dyDescent="0.25">
      <c r="B389" s="107"/>
      <c r="C389" s="107" t="s">
        <v>401</v>
      </c>
      <c r="D389" s="107"/>
      <c r="E389" s="107"/>
      <c r="F389" s="107"/>
      <c r="G389" s="107"/>
      <c r="H389" s="107"/>
      <c r="I389" s="107"/>
      <c r="J389" s="107"/>
      <c r="K389" s="107" t="s">
        <v>261</v>
      </c>
      <c r="L389" s="431" t="s">
        <v>376</v>
      </c>
      <c r="M389" s="62"/>
      <c r="N389" s="124"/>
      <c r="O389" s="62"/>
      <c r="P389" s="61"/>
      <c r="Q389" s="61"/>
      <c r="R389" s="61"/>
      <c r="S389" s="61"/>
      <c r="T389" s="61"/>
      <c r="U389" s="62"/>
      <c r="V389" s="62"/>
    </row>
    <row r="390" spans="2:22" s="5" customFormat="1" ht="15.75" hidden="1" x14ac:dyDescent="0.25">
      <c r="B390" s="107"/>
      <c r="C390" s="107" t="s">
        <v>402</v>
      </c>
      <c r="D390" s="107"/>
      <c r="E390" s="107"/>
      <c r="F390" s="107"/>
      <c r="G390" s="107"/>
      <c r="H390" s="107"/>
      <c r="I390" s="107"/>
      <c r="J390" s="107"/>
      <c r="K390" s="107" t="s">
        <v>403</v>
      </c>
      <c r="L390" s="108"/>
      <c r="M390" s="62"/>
      <c r="N390" s="62"/>
      <c r="O390" s="129"/>
      <c r="P390" s="61"/>
      <c r="Q390" s="61"/>
      <c r="R390" s="61"/>
      <c r="S390" s="61"/>
      <c r="T390" s="61"/>
      <c r="U390" s="62"/>
      <c r="V390" s="62"/>
    </row>
    <row r="391" spans="2:22" s="5" customFormat="1" ht="15.75" hidden="1" x14ac:dyDescent="0.25">
      <c r="B391" s="107"/>
      <c r="C391" s="106"/>
      <c r="D391" s="107"/>
      <c r="E391" s="107"/>
      <c r="F391" s="107"/>
      <c r="G391" s="107"/>
      <c r="H391" s="107"/>
      <c r="I391" s="107"/>
      <c r="J391" s="107"/>
      <c r="K391" s="107"/>
      <c r="L391" s="108"/>
      <c r="M391" s="62"/>
      <c r="N391" s="62"/>
      <c r="O391" s="129"/>
      <c r="P391" s="433"/>
      <c r="Q391" s="62"/>
      <c r="R391" s="62"/>
      <c r="S391" s="62"/>
      <c r="T391" s="62"/>
      <c r="U391" s="62"/>
      <c r="V391" s="62"/>
    </row>
    <row r="392" spans="2:22" s="5" customFormat="1" ht="15.75" hidden="1" x14ac:dyDescent="0.25">
      <c r="B392" s="107"/>
      <c r="C392" s="109"/>
      <c r="D392" s="109"/>
      <c r="E392" s="116"/>
      <c r="F392" s="110"/>
      <c r="G392" s="107"/>
      <c r="H392" s="107"/>
      <c r="I392" s="107"/>
      <c r="J392" s="107"/>
      <c r="K392" s="107"/>
      <c r="L392" s="108"/>
      <c r="M392" s="62"/>
      <c r="N392" s="62"/>
      <c r="O392" s="129"/>
      <c r="P392" s="62"/>
      <c r="Q392" s="62"/>
      <c r="R392" s="62"/>
      <c r="S392" s="62"/>
      <c r="T392" s="62"/>
      <c r="U392" s="62"/>
      <c r="V392" s="62"/>
    </row>
    <row r="393" spans="2:22" s="5" customFormat="1" ht="15.75" hidden="1" x14ac:dyDescent="0.25">
      <c r="B393" s="107"/>
      <c r="C393" s="107"/>
      <c r="D393" s="107"/>
      <c r="E393" s="107"/>
      <c r="F393" s="107"/>
      <c r="G393" s="107"/>
      <c r="H393" s="107"/>
      <c r="I393" s="107"/>
      <c r="J393" s="107"/>
      <c r="K393" s="107"/>
      <c r="L393" s="108"/>
      <c r="M393" s="62"/>
      <c r="N393" s="62"/>
      <c r="O393" s="129"/>
      <c r="P393" s="62"/>
      <c r="Q393" s="62"/>
      <c r="R393" s="62"/>
      <c r="S393" s="62"/>
      <c r="T393" s="62"/>
      <c r="U393" s="62"/>
      <c r="V393" s="62"/>
    </row>
    <row r="394" spans="2:22" s="5" customFormat="1" ht="15.75" hidden="1" x14ac:dyDescent="0.25">
      <c r="B394" s="107" t="s">
        <v>404</v>
      </c>
      <c r="C394" s="107"/>
      <c r="D394" s="107"/>
      <c r="E394" s="107"/>
      <c r="F394" s="107"/>
      <c r="G394" s="107"/>
      <c r="H394" s="107"/>
      <c r="I394" s="107"/>
      <c r="J394" s="107"/>
      <c r="K394" s="107"/>
      <c r="L394" s="108"/>
      <c r="M394" s="62"/>
      <c r="N394" s="62"/>
      <c r="O394" s="129"/>
      <c r="P394" s="62"/>
      <c r="Q394" s="62"/>
      <c r="R394" s="62"/>
      <c r="S394" s="62"/>
      <c r="T394" s="62"/>
      <c r="U394" s="62"/>
      <c r="V394" s="62"/>
    </row>
    <row r="395" spans="2:22" s="5" customFormat="1" ht="15.75" hidden="1" x14ac:dyDescent="0.25">
      <c r="B395" s="106" t="s">
        <v>405</v>
      </c>
      <c r="C395" s="107"/>
      <c r="D395" s="107"/>
      <c r="E395" s="107"/>
      <c r="F395" s="107"/>
      <c r="G395" s="107"/>
      <c r="H395" s="107"/>
      <c r="I395" s="107"/>
      <c r="J395" s="107"/>
      <c r="K395" s="107"/>
      <c r="L395" s="108" t="s">
        <v>1536</v>
      </c>
      <c r="M395" s="62"/>
      <c r="N395" s="62"/>
      <c r="O395" s="129"/>
      <c r="P395" s="62"/>
      <c r="Q395" s="62"/>
      <c r="R395" s="62"/>
      <c r="S395" s="62"/>
      <c r="T395" s="62"/>
      <c r="U395" s="62"/>
      <c r="V395" s="62"/>
    </row>
    <row r="396" spans="2:22" s="5" customFormat="1" ht="15.75" hidden="1" x14ac:dyDescent="0.25">
      <c r="B396" s="107"/>
      <c r="C396" s="106" t="s">
        <v>407</v>
      </c>
      <c r="D396" s="1618"/>
      <c r="E396" s="107"/>
      <c r="F396" s="107"/>
      <c r="G396" s="107"/>
      <c r="H396" s="107"/>
      <c r="I396" s="107"/>
      <c r="J396" s="107"/>
      <c r="K396" s="107"/>
      <c r="L396" s="108"/>
      <c r="M396" s="62"/>
      <c r="N396" s="62"/>
      <c r="O396" s="129"/>
      <c r="P396" s="62"/>
      <c r="Q396" s="62"/>
      <c r="R396" s="62"/>
      <c r="S396" s="62"/>
      <c r="T396" s="62"/>
      <c r="U396" s="61"/>
      <c r="V396" s="61"/>
    </row>
    <row r="397" spans="2:22" s="5" customFormat="1" ht="15.75" hidden="1" x14ac:dyDescent="0.25">
      <c r="B397" s="107"/>
      <c r="C397" s="107"/>
      <c r="D397" s="107"/>
      <c r="E397" s="107"/>
      <c r="F397" s="107"/>
      <c r="G397" s="107"/>
      <c r="H397" s="107"/>
      <c r="I397" s="107"/>
      <c r="J397" s="107"/>
      <c r="K397" s="107"/>
      <c r="L397" s="123"/>
      <c r="M397" s="62"/>
      <c r="N397" s="130"/>
      <c r="O397" s="131"/>
      <c r="P397" s="62"/>
      <c r="Q397" s="62"/>
      <c r="R397" s="62"/>
      <c r="S397" s="62"/>
      <c r="T397" s="62"/>
      <c r="U397" s="128"/>
      <c r="V397" s="61"/>
    </row>
    <row r="398" spans="2:22" s="5" customFormat="1" ht="15.75" hidden="1" x14ac:dyDescent="0.25">
      <c r="B398" s="111"/>
      <c r="C398" s="110" t="s">
        <v>478</v>
      </c>
      <c r="D398" s="1618" t="e">
        <f>D264*G$73%</f>
        <v>#DIV/0!</v>
      </c>
      <c r="E398" s="1618">
        <f>E264*$G$74%</f>
        <v>0</v>
      </c>
      <c r="F398" s="1618">
        <f t="shared" ref="F398:J398" si="32">F264*$G$74%</f>
        <v>0</v>
      </c>
      <c r="G398" s="1618">
        <f t="shared" si="32"/>
        <v>0</v>
      </c>
      <c r="H398" s="1618">
        <f t="shared" si="32"/>
        <v>0</v>
      </c>
      <c r="I398" s="1618">
        <f t="shared" si="32"/>
        <v>0</v>
      </c>
      <c r="J398" s="1618">
        <f t="shared" si="32"/>
        <v>0</v>
      </c>
      <c r="K398" s="107" t="s">
        <v>325</v>
      </c>
      <c r="L398" s="108"/>
      <c r="M398" s="130"/>
      <c r="N398" s="130"/>
      <c r="O398" s="130"/>
      <c r="P398" s="62"/>
      <c r="Q398" s="62"/>
      <c r="R398" s="62"/>
      <c r="S398" s="62"/>
      <c r="T398" s="62"/>
      <c r="U398" s="128"/>
      <c r="V398" s="61"/>
    </row>
    <row r="399" spans="2:22" s="5" customFormat="1" ht="15.75" hidden="1" x14ac:dyDescent="0.25">
      <c r="B399" s="107"/>
      <c r="C399" s="107"/>
      <c r="D399" s="1618"/>
      <c r="E399" s="1618"/>
      <c r="F399" s="1618"/>
      <c r="G399" s="1618"/>
      <c r="H399" s="1618"/>
      <c r="I399" s="1618"/>
      <c r="J399" s="1618"/>
      <c r="K399" s="107"/>
      <c r="L399" s="108"/>
      <c r="M399" s="130"/>
      <c r="N399" s="130"/>
      <c r="O399" s="131"/>
      <c r="P399" s="61"/>
      <c r="Q399" s="61"/>
      <c r="R399" s="61"/>
      <c r="S399" s="61"/>
      <c r="T399" s="61"/>
      <c r="U399" s="62"/>
      <c r="V399" s="62"/>
    </row>
    <row r="400" spans="2:22" s="5" customFormat="1" ht="15.75" hidden="1" x14ac:dyDescent="0.25">
      <c r="B400" s="107"/>
      <c r="C400" s="106" t="s">
        <v>409</v>
      </c>
      <c r="D400" s="1618"/>
      <c r="E400" s="1618"/>
      <c r="F400" s="1618"/>
      <c r="G400" s="1618"/>
      <c r="H400" s="1618"/>
      <c r="I400" s="1618"/>
      <c r="J400" s="1618"/>
      <c r="K400" s="107"/>
      <c r="L400" s="108"/>
      <c r="M400" s="130"/>
      <c r="N400" s="130"/>
      <c r="O400" s="131"/>
      <c r="P400" s="61"/>
      <c r="Q400" s="61"/>
      <c r="R400" s="61"/>
      <c r="S400" s="61"/>
      <c r="T400" s="61"/>
      <c r="U400" s="62"/>
      <c r="V400" s="62"/>
    </row>
    <row r="401" spans="2:22" s="5" customFormat="1" ht="15.75" hidden="1" x14ac:dyDescent="0.25">
      <c r="B401" s="107"/>
      <c r="C401" s="107"/>
      <c r="D401" s="1618"/>
      <c r="E401" s="1618"/>
      <c r="F401" s="1618"/>
      <c r="G401" s="1618"/>
      <c r="H401" s="1618"/>
      <c r="I401" s="1618"/>
      <c r="J401" s="1618"/>
      <c r="K401" s="107"/>
      <c r="L401" s="123"/>
      <c r="M401" s="130"/>
      <c r="N401" s="130"/>
      <c r="O401" s="131"/>
      <c r="P401" s="61"/>
      <c r="Q401" s="132"/>
      <c r="R401" s="132"/>
      <c r="S401" s="61"/>
      <c r="T401" s="61"/>
      <c r="U401" s="62"/>
      <c r="V401" s="62"/>
    </row>
    <row r="402" spans="2:22" s="5" customFormat="1" ht="15.75" hidden="1" x14ac:dyDescent="0.25">
      <c r="B402" s="107"/>
      <c r="C402" s="110" t="s">
        <v>478</v>
      </c>
      <c r="D402" s="1618" t="e">
        <f>D268*$G$73%</f>
        <v>#DIV/0!</v>
      </c>
      <c r="E402" s="1618" t="e">
        <f t="shared" ref="E402:J402" si="33">E268*$G$74%</f>
        <v>#N/A</v>
      </c>
      <c r="F402" s="1618" t="e">
        <f>F268*$G$74%</f>
        <v>#N/A</v>
      </c>
      <c r="G402" s="1618" t="e">
        <f t="shared" si="33"/>
        <v>#N/A</v>
      </c>
      <c r="H402" s="1618" t="e">
        <f t="shared" si="33"/>
        <v>#N/A</v>
      </c>
      <c r="I402" s="1618">
        <f t="shared" si="33"/>
        <v>0</v>
      </c>
      <c r="J402" s="1618">
        <f t="shared" si="33"/>
        <v>0</v>
      </c>
      <c r="K402" s="107" t="s">
        <v>325</v>
      </c>
      <c r="L402" s="123"/>
      <c r="M402" s="130"/>
      <c r="N402" s="62"/>
      <c r="O402" s="62"/>
      <c r="P402" s="62"/>
      <c r="Q402" s="62"/>
      <c r="R402" s="62"/>
      <c r="S402" s="62"/>
      <c r="T402" s="62"/>
      <c r="U402" s="62"/>
      <c r="V402" s="62"/>
    </row>
    <row r="403" spans="2:22" s="5" customFormat="1" ht="15.75" hidden="1" x14ac:dyDescent="0.25">
      <c r="B403" s="107"/>
      <c r="C403" s="107"/>
      <c r="D403" s="133"/>
      <c r="E403" s="107"/>
      <c r="F403" s="107"/>
      <c r="G403" s="107"/>
      <c r="H403" s="107"/>
      <c r="I403" s="107"/>
      <c r="J403" s="107"/>
      <c r="K403" s="107"/>
      <c r="L403" s="123"/>
      <c r="M403" s="62"/>
      <c r="N403" s="62"/>
      <c r="O403" s="62"/>
      <c r="P403" s="62"/>
      <c r="Q403" s="62"/>
      <c r="R403" s="62"/>
      <c r="S403" s="62"/>
      <c r="T403" s="62"/>
      <c r="U403" s="61"/>
      <c r="V403" s="61"/>
    </row>
    <row r="404" spans="2:22" s="5" customFormat="1" ht="15.75" hidden="1" x14ac:dyDescent="0.25">
      <c r="B404" s="106" t="s">
        <v>411</v>
      </c>
      <c r="C404" s="106" t="s">
        <v>412</v>
      </c>
      <c r="D404" s="107"/>
      <c r="E404" s="107"/>
      <c r="F404" s="107"/>
      <c r="G404" s="107"/>
      <c r="H404" s="107"/>
      <c r="I404" s="107"/>
      <c r="J404" s="107"/>
      <c r="K404" s="107"/>
      <c r="L404" s="108" t="s">
        <v>1483</v>
      </c>
      <c r="M404" s="62"/>
      <c r="N404" s="62"/>
      <c r="O404" s="62"/>
      <c r="P404" s="62"/>
      <c r="Q404" s="62"/>
      <c r="R404" s="62"/>
      <c r="S404" s="62"/>
      <c r="T404" s="62"/>
      <c r="U404" s="61"/>
      <c r="V404" s="61"/>
    </row>
    <row r="405" spans="2:22" s="5" customFormat="1" ht="15.75" hidden="1" x14ac:dyDescent="0.25">
      <c r="B405" s="107"/>
      <c r="C405" s="107" t="s">
        <v>414</v>
      </c>
      <c r="D405" s="115">
        <v>4.0000000000000001E-3</v>
      </c>
      <c r="E405" s="107"/>
      <c r="F405" s="107"/>
      <c r="G405" s="107"/>
      <c r="H405" s="107"/>
      <c r="I405" s="107"/>
      <c r="J405" s="107"/>
      <c r="K405" s="107"/>
      <c r="L405" s="123"/>
      <c r="M405" s="62"/>
      <c r="N405" s="62"/>
      <c r="O405" s="62"/>
      <c r="P405" s="62"/>
      <c r="Q405" s="62"/>
      <c r="R405" s="62"/>
      <c r="S405" s="62"/>
      <c r="T405" s="62"/>
      <c r="U405" s="62"/>
      <c r="V405" s="62"/>
    </row>
    <row r="406" spans="2:22" s="5" customFormat="1" ht="15.75" hidden="1" x14ac:dyDescent="0.25">
      <c r="B406" s="107"/>
      <c r="C406" s="107" t="s">
        <v>415</v>
      </c>
      <c r="D406" s="109">
        <v>4.0000000000000001E-3</v>
      </c>
      <c r="E406" s="107"/>
      <c r="F406" s="107"/>
      <c r="G406" s="107"/>
      <c r="H406" s="107"/>
      <c r="I406" s="107"/>
      <c r="J406" s="107"/>
      <c r="K406" s="107"/>
      <c r="L406" s="123"/>
      <c r="M406" s="62"/>
      <c r="N406" s="62"/>
      <c r="O406" s="62"/>
      <c r="P406" s="61"/>
      <c r="Q406" s="61"/>
      <c r="R406" s="61"/>
      <c r="S406" s="61"/>
      <c r="T406" s="61"/>
      <c r="U406" s="62"/>
      <c r="V406" s="62"/>
    </row>
    <row r="407" spans="2:22" s="5" customFormat="1" ht="15.75" hidden="1" x14ac:dyDescent="0.25">
      <c r="B407" s="107"/>
      <c r="C407" s="107"/>
      <c r="D407" s="107"/>
      <c r="E407" s="107"/>
      <c r="F407" s="107"/>
      <c r="G407" s="107"/>
      <c r="H407" s="107"/>
      <c r="I407" s="107"/>
      <c r="J407" s="107"/>
      <c r="K407" s="107"/>
      <c r="L407" s="123"/>
      <c r="M407" s="62"/>
      <c r="N407" s="134"/>
      <c r="O407" s="62"/>
      <c r="P407" s="61"/>
      <c r="Q407" s="61"/>
      <c r="R407" s="61"/>
      <c r="S407" s="61"/>
      <c r="T407" s="61"/>
      <c r="U407" s="62"/>
      <c r="V407" s="62"/>
    </row>
    <row r="408" spans="2:22" s="5" customFormat="1" ht="15.75" hidden="1" x14ac:dyDescent="0.25">
      <c r="B408" s="107"/>
      <c r="C408" s="110" t="s">
        <v>478</v>
      </c>
      <c r="D408" s="1618" t="e">
        <f>(D398*$D$405*44/28)+(D402*$D$406*44/28)</f>
        <v>#DIV/0!</v>
      </c>
      <c r="E408" s="1618" t="e">
        <f>(E398*$D$405*44/28)+(E402*$D$406*44/28)</f>
        <v>#N/A</v>
      </c>
      <c r="F408" s="1618" t="e">
        <f t="shared" ref="F408:J408" si="34">(F398*$D$405*44/28)+(F402*$D$406*44/28)</f>
        <v>#N/A</v>
      </c>
      <c r="G408" s="1618" t="e">
        <f t="shared" si="34"/>
        <v>#N/A</v>
      </c>
      <c r="H408" s="1618" t="e">
        <f t="shared" si="34"/>
        <v>#N/A</v>
      </c>
      <c r="I408" s="1618">
        <f>(I398*$D$405*44/28)+(I402*$D$406*44/28)</f>
        <v>0</v>
      </c>
      <c r="J408" s="1618">
        <f t="shared" si="34"/>
        <v>0</v>
      </c>
      <c r="K408" s="110" t="s">
        <v>335</v>
      </c>
      <c r="L408" s="123"/>
      <c r="M408" s="62"/>
      <c r="N408" s="62"/>
      <c r="O408" s="62"/>
      <c r="P408" s="62"/>
      <c r="Q408" s="62"/>
      <c r="R408" s="62"/>
      <c r="S408" s="62"/>
      <c r="T408" s="62"/>
      <c r="U408" s="62"/>
      <c r="V408" s="62"/>
    </row>
    <row r="409" spans="2:22" s="5" customFormat="1" ht="15.75" hidden="1" x14ac:dyDescent="0.25">
      <c r="B409" s="107"/>
      <c r="C409" s="107"/>
      <c r="D409" s="1618"/>
      <c r="E409" s="1618"/>
      <c r="F409" s="1618"/>
      <c r="G409" s="1618"/>
      <c r="H409" s="1618"/>
      <c r="I409" s="1618"/>
      <c r="J409" s="1618"/>
      <c r="K409" s="107"/>
      <c r="L409" s="123"/>
      <c r="M409" s="62"/>
      <c r="N409" s="62"/>
      <c r="O409" s="62"/>
      <c r="P409" s="62"/>
      <c r="Q409" s="62"/>
      <c r="R409" s="62"/>
      <c r="S409" s="62"/>
      <c r="T409" s="62"/>
      <c r="U409" s="62"/>
      <c r="V409" s="62"/>
    </row>
    <row r="410" spans="2:22" s="5" customFormat="1" ht="15.75" hidden="1" x14ac:dyDescent="0.25">
      <c r="B410" s="106" t="s">
        <v>416</v>
      </c>
      <c r="C410" s="107"/>
      <c r="D410" s="1618"/>
      <c r="E410" s="1618"/>
      <c r="F410" s="1618"/>
      <c r="G410" s="1618"/>
      <c r="H410" s="1618"/>
      <c r="I410" s="1618"/>
      <c r="J410" s="1618"/>
      <c r="K410" s="107"/>
      <c r="L410" s="123"/>
      <c r="M410" s="62"/>
      <c r="P410" s="62"/>
      <c r="Q410" s="62"/>
      <c r="R410" s="62"/>
      <c r="S410" s="62"/>
      <c r="T410" s="62"/>
      <c r="U410" s="62"/>
      <c r="V410" s="62"/>
    </row>
    <row r="411" spans="2:22" s="5" customFormat="1" ht="15.75" hidden="1" x14ac:dyDescent="0.25">
      <c r="B411" s="107"/>
      <c r="C411" s="110" t="s">
        <v>478</v>
      </c>
      <c r="D411" s="1720" t="e">
        <f>D363+D408</f>
        <v>#DIV/0!</v>
      </c>
      <c r="E411" s="1720" t="e">
        <f t="shared" ref="E411:J411" si="35">E363+E408</f>
        <v>#N/A</v>
      </c>
      <c r="F411" s="1720" t="e">
        <f>F363+F408</f>
        <v>#N/A</v>
      </c>
      <c r="G411" s="1720" t="e">
        <f t="shared" si="35"/>
        <v>#N/A</v>
      </c>
      <c r="H411" s="1720" t="e">
        <f t="shared" si="35"/>
        <v>#N/A</v>
      </c>
      <c r="I411" s="1720">
        <f t="shared" si="35"/>
        <v>0</v>
      </c>
      <c r="J411" s="1720">
        <f t="shared" si="35"/>
        <v>0</v>
      </c>
      <c r="K411" s="110" t="s">
        <v>335</v>
      </c>
      <c r="L411" s="123"/>
      <c r="P411" s="62"/>
      <c r="Q411" s="62"/>
      <c r="R411" s="62"/>
      <c r="S411" s="62"/>
      <c r="T411" s="62"/>
      <c r="U411" s="62"/>
      <c r="V411" s="62"/>
    </row>
    <row r="412" spans="2:22" s="5" customFormat="1" ht="15.75" hidden="1" x14ac:dyDescent="0.25">
      <c r="B412" s="107"/>
      <c r="C412" s="110"/>
      <c r="D412" s="111"/>
      <c r="E412" s="111"/>
      <c r="F412" s="111"/>
      <c r="G412" s="111"/>
      <c r="H412" s="111"/>
      <c r="I412" s="111"/>
      <c r="J412" s="111"/>
      <c r="K412" s="110"/>
      <c r="L412" s="136"/>
      <c r="N412" s="138"/>
      <c r="O412" s="138"/>
      <c r="P412" s="62"/>
      <c r="Q412" s="62"/>
      <c r="R412" s="62"/>
      <c r="S412" s="62"/>
      <c r="T412" s="62"/>
      <c r="U412" s="140"/>
      <c r="V412" s="62"/>
    </row>
    <row r="413" spans="2:22" s="5" customFormat="1" ht="15.75" hidden="1" x14ac:dyDescent="0.25">
      <c r="B413" s="106" t="s">
        <v>300</v>
      </c>
      <c r="C413" s="1493" t="e">
        <f>SUM(D411:J411)</f>
        <v>#DIV/0!</v>
      </c>
      <c r="D413" s="111"/>
      <c r="E413" s="111"/>
      <c r="F413" s="111"/>
      <c r="G413" s="111"/>
      <c r="H413" s="111"/>
      <c r="I413" s="111"/>
      <c r="J413" s="111"/>
      <c r="K413" s="110" t="s">
        <v>336</v>
      </c>
      <c r="L413" s="136"/>
      <c r="M413" s="138"/>
      <c r="N413" s="138"/>
      <c r="O413" s="138"/>
      <c r="P413" s="62"/>
      <c r="Q413" s="62"/>
      <c r="R413" s="62"/>
      <c r="S413" s="62"/>
      <c r="T413" s="62"/>
      <c r="U413" s="62"/>
      <c r="V413" s="62"/>
    </row>
    <row r="414" spans="2:22" s="5" customFormat="1" ht="15.75" hidden="1" x14ac:dyDescent="0.25">
      <c r="B414" s="106" t="s">
        <v>300</v>
      </c>
      <c r="C414" s="1478" t="e">
        <f>C413*298</f>
        <v>#DIV/0!</v>
      </c>
      <c r="D414" s="107"/>
      <c r="E414" s="107"/>
      <c r="F414" s="107"/>
      <c r="G414" s="107"/>
      <c r="H414" s="107"/>
      <c r="I414" s="107"/>
      <c r="J414" s="107"/>
      <c r="K414" s="110" t="s">
        <v>302</v>
      </c>
      <c r="L414" s="136"/>
      <c r="M414" s="138"/>
      <c r="N414" s="138"/>
      <c r="O414" s="138"/>
      <c r="P414" s="62"/>
      <c r="Q414" s="62"/>
      <c r="R414" s="62"/>
      <c r="S414" s="62"/>
      <c r="T414" s="62"/>
      <c r="U414" s="62"/>
      <c r="V414" s="62"/>
    </row>
    <row r="415" spans="2:22" s="5" customFormat="1" ht="15.75" hidden="1" x14ac:dyDescent="0.25">
      <c r="B415" s="106" t="s">
        <v>300</v>
      </c>
      <c r="C415" s="114" t="e">
        <f>C414*10^3</f>
        <v>#DIV/0!</v>
      </c>
      <c r="D415" s="107"/>
      <c r="E415" s="139"/>
      <c r="F415" s="107"/>
      <c r="G415" s="107"/>
      <c r="H415" s="107"/>
      <c r="I415" s="107"/>
      <c r="J415" s="107"/>
      <c r="K415" s="110" t="s">
        <v>303</v>
      </c>
      <c r="L415" s="136"/>
      <c r="M415" s="138"/>
      <c r="N415" s="138"/>
      <c r="O415" s="138"/>
      <c r="P415" s="140"/>
      <c r="Q415" s="140"/>
      <c r="R415" s="140"/>
      <c r="S415" s="140"/>
      <c r="T415" s="140"/>
      <c r="U415" s="62"/>
      <c r="V415" s="62"/>
    </row>
    <row r="416" spans="2:22" s="5" customFormat="1" ht="15.75" hidden="1" x14ac:dyDescent="0.25">
      <c r="B416" s="107"/>
      <c r="C416" s="107"/>
      <c r="D416" s="107"/>
      <c r="E416" s="107"/>
      <c r="F416" s="107"/>
      <c r="G416" s="107"/>
      <c r="H416" s="107"/>
      <c r="I416" s="107"/>
      <c r="J416" s="107"/>
      <c r="K416" s="107"/>
      <c r="L416" s="136"/>
      <c r="M416" s="138"/>
      <c r="N416" s="138"/>
      <c r="O416" s="138"/>
      <c r="P416" s="62"/>
      <c r="Q416" s="62"/>
      <c r="R416" s="62"/>
      <c r="S416" s="62"/>
      <c r="T416" s="62"/>
      <c r="U416" s="62"/>
      <c r="V416" s="62"/>
    </row>
    <row r="417" spans="2:22" s="5" customFormat="1" ht="15.75" hidden="1" x14ac:dyDescent="0.25">
      <c r="B417" s="106" t="s">
        <v>417</v>
      </c>
      <c r="C417" s="106" t="s">
        <v>418</v>
      </c>
      <c r="D417" s="107"/>
      <c r="E417" s="107"/>
      <c r="F417" s="107"/>
      <c r="G417" s="107"/>
      <c r="H417" s="107"/>
      <c r="I417" s="107"/>
      <c r="J417" s="107"/>
      <c r="K417" s="107"/>
      <c r="L417" s="108" t="s">
        <v>1486</v>
      </c>
      <c r="M417" s="105"/>
      <c r="N417" s="138"/>
      <c r="O417" s="138"/>
      <c r="P417" s="62"/>
      <c r="Q417" s="62"/>
      <c r="R417" s="62"/>
      <c r="S417" s="62"/>
      <c r="T417" s="62"/>
      <c r="U417" s="62"/>
      <c r="V417" s="62"/>
    </row>
    <row r="418" spans="2:22" s="5" customFormat="1" ht="15.75" hidden="1" x14ac:dyDescent="0.25">
      <c r="B418" s="107"/>
      <c r="C418" s="107" t="s">
        <v>420</v>
      </c>
      <c r="D418" s="107"/>
      <c r="E418" s="107"/>
      <c r="F418" s="107"/>
      <c r="G418" s="107"/>
      <c r="H418" s="107"/>
      <c r="I418" s="107"/>
      <c r="J418" s="107"/>
      <c r="K418" s="107" t="s">
        <v>344</v>
      </c>
      <c r="L418" s="108"/>
      <c r="M418" s="62"/>
      <c r="N418" s="138"/>
      <c r="O418" s="138"/>
      <c r="P418" s="62"/>
      <c r="Q418" s="62"/>
      <c r="R418" s="62"/>
      <c r="S418" s="62"/>
      <c r="T418" s="62"/>
      <c r="U418" s="62"/>
      <c r="V418" s="62"/>
    </row>
    <row r="419" spans="2:22" s="5" customFormat="1" ht="15.75" hidden="1" x14ac:dyDescent="0.25">
      <c r="B419" s="107"/>
      <c r="C419" s="107" t="s">
        <v>343</v>
      </c>
      <c r="D419" s="107"/>
      <c r="E419" s="107"/>
      <c r="F419" s="107"/>
      <c r="G419" s="107"/>
      <c r="H419" s="107"/>
      <c r="I419" s="107"/>
      <c r="J419" s="107"/>
      <c r="K419" s="141" t="s">
        <v>344</v>
      </c>
      <c r="L419" s="108"/>
      <c r="M419" s="62"/>
      <c r="N419" s="138"/>
      <c r="O419" s="138"/>
      <c r="P419" s="62"/>
      <c r="Q419" s="62"/>
      <c r="R419" s="62"/>
      <c r="S419" s="62"/>
      <c r="T419" s="62"/>
      <c r="U419" s="62"/>
      <c r="V419" s="62"/>
    </row>
    <row r="420" spans="2:22" s="5" customFormat="1" ht="15.75" hidden="1" x14ac:dyDescent="0.25">
      <c r="B420" s="107"/>
      <c r="C420" s="107" t="s">
        <v>1473</v>
      </c>
      <c r="D420" s="107">
        <v>0.1</v>
      </c>
      <c r="E420" s="107"/>
      <c r="F420" s="107"/>
      <c r="G420" s="107"/>
      <c r="H420" s="107"/>
      <c r="I420" s="107"/>
      <c r="J420" s="107"/>
      <c r="K420" s="141" t="s">
        <v>421</v>
      </c>
      <c r="L420" s="108"/>
      <c r="M420" s="62"/>
      <c r="N420" s="558"/>
      <c r="O420" s="558"/>
      <c r="P420" s="558"/>
      <c r="Q420" s="558"/>
      <c r="R420" s="558"/>
      <c r="S420" s="558"/>
      <c r="T420" s="558"/>
      <c r="U420" s="558"/>
      <c r="V420" s="558"/>
    </row>
    <row r="421" spans="2:22" s="5" customFormat="1" ht="15.75" hidden="1" x14ac:dyDescent="0.25">
      <c r="B421" s="107"/>
      <c r="C421" s="107"/>
      <c r="D421" s="107"/>
      <c r="E421" s="107"/>
      <c r="F421" s="107"/>
      <c r="G421" s="107"/>
      <c r="H421" s="107"/>
      <c r="I421" s="107"/>
      <c r="J421" s="107"/>
      <c r="K421" s="141"/>
      <c r="L421" s="108"/>
      <c r="M421" s="62"/>
      <c r="N421" s="558"/>
      <c r="O421" s="558"/>
      <c r="P421" s="558"/>
      <c r="Q421" s="558"/>
      <c r="R421" s="558"/>
      <c r="S421" s="558"/>
      <c r="T421" s="558"/>
      <c r="U421" s="558"/>
      <c r="V421" s="558"/>
    </row>
    <row r="422" spans="2:22" s="5" customFormat="1" ht="15.75" hidden="1" x14ac:dyDescent="0.25">
      <c r="B422" s="107" t="s">
        <v>422</v>
      </c>
      <c r="C422" s="115" t="s">
        <v>900</v>
      </c>
      <c r="D422" s="583">
        <f>D321*D420</f>
        <v>0</v>
      </c>
      <c r="E422" s="427"/>
      <c r="F422" s="122"/>
      <c r="G422" s="107"/>
      <c r="H422" s="107"/>
      <c r="I422" s="107"/>
      <c r="J422" s="107"/>
      <c r="K422" s="141" t="s">
        <v>476</v>
      </c>
      <c r="L422" s="434"/>
      <c r="M422" s="61"/>
      <c r="N422" s="558"/>
      <c r="O422" s="558"/>
      <c r="P422" s="558"/>
      <c r="Q422" s="558"/>
      <c r="R422" s="558"/>
      <c r="S422" s="558"/>
      <c r="T422" s="558"/>
      <c r="U422" s="558"/>
      <c r="V422" s="558"/>
    </row>
    <row r="423" spans="2:22" s="5" customFormat="1" ht="15.75" hidden="1" x14ac:dyDescent="0.25">
      <c r="B423" s="107"/>
      <c r="C423" s="115" t="s">
        <v>910</v>
      </c>
      <c r="D423" s="583">
        <f>D322*D420</f>
        <v>0</v>
      </c>
      <c r="E423" s="116"/>
      <c r="F423" s="107"/>
      <c r="G423" s="107"/>
      <c r="H423" s="107"/>
      <c r="I423" s="107"/>
      <c r="J423" s="107"/>
      <c r="K423" s="141" t="s">
        <v>476</v>
      </c>
      <c r="L423" s="434"/>
      <c r="M423" s="119"/>
      <c r="N423" s="558"/>
      <c r="O423" s="558"/>
      <c r="P423" s="558"/>
      <c r="Q423" s="558"/>
      <c r="R423" s="558"/>
      <c r="S423" s="558"/>
      <c r="T423" s="558"/>
      <c r="U423" s="558"/>
      <c r="V423" s="558"/>
    </row>
    <row r="424" spans="2:22" s="5" customFormat="1" ht="15.75" hidden="1" x14ac:dyDescent="0.25">
      <c r="B424" s="107"/>
      <c r="C424" s="115"/>
      <c r="D424" s="583"/>
      <c r="E424" s="116"/>
      <c r="F424" s="107"/>
      <c r="G424" s="107"/>
      <c r="H424" s="107"/>
      <c r="I424" s="107"/>
      <c r="J424" s="107"/>
      <c r="K424" s="141"/>
      <c r="L424" s="123"/>
      <c r="M424" s="105"/>
      <c r="N424" s="558"/>
      <c r="O424" s="558"/>
      <c r="P424" s="558"/>
      <c r="Q424" s="558"/>
      <c r="R424" s="558"/>
      <c r="S424" s="558"/>
      <c r="T424" s="558"/>
      <c r="U424" s="558"/>
      <c r="V424" s="558"/>
    </row>
    <row r="425" spans="2:22" s="5" customFormat="1" ht="15.75" hidden="1" x14ac:dyDescent="0.25">
      <c r="B425" s="107"/>
      <c r="C425" s="115"/>
      <c r="D425" s="583"/>
      <c r="E425" s="116"/>
      <c r="F425" s="107"/>
      <c r="G425" s="107"/>
      <c r="H425" s="107"/>
      <c r="I425" s="107"/>
      <c r="J425" s="107"/>
      <c r="K425" s="141"/>
      <c r="L425" s="108"/>
      <c r="M425" s="62"/>
      <c r="N425" s="558"/>
      <c r="O425" s="558"/>
      <c r="P425" s="558"/>
      <c r="Q425" s="558"/>
      <c r="R425" s="558"/>
      <c r="S425" s="558"/>
      <c r="T425" s="558"/>
      <c r="U425" s="558"/>
      <c r="V425" s="558"/>
    </row>
    <row r="426" spans="2:22" s="5" customFormat="1" ht="15.75" hidden="1" x14ac:dyDescent="0.25">
      <c r="B426" s="107"/>
      <c r="C426" s="110"/>
      <c r="D426" s="113"/>
      <c r="E426" s="116"/>
      <c r="F426" s="107"/>
      <c r="G426" s="107"/>
      <c r="H426" s="107"/>
      <c r="I426" s="107"/>
      <c r="J426" s="107"/>
      <c r="K426" s="141"/>
      <c r="L426" s="108"/>
      <c r="M426" s="62"/>
      <c r="N426" s="558"/>
      <c r="O426" s="558"/>
      <c r="P426" s="558"/>
      <c r="Q426" s="558"/>
      <c r="R426" s="558"/>
      <c r="S426" s="558"/>
      <c r="T426" s="558"/>
      <c r="U426" s="558"/>
      <c r="V426" s="558"/>
    </row>
    <row r="427" spans="2:22" s="5" customFormat="1" ht="15.75" hidden="1" x14ac:dyDescent="0.25">
      <c r="B427" s="106" t="s">
        <v>423</v>
      </c>
      <c r="C427" s="106" t="s">
        <v>1484</v>
      </c>
      <c r="D427" s="107"/>
      <c r="E427" s="107"/>
      <c r="F427" s="107"/>
      <c r="G427" s="107"/>
      <c r="H427" s="107"/>
      <c r="I427" s="107"/>
      <c r="J427" s="107"/>
      <c r="K427" s="107"/>
      <c r="L427" s="108" t="s">
        <v>1487</v>
      </c>
      <c r="M427" s="62"/>
      <c r="N427" s="558"/>
      <c r="O427" s="558"/>
      <c r="P427" s="558"/>
      <c r="Q427" s="558"/>
      <c r="R427" s="558"/>
      <c r="S427" s="558"/>
      <c r="T427" s="558"/>
      <c r="U427" s="558"/>
      <c r="V427" s="558"/>
    </row>
    <row r="428" spans="2:22" s="5" customFormat="1" ht="15.75" hidden="1" x14ac:dyDescent="0.25">
      <c r="B428" s="107"/>
      <c r="C428" s="107" t="s">
        <v>1485</v>
      </c>
      <c r="D428" s="107">
        <v>0.2</v>
      </c>
      <c r="E428" s="107"/>
      <c r="F428" s="107"/>
      <c r="G428" s="107"/>
      <c r="H428" s="107"/>
      <c r="I428" s="107"/>
      <c r="J428" s="107"/>
      <c r="K428" s="107"/>
      <c r="L428" s="108" t="s">
        <v>426</v>
      </c>
      <c r="M428" s="62"/>
      <c r="N428" s="558"/>
      <c r="O428" s="558"/>
      <c r="P428" s="558"/>
      <c r="Q428" s="558"/>
      <c r="R428" s="558"/>
      <c r="S428" s="558"/>
      <c r="T428" s="558"/>
      <c r="U428" s="558"/>
      <c r="V428" s="558"/>
    </row>
    <row r="429" spans="2:22" s="5" customFormat="1" ht="15.75" hidden="1" x14ac:dyDescent="0.25">
      <c r="B429" s="107"/>
      <c r="C429" s="107"/>
      <c r="D429" s="107"/>
      <c r="E429" s="107"/>
      <c r="F429" s="107"/>
      <c r="G429" s="107"/>
      <c r="H429" s="107"/>
      <c r="I429" s="107"/>
      <c r="J429" s="107"/>
      <c r="K429" s="107"/>
      <c r="L429" s="123"/>
      <c r="M429" s="62"/>
      <c r="N429" s="558"/>
      <c r="O429" s="558"/>
      <c r="P429" s="558"/>
      <c r="Q429" s="558"/>
      <c r="R429" s="558"/>
      <c r="S429" s="558"/>
      <c r="T429" s="558"/>
      <c r="U429" s="558"/>
      <c r="V429" s="558"/>
    </row>
    <row r="430" spans="2:22" s="5" customFormat="1" ht="15.75" hidden="1" x14ac:dyDescent="0.25">
      <c r="B430" s="107" t="s">
        <v>427</v>
      </c>
      <c r="C430" s="110" t="s">
        <v>478</v>
      </c>
      <c r="D430" s="1642" t="e">
        <f>(D398+D402+D359)*D428</f>
        <v>#DIV/0!</v>
      </c>
      <c r="E430" s="1642" t="e">
        <f t="shared" ref="E430:J430" si="36">(E398+E402+E359)*$D$428</f>
        <v>#N/A</v>
      </c>
      <c r="F430" s="1642" t="e">
        <f t="shared" si="36"/>
        <v>#N/A</v>
      </c>
      <c r="G430" s="1642" t="e">
        <f t="shared" si="36"/>
        <v>#N/A</v>
      </c>
      <c r="H430" s="1642" t="e">
        <f t="shared" si="36"/>
        <v>#N/A</v>
      </c>
      <c r="I430" s="1642">
        <f>(I398+I402+I359)*$D$428</f>
        <v>0</v>
      </c>
      <c r="J430" s="1642">
        <f t="shared" si="36"/>
        <v>0</v>
      </c>
      <c r="K430" s="141" t="s">
        <v>325</v>
      </c>
      <c r="L430" s="108"/>
      <c r="M430" s="62"/>
      <c r="N430" s="558"/>
      <c r="O430" s="558"/>
      <c r="P430" s="558"/>
      <c r="Q430" s="558"/>
      <c r="R430" s="558"/>
      <c r="S430" s="558"/>
      <c r="T430" s="558"/>
      <c r="U430" s="558"/>
      <c r="V430" s="558"/>
    </row>
    <row r="431" spans="2:22" s="5" customFormat="1" ht="15.75" hidden="1" x14ac:dyDescent="0.25">
      <c r="B431" s="107"/>
      <c r="C431" s="107"/>
      <c r="D431" s="1476"/>
      <c r="E431" s="1455"/>
      <c r="F431" s="1455"/>
      <c r="G431" s="1455"/>
      <c r="H431" s="107"/>
      <c r="I431" s="107"/>
      <c r="J431" s="107"/>
      <c r="K431" s="107"/>
      <c r="L431" s="123"/>
      <c r="M431" s="62"/>
      <c r="N431" s="558"/>
      <c r="O431" s="558"/>
      <c r="P431" s="558"/>
      <c r="Q431" s="558"/>
      <c r="R431" s="558"/>
      <c r="S431" s="558"/>
      <c r="T431" s="558"/>
      <c r="U431" s="558"/>
      <c r="V431" s="558"/>
    </row>
    <row r="432" spans="2:22" s="5" customFormat="1" ht="15.75" hidden="1" x14ac:dyDescent="0.25">
      <c r="B432" s="106" t="s">
        <v>428</v>
      </c>
      <c r="C432" s="112" t="s">
        <v>429</v>
      </c>
      <c r="D432" s="109"/>
      <c r="E432" s="1455"/>
      <c r="F432" s="1455"/>
      <c r="G432" s="109"/>
      <c r="H432" s="109"/>
      <c r="I432" s="109"/>
      <c r="J432" s="109"/>
      <c r="K432" s="109" t="s">
        <v>344</v>
      </c>
      <c r="L432" s="108" t="s">
        <v>430</v>
      </c>
      <c r="M432" s="62"/>
      <c r="N432" s="558"/>
      <c r="O432" s="558"/>
      <c r="P432" s="558"/>
      <c r="Q432" s="558"/>
      <c r="R432" s="558"/>
      <c r="S432" s="558"/>
      <c r="T432" s="558"/>
      <c r="U432" s="558"/>
      <c r="V432" s="558"/>
    </row>
    <row r="433" spans="2:25" s="5" customFormat="1" ht="15.75" hidden="1" x14ac:dyDescent="0.25">
      <c r="B433" s="107"/>
      <c r="C433" s="109" t="s">
        <v>431</v>
      </c>
      <c r="D433" s="109"/>
      <c r="E433" s="1455"/>
      <c r="F433" s="1455"/>
      <c r="G433" s="1455"/>
      <c r="H433" s="109"/>
      <c r="I433" s="109"/>
      <c r="J433" s="109"/>
      <c r="K433" s="109" t="s">
        <v>432</v>
      </c>
      <c r="L433" s="108" t="s">
        <v>376</v>
      </c>
      <c r="M433" s="62"/>
      <c r="N433" s="558"/>
      <c r="O433" s="558"/>
      <c r="P433" s="558"/>
      <c r="Q433" s="558"/>
      <c r="R433" s="558"/>
      <c r="S433" s="558"/>
      <c r="T433" s="558"/>
      <c r="U433" s="558"/>
      <c r="V433" s="558"/>
    </row>
    <row r="434" spans="2:25" s="5" customFormat="1" ht="15.75" hidden="1" x14ac:dyDescent="0.25">
      <c r="B434" s="107"/>
      <c r="C434" s="109" t="s">
        <v>433</v>
      </c>
      <c r="D434" s="109"/>
      <c r="E434" s="1455"/>
      <c r="F434" s="1455"/>
      <c r="G434" s="1455"/>
      <c r="H434" s="109"/>
      <c r="I434" s="109"/>
      <c r="J434" s="109"/>
      <c r="K434" s="109"/>
      <c r="L434" s="108"/>
      <c r="M434" s="62"/>
      <c r="N434" s="558"/>
      <c r="O434" s="558"/>
      <c r="P434" s="558"/>
      <c r="Q434" s="558"/>
      <c r="R434" s="558"/>
      <c r="S434" s="558"/>
      <c r="T434" s="558"/>
      <c r="U434" s="558"/>
      <c r="V434" s="558"/>
    </row>
    <row r="435" spans="2:25" s="5" customFormat="1" ht="15.75" hidden="1" x14ac:dyDescent="0.25">
      <c r="B435" s="107"/>
      <c r="C435" s="107"/>
      <c r="D435" s="107"/>
      <c r="E435" s="1455"/>
      <c r="F435" s="1455"/>
      <c r="G435" s="1455"/>
      <c r="H435" s="107"/>
      <c r="I435" s="107"/>
      <c r="J435" s="107"/>
      <c r="K435" s="107"/>
      <c r="L435" s="123"/>
      <c r="M435" s="62"/>
      <c r="N435" s="558"/>
      <c r="O435" s="558"/>
      <c r="P435" s="558"/>
      <c r="Q435" s="558"/>
      <c r="R435" s="558"/>
      <c r="S435" s="558"/>
      <c r="T435" s="558"/>
      <c r="U435" s="558"/>
      <c r="V435" s="558"/>
    </row>
    <row r="436" spans="2:25" s="5" customFormat="1" ht="15.75" hidden="1" x14ac:dyDescent="0.25">
      <c r="B436" s="106" t="s">
        <v>434</v>
      </c>
      <c r="C436" s="106" t="s">
        <v>386</v>
      </c>
      <c r="D436" s="107"/>
      <c r="E436" s="107"/>
      <c r="F436" s="107"/>
      <c r="G436" s="107"/>
      <c r="H436" s="107"/>
      <c r="I436" s="107"/>
      <c r="J436" s="107"/>
      <c r="K436" s="107"/>
      <c r="L436" s="108" t="s">
        <v>1490</v>
      </c>
      <c r="M436" s="62"/>
      <c r="N436" s="558"/>
      <c r="O436" s="558"/>
      <c r="P436" s="558"/>
      <c r="Q436" s="558"/>
      <c r="R436" s="558"/>
      <c r="S436" s="558"/>
      <c r="T436" s="558"/>
      <c r="U436" s="558"/>
      <c r="V436" s="558"/>
    </row>
    <row r="437" spans="2:25" s="5" customFormat="1" ht="15.75" hidden="1" x14ac:dyDescent="0.25">
      <c r="B437" s="107"/>
      <c r="C437" s="107" t="s">
        <v>436</v>
      </c>
      <c r="D437" s="107"/>
      <c r="E437" s="107"/>
      <c r="F437" s="107"/>
      <c r="G437" s="107"/>
      <c r="H437" s="107"/>
      <c r="I437" s="107"/>
      <c r="J437" s="107"/>
      <c r="K437" s="107" t="s">
        <v>344</v>
      </c>
      <c r="L437" s="108"/>
      <c r="M437" s="62"/>
      <c r="N437" s="558"/>
      <c r="O437" s="558"/>
      <c r="P437" s="558"/>
      <c r="Q437" s="558"/>
      <c r="R437" s="558"/>
      <c r="S437" s="558"/>
      <c r="T437" s="558"/>
      <c r="U437" s="558"/>
      <c r="V437" s="558"/>
    </row>
    <row r="438" spans="2:25" s="5" customFormat="1" ht="15.75" hidden="1" x14ac:dyDescent="0.25">
      <c r="B438" s="107"/>
      <c r="C438" s="107" t="s">
        <v>1474</v>
      </c>
      <c r="D438" s="1474">
        <v>4.0000000000000001E-3</v>
      </c>
      <c r="E438" s="107"/>
      <c r="F438" s="107"/>
      <c r="G438" s="107"/>
      <c r="H438" s="107"/>
      <c r="I438" s="107"/>
      <c r="J438" s="107"/>
      <c r="K438" s="107" t="s">
        <v>352</v>
      </c>
      <c r="L438" s="108"/>
      <c r="M438" s="62"/>
      <c r="N438" s="558"/>
      <c r="O438" s="558"/>
      <c r="P438" s="558"/>
      <c r="Q438" s="558"/>
      <c r="R438" s="558"/>
      <c r="S438" s="558"/>
      <c r="T438" s="558"/>
      <c r="U438" s="558"/>
      <c r="V438" s="558"/>
    </row>
    <row r="439" spans="2:25" s="5" customFormat="1" ht="15.75" hidden="1" x14ac:dyDescent="0.25">
      <c r="B439" s="107"/>
      <c r="C439" s="107"/>
      <c r="D439" s="107"/>
      <c r="E439" s="107"/>
      <c r="F439" s="107"/>
      <c r="G439" s="107"/>
      <c r="H439" s="107"/>
      <c r="I439" s="107"/>
      <c r="J439" s="107"/>
      <c r="K439" s="107"/>
      <c r="L439" s="108"/>
      <c r="M439" s="62"/>
      <c r="N439" s="558"/>
      <c r="O439" s="558"/>
      <c r="P439" s="558"/>
      <c r="Q439" s="558"/>
      <c r="R439" s="558"/>
      <c r="S439" s="558"/>
      <c r="T439" s="558"/>
      <c r="U439" s="558"/>
      <c r="V439" s="558"/>
    </row>
    <row r="440" spans="2:25" s="5" customFormat="1" ht="15.75" hidden="1" x14ac:dyDescent="0.25">
      <c r="B440" s="107" t="s">
        <v>422</v>
      </c>
      <c r="C440" s="115" t="s">
        <v>900</v>
      </c>
      <c r="D440" s="126">
        <f>D422*D438*44/28</f>
        <v>0</v>
      </c>
      <c r="E440" s="427"/>
      <c r="F440" s="107"/>
      <c r="G440" s="107"/>
      <c r="H440" s="107"/>
      <c r="I440" s="107"/>
      <c r="J440" s="107"/>
      <c r="K440" s="141" t="s">
        <v>477</v>
      </c>
      <c r="L440" s="108"/>
      <c r="M440" s="62"/>
      <c r="N440" s="558"/>
      <c r="O440" s="558"/>
      <c r="P440" s="558"/>
      <c r="Q440" s="558"/>
      <c r="R440" s="558"/>
      <c r="S440" s="558"/>
      <c r="T440" s="558"/>
      <c r="U440" s="558"/>
      <c r="V440" s="558"/>
    </row>
    <row r="441" spans="2:25" s="5" customFormat="1" ht="15.75" hidden="1" x14ac:dyDescent="0.25">
      <c r="B441" s="107"/>
      <c r="C441" s="115" t="s">
        <v>910</v>
      </c>
      <c r="D441" s="126">
        <f>D423*D438*44/28</f>
        <v>0</v>
      </c>
      <c r="E441" s="584"/>
      <c r="F441" s="107"/>
      <c r="G441" s="107"/>
      <c r="H441" s="107"/>
      <c r="I441" s="107"/>
      <c r="J441" s="107"/>
      <c r="K441" s="141" t="s">
        <v>477</v>
      </c>
      <c r="L441" s="108"/>
      <c r="M441" s="62"/>
      <c r="N441" s="558"/>
      <c r="O441" s="558"/>
      <c r="P441" s="558"/>
      <c r="Q441" s="558"/>
      <c r="R441" s="558"/>
      <c r="S441" s="558"/>
      <c r="T441" s="558"/>
      <c r="U441" s="558"/>
      <c r="V441" s="558"/>
    </row>
    <row r="442" spans="2:25" s="5" customFormat="1" ht="15.75" hidden="1" x14ac:dyDescent="0.25">
      <c r="B442" s="107"/>
      <c r="C442" s="115"/>
      <c r="D442" s="113"/>
      <c r="E442" s="109"/>
      <c r="F442" s="107"/>
      <c r="G442" s="107"/>
      <c r="H442" s="107"/>
      <c r="I442" s="107"/>
      <c r="J442" s="107"/>
      <c r="K442" s="141"/>
      <c r="L442" s="108"/>
      <c r="M442" s="62"/>
      <c r="N442" s="62"/>
      <c r="O442" s="62"/>
    </row>
    <row r="443" spans="2:25" s="5" customFormat="1" ht="15.75" hidden="1" x14ac:dyDescent="0.25">
      <c r="B443" s="107"/>
      <c r="C443" s="115"/>
      <c r="D443" s="2005"/>
      <c r="E443" s="2004"/>
      <c r="F443" s="2003"/>
      <c r="G443" s="2003"/>
      <c r="H443" s="2003"/>
      <c r="I443" s="2003"/>
      <c r="J443" s="2003"/>
      <c r="K443" s="141"/>
      <c r="L443" s="108"/>
      <c r="M443" s="62"/>
      <c r="N443" s="62"/>
      <c r="O443" s="62"/>
    </row>
    <row r="444" spans="2:25" s="5" customFormat="1" ht="15.75" hidden="1" x14ac:dyDescent="0.25">
      <c r="B444" s="107"/>
      <c r="C444" s="115"/>
      <c r="D444" s="2006"/>
      <c r="E444" s="2006"/>
      <c r="F444" s="2006"/>
      <c r="G444" s="2006"/>
      <c r="H444" s="2006"/>
      <c r="I444" s="2006"/>
      <c r="J444" s="2006"/>
      <c r="K444" s="107"/>
      <c r="L444" s="108"/>
      <c r="M444" s="62"/>
      <c r="N444" s="62"/>
      <c r="O444" s="62"/>
    </row>
    <row r="445" spans="2:25" s="5" customFormat="1" ht="15.75" hidden="1" x14ac:dyDescent="0.25">
      <c r="B445" s="107" t="s">
        <v>427</v>
      </c>
      <c r="C445" s="110" t="s">
        <v>478</v>
      </c>
      <c r="D445" s="1639" t="e">
        <f>D430*$D$438*44/28</f>
        <v>#DIV/0!</v>
      </c>
      <c r="E445" s="1639" t="e">
        <f t="shared" ref="E445:J445" si="37">E430*$D$438*44/28</f>
        <v>#N/A</v>
      </c>
      <c r="F445" s="1639" t="e">
        <f t="shared" si="37"/>
        <v>#N/A</v>
      </c>
      <c r="G445" s="1639" t="e">
        <f t="shared" si="37"/>
        <v>#N/A</v>
      </c>
      <c r="H445" s="1639" t="e">
        <f t="shared" si="37"/>
        <v>#N/A</v>
      </c>
      <c r="I445" s="1639">
        <f>I430*$D$438*44/28</f>
        <v>0</v>
      </c>
      <c r="J445" s="1618">
        <f t="shared" si="37"/>
        <v>0</v>
      </c>
      <c r="K445" s="141" t="s">
        <v>477</v>
      </c>
      <c r="L445" s="108"/>
      <c r="M445" s="62"/>
      <c r="N445" s="62"/>
      <c r="O445" s="62"/>
    </row>
    <row r="446" spans="2:25" s="5" customFormat="1" ht="15.75" hidden="1" x14ac:dyDescent="0.25">
      <c r="B446" s="107"/>
      <c r="C446" s="112"/>
      <c r="D446" s="1484"/>
      <c r="E446" s="107"/>
      <c r="F446" s="107"/>
      <c r="G446" s="107"/>
      <c r="H446" s="107"/>
      <c r="I446" s="107"/>
      <c r="J446" s="107"/>
      <c r="K446" s="107"/>
      <c r="L446" s="108"/>
      <c r="M446" s="62"/>
      <c r="N446" s="62"/>
      <c r="O446" s="62"/>
    </row>
    <row r="447" spans="2:25" s="5" customFormat="1" ht="15.75" hidden="1" x14ac:dyDescent="0.25">
      <c r="B447" s="112" t="s">
        <v>260</v>
      </c>
      <c r="C447" s="110" t="s">
        <v>478</v>
      </c>
      <c r="D447" s="1618" t="e">
        <f>SUM(D440:D441)+SUM(D445:J445)</f>
        <v>#DIV/0!</v>
      </c>
      <c r="E447" s="111"/>
      <c r="F447" s="111"/>
      <c r="G447" s="111"/>
      <c r="H447" s="111"/>
      <c r="I447" s="111"/>
      <c r="J447" s="111"/>
      <c r="K447" s="141" t="s">
        <v>477</v>
      </c>
      <c r="L447" s="123"/>
      <c r="M447" s="62"/>
      <c r="N447" s="62"/>
      <c r="O447" s="62"/>
    </row>
    <row r="448" spans="2:25" s="5" customFormat="1" ht="15.75" hidden="1" x14ac:dyDescent="0.25">
      <c r="B448" s="112"/>
      <c r="C448" s="112"/>
      <c r="D448" s="111"/>
      <c r="E448" s="107"/>
      <c r="F448" s="107"/>
      <c r="G448" s="107"/>
      <c r="H448" s="107"/>
      <c r="I448" s="107"/>
      <c r="J448" s="107"/>
      <c r="K448" s="141"/>
      <c r="L448" s="108"/>
      <c r="M448" s="62"/>
      <c r="N448" s="62"/>
      <c r="O448" s="62"/>
      <c r="W448" s="143"/>
      <c r="X448" s="143"/>
      <c r="Y448" s="143"/>
    </row>
    <row r="449" spans="2:23" s="5" customFormat="1" ht="15.75" hidden="1" x14ac:dyDescent="0.25">
      <c r="B449" s="106" t="s">
        <v>300</v>
      </c>
      <c r="C449" s="1618" t="e">
        <f>SUM(D447:D447)</f>
        <v>#DIV/0!</v>
      </c>
      <c r="D449" s="111"/>
      <c r="E449" s="107"/>
      <c r="F449" s="107"/>
      <c r="G449" s="110"/>
      <c r="H449" s="110"/>
      <c r="I449" s="110"/>
      <c r="J449" s="110"/>
      <c r="K449" s="141" t="s">
        <v>336</v>
      </c>
      <c r="L449" s="108"/>
      <c r="M449" s="62"/>
      <c r="N449" s="62"/>
      <c r="O449" s="62"/>
      <c r="W449" s="143"/>
    </row>
    <row r="450" spans="2:23" s="5" customFormat="1" ht="15.75" hidden="1" x14ac:dyDescent="0.25">
      <c r="B450" s="106" t="s">
        <v>437</v>
      </c>
      <c r="C450" s="1618" t="e">
        <f>C449*298</f>
        <v>#DIV/0!</v>
      </c>
      <c r="D450" s="1720"/>
      <c r="E450" s="1398"/>
      <c r="F450" s="107"/>
      <c r="G450" s="107"/>
      <c r="H450" s="107"/>
      <c r="I450" s="107"/>
      <c r="J450" s="107"/>
      <c r="K450" s="141" t="s">
        <v>302</v>
      </c>
      <c r="L450" s="108"/>
      <c r="M450" s="62"/>
      <c r="N450" s="62"/>
      <c r="O450" s="62"/>
      <c r="W450" s="143"/>
    </row>
    <row r="451" spans="2:23" s="5" customFormat="1" ht="15.75" hidden="1" x14ac:dyDescent="0.25">
      <c r="B451" s="107"/>
      <c r="C451" s="107"/>
      <c r="D451" s="107"/>
      <c r="E451" s="107"/>
      <c r="F451" s="107"/>
      <c r="G451" s="107"/>
      <c r="H451" s="107"/>
      <c r="I451" s="107"/>
      <c r="J451" s="107"/>
      <c r="K451" s="107"/>
      <c r="L451" s="108"/>
      <c r="M451" s="62"/>
      <c r="N451" s="62"/>
      <c r="O451" s="62"/>
      <c r="W451" s="143"/>
    </row>
    <row r="452" spans="2:23" s="5" customFormat="1" ht="15.75" hidden="1" x14ac:dyDescent="0.25">
      <c r="B452" s="106" t="s">
        <v>438</v>
      </c>
      <c r="C452" s="107"/>
      <c r="D452" s="107"/>
      <c r="E452" s="107"/>
      <c r="F452" s="107"/>
      <c r="G452" s="107"/>
      <c r="H452" s="107"/>
      <c r="I452" s="107"/>
      <c r="J452" s="107"/>
      <c r="K452" s="107"/>
      <c r="L452" s="108"/>
      <c r="M452" s="62"/>
      <c r="N452" s="62"/>
      <c r="O452" s="62"/>
    </row>
    <row r="453" spans="2:23" s="5" customFormat="1" ht="15.75" hidden="1" x14ac:dyDescent="0.25">
      <c r="B453" s="106" t="s">
        <v>439</v>
      </c>
      <c r="C453" s="106" t="s">
        <v>440</v>
      </c>
      <c r="D453" s="107"/>
      <c r="E453" s="107"/>
      <c r="F453" s="107"/>
      <c r="G453" s="107"/>
      <c r="H453" s="107"/>
      <c r="I453" s="107"/>
      <c r="J453" s="107"/>
      <c r="K453" s="107"/>
      <c r="L453" s="108" t="s">
        <v>1488</v>
      </c>
      <c r="M453" s="62"/>
      <c r="N453" s="62"/>
      <c r="O453" s="62"/>
    </row>
    <row r="454" spans="2:23" s="5" customFormat="1" ht="15.75" hidden="1" x14ac:dyDescent="0.25">
      <c r="B454" s="107"/>
      <c r="C454" s="107" t="s">
        <v>442</v>
      </c>
      <c r="D454" s="107"/>
      <c r="E454" s="107"/>
      <c r="F454" s="107"/>
      <c r="G454" s="107"/>
      <c r="H454" s="107"/>
      <c r="I454" s="107"/>
      <c r="J454" s="107"/>
      <c r="K454" s="107" t="s">
        <v>344</v>
      </c>
      <c r="L454" s="108"/>
      <c r="M454" s="62"/>
      <c r="N454" s="62"/>
      <c r="O454" s="62"/>
    </row>
    <row r="455" spans="2:23" s="5" customFormat="1" ht="15.75" hidden="1" x14ac:dyDescent="0.25">
      <c r="B455" s="107"/>
      <c r="C455" s="107" t="s">
        <v>443</v>
      </c>
      <c r="D455" s="107">
        <v>1</v>
      </c>
      <c r="E455" s="107"/>
      <c r="F455" s="107"/>
      <c r="G455" s="107"/>
      <c r="H455" s="107"/>
      <c r="I455" s="107"/>
      <c r="J455" s="107"/>
      <c r="K455" s="107"/>
      <c r="L455" s="108" t="s">
        <v>1489</v>
      </c>
      <c r="M455" s="62"/>
      <c r="N455" s="62"/>
      <c r="O455" s="62"/>
    </row>
    <row r="456" spans="2:23" s="5" customFormat="1" ht="15.75" hidden="1" x14ac:dyDescent="0.25">
      <c r="B456" s="107"/>
      <c r="C456" s="107" t="s">
        <v>445</v>
      </c>
      <c r="D456" s="110">
        <v>0.3</v>
      </c>
      <c r="E456" s="107"/>
      <c r="F456" s="107"/>
      <c r="G456" s="107"/>
      <c r="H456" s="107"/>
      <c r="I456" s="107"/>
      <c r="J456" s="107"/>
      <c r="K456" s="107" t="s">
        <v>421</v>
      </c>
      <c r="L456" s="108"/>
      <c r="M456" s="105"/>
      <c r="N456" s="62"/>
      <c r="O456" s="62"/>
    </row>
    <row r="457" spans="2:23" s="5" customFormat="1" ht="15.75" hidden="1" x14ac:dyDescent="0.25">
      <c r="B457" s="107"/>
      <c r="C457" s="107"/>
      <c r="D457" s="107"/>
      <c r="E457" s="107"/>
      <c r="F457" s="107"/>
      <c r="G457" s="107"/>
      <c r="H457" s="107"/>
      <c r="I457" s="107"/>
      <c r="J457" s="107"/>
      <c r="K457" s="107"/>
      <c r="L457" s="108"/>
      <c r="M457" s="62"/>
      <c r="N457" s="62"/>
      <c r="O457" s="62"/>
    </row>
    <row r="458" spans="2:23" s="5" customFormat="1" ht="15.75" hidden="1" x14ac:dyDescent="0.25">
      <c r="B458" s="107" t="s">
        <v>422</v>
      </c>
      <c r="C458" s="115" t="s">
        <v>900</v>
      </c>
      <c r="D458" s="1642">
        <f>D321*D455*D456</f>
        <v>0</v>
      </c>
      <c r="E458" s="113"/>
      <c r="F458" s="107"/>
      <c r="G458" s="107"/>
      <c r="H458" s="107"/>
      <c r="I458" s="107"/>
      <c r="J458" s="107"/>
      <c r="K458" s="107" t="s">
        <v>476</v>
      </c>
      <c r="L458" s="108"/>
      <c r="M458" s="62"/>
      <c r="N458" s="62"/>
      <c r="O458" s="62"/>
    </row>
    <row r="459" spans="2:23" s="5" customFormat="1" ht="15.75" hidden="1" x14ac:dyDescent="0.25">
      <c r="B459" s="107"/>
      <c r="C459" s="115" t="s">
        <v>910</v>
      </c>
      <c r="D459" s="1642">
        <f>D322*D455*D456</f>
        <v>0</v>
      </c>
      <c r="E459" s="109"/>
      <c r="F459" s="107"/>
      <c r="G459" s="107"/>
      <c r="H459" s="107"/>
      <c r="I459" s="107"/>
      <c r="J459" s="107"/>
      <c r="K459" s="107" t="s">
        <v>476</v>
      </c>
      <c r="L459" s="108"/>
      <c r="M459" s="62"/>
      <c r="N459" s="62"/>
      <c r="O459" s="62"/>
    </row>
    <row r="460" spans="2:23" s="5" customFormat="1" ht="15.75" hidden="1" x14ac:dyDescent="0.25">
      <c r="B460" s="107"/>
      <c r="C460" s="115"/>
      <c r="D460" s="113"/>
      <c r="E460" s="109"/>
      <c r="F460" s="107"/>
      <c r="G460" s="107"/>
      <c r="H460" s="107"/>
      <c r="I460" s="107"/>
      <c r="J460" s="107"/>
      <c r="K460" s="107"/>
      <c r="L460" s="108"/>
      <c r="M460" s="62"/>
      <c r="N460" s="62"/>
      <c r="O460" s="62"/>
    </row>
    <row r="461" spans="2:23" s="5" customFormat="1" ht="15.75" hidden="1" x14ac:dyDescent="0.25">
      <c r="B461" s="107"/>
      <c r="C461" s="115"/>
      <c r="D461" s="113"/>
      <c r="E461" s="109"/>
      <c r="F461" s="107"/>
      <c r="G461" s="107"/>
      <c r="H461" s="107"/>
      <c r="I461" s="107"/>
      <c r="J461" s="107"/>
      <c r="K461" s="107"/>
      <c r="L461" s="108"/>
      <c r="M461" s="62"/>
      <c r="N461" s="134"/>
      <c r="O461" s="134"/>
    </row>
    <row r="462" spans="2:23" s="5" customFormat="1" ht="15.75" hidden="1" x14ac:dyDescent="0.25">
      <c r="B462" s="107"/>
      <c r="C462" s="107"/>
      <c r="D462" s="107"/>
      <c r="E462" s="107"/>
      <c r="F462" s="107"/>
      <c r="G462" s="107"/>
      <c r="H462" s="107"/>
      <c r="I462" s="107"/>
      <c r="J462" s="107"/>
      <c r="K462" s="107"/>
      <c r="L462" s="108"/>
      <c r="M462" s="62"/>
      <c r="N462" s="134"/>
      <c r="O462" s="134"/>
    </row>
    <row r="463" spans="2:23" s="5" customFormat="1" ht="15.75" hidden="1" x14ac:dyDescent="0.25">
      <c r="B463" s="106" t="s">
        <v>446</v>
      </c>
      <c r="C463" s="106" t="s">
        <v>447</v>
      </c>
      <c r="D463" s="107"/>
      <c r="E463" s="107"/>
      <c r="F463" s="107"/>
      <c r="G463" s="107"/>
      <c r="H463" s="107"/>
      <c r="I463" s="107"/>
      <c r="J463" s="107"/>
      <c r="K463" s="107" t="s">
        <v>325</v>
      </c>
      <c r="L463" s="108" t="s">
        <v>1491</v>
      </c>
      <c r="M463" s="62"/>
      <c r="N463" s="62"/>
      <c r="O463" s="62"/>
    </row>
    <row r="464" spans="2:23" s="5" customFormat="1" ht="15.75" hidden="1" x14ac:dyDescent="0.25">
      <c r="B464" s="107"/>
      <c r="C464" s="107" t="s">
        <v>449</v>
      </c>
      <c r="D464" s="107"/>
      <c r="E464" s="107"/>
      <c r="F464" s="107"/>
      <c r="G464" s="107"/>
      <c r="H464" s="107"/>
      <c r="I464" s="107"/>
      <c r="J464" s="107"/>
      <c r="K464" s="107" t="s">
        <v>325</v>
      </c>
      <c r="L464" s="108"/>
      <c r="M464" s="62"/>
      <c r="N464" s="62"/>
      <c r="O464" s="62"/>
    </row>
    <row r="465" spans="2:15" s="5" customFormat="1" ht="15.75" hidden="1" x14ac:dyDescent="0.25">
      <c r="B465" s="107"/>
      <c r="C465" s="107" t="s">
        <v>450</v>
      </c>
      <c r="D465" s="107"/>
      <c r="E465" s="107"/>
      <c r="F465" s="107"/>
      <c r="G465" s="107"/>
      <c r="H465" s="107"/>
      <c r="I465" s="107"/>
      <c r="J465" s="107"/>
      <c r="K465" s="107" t="s">
        <v>325</v>
      </c>
      <c r="L465" s="108"/>
      <c r="M465" s="62"/>
      <c r="N465" s="62"/>
      <c r="O465" s="62"/>
    </row>
    <row r="466" spans="2:15" s="5" customFormat="1" ht="15.75" hidden="1" x14ac:dyDescent="0.25">
      <c r="B466" s="107"/>
      <c r="C466" s="107" t="s">
        <v>451</v>
      </c>
      <c r="D466" s="107"/>
      <c r="E466" s="107"/>
      <c r="F466" s="107"/>
      <c r="G466" s="107"/>
      <c r="H466" s="107"/>
      <c r="I466" s="107"/>
      <c r="J466" s="107"/>
      <c r="K466" s="107" t="s">
        <v>325</v>
      </c>
      <c r="L466" s="108"/>
      <c r="M466" s="62"/>
      <c r="N466" s="62"/>
      <c r="O466" s="62"/>
    </row>
    <row r="467" spans="2:15" s="5" customFormat="1" ht="15.75" hidden="1" x14ac:dyDescent="0.25">
      <c r="B467" s="107"/>
      <c r="C467" s="107"/>
      <c r="D467" s="107"/>
      <c r="E467" s="107"/>
      <c r="F467" s="107"/>
      <c r="G467" s="107"/>
      <c r="H467" s="107"/>
      <c r="I467" s="107"/>
      <c r="J467" s="107"/>
      <c r="K467" s="107"/>
      <c r="L467" s="108"/>
      <c r="M467" s="62"/>
      <c r="N467" s="62"/>
      <c r="O467" s="62"/>
    </row>
    <row r="468" spans="2:15" s="5" customFormat="1" ht="15.75" hidden="1" x14ac:dyDescent="0.25">
      <c r="B468" s="107"/>
      <c r="C468" s="110" t="s">
        <v>478</v>
      </c>
      <c r="D468" s="1618" t="e">
        <f>SUM(D359,D402,D398)*$D$455*$D$456</f>
        <v>#DIV/0!</v>
      </c>
      <c r="E468" s="1618" t="e">
        <f t="shared" ref="E468:J468" si="38">SUM(E359,E402,E398)*$D$455*$D$456</f>
        <v>#N/A</v>
      </c>
      <c r="F468" s="1618" t="e">
        <f t="shared" si="38"/>
        <v>#N/A</v>
      </c>
      <c r="G468" s="1618" t="e">
        <f t="shared" si="38"/>
        <v>#N/A</v>
      </c>
      <c r="H468" s="1618" t="e">
        <f t="shared" si="38"/>
        <v>#N/A</v>
      </c>
      <c r="I468" s="1618">
        <f t="shared" si="38"/>
        <v>0</v>
      </c>
      <c r="J468" s="1618">
        <f t="shared" si="38"/>
        <v>0</v>
      </c>
      <c r="K468" s="107" t="s">
        <v>325</v>
      </c>
      <c r="L468" s="108"/>
      <c r="M468" s="62"/>
    </row>
    <row r="469" spans="2:15" s="5" customFormat="1" ht="15.75" hidden="1" x14ac:dyDescent="0.25">
      <c r="B469" s="107"/>
      <c r="C469" s="107"/>
      <c r="D469" s="107"/>
      <c r="E469" s="107"/>
      <c r="F469" s="107"/>
      <c r="G469" s="107"/>
      <c r="H469" s="107"/>
      <c r="I469" s="107"/>
      <c r="J469" s="107"/>
      <c r="K469" s="107"/>
      <c r="L469" s="108"/>
      <c r="M469" s="62"/>
    </row>
    <row r="470" spans="2:15" s="5" customFormat="1" ht="15.75" hidden="1" x14ac:dyDescent="0.25">
      <c r="B470" s="106" t="s">
        <v>452</v>
      </c>
      <c r="C470" s="106" t="s">
        <v>386</v>
      </c>
      <c r="D470" s="107"/>
      <c r="E470" s="107"/>
      <c r="F470" s="107"/>
      <c r="G470" s="107"/>
      <c r="H470" s="107"/>
      <c r="I470" s="107"/>
      <c r="J470" s="107"/>
      <c r="K470" s="107"/>
      <c r="L470" s="108" t="s">
        <v>1492</v>
      </c>
      <c r="M470" s="62"/>
    </row>
    <row r="471" spans="2:15" s="5" customFormat="1" ht="15.75" hidden="1" x14ac:dyDescent="0.25">
      <c r="B471" s="107"/>
      <c r="C471" s="107" t="s">
        <v>454</v>
      </c>
      <c r="D471" s="107"/>
      <c r="E471" s="107"/>
      <c r="F471" s="107"/>
      <c r="G471" s="107"/>
      <c r="H471" s="107"/>
      <c r="I471" s="107"/>
      <c r="J471" s="107"/>
      <c r="K471" s="107" t="s">
        <v>344</v>
      </c>
      <c r="L471" s="108"/>
      <c r="M471" s="62"/>
    </row>
    <row r="472" spans="2:15" s="5" customFormat="1" ht="15.75" hidden="1" x14ac:dyDescent="0.25">
      <c r="B472" s="107"/>
      <c r="C472" s="107" t="s">
        <v>1475</v>
      </c>
      <c r="D472" s="1618">
        <v>7.4999999999999997E-3</v>
      </c>
      <c r="E472" s="107"/>
      <c r="F472" s="107"/>
      <c r="G472" s="107"/>
      <c r="H472" s="107"/>
      <c r="I472" s="107"/>
      <c r="J472" s="107"/>
      <c r="K472" s="107" t="s">
        <v>352</v>
      </c>
      <c r="L472" s="108"/>
      <c r="M472" s="62"/>
    </row>
    <row r="473" spans="2:15" s="5" customFormat="1" ht="15.75" hidden="1" x14ac:dyDescent="0.25">
      <c r="B473" s="107"/>
      <c r="C473" s="107"/>
      <c r="D473" s="1618"/>
      <c r="E473" s="107"/>
      <c r="F473" s="107"/>
      <c r="G473" s="107"/>
      <c r="H473" s="107"/>
      <c r="I473" s="107"/>
      <c r="J473" s="107"/>
      <c r="K473" s="107"/>
      <c r="L473" s="108"/>
      <c r="M473" s="62"/>
    </row>
    <row r="474" spans="2:15" s="5" customFormat="1" ht="15.75" hidden="1" x14ac:dyDescent="0.25">
      <c r="B474" s="107" t="s">
        <v>422</v>
      </c>
      <c r="C474" s="115" t="s">
        <v>900</v>
      </c>
      <c r="D474" s="1642">
        <f>D458*D472*44/28</f>
        <v>0</v>
      </c>
      <c r="E474" s="583"/>
      <c r="F474" s="107"/>
      <c r="G474" s="139"/>
      <c r="H474" s="107"/>
      <c r="I474" s="107"/>
      <c r="J474" s="107"/>
      <c r="K474" s="107" t="s">
        <v>477</v>
      </c>
      <c r="L474" s="108"/>
      <c r="M474" s="62"/>
    </row>
    <row r="475" spans="2:15" s="5" customFormat="1" ht="15.75" hidden="1" x14ac:dyDescent="0.25">
      <c r="B475" s="107"/>
      <c r="C475" s="115" t="s">
        <v>910</v>
      </c>
      <c r="D475" s="1642">
        <f>D459*D472*44/28</f>
        <v>0</v>
      </c>
      <c r="E475" s="109"/>
      <c r="F475" s="107"/>
      <c r="G475" s="139"/>
      <c r="H475" s="107"/>
      <c r="I475" s="107"/>
      <c r="J475" s="107"/>
      <c r="K475" s="107" t="s">
        <v>477</v>
      </c>
      <c r="L475" s="108"/>
      <c r="M475" s="62"/>
    </row>
    <row r="476" spans="2:15" s="5" customFormat="1" ht="15.75" hidden="1" x14ac:dyDescent="0.25">
      <c r="B476" s="107"/>
      <c r="C476" s="115"/>
      <c r="D476" s="113"/>
      <c r="E476" s="109"/>
      <c r="F476" s="107"/>
      <c r="G476" s="139"/>
      <c r="H476" s="107"/>
      <c r="I476" s="107"/>
      <c r="J476" s="107"/>
      <c r="K476" s="107"/>
      <c r="L476" s="108"/>
      <c r="M476" s="62"/>
    </row>
    <row r="477" spans="2:15" s="5" customFormat="1" ht="15.75" hidden="1" x14ac:dyDescent="0.25">
      <c r="B477" s="107"/>
      <c r="C477" s="115"/>
      <c r="D477" s="2000"/>
      <c r="E477" s="1999"/>
      <c r="F477" s="1998"/>
      <c r="G477" s="2001"/>
      <c r="H477" s="1998"/>
      <c r="I477" s="1998"/>
      <c r="J477" s="1998"/>
      <c r="K477" s="107"/>
      <c r="L477" s="108"/>
      <c r="M477" s="62"/>
    </row>
    <row r="478" spans="2:15" s="5" customFormat="1" ht="15.75" hidden="1" x14ac:dyDescent="0.25">
      <c r="B478" s="107"/>
      <c r="C478" s="107"/>
      <c r="D478" s="2001"/>
      <c r="E478" s="2001"/>
      <c r="F478" s="2001"/>
      <c r="G478" s="2001"/>
      <c r="H478" s="2001"/>
      <c r="I478" s="2001"/>
      <c r="J478" s="2001"/>
      <c r="K478" s="107"/>
      <c r="L478" s="108"/>
      <c r="M478" s="62"/>
    </row>
    <row r="479" spans="2:15" s="5" customFormat="1" ht="15.75" hidden="1" x14ac:dyDescent="0.25">
      <c r="B479" s="107" t="s">
        <v>427</v>
      </c>
      <c r="C479" s="110" t="s">
        <v>478</v>
      </c>
      <c r="D479" s="1618" t="e">
        <f>D468*$D$472*44/28</f>
        <v>#DIV/0!</v>
      </c>
      <c r="E479" s="1618" t="e">
        <f t="shared" ref="E479:J479" si="39">E468*$D$472*44/28</f>
        <v>#N/A</v>
      </c>
      <c r="F479" s="1618" t="e">
        <f t="shared" si="39"/>
        <v>#N/A</v>
      </c>
      <c r="G479" s="1618" t="e">
        <f t="shared" si="39"/>
        <v>#N/A</v>
      </c>
      <c r="H479" s="1618" t="e">
        <f t="shared" si="39"/>
        <v>#N/A</v>
      </c>
      <c r="I479" s="1618">
        <f t="shared" si="39"/>
        <v>0</v>
      </c>
      <c r="J479" s="1618">
        <f t="shared" si="39"/>
        <v>0</v>
      </c>
      <c r="K479" s="107" t="s">
        <v>335</v>
      </c>
      <c r="L479" s="108"/>
      <c r="M479" s="62"/>
    </row>
    <row r="480" spans="2:15" s="5" customFormat="1" ht="15.75" hidden="1" x14ac:dyDescent="0.25">
      <c r="B480" s="107"/>
      <c r="C480" s="110"/>
      <c r="D480" s="1618"/>
      <c r="E480" s="1618"/>
      <c r="F480" s="1618"/>
      <c r="G480" s="1618"/>
      <c r="H480" s="1618"/>
      <c r="I480" s="1618"/>
      <c r="J480" s="1618"/>
      <c r="K480" s="107"/>
      <c r="L480" s="108"/>
      <c r="M480" s="62"/>
    </row>
    <row r="481" spans="1:50" s="5" customFormat="1" ht="15.75" hidden="1" x14ac:dyDescent="0.25">
      <c r="B481" s="106" t="s">
        <v>260</v>
      </c>
      <c r="C481" s="110" t="s">
        <v>478</v>
      </c>
      <c r="D481" s="1642" t="e">
        <f>SUM(D474:D475)+SUM(D479:J479)</f>
        <v>#DIV/0!</v>
      </c>
      <c r="E481" s="113"/>
      <c r="F481" s="111"/>
      <c r="G481" s="111"/>
      <c r="H481" s="111"/>
      <c r="I481" s="111"/>
      <c r="J481" s="111"/>
      <c r="K481" s="107" t="s">
        <v>477</v>
      </c>
      <c r="L481" s="108"/>
      <c r="M481" s="62"/>
    </row>
    <row r="482" spans="1:50" s="5" customFormat="1" ht="15.75" hidden="1" x14ac:dyDescent="0.25">
      <c r="B482" s="106" t="s">
        <v>300</v>
      </c>
      <c r="C482" s="1660" t="e">
        <f>SUM(D481:D481)</f>
        <v>#DIV/0!</v>
      </c>
      <c r="D482" s="111"/>
      <c r="E482" s="111"/>
      <c r="F482" s="111"/>
      <c r="G482" s="111"/>
      <c r="H482" s="111"/>
      <c r="I482" s="111"/>
      <c r="J482" s="111"/>
      <c r="K482" s="107" t="s">
        <v>336</v>
      </c>
      <c r="L482" s="108"/>
      <c r="M482" s="62"/>
    </row>
    <row r="483" spans="1:50" s="5" customFormat="1" ht="15.75" hidden="1" x14ac:dyDescent="0.25">
      <c r="B483" s="1480" t="s">
        <v>455</v>
      </c>
      <c r="C483" s="1345" t="e">
        <f>C482*298</f>
        <v>#DIV/0!</v>
      </c>
      <c r="D483" s="1481"/>
      <c r="E483" s="1481"/>
      <c r="F483" s="1481"/>
      <c r="G483" s="1481"/>
      <c r="H483" s="1481"/>
      <c r="I483" s="1481"/>
      <c r="J483" s="1481"/>
      <c r="K483" s="1481" t="s">
        <v>302</v>
      </c>
      <c r="L483" s="1482"/>
      <c r="M483" s="62"/>
    </row>
    <row r="484" spans="1:50" s="5" customFormat="1" ht="15.75" hidden="1" x14ac:dyDescent="0.25">
      <c r="K484" s="62"/>
    </row>
    <row r="485" spans="1:50" s="5" customFormat="1" ht="18.75" hidden="1" x14ac:dyDescent="0.3">
      <c r="B485" s="437"/>
      <c r="C485" s="61"/>
      <c r="D485" s="61"/>
      <c r="E485" s="61"/>
      <c r="F485" s="61"/>
      <c r="G485" s="61"/>
      <c r="H485" s="61"/>
      <c r="I485" s="61"/>
      <c r="J485" s="61"/>
      <c r="K485" s="61"/>
    </row>
    <row r="486" spans="1:50" s="5" customFormat="1" ht="18.75" hidden="1" x14ac:dyDescent="0.3">
      <c r="A486" s="436" t="s">
        <v>595</v>
      </c>
      <c r="B486" s="437"/>
      <c r="C486" s="61"/>
      <c r="D486" s="61"/>
      <c r="E486" s="61"/>
      <c r="F486" s="61"/>
      <c r="G486" s="61"/>
      <c r="H486" s="61"/>
      <c r="I486" s="61"/>
      <c r="J486" s="61"/>
      <c r="K486" s="61"/>
      <c r="L486" s="61"/>
      <c r="M486" s="61"/>
      <c r="N486" s="61"/>
      <c r="O486" s="61"/>
      <c r="P486" s="61"/>
      <c r="Q486" s="61"/>
      <c r="R486" s="61"/>
      <c r="S486" s="61"/>
      <c r="T486" s="61"/>
      <c r="AH486" s="61"/>
      <c r="AI486" s="61"/>
      <c r="AJ486" s="61"/>
      <c r="AK486" s="61"/>
      <c r="AL486" s="61"/>
      <c r="AM486" s="61"/>
      <c r="AN486" s="61"/>
      <c r="AO486" s="61"/>
      <c r="AP486" s="61"/>
      <c r="AQ486" s="61"/>
      <c r="AR486" s="61"/>
      <c r="AS486" s="61"/>
      <c r="AT486" s="61"/>
      <c r="AU486" s="61"/>
      <c r="AV486" s="61"/>
      <c r="AW486" s="61"/>
      <c r="AX486" s="61"/>
    </row>
    <row r="487" spans="1:50" s="5" customFormat="1" ht="18.75" hidden="1" x14ac:dyDescent="0.3">
      <c r="A487" s="436"/>
      <c r="B487" s="438" t="s">
        <v>596</v>
      </c>
      <c r="C487" s="438">
        <v>0</v>
      </c>
      <c r="D487" s="438">
        <f>C487+1</f>
        <v>1</v>
      </c>
      <c r="E487" s="438">
        <f t="shared" ref="E487:AG487" si="40">D487+1</f>
        <v>2</v>
      </c>
      <c r="F487" s="438">
        <f t="shared" si="40"/>
        <v>3</v>
      </c>
      <c r="G487" s="438">
        <f t="shared" si="40"/>
        <v>4</v>
      </c>
      <c r="H487" s="438">
        <f t="shared" si="40"/>
        <v>5</v>
      </c>
      <c r="I487" s="438">
        <f t="shared" si="40"/>
        <v>6</v>
      </c>
      <c r="J487" s="438">
        <f>I487+1</f>
        <v>7</v>
      </c>
      <c r="K487" s="438">
        <f>J487+1</f>
        <v>8</v>
      </c>
      <c r="L487" s="438">
        <f>K487+1</f>
        <v>9</v>
      </c>
      <c r="M487" s="438">
        <f>L487+1</f>
        <v>10</v>
      </c>
      <c r="N487" s="438">
        <f>M487+1</f>
        <v>11</v>
      </c>
      <c r="O487" s="438">
        <f t="shared" si="40"/>
        <v>12</v>
      </c>
      <c r="P487" s="438">
        <f t="shared" si="40"/>
        <v>13</v>
      </c>
      <c r="Q487" s="438">
        <f>P487+1</f>
        <v>14</v>
      </c>
      <c r="R487" s="438">
        <f t="shared" si="40"/>
        <v>15</v>
      </c>
      <c r="S487" s="438">
        <f>R487+1</f>
        <v>16</v>
      </c>
      <c r="T487" s="438">
        <f t="shared" si="40"/>
        <v>17</v>
      </c>
      <c r="U487" s="438">
        <f>T487+1</f>
        <v>18</v>
      </c>
      <c r="V487" s="438">
        <f t="shared" si="40"/>
        <v>19</v>
      </c>
      <c r="W487" s="438">
        <f t="shared" si="40"/>
        <v>20</v>
      </c>
      <c r="X487" s="438">
        <f t="shared" si="40"/>
        <v>21</v>
      </c>
      <c r="Y487" s="438">
        <f t="shared" si="40"/>
        <v>22</v>
      </c>
      <c r="Z487" s="438">
        <f t="shared" si="40"/>
        <v>23</v>
      </c>
      <c r="AA487" s="438">
        <f t="shared" si="40"/>
        <v>24</v>
      </c>
      <c r="AB487" s="438">
        <f t="shared" si="40"/>
        <v>25</v>
      </c>
      <c r="AC487" s="438">
        <f t="shared" si="40"/>
        <v>26</v>
      </c>
      <c r="AD487" s="438">
        <f t="shared" si="40"/>
        <v>27</v>
      </c>
      <c r="AE487" s="438">
        <f t="shared" si="40"/>
        <v>28</v>
      </c>
      <c r="AF487" s="438">
        <f t="shared" si="40"/>
        <v>29</v>
      </c>
      <c r="AG487" s="438">
        <f t="shared" si="40"/>
        <v>30</v>
      </c>
      <c r="AH487" s="61"/>
      <c r="AI487" s="61"/>
      <c r="AJ487" s="61"/>
      <c r="AK487" s="61"/>
      <c r="AL487" s="61"/>
      <c r="AM487" s="61"/>
      <c r="AN487" s="61"/>
      <c r="AO487" s="61"/>
      <c r="AP487" s="61"/>
      <c r="AQ487" s="61"/>
      <c r="AR487" s="61"/>
      <c r="AS487" s="61"/>
      <c r="AT487" s="61"/>
      <c r="AU487" s="61"/>
      <c r="AV487" s="61"/>
      <c r="AW487" s="61"/>
      <c r="AX487" s="61"/>
    </row>
    <row r="488" spans="1:50" s="5" customFormat="1" ht="15.75" hidden="1" x14ac:dyDescent="0.25">
      <c r="A488" s="61"/>
      <c r="B488" s="439"/>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c r="AA488" s="439"/>
      <c r="AB488" s="439"/>
      <c r="AC488" s="439"/>
      <c r="AD488" s="439"/>
      <c r="AE488" s="439"/>
      <c r="AF488" s="439"/>
      <c r="AG488" s="439"/>
      <c r="AH488" s="61"/>
      <c r="AI488" s="61"/>
      <c r="AJ488" s="61"/>
      <c r="AK488" s="61"/>
      <c r="AL488" s="61"/>
      <c r="AM488" s="61"/>
      <c r="AN488" s="61"/>
      <c r="AO488" s="61"/>
      <c r="AP488" s="61"/>
      <c r="AQ488" s="61"/>
      <c r="AR488" s="61"/>
      <c r="AS488" s="61"/>
      <c r="AT488" s="61"/>
      <c r="AU488" s="61"/>
      <c r="AV488" s="61"/>
      <c r="AW488" s="61"/>
      <c r="AX488" s="61"/>
    </row>
    <row r="489" spans="1:50" s="5" customFormat="1" ht="15.75" hidden="1" x14ac:dyDescent="0.25">
      <c r="A489" s="61"/>
      <c r="B489" s="439" t="s">
        <v>597</v>
      </c>
      <c r="C489" s="439">
        <v>0</v>
      </c>
      <c r="D489" s="439">
        <v>2</v>
      </c>
      <c r="E489" s="439">
        <v>5</v>
      </c>
      <c r="F489" s="439">
        <v>19</v>
      </c>
      <c r="G489" s="439">
        <v>41</v>
      </c>
      <c r="H489" s="439">
        <v>68</v>
      </c>
      <c r="I489" s="439">
        <v>98</v>
      </c>
      <c r="J489" s="439">
        <v>128</v>
      </c>
      <c r="K489" s="439">
        <v>159</v>
      </c>
      <c r="L489" s="439">
        <v>188</v>
      </c>
      <c r="M489" s="439">
        <v>217</v>
      </c>
      <c r="N489" s="439">
        <v>244</v>
      </c>
      <c r="O489" s="439">
        <v>269</v>
      </c>
      <c r="P489" s="439">
        <v>293</v>
      </c>
      <c r="Q489" s="439">
        <v>316</v>
      </c>
      <c r="R489" s="439">
        <v>333</v>
      </c>
      <c r="S489" s="439">
        <v>356</v>
      </c>
      <c r="T489" s="439">
        <v>374</v>
      </c>
      <c r="U489" s="439">
        <v>391</v>
      </c>
      <c r="V489" s="439">
        <v>407</v>
      </c>
      <c r="W489" s="439">
        <v>422</v>
      </c>
      <c r="X489" s="439">
        <v>436</v>
      </c>
      <c r="Y489" s="439">
        <v>449</v>
      </c>
      <c r="Z489" s="439">
        <v>461</v>
      </c>
      <c r="AA489" s="439">
        <v>472</v>
      </c>
      <c r="AB489" s="439">
        <v>482</v>
      </c>
      <c r="AC489" s="439">
        <v>492</v>
      </c>
      <c r="AD489" s="439">
        <v>502</v>
      </c>
      <c r="AE489" s="439">
        <v>510</v>
      </c>
      <c r="AF489" s="439">
        <v>518</v>
      </c>
      <c r="AG489" s="439">
        <v>526</v>
      </c>
      <c r="AH489" s="61"/>
      <c r="AI489" s="61"/>
      <c r="AJ489" s="61"/>
      <c r="AK489" s="61"/>
      <c r="AL489" s="61"/>
      <c r="AM489" s="61"/>
      <c r="AN489" s="61"/>
      <c r="AO489" s="61"/>
      <c r="AP489" s="61"/>
      <c r="AQ489" s="61"/>
      <c r="AR489" s="61"/>
      <c r="AS489" s="61"/>
      <c r="AT489" s="61"/>
      <c r="AU489" s="61"/>
      <c r="AV489" s="61"/>
      <c r="AW489" s="61"/>
      <c r="AX489" s="61"/>
    </row>
    <row r="490" spans="1:50" s="5" customFormat="1" ht="15.75" hidden="1" x14ac:dyDescent="0.25">
      <c r="A490" s="61"/>
      <c r="B490" s="439" t="s">
        <v>598</v>
      </c>
      <c r="C490" s="439">
        <v>0</v>
      </c>
      <c r="D490" s="439">
        <v>0</v>
      </c>
      <c r="E490" s="439">
        <v>1</v>
      </c>
      <c r="F490" s="439">
        <v>5</v>
      </c>
      <c r="G490" s="439">
        <v>16</v>
      </c>
      <c r="H490" s="439">
        <v>32</v>
      </c>
      <c r="I490" s="439">
        <v>52</v>
      </c>
      <c r="J490" s="439">
        <v>75</v>
      </c>
      <c r="K490" s="439">
        <v>98</v>
      </c>
      <c r="L490" s="439">
        <v>122</v>
      </c>
      <c r="M490" s="439">
        <v>146</v>
      </c>
      <c r="N490" s="439">
        <v>169</v>
      </c>
      <c r="O490" s="439">
        <v>191</v>
      </c>
      <c r="P490" s="439">
        <v>213</v>
      </c>
      <c r="Q490" s="439">
        <v>234</v>
      </c>
      <c r="R490" s="439">
        <v>254</v>
      </c>
      <c r="S490" s="439">
        <v>272</v>
      </c>
      <c r="T490" s="439">
        <v>290</v>
      </c>
      <c r="U490" s="439">
        <v>306</v>
      </c>
      <c r="V490" s="439">
        <v>322</v>
      </c>
      <c r="W490" s="439">
        <v>337</v>
      </c>
      <c r="X490" s="439">
        <v>351</v>
      </c>
      <c r="Y490" s="439">
        <v>364</v>
      </c>
      <c r="Z490" s="439">
        <v>377</v>
      </c>
      <c r="AA490" s="439">
        <v>388</v>
      </c>
      <c r="AB490" s="439">
        <v>399</v>
      </c>
      <c r="AC490" s="439">
        <v>410</v>
      </c>
      <c r="AD490" s="439">
        <v>420</v>
      </c>
      <c r="AE490" s="439">
        <v>430</v>
      </c>
      <c r="AF490" s="439">
        <v>439</v>
      </c>
      <c r="AG490" s="439">
        <v>447</v>
      </c>
      <c r="AH490" s="61"/>
      <c r="AI490" s="61"/>
      <c r="AJ490" s="61"/>
      <c r="AK490" s="61"/>
      <c r="AL490" s="61"/>
      <c r="AM490" s="61"/>
      <c r="AN490" s="61"/>
      <c r="AO490" s="61"/>
      <c r="AP490" s="61"/>
      <c r="AQ490" s="61"/>
      <c r="AR490" s="61"/>
      <c r="AS490" s="61"/>
      <c r="AT490" s="61"/>
      <c r="AU490" s="61"/>
      <c r="AV490" s="61"/>
      <c r="AW490" s="61"/>
      <c r="AX490" s="61"/>
    </row>
    <row r="491" spans="1:50" s="5" customFormat="1" ht="15.75" hidden="1" x14ac:dyDescent="0.25">
      <c r="A491" s="61"/>
      <c r="B491" s="439" t="s">
        <v>599</v>
      </c>
      <c r="C491" s="439">
        <v>0</v>
      </c>
      <c r="D491" s="439">
        <v>0</v>
      </c>
      <c r="E491" s="439">
        <v>1</v>
      </c>
      <c r="F491" s="439">
        <v>5</v>
      </c>
      <c r="G491" s="439">
        <v>10</v>
      </c>
      <c r="H491" s="439">
        <v>19</v>
      </c>
      <c r="I491" s="439">
        <v>29</v>
      </c>
      <c r="J491" s="439">
        <v>41</v>
      </c>
      <c r="K491" s="439">
        <v>54</v>
      </c>
      <c r="L491" s="439">
        <v>68</v>
      </c>
      <c r="M491" s="439">
        <v>83</v>
      </c>
      <c r="N491" s="439">
        <v>99</v>
      </c>
      <c r="O491" s="439">
        <v>115</v>
      </c>
      <c r="P491" s="439">
        <v>131</v>
      </c>
      <c r="Q491" s="439">
        <v>147</v>
      </c>
      <c r="R491" s="439">
        <v>163</v>
      </c>
      <c r="S491" s="439">
        <v>179</v>
      </c>
      <c r="T491" s="439">
        <v>196</v>
      </c>
      <c r="U491" s="439">
        <v>211</v>
      </c>
      <c r="V491" s="439">
        <v>227</v>
      </c>
      <c r="W491" s="439">
        <v>242</v>
      </c>
      <c r="X491" s="439">
        <v>258</v>
      </c>
      <c r="Y491" s="439">
        <v>273</v>
      </c>
      <c r="Z491" s="439">
        <v>287</v>
      </c>
      <c r="AA491" s="439">
        <v>301</v>
      </c>
      <c r="AB491" s="439">
        <v>316</v>
      </c>
      <c r="AC491" s="439">
        <v>329</v>
      </c>
      <c r="AD491" s="439">
        <v>343</v>
      </c>
      <c r="AE491" s="439">
        <v>356</v>
      </c>
      <c r="AF491" s="439">
        <v>369</v>
      </c>
      <c r="AG491" s="439">
        <v>382</v>
      </c>
      <c r="AH491" s="61"/>
      <c r="AI491" s="61"/>
      <c r="AJ491" s="61"/>
      <c r="AK491" s="61"/>
      <c r="AL491" s="61"/>
      <c r="AM491" s="61"/>
      <c r="AN491" s="61"/>
      <c r="AO491" s="61"/>
      <c r="AP491" s="61"/>
      <c r="AQ491" s="61"/>
      <c r="AR491" s="61"/>
      <c r="AS491" s="61"/>
      <c r="AT491" s="61"/>
      <c r="AU491" s="61"/>
      <c r="AV491" s="61"/>
      <c r="AW491" s="61"/>
      <c r="AX491" s="61"/>
    </row>
    <row r="492" spans="1:50" s="5" customFormat="1" ht="15.75" hidden="1" x14ac:dyDescent="0.25">
      <c r="A492" s="61"/>
      <c r="B492" s="439" t="s">
        <v>600</v>
      </c>
      <c r="C492" s="439">
        <v>0</v>
      </c>
      <c r="D492" s="439">
        <v>0</v>
      </c>
      <c r="E492" s="439">
        <v>0</v>
      </c>
      <c r="F492" s="439">
        <v>0</v>
      </c>
      <c r="G492" s="439">
        <v>1</v>
      </c>
      <c r="H492" s="439">
        <v>3</v>
      </c>
      <c r="I492" s="439">
        <v>6</v>
      </c>
      <c r="J492" s="439">
        <v>10</v>
      </c>
      <c r="K492" s="439">
        <v>16</v>
      </c>
      <c r="L492" s="439">
        <v>23</v>
      </c>
      <c r="M492" s="439">
        <v>32</v>
      </c>
      <c r="N492" s="439">
        <v>42</v>
      </c>
      <c r="O492" s="439">
        <v>53</v>
      </c>
      <c r="P492" s="439">
        <v>65</v>
      </c>
      <c r="Q492" s="439">
        <v>78</v>
      </c>
      <c r="R492" s="439">
        <v>91</v>
      </c>
      <c r="S492" s="439">
        <v>104</v>
      </c>
      <c r="T492" s="439">
        <v>118</v>
      </c>
      <c r="U492" s="439">
        <v>132</v>
      </c>
      <c r="V492" s="439">
        <v>146</v>
      </c>
      <c r="W492" s="439">
        <v>159</v>
      </c>
      <c r="X492" s="439">
        <v>173</v>
      </c>
      <c r="Y492" s="439">
        <v>187</v>
      </c>
      <c r="Z492" s="439">
        <v>201</v>
      </c>
      <c r="AA492" s="439">
        <v>214</v>
      </c>
      <c r="AB492" s="439">
        <v>228</v>
      </c>
      <c r="AC492" s="439">
        <v>241</v>
      </c>
      <c r="AD492" s="439">
        <v>254</v>
      </c>
      <c r="AE492" s="439">
        <v>267</v>
      </c>
      <c r="AF492" s="439">
        <v>279</v>
      </c>
      <c r="AG492" s="439">
        <v>291</v>
      </c>
      <c r="AH492" s="61"/>
      <c r="AI492" s="61"/>
      <c r="AJ492" s="61"/>
      <c r="AK492" s="61"/>
      <c r="AL492" s="61"/>
      <c r="AM492" s="61"/>
      <c r="AN492" s="61"/>
      <c r="AO492" s="61"/>
      <c r="AP492" s="61"/>
      <c r="AQ492" s="61"/>
      <c r="AR492" s="61"/>
      <c r="AS492" s="61"/>
      <c r="AT492" s="61"/>
      <c r="AU492" s="61"/>
      <c r="AV492" s="61"/>
      <c r="AW492" s="61"/>
      <c r="AX492" s="61"/>
    </row>
    <row r="493" spans="1:50" s="5" customFormat="1" ht="15.75" hidden="1" x14ac:dyDescent="0.25">
      <c r="A493" s="61"/>
      <c r="B493" s="440" t="s">
        <v>601</v>
      </c>
      <c r="C493" s="440">
        <v>0</v>
      </c>
      <c r="D493" s="440">
        <v>0</v>
      </c>
      <c r="E493" s="440">
        <v>0</v>
      </c>
      <c r="F493" s="440">
        <v>0</v>
      </c>
      <c r="G493" s="440">
        <v>1</v>
      </c>
      <c r="H493" s="440">
        <v>2</v>
      </c>
      <c r="I493" s="440">
        <v>4</v>
      </c>
      <c r="J493" s="440">
        <v>7</v>
      </c>
      <c r="K493" s="440">
        <v>11</v>
      </c>
      <c r="L493" s="440">
        <v>16</v>
      </c>
      <c r="M493" s="440">
        <v>21</v>
      </c>
      <c r="N493" s="440">
        <v>28</v>
      </c>
      <c r="O493" s="440">
        <v>35</v>
      </c>
      <c r="P493" s="440">
        <v>43</v>
      </c>
      <c r="Q493" s="440">
        <v>52</v>
      </c>
      <c r="R493" s="440">
        <v>60</v>
      </c>
      <c r="S493" s="440">
        <v>69</v>
      </c>
      <c r="T493" s="440">
        <v>78</v>
      </c>
      <c r="U493" s="440">
        <v>87</v>
      </c>
      <c r="V493" s="440">
        <v>97</v>
      </c>
      <c r="W493" s="440">
        <v>106</v>
      </c>
      <c r="X493" s="440">
        <v>115</v>
      </c>
      <c r="Y493" s="440">
        <v>124</v>
      </c>
      <c r="Z493" s="440">
        <v>133</v>
      </c>
      <c r="AA493" s="440">
        <v>142</v>
      </c>
      <c r="AB493" s="440">
        <v>151</v>
      </c>
      <c r="AC493" s="440">
        <v>160</v>
      </c>
      <c r="AD493" s="440">
        <v>168</v>
      </c>
      <c r="AE493" s="440">
        <v>177</v>
      </c>
      <c r="AF493" s="440">
        <v>185</v>
      </c>
      <c r="AG493" s="440">
        <v>193</v>
      </c>
      <c r="AH493" s="61"/>
      <c r="AI493" s="61"/>
      <c r="AJ493" s="61"/>
      <c r="AK493" s="61"/>
      <c r="AL493" s="61"/>
      <c r="AM493" s="61"/>
      <c r="AN493" s="61"/>
      <c r="AO493" s="61"/>
      <c r="AP493" s="61"/>
      <c r="AQ493" s="61"/>
      <c r="AR493" s="61"/>
      <c r="AS493" s="61"/>
      <c r="AT493" s="61"/>
      <c r="AU493" s="61"/>
      <c r="AV493" s="61"/>
      <c r="AW493" s="61"/>
      <c r="AX493" s="61"/>
    </row>
    <row r="494" spans="1:50" s="5" customFormat="1" ht="15.75" hidden="1" x14ac:dyDescent="0.2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row>
    <row r="495" spans="1:50" s="5" customFormat="1" ht="15.75" hidden="1" x14ac:dyDescent="0.25">
      <c r="A495" s="61"/>
      <c r="B495" s="441"/>
      <c r="C495" s="442" t="s">
        <v>602</v>
      </c>
      <c r="D495" s="442" t="s">
        <v>603</v>
      </c>
      <c r="E495" s="442" t="s">
        <v>604</v>
      </c>
      <c r="F495" s="442" t="s">
        <v>605</v>
      </c>
      <c r="G495" s="442" t="s">
        <v>606</v>
      </c>
      <c r="H495" s="442" t="s">
        <v>603</v>
      </c>
      <c r="I495" s="442" t="s">
        <v>604</v>
      </c>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row>
    <row r="496" spans="1:50" s="5" customFormat="1" ht="15.75" hidden="1" x14ac:dyDescent="0.25">
      <c r="A496" s="61"/>
      <c r="B496" s="443" t="s">
        <v>607</v>
      </c>
      <c r="C496" s="444" t="s">
        <v>608</v>
      </c>
      <c r="D496" s="2226" t="s">
        <v>609</v>
      </c>
      <c r="E496" s="2226"/>
      <c r="F496" s="2226" t="s">
        <v>610</v>
      </c>
      <c r="G496" s="2226"/>
      <c r="H496" s="2226" t="s">
        <v>611</v>
      </c>
      <c r="I496" s="2226"/>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row>
    <row r="497" spans="1:50" s="5" customFormat="1" ht="15.75" hidden="1" x14ac:dyDescent="0.25">
      <c r="A497" s="61">
        <v>1</v>
      </c>
      <c r="B497" s="445" t="s">
        <v>771</v>
      </c>
      <c r="C497" s="490">
        <v>0</v>
      </c>
      <c r="D497" s="490">
        <v>0</v>
      </c>
      <c r="E497" s="490">
        <v>0</v>
      </c>
      <c r="F497" s="490">
        <v>0</v>
      </c>
      <c r="G497" s="490">
        <v>0</v>
      </c>
      <c r="H497" s="490">
        <v>0</v>
      </c>
      <c r="I497" s="490">
        <v>0</v>
      </c>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row>
    <row r="498" spans="1:50" s="5" customFormat="1" ht="15.75" hidden="1" x14ac:dyDescent="0.25">
      <c r="A498" s="61">
        <v>2</v>
      </c>
      <c r="B498" s="445" t="s">
        <v>1375</v>
      </c>
      <c r="C498" s="445">
        <v>600</v>
      </c>
      <c r="D498" s="445">
        <v>15</v>
      </c>
      <c r="E498" s="445">
        <v>30</v>
      </c>
      <c r="F498" s="445">
        <v>0.43</v>
      </c>
      <c r="G498" s="446">
        <v>0.5</v>
      </c>
      <c r="H498" s="447">
        <f>D498*F498*G498*3.7</f>
        <v>11.932500000000001</v>
      </c>
      <c r="I498" s="447">
        <f>E498*F498*G498*3.7</f>
        <v>23.865000000000002</v>
      </c>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row>
    <row r="499" spans="1:50" s="5" customFormat="1" ht="15.75" hidden="1" x14ac:dyDescent="0.25">
      <c r="A499" s="61">
        <v>3</v>
      </c>
      <c r="B499" s="439" t="s">
        <v>613</v>
      </c>
      <c r="C499" s="439">
        <v>600</v>
      </c>
      <c r="D499" s="439">
        <v>15</v>
      </c>
      <c r="E499" s="439">
        <v>30</v>
      </c>
      <c r="F499" s="439">
        <v>0.43</v>
      </c>
      <c r="G499" s="448">
        <v>0.5</v>
      </c>
      <c r="H499" s="449">
        <f>D499*F499*G499*3.7</f>
        <v>11.932500000000001</v>
      </c>
      <c r="I499" s="449">
        <f>E499*F499*G499*3.7</f>
        <v>23.865000000000002</v>
      </c>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row>
    <row r="500" spans="1:50" s="5" customFormat="1" ht="15.75" hidden="1" x14ac:dyDescent="0.25">
      <c r="A500" s="61">
        <v>4</v>
      </c>
      <c r="B500" s="445" t="s">
        <v>614</v>
      </c>
      <c r="C500" s="445">
        <f t="shared" ref="C500:I500" si="41">AVERAGE(C501:C504)</f>
        <v>775</v>
      </c>
      <c r="D500" s="445">
        <f t="shared" si="41"/>
        <v>15</v>
      </c>
      <c r="E500" s="445">
        <f t="shared" si="41"/>
        <v>32.5</v>
      </c>
      <c r="F500" s="445">
        <f t="shared" si="41"/>
        <v>0.63</v>
      </c>
      <c r="G500" s="445">
        <f t="shared" si="41"/>
        <v>0.5</v>
      </c>
      <c r="H500" s="445">
        <f t="shared" si="41"/>
        <v>17.482499999999998</v>
      </c>
      <c r="I500" s="445">
        <f t="shared" si="41"/>
        <v>37.878750000000004</v>
      </c>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row>
    <row r="501" spans="1:50" s="5" customFormat="1" ht="15.75" hidden="1" x14ac:dyDescent="0.25">
      <c r="A501" s="61">
        <v>5</v>
      </c>
      <c r="B501" s="439" t="s">
        <v>615</v>
      </c>
      <c r="C501" s="439">
        <v>700</v>
      </c>
      <c r="D501" s="439">
        <v>15</v>
      </c>
      <c r="E501" s="439">
        <v>35</v>
      </c>
      <c r="F501" s="439">
        <v>0.63</v>
      </c>
      <c r="G501" s="448">
        <v>0.5</v>
      </c>
      <c r="H501" s="449">
        <f>D501*F501*G501*3.7</f>
        <v>17.482499999999998</v>
      </c>
      <c r="I501" s="449">
        <f>E501*F501*G501*3.7</f>
        <v>40.792500000000004</v>
      </c>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row>
    <row r="502" spans="1:50" s="5" customFormat="1" ht="15.75" hidden="1" x14ac:dyDescent="0.25">
      <c r="A502" s="61">
        <v>6</v>
      </c>
      <c r="B502" s="439" t="s">
        <v>616</v>
      </c>
      <c r="C502" s="439">
        <v>800</v>
      </c>
      <c r="D502" s="439">
        <v>15</v>
      </c>
      <c r="E502" s="439">
        <v>35</v>
      </c>
      <c r="F502" s="439">
        <v>0.63</v>
      </c>
      <c r="G502" s="448">
        <v>0.5</v>
      </c>
      <c r="H502" s="449">
        <f>D502*F502*G502*3.7</f>
        <v>17.482499999999998</v>
      </c>
      <c r="I502" s="449">
        <f>E502*F502*G502*3.7</f>
        <v>40.792500000000004</v>
      </c>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row>
    <row r="503" spans="1:50" s="5" customFormat="1" ht="15.75" hidden="1" x14ac:dyDescent="0.25">
      <c r="A503" s="61">
        <v>7</v>
      </c>
      <c r="B503" s="439" t="s">
        <v>617</v>
      </c>
      <c r="C503" s="439">
        <v>800</v>
      </c>
      <c r="D503" s="439">
        <v>15</v>
      </c>
      <c r="E503" s="439">
        <v>30</v>
      </c>
      <c r="F503" s="439">
        <v>0.63</v>
      </c>
      <c r="G503" s="448">
        <v>0.5</v>
      </c>
      <c r="H503" s="449">
        <f>D503*F503*G503*3.7</f>
        <v>17.482499999999998</v>
      </c>
      <c r="I503" s="449">
        <f>E503*F503*G503*3.7</f>
        <v>34.964999999999996</v>
      </c>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row>
    <row r="504" spans="1:50" s="5" customFormat="1" ht="15.75" hidden="1" x14ac:dyDescent="0.25">
      <c r="A504" s="61">
        <v>8</v>
      </c>
      <c r="B504" s="439" t="s">
        <v>618</v>
      </c>
      <c r="C504" s="439">
        <v>800</v>
      </c>
      <c r="D504" s="439">
        <v>15</v>
      </c>
      <c r="E504" s="439">
        <v>30</v>
      </c>
      <c r="F504" s="439">
        <v>0.63</v>
      </c>
      <c r="G504" s="448">
        <v>0.5</v>
      </c>
      <c r="H504" s="449">
        <f>D504*F504*G504*3.7</f>
        <v>17.482499999999998</v>
      </c>
      <c r="I504" s="449">
        <f>E504*F504*G504*3.7</f>
        <v>34.964999999999996</v>
      </c>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row>
    <row r="505" spans="1:50" s="5" customFormat="1" ht="15.75" hidden="1" x14ac:dyDescent="0.25">
      <c r="A505" s="61">
        <v>9</v>
      </c>
      <c r="B505" s="439" t="s">
        <v>619</v>
      </c>
      <c r="C505" s="439">
        <v>600</v>
      </c>
      <c r="D505" s="439">
        <v>8</v>
      </c>
      <c r="E505" s="439">
        <v>20</v>
      </c>
      <c r="F505" s="439">
        <v>0.63</v>
      </c>
      <c r="G505" s="448">
        <v>0.5</v>
      </c>
      <c r="H505" s="449">
        <f>D505*F505*G505*3.7</f>
        <v>9.3239999999999998</v>
      </c>
      <c r="I505" s="449">
        <f>E505*F505*G505*3.7</f>
        <v>23.31</v>
      </c>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row>
    <row r="506" spans="1:50" s="5" customFormat="1" ht="15.75" hidden="1" x14ac:dyDescent="0.25">
      <c r="A506" s="61">
        <v>10</v>
      </c>
      <c r="B506" s="445" t="s">
        <v>620</v>
      </c>
      <c r="C506" s="445">
        <f t="shared" ref="C506:I506" si="42">AVERAGE(C507:C511)</f>
        <v>530</v>
      </c>
      <c r="D506" s="445">
        <f t="shared" si="42"/>
        <v>3</v>
      </c>
      <c r="E506" s="445">
        <f t="shared" si="42"/>
        <v>8.8000000000000007</v>
      </c>
      <c r="F506" s="445">
        <f t="shared" si="42"/>
        <v>0.63</v>
      </c>
      <c r="G506" s="445">
        <f t="shared" si="42"/>
        <v>0.5</v>
      </c>
      <c r="H506" s="445">
        <f t="shared" si="42"/>
        <v>3.4964999999999997</v>
      </c>
      <c r="I506" s="445">
        <f t="shared" si="42"/>
        <v>10.256399999999999</v>
      </c>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row>
    <row r="507" spans="1:50" s="5" customFormat="1" ht="15.75" hidden="1" x14ac:dyDescent="0.25">
      <c r="A507" s="61">
        <v>11</v>
      </c>
      <c r="B507" s="439" t="s">
        <v>621</v>
      </c>
      <c r="C507" s="439">
        <v>750</v>
      </c>
      <c r="D507" s="439">
        <v>4</v>
      </c>
      <c r="E507" s="439">
        <v>10</v>
      </c>
      <c r="F507" s="439">
        <v>0.63</v>
      </c>
      <c r="G507" s="448">
        <v>0.5</v>
      </c>
      <c r="H507" s="449">
        <f>D507*F507*G507*3.7</f>
        <v>4.6619999999999999</v>
      </c>
      <c r="I507" s="449">
        <f>E507*F507*G507*3.7</f>
        <v>11.654999999999999</v>
      </c>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row>
    <row r="508" spans="1:50" s="5" customFormat="1" ht="15.75" hidden="1" x14ac:dyDescent="0.25">
      <c r="A508" s="61">
        <v>12</v>
      </c>
      <c r="B508" s="439" t="s">
        <v>622</v>
      </c>
      <c r="C508" s="439">
        <v>500</v>
      </c>
      <c r="D508" s="439">
        <v>5</v>
      </c>
      <c r="E508" s="439">
        <v>10</v>
      </c>
      <c r="F508" s="439">
        <v>0.63</v>
      </c>
      <c r="G508" s="448">
        <v>0.5</v>
      </c>
      <c r="H508" s="449">
        <f>D508*F508*G508*3.7</f>
        <v>5.8274999999999997</v>
      </c>
      <c r="I508" s="449">
        <f>E508*F508*G508*3.7</f>
        <v>11.654999999999999</v>
      </c>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row>
    <row r="509" spans="1:50" s="5" customFormat="1" ht="15.75" hidden="1" x14ac:dyDescent="0.25">
      <c r="A509" s="61">
        <v>13</v>
      </c>
      <c r="B509" s="439" t="s">
        <v>623</v>
      </c>
      <c r="C509" s="439">
        <v>500</v>
      </c>
      <c r="D509" s="439">
        <v>2</v>
      </c>
      <c r="E509" s="439">
        <v>8</v>
      </c>
      <c r="F509" s="439">
        <v>0.63</v>
      </c>
      <c r="G509" s="448">
        <v>0.5</v>
      </c>
      <c r="H509" s="449">
        <f>D509*F509*G509*3.7</f>
        <v>2.331</v>
      </c>
      <c r="I509" s="449">
        <f>E509*F509*G509*3.7</f>
        <v>9.3239999999999998</v>
      </c>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row>
    <row r="510" spans="1:50" s="5" customFormat="1" ht="15.75" hidden="1" x14ac:dyDescent="0.25">
      <c r="A510" s="61">
        <v>14</v>
      </c>
      <c r="B510" s="439" t="s">
        <v>624</v>
      </c>
      <c r="C510" s="439">
        <v>400</v>
      </c>
      <c r="D510" s="439">
        <v>2</v>
      </c>
      <c r="E510" s="439">
        <v>8</v>
      </c>
      <c r="F510" s="439">
        <v>0.63</v>
      </c>
      <c r="G510" s="448">
        <v>0.5</v>
      </c>
      <c r="H510" s="449">
        <f>D510*F510*G510*3.7</f>
        <v>2.331</v>
      </c>
      <c r="I510" s="449">
        <f>E510*F510*G510*3.7</f>
        <v>9.3239999999999998</v>
      </c>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row>
    <row r="511" spans="1:50" s="5" customFormat="1" ht="15.75" hidden="1" x14ac:dyDescent="0.25">
      <c r="A511" s="5">
        <v>15</v>
      </c>
      <c r="B511" s="439" t="s">
        <v>625</v>
      </c>
      <c r="C511" s="439">
        <v>500</v>
      </c>
      <c r="D511" s="439">
        <v>2</v>
      </c>
      <c r="E511" s="439">
        <v>8</v>
      </c>
      <c r="F511" s="439">
        <v>0.63</v>
      </c>
      <c r="G511" s="448">
        <v>0.5</v>
      </c>
      <c r="H511" s="449">
        <f>D511*F511*G511*3.7</f>
        <v>2.331</v>
      </c>
      <c r="I511" s="449">
        <f>E511*F511*G511*3.7</f>
        <v>9.3239999999999998</v>
      </c>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row>
    <row r="512" spans="1:50" s="5" customFormat="1" ht="15.75" hidden="1" x14ac:dyDescent="0.25">
      <c r="A512" s="61" t="s">
        <v>265</v>
      </c>
      <c r="B512" s="439" t="e">
        <f>VLOOKUP($C$67,$B$497:$I$511,1,FALSE)</f>
        <v>#N/A</v>
      </c>
      <c r="C512" s="439" t="e">
        <f>VLOOKUP($C$67,$B$497:$I$511,2,FALSE)</f>
        <v>#N/A</v>
      </c>
      <c r="D512" s="439" t="e">
        <f>VLOOKUP($C$67,$B$497:$I$511,3,FALSE)</f>
        <v>#N/A</v>
      </c>
      <c r="E512" s="439" t="e">
        <f>VLOOKUP($C$67,$B$497:$I$511,4,FALSE)</f>
        <v>#N/A</v>
      </c>
      <c r="F512" s="439" t="e">
        <f>VLOOKUP($C$67,$B$497:$I$511,5,FALSE)</f>
        <v>#N/A</v>
      </c>
      <c r="G512" s="439" t="e">
        <f>VLOOKUP($C$67,$B$497:$I$511,6,FALSE)</f>
        <v>#N/A</v>
      </c>
      <c r="H512" s="439" t="e">
        <f>VLOOKUP($C$67,$B$497:$I$511,7,FALSE)</f>
        <v>#N/A</v>
      </c>
      <c r="I512" s="439" t="e">
        <f>VLOOKUP($C$67,$B$497:$I$511,8,FALSE)</f>
        <v>#N/A</v>
      </c>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row>
    <row r="513" spans="1:50" s="5" customFormat="1" ht="15.75" hidden="1" x14ac:dyDescent="0.25">
      <c r="A513" s="61"/>
      <c r="B513" s="439"/>
      <c r="C513" s="439"/>
      <c r="D513" s="439"/>
      <c r="E513" s="439"/>
      <c r="F513" s="439"/>
      <c r="G513" s="439"/>
      <c r="H513" s="439"/>
      <c r="I513" s="439"/>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row>
    <row r="514" spans="1:50" s="5" customFormat="1" ht="15.75" hidden="1" x14ac:dyDescent="0.25">
      <c r="B514" s="439" t="s">
        <v>626</v>
      </c>
      <c r="C514" s="439" t="s">
        <v>611</v>
      </c>
      <c r="D514" s="439"/>
      <c r="E514" s="2114" t="s">
        <v>456</v>
      </c>
      <c r="F514" s="2114"/>
      <c r="G514" s="548" t="s">
        <v>1159</v>
      </c>
      <c r="H514" s="439">
        <f>S177</f>
        <v>1</v>
      </c>
      <c r="I514" s="439"/>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row>
    <row r="515" spans="1:50" s="5" customFormat="1" ht="15.75" hidden="1" x14ac:dyDescent="0.25">
      <c r="A515" s="61">
        <v>1</v>
      </c>
      <c r="B515" s="439" t="s">
        <v>627</v>
      </c>
      <c r="C515" s="450" t="e">
        <f>IF(B518="High (&gt;700)",F515,FALSE)</f>
        <v>#N/A</v>
      </c>
      <c r="D515" s="439"/>
      <c r="E515" s="439" t="e">
        <f>H512</f>
        <v>#N/A</v>
      </c>
      <c r="F515" s="439" t="e">
        <f>I512</f>
        <v>#N/A</v>
      </c>
      <c r="G515" s="548"/>
      <c r="H515" s="439"/>
      <c r="I515" s="439"/>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row>
    <row r="516" spans="1:50" s="5" customFormat="1" ht="15.75" hidden="1" x14ac:dyDescent="0.25">
      <c r="A516" s="61">
        <v>2</v>
      </c>
      <c r="B516" s="439" t="s">
        <v>628</v>
      </c>
      <c r="C516" s="439" t="e">
        <f>IF(B518="Med (500 - 700)",AVERAGE(E515:F515),FALSE)</f>
        <v>#N/A</v>
      </c>
      <c r="D516" s="439"/>
      <c r="E516" s="439"/>
      <c r="F516" s="439"/>
      <c r="G516" s="548" t="s">
        <v>1005</v>
      </c>
      <c r="H516" s="439">
        <f>D65</f>
        <v>0</v>
      </c>
      <c r="I516" s="439"/>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row>
    <row r="517" spans="1:50" s="5" customFormat="1" ht="15.75" hidden="1" x14ac:dyDescent="0.25">
      <c r="A517" s="61">
        <v>3</v>
      </c>
      <c r="B517" s="439" t="s">
        <v>629</v>
      </c>
      <c r="C517" s="439" t="e">
        <f>IF(B518="Low (&lt;500)",E515,FALSE)</f>
        <v>#N/A</v>
      </c>
      <c r="D517" s="439"/>
      <c r="E517" s="439"/>
      <c r="F517" s="439"/>
      <c r="G517" s="439"/>
      <c r="H517" s="439"/>
      <c r="I517" s="439"/>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row>
    <row r="518" spans="1:50" s="5" customFormat="1" ht="15.75" hidden="1" x14ac:dyDescent="0.25">
      <c r="A518" s="61" t="s">
        <v>265</v>
      </c>
      <c r="B518" s="451" t="e">
        <f>VLOOKUP($H$67,B515:B517,1,FALSE)</f>
        <v>#N/A</v>
      </c>
      <c r="C518" s="451"/>
      <c r="D518" s="451"/>
      <c r="E518" s="549" t="s">
        <v>888</v>
      </c>
      <c r="F518" s="451"/>
      <c r="G518" s="443">
        <f>IF(H514=1,0,IF(H514=3,AVERAGE(C515:C517),H516))</f>
        <v>0</v>
      </c>
      <c r="H518" s="451"/>
      <c r="I518" s="45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row>
    <row r="519" spans="1:50" s="5" customFormat="1" ht="15.75" hidden="1" x14ac:dyDescent="0.25">
      <c r="A519" s="61"/>
      <c r="B519" s="452"/>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row>
    <row r="520" spans="1:50" s="5" customFormat="1" ht="15.75" hidden="1" x14ac:dyDescent="0.25">
      <c r="A520" s="62"/>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row>
    <row r="521" spans="1:50" s="5" customFormat="1" ht="18.75" hidden="1" x14ac:dyDescent="0.3">
      <c r="A521" s="124"/>
      <c r="B521" s="453" t="s">
        <v>630</v>
      </c>
      <c r="C521" s="62"/>
      <c r="D521" s="62"/>
      <c r="E521" s="62"/>
      <c r="F521" s="62"/>
      <c r="G521" s="62"/>
      <c r="H521" s="62"/>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row>
    <row r="522" spans="1:50" s="5" customFormat="1" ht="15.75" hidden="1" x14ac:dyDescent="0.25">
      <c r="A522" s="124"/>
      <c r="B522" s="62"/>
      <c r="C522" s="62"/>
      <c r="D522" s="62"/>
      <c r="E522" s="62"/>
      <c r="F522" s="62"/>
      <c r="G522" s="62"/>
      <c r="H522" s="62"/>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row>
    <row r="523" spans="1:50" s="5" customFormat="1" ht="15.75" hidden="1" x14ac:dyDescent="0.25">
      <c r="A523" s="124"/>
      <c r="B523" s="454" t="s">
        <v>282</v>
      </c>
      <c r="C523" s="455"/>
      <c r="D523" s="455"/>
      <c r="E523" s="455"/>
      <c r="F523" s="454" t="s">
        <v>252</v>
      </c>
      <c r="G523" s="455"/>
      <c r="H523" s="454"/>
      <c r="I523" s="61"/>
      <c r="AH523" s="61"/>
      <c r="AI523" s="61"/>
      <c r="AJ523" s="61"/>
      <c r="AK523" s="61"/>
      <c r="AL523" s="61"/>
      <c r="AM523" s="61"/>
      <c r="AN523" s="61"/>
      <c r="AO523" s="61"/>
      <c r="AP523" s="61"/>
      <c r="AQ523" s="61"/>
      <c r="AR523" s="61"/>
      <c r="AS523" s="61"/>
      <c r="AT523" s="61"/>
      <c r="AU523" s="61"/>
      <c r="AV523" s="61"/>
      <c r="AW523" s="61"/>
      <c r="AX523" s="61"/>
    </row>
    <row r="524" spans="1:50" s="5" customFormat="1" ht="15.75" hidden="1" x14ac:dyDescent="0.25">
      <c r="A524" s="124"/>
      <c r="B524" s="456" t="s">
        <v>631</v>
      </c>
      <c r="C524" s="456">
        <f>C54/1</f>
        <v>0</v>
      </c>
      <c r="D524" s="456"/>
      <c r="E524" s="456"/>
      <c r="F524" s="456" t="s">
        <v>632</v>
      </c>
      <c r="G524" s="456"/>
      <c r="H524" s="456"/>
    </row>
    <row r="525" spans="1:50" s="5" customFormat="1" ht="15.75" hidden="1" x14ac:dyDescent="0.25">
      <c r="A525" s="124"/>
      <c r="B525" s="456" t="s">
        <v>633</v>
      </c>
      <c r="C525" s="456">
        <v>38.6</v>
      </c>
      <c r="D525" s="456"/>
      <c r="E525" s="456"/>
      <c r="F525" s="456" t="s">
        <v>634</v>
      </c>
      <c r="G525" s="456"/>
      <c r="H525" s="456"/>
    </row>
    <row r="526" spans="1:50" s="5" customFormat="1" ht="15.75" hidden="1" x14ac:dyDescent="0.25">
      <c r="A526" s="124"/>
      <c r="B526" s="456" t="s">
        <v>635</v>
      </c>
      <c r="C526" s="456">
        <v>99</v>
      </c>
      <c r="D526" s="456"/>
      <c r="E526" s="456"/>
      <c r="F526" s="456" t="s">
        <v>259</v>
      </c>
      <c r="G526" s="456"/>
      <c r="H526" s="456"/>
    </row>
    <row r="527" spans="1:50" s="5" customFormat="1" ht="15.75" hidden="1" x14ac:dyDescent="0.25">
      <c r="A527" s="124"/>
      <c r="B527" s="456" t="s">
        <v>636</v>
      </c>
      <c r="C527" s="456">
        <v>69.900000000000006</v>
      </c>
      <c r="D527" s="456"/>
      <c r="E527" s="456"/>
      <c r="F527" s="456" t="s">
        <v>637</v>
      </c>
      <c r="G527" s="456"/>
      <c r="H527" s="456"/>
    </row>
    <row r="528" spans="1:50" s="5" customFormat="1" ht="15.75" hidden="1" x14ac:dyDescent="0.25">
      <c r="A528" s="124"/>
      <c r="B528" s="456" t="s">
        <v>638</v>
      </c>
      <c r="C528" s="456">
        <f>C53</f>
        <v>0</v>
      </c>
      <c r="D528" s="456"/>
      <c r="E528" s="456"/>
      <c r="F528" s="456" t="s">
        <v>639</v>
      </c>
      <c r="G528" s="456"/>
      <c r="H528" s="456"/>
    </row>
    <row r="529" spans="1:8" s="5" customFormat="1" ht="15.75" hidden="1" x14ac:dyDescent="0.25">
      <c r="A529" s="124"/>
      <c r="B529" s="456" t="s">
        <v>640</v>
      </c>
      <c r="C529" s="456" t="e">
        <f>E567</f>
        <v>#N/A</v>
      </c>
      <c r="D529" s="456"/>
      <c r="E529" s="456"/>
      <c r="F529" s="457" t="s">
        <v>641</v>
      </c>
      <c r="G529" s="456"/>
      <c r="H529" s="456"/>
    </row>
    <row r="530" spans="1:8" s="5" customFormat="1" ht="15.75" hidden="1" x14ac:dyDescent="0.25">
      <c r="A530" s="124"/>
      <c r="B530" s="458"/>
      <c r="C530" s="458"/>
      <c r="D530" s="458"/>
      <c r="E530" s="458"/>
      <c r="F530" s="458"/>
      <c r="G530" s="458"/>
      <c r="H530" s="456"/>
    </row>
    <row r="531" spans="1:8" s="5" customFormat="1" ht="15.75" hidden="1" x14ac:dyDescent="0.25">
      <c r="A531" s="124"/>
      <c r="B531" s="459"/>
      <c r="C531" s="459"/>
      <c r="D531" s="459"/>
      <c r="E531" s="459"/>
      <c r="F531" s="459"/>
      <c r="G531" s="459"/>
      <c r="H531" s="456"/>
    </row>
    <row r="532" spans="1:8" s="5" customFormat="1" ht="15.75" hidden="1" x14ac:dyDescent="0.25">
      <c r="A532" s="124"/>
      <c r="B532" s="460" t="s">
        <v>642</v>
      </c>
      <c r="C532" s="460" t="s">
        <v>643</v>
      </c>
      <c r="D532" s="456"/>
      <c r="E532" s="456"/>
      <c r="F532" s="456"/>
      <c r="G532" s="456"/>
      <c r="H532" s="456"/>
    </row>
    <row r="533" spans="1:8" s="5" customFormat="1" ht="15.75" hidden="1" x14ac:dyDescent="0.25">
      <c r="A533" s="124"/>
      <c r="B533" s="460"/>
      <c r="C533" s="456" t="s">
        <v>644</v>
      </c>
      <c r="D533" s="456"/>
      <c r="E533" s="456"/>
      <c r="F533" s="456"/>
      <c r="G533" s="456"/>
      <c r="H533" s="456"/>
    </row>
    <row r="534" spans="1:8" s="5" customFormat="1" ht="15.75" hidden="1" x14ac:dyDescent="0.25">
      <c r="A534" s="124"/>
      <c r="B534" s="460"/>
      <c r="C534" s="456" t="s">
        <v>645</v>
      </c>
      <c r="D534" s="456"/>
      <c r="E534" s="456"/>
      <c r="F534" s="456"/>
      <c r="G534" s="456"/>
      <c r="H534" s="456"/>
    </row>
    <row r="535" spans="1:8" s="5" customFormat="1" ht="15.75" hidden="1" x14ac:dyDescent="0.25">
      <c r="A535" s="124"/>
      <c r="B535" s="460"/>
      <c r="C535" s="456" t="s">
        <v>646</v>
      </c>
      <c r="D535" s="456"/>
      <c r="E535" s="456"/>
      <c r="F535" s="456"/>
      <c r="G535" s="456"/>
      <c r="H535" s="456"/>
    </row>
    <row r="536" spans="1:8" s="5" customFormat="1" ht="15.75" hidden="1" x14ac:dyDescent="0.25">
      <c r="A536" s="124"/>
      <c r="B536" s="460"/>
      <c r="C536" s="456" t="s">
        <v>351</v>
      </c>
      <c r="D536" s="456"/>
      <c r="E536" s="456"/>
      <c r="F536" s="456"/>
      <c r="G536" s="456"/>
      <c r="H536" s="456"/>
    </row>
    <row r="537" spans="1:8" s="5" customFormat="1" ht="15.75" hidden="1" x14ac:dyDescent="0.25">
      <c r="A537" s="124"/>
      <c r="B537" s="460"/>
      <c r="C537" s="456"/>
      <c r="D537" s="456"/>
      <c r="E537" s="456"/>
      <c r="F537" s="456"/>
      <c r="G537" s="456"/>
      <c r="H537" s="456"/>
    </row>
    <row r="538" spans="1:8" s="5" customFormat="1" ht="15.75" hidden="1" x14ac:dyDescent="0.25">
      <c r="A538" s="124"/>
      <c r="B538" s="456"/>
      <c r="C538" s="461">
        <f>$C$524*$C$525*$C$526%*$C$527*10^-6</f>
        <v>0</v>
      </c>
      <c r="D538" s="456"/>
      <c r="E538" s="456"/>
      <c r="F538" s="456" t="s">
        <v>647</v>
      </c>
      <c r="G538" s="456"/>
      <c r="H538" s="456"/>
    </row>
    <row r="539" spans="1:8" s="5" customFormat="1" ht="15.75" hidden="1" x14ac:dyDescent="0.25">
      <c r="A539" s="124"/>
      <c r="B539" s="456"/>
      <c r="C539" s="456"/>
      <c r="D539" s="456"/>
      <c r="E539" s="456"/>
      <c r="F539" s="456"/>
      <c r="G539" s="456"/>
      <c r="H539" s="456"/>
    </row>
    <row r="540" spans="1:8" s="5" customFormat="1" ht="15.75" hidden="1" x14ac:dyDescent="0.25">
      <c r="A540" s="124"/>
      <c r="B540" s="462" t="s">
        <v>648</v>
      </c>
      <c r="C540" s="455"/>
      <c r="D540" s="455"/>
      <c r="E540" s="455"/>
      <c r="F540" s="455" t="s">
        <v>649</v>
      </c>
      <c r="G540" s="455"/>
      <c r="H540" s="463"/>
    </row>
    <row r="541" spans="1:8" s="5" customFormat="1" ht="15.75" hidden="1" x14ac:dyDescent="0.25">
      <c r="A541" s="124"/>
      <c r="B541" s="464"/>
      <c r="C541" s="465" t="s">
        <v>650</v>
      </c>
      <c r="D541" s="465" t="s">
        <v>651</v>
      </c>
      <c r="E541" s="465" t="s">
        <v>652</v>
      </c>
      <c r="F541" s="465" t="s">
        <v>653</v>
      </c>
      <c r="G541" s="465" t="s">
        <v>654</v>
      </c>
      <c r="H541" s="466" t="s">
        <v>655</v>
      </c>
    </row>
    <row r="542" spans="1:8" s="5" customFormat="1" ht="15.75" hidden="1" x14ac:dyDescent="0.25">
      <c r="A542" s="124"/>
      <c r="B542" s="467"/>
      <c r="C542" s="468">
        <v>0.01</v>
      </c>
      <c r="D542" s="468">
        <v>2E-3</v>
      </c>
      <c r="E542" s="468">
        <v>1.36</v>
      </c>
      <c r="F542" s="468">
        <v>0.54100000000000004</v>
      </c>
      <c r="G542" s="468">
        <v>0.189</v>
      </c>
      <c r="H542" s="469">
        <v>0.11600000000000001</v>
      </c>
    </row>
    <row r="543" spans="1:8" s="5" customFormat="1" ht="15.75" hidden="1" x14ac:dyDescent="0.25">
      <c r="A543" s="124"/>
      <c r="B543" s="457"/>
      <c r="C543" s="465"/>
      <c r="D543" s="465"/>
      <c r="E543" s="465"/>
      <c r="F543" s="465"/>
      <c r="G543" s="465"/>
      <c r="H543" s="465"/>
    </row>
    <row r="544" spans="1:8" s="5" customFormat="1" ht="15.75" hidden="1" x14ac:dyDescent="0.25">
      <c r="A544" s="62"/>
      <c r="B544" s="460" t="s">
        <v>656</v>
      </c>
      <c r="C544" s="456"/>
      <c r="D544" s="456"/>
      <c r="E544" s="456"/>
      <c r="F544" s="456" t="s">
        <v>657</v>
      </c>
      <c r="G544" s="456"/>
      <c r="H544" s="456"/>
    </row>
    <row r="545" spans="1:8" s="5" customFormat="1" ht="15.75" hidden="1" x14ac:dyDescent="0.25">
      <c r="A545" s="62"/>
      <c r="B545" s="456"/>
      <c r="C545" s="470">
        <f>$C$524*$C$525*$C$526%*C542*10^-6</f>
        <v>0</v>
      </c>
      <c r="D545" s="470">
        <f t="shared" ref="D545:H545" si="43">$C$524*$C$525*$C$526%*D542*10^-6</f>
        <v>0</v>
      </c>
      <c r="E545" s="470">
        <f t="shared" si="43"/>
        <v>0</v>
      </c>
      <c r="F545" s="470">
        <f t="shared" si="43"/>
        <v>0</v>
      </c>
      <c r="G545" s="470">
        <f t="shared" si="43"/>
        <v>0</v>
      </c>
      <c r="H545" s="470">
        <f t="shared" si="43"/>
        <v>0</v>
      </c>
    </row>
    <row r="546" spans="1:8" s="5" customFormat="1" ht="15.75" hidden="1" x14ac:dyDescent="0.25">
      <c r="A546" s="62"/>
      <c r="B546" s="460" t="s">
        <v>658</v>
      </c>
      <c r="C546" s="461">
        <f>C538+C545+D545+E545+F545+G545+H545</f>
        <v>0</v>
      </c>
      <c r="D546" s="470"/>
      <c r="E546" s="470"/>
      <c r="F546" s="470" t="s">
        <v>657</v>
      </c>
      <c r="G546" s="470"/>
      <c r="H546" s="470"/>
    </row>
    <row r="547" spans="1:8" s="5" customFormat="1" ht="15.75" hidden="1" x14ac:dyDescent="0.25">
      <c r="A547" s="62"/>
      <c r="B547" s="460" t="s">
        <v>940</v>
      </c>
      <c r="C547" s="461">
        <f>C524/1000*0.611</f>
        <v>0</v>
      </c>
      <c r="D547" s="470"/>
      <c r="E547" s="470"/>
      <c r="F547" s="470"/>
      <c r="G547" s="470"/>
      <c r="H547" s="470"/>
    </row>
    <row r="548" spans="1:8" s="5" customFormat="1" ht="15.75" hidden="1" x14ac:dyDescent="0.25">
      <c r="A548" s="62"/>
      <c r="B548" s="456"/>
      <c r="C548" s="470"/>
      <c r="D548" s="470"/>
      <c r="E548" s="470"/>
      <c r="F548" s="470"/>
      <c r="G548" s="470"/>
      <c r="H548" s="470"/>
    </row>
    <row r="549" spans="1:8" s="5" customFormat="1" ht="15.75" hidden="1" x14ac:dyDescent="0.25">
      <c r="A549" s="62"/>
      <c r="B549" s="460" t="s">
        <v>659</v>
      </c>
      <c r="C549" s="471" t="s">
        <v>660</v>
      </c>
      <c r="D549" s="470"/>
      <c r="E549" s="470"/>
      <c r="F549" s="470"/>
      <c r="G549" s="472"/>
      <c r="H549" s="472"/>
    </row>
    <row r="550" spans="1:8" s="5" customFormat="1" ht="15.75" hidden="1" x14ac:dyDescent="0.25">
      <c r="A550" s="62"/>
      <c r="B550" s="456"/>
      <c r="C550" s="470" t="s">
        <v>661</v>
      </c>
      <c r="D550" s="470"/>
      <c r="E550" s="470"/>
      <c r="F550" s="470"/>
      <c r="G550" s="472"/>
      <c r="H550" s="472"/>
    </row>
    <row r="551" spans="1:8" s="5" customFormat="1" ht="15.75" hidden="1" x14ac:dyDescent="0.25">
      <c r="A551" s="62"/>
      <c r="B551" s="456"/>
      <c r="C551" s="470" t="s">
        <v>662</v>
      </c>
      <c r="D551" s="470"/>
      <c r="E551" s="470"/>
      <c r="F551" s="470"/>
      <c r="G551" s="472"/>
      <c r="H551" s="472"/>
    </row>
    <row r="552" spans="1:8" s="5" customFormat="1" ht="15.75" hidden="1" x14ac:dyDescent="0.25">
      <c r="A552" s="62"/>
      <c r="B552" s="456"/>
      <c r="C552" s="470"/>
      <c r="D552" s="470"/>
      <c r="E552" s="470"/>
      <c r="F552" s="470"/>
      <c r="G552" s="472"/>
      <c r="H552" s="472"/>
    </row>
    <row r="553" spans="1:8" s="5" customFormat="1" ht="15.75" hidden="1" x14ac:dyDescent="0.25">
      <c r="A553" s="62"/>
      <c r="B553" s="456"/>
      <c r="C553" s="461" t="e">
        <f>C528*C529</f>
        <v>#N/A</v>
      </c>
      <c r="D553" s="470"/>
      <c r="E553" s="473"/>
      <c r="F553" s="470" t="s">
        <v>657</v>
      </c>
      <c r="G553" s="473"/>
      <c r="H553" s="472"/>
    </row>
    <row r="554" spans="1:8" s="5" customFormat="1" ht="15.75" hidden="1" x14ac:dyDescent="0.25">
      <c r="A554" s="62"/>
      <c r="B554" s="456"/>
      <c r="C554" s="461"/>
      <c r="D554" s="470"/>
      <c r="E554" s="473"/>
      <c r="F554" s="470"/>
      <c r="G554" s="473"/>
      <c r="H554" s="472"/>
    </row>
    <row r="555" spans="1:8" s="5" customFormat="1" ht="15.75" hidden="1" x14ac:dyDescent="0.25">
      <c r="A555" s="62"/>
      <c r="B555" s="460" t="s">
        <v>663</v>
      </c>
      <c r="C555" s="461" t="e">
        <f>C546+C547+C553</f>
        <v>#N/A</v>
      </c>
      <c r="D555" s="470"/>
      <c r="E555" s="473"/>
      <c r="F555" s="470" t="s">
        <v>657</v>
      </c>
      <c r="G555" s="473"/>
      <c r="H555" s="472"/>
    </row>
    <row r="556" spans="1:8" s="5" customFormat="1" ht="15.75" hidden="1" x14ac:dyDescent="0.25">
      <c r="A556" s="62"/>
      <c r="B556" s="456"/>
      <c r="C556" s="470"/>
      <c r="D556" s="470"/>
      <c r="E556" s="470"/>
      <c r="F556" s="470"/>
      <c r="G556" s="472"/>
      <c r="H556" s="472"/>
    </row>
    <row r="557" spans="1:8" s="5" customFormat="1" ht="15.75" hidden="1" x14ac:dyDescent="0.25">
      <c r="A557" s="62"/>
      <c r="B557" s="474" t="s">
        <v>664</v>
      </c>
      <c r="C557" s="455"/>
      <c r="D557" s="455"/>
      <c r="E557" s="463"/>
      <c r="F557" s="470"/>
      <c r="G557" s="472"/>
      <c r="H557" s="472"/>
    </row>
    <row r="558" spans="1:8" s="5" customFormat="1" ht="15.75" hidden="1" x14ac:dyDescent="0.25">
      <c r="B558" s="475" t="s">
        <v>665</v>
      </c>
      <c r="C558" s="476" t="s">
        <v>666</v>
      </c>
      <c r="D558" s="476" t="s">
        <v>667</v>
      </c>
      <c r="E558" s="477" t="s">
        <v>668</v>
      </c>
      <c r="F558" s="470"/>
      <c r="G558" s="472"/>
      <c r="H558" s="472"/>
    </row>
    <row r="559" spans="1:8" s="5" customFormat="1" ht="15.75" hidden="1" x14ac:dyDescent="0.25">
      <c r="A559" s="62">
        <v>1</v>
      </c>
      <c r="B559" s="478" t="s">
        <v>669</v>
      </c>
      <c r="C559" s="479">
        <v>30</v>
      </c>
      <c r="D559" s="479">
        <v>1000</v>
      </c>
      <c r="E559" s="480">
        <f>D559*10^-6</f>
        <v>1E-3</v>
      </c>
      <c r="F559" s="470"/>
      <c r="G559" s="2109"/>
      <c r="H559" s="2109"/>
    </row>
    <row r="560" spans="1:8" s="5" customFormat="1" ht="15.75" hidden="1" x14ac:dyDescent="0.25">
      <c r="A560" s="62">
        <v>2</v>
      </c>
      <c r="B560" s="478" t="s">
        <v>670</v>
      </c>
      <c r="C560" s="479">
        <v>25</v>
      </c>
      <c r="D560" s="479">
        <v>1400</v>
      </c>
      <c r="E560" s="480">
        <f>D560*10^-6</f>
        <v>1.4E-3</v>
      </c>
      <c r="F560" s="470"/>
      <c r="G560" s="472"/>
      <c r="H560" s="472"/>
    </row>
    <row r="561" spans="1:33" s="5" customFormat="1" ht="15.75" hidden="1" x14ac:dyDescent="0.25">
      <c r="A561" s="62">
        <v>3</v>
      </c>
      <c r="B561" s="478" t="s">
        <v>769</v>
      </c>
      <c r="C561" s="479">
        <v>30</v>
      </c>
      <c r="D561" s="479">
        <v>1080</v>
      </c>
      <c r="E561" s="480">
        <f t="shared" ref="E561:E566" si="44">D561*10^-6</f>
        <v>1.08E-3</v>
      </c>
      <c r="F561" s="470"/>
      <c r="G561" s="472"/>
      <c r="H561" s="472"/>
    </row>
    <row r="562" spans="1:33" s="5" customFormat="1" ht="15.75" hidden="1" x14ac:dyDescent="0.25">
      <c r="A562" s="62">
        <v>4</v>
      </c>
      <c r="B562" s="478" t="s">
        <v>671</v>
      </c>
      <c r="C562" s="481">
        <v>5.9</v>
      </c>
      <c r="D562" s="481">
        <v>510</v>
      </c>
      <c r="E562" s="482">
        <f t="shared" si="44"/>
        <v>5.0999999999999993E-4</v>
      </c>
      <c r="F562" s="470"/>
      <c r="G562" s="472"/>
      <c r="H562" s="472"/>
    </row>
    <row r="563" spans="1:33" s="5" customFormat="1" ht="15.75" hidden="1" x14ac:dyDescent="0.25">
      <c r="A563" s="62">
        <v>5</v>
      </c>
      <c r="B563" s="478" t="s">
        <v>672</v>
      </c>
      <c r="C563" s="481">
        <v>37.549999999999997</v>
      </c>
      <c r="D563" s="481">
        <v>494</v>
      </c>
      <c r="E563" s="482">
        <f t="shared" si="44"/>
        <v>4.9399999999999997E-4</v>
      </c>
      <c r="F563" s="470"/>
      <c r="G563" s="472"/>
      <c r="H563" s="472"/>
    </row>
    <row r="564" spans="1:33" s="5" customFormat="1" ht="15.75" hidden="1" x14ac:dyDescent="0.25">
      <c r="A564" s="62">
        <v>6</v>
      </c>
      <c r="B564" s="478" t="s">
        <v>673</v>
      </c>
      <c r="C564" s="481">
        <v>37</v>
      </c>
      <c r="D564" s="481">
        <v>681</v>
      </c>
      <c r="E564" s="482">
        <f t="shared" si="44"/>
        <v>6.8099999999999996E-4</v>
      </c>
      <c r="F564" s="470"/>
      <c r="G564" s="472"/>
      <c r="H564" s="472"/>
    </row>
    <row r="565" spans="1:33" s="5" customFormat="1" ht="15.75" hidden="1" x14ac:dyDescent="0.25">
      <c r="A565" s="62">
        <v>7</v>
      </c>
      <c r="B565" s="478" t="s">
        <v>674</v>
      </c>
      <c r="C565" s="481">
        <v>83.8</v>
      </c>
      <c r="D565" s="481">
        <v>314</v>
      </c>
      <c r="E565" s="482">
        <f t="shared" si="44"/>
        <v>3.1399999999999999E-4</v>
      </c>
      <c r="F565" s="470"/>
      <c r="G565" s="472"/>
      <c r="H565" s="472"/>
    </row>
    <row r="566" spans="1:33" s="5" customFormat="1" ht="15.75" hidden="1" x14ac:dyDescent="0.25">
      <c r="A566" s="62">
        <v>8</v>
      </c>
      <c r="B566" s="478" t="s">
        <v>675</v>
      </c>
      <c r="C566" s="457"/>
      <c r="D566" s="481">
        <v>0</v>
      </c>
      <c r="E566" s="482">
        <f t="shared" si="44"/>
        <v>0</v>
      </c>
      <c r="F566" s="472"/>
      <c r="G566" s="472"/>
      <c r="H566" s="472"/>
    </row>
    <row r="567" spans="1:33" s="5" customFormat="1" ht="15.75" hidden="1" x14ac:dyDescent="0.25">
      <c r="A567" s="5" t="s">
        <v>265</v>
      </c>
      <c r="B567" s="484" t="e">
        <f>VLOOKUP($G$53,$B$559:$E$566,1,FALSE)</f>
        <v>#N/A</v>
      </c>
      <c r="C567" s="484" t="e">
        <f>VLOOKUP($G$53,$B$559:$E$566,2,FALSE)</f>
        <v>#N/A</v>
      </c>
      <c r="D567" s="484" t="e">
        <f>VLOOKUP($G$53,$B$559:$E$566,3,FALSE)</f>
        <v>#N/A</v>
      </c>
      <c r="E567" s="485" t="e">
        <f>VLOOKUP($G$53,$B$559:$E$566,4,FALSE)</f>
        <v>#N/A</v>
      </c>
      <c r="F567" s="486"/>
      <c r="G567" s="486"/>
      <c r="H567" s="486"/>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row>
    <row r="568" spans="1:33" s="5" customFormat="1" hidden="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row>
    <row r="569" spans="1:33" hidden="1" x14ac:dyDescent="0.25"/>
    <row r="570" spans="1:33" ht="18.75" hidden="1" x14ac:dyDescent="0.3">
      <c r="B570" s="361" t="s">
        <v>930</v>
      </c>
    </row>
    <row r="571" spans="1:33" hidden="1" x14ac:dyDescent="0.25"/>
    <row r="572" spans="1:33" ht="15.75" hidden="1" x14ac:dyDescent="0.25">
      <c r="B572" s="577" t="s">
        <v>923</v>
      </c>
      <c r="C572" s="578" t="s">
        <v>932</v>
      </c>
      <c r="D572" s="577" t="s">
        <v>355</v>
      </c>
      <c r="E572" s="577" t="s">
        <v>925</v>
      </c>
    </row>
    <row r="573" spans="1:33" ht="15.75" hidden="1" x14ac:dyDescent="0.25">
      <c r="B573" s="577" t="s">
        <v>924</v>
      </c>
      <c r="C573" s="578">
        <f>C56</f>
        <v>0</v>
      </c>
      <c r="D573" s="577">
        <v>0.25</v>
      </c>
      <c r="E573" s="577">
        <f>C573*D573</f>
        <v>0</v>
      </c>
    </row>
    <row r="574" spans="1:33" ht="15.75" hidden="1" x14ac:dyDescent="0.25">
      <c r="B574" s="577" t="s">
        <v>926</v>
      </c>
      <c r="C574" s="578">
        <f>G56</f>
        <v>0</v>
      </c>
      <c r="D574" s="577">
        <v>0.2</v>
      </c>
      <c r="E574" s="577">
        <f t="shared" ref="E574:E578" si="45">C574*D574</f>
        <v>0</v>
      </c>
    </row>
    <row r="575" spans="1:33" ht="15.75" hidden="1" x14ac:dyDescent="0.25">
      <c r="B575" s="577" t="s">
        <v>927</v>
      </c>
      <c r="C575" s="578">
        <f>C58</f>
        <v>0</v>
      </c>
      <c r="D575" s="577">
        <v>0.25</v>
      </c>
      <c r="E575" s="577">
        <f t="shared" si="45"/>
        <v>0</v>
      </c>
    </row>
    <row r="576" spans="1:33" ht="15.75" hidden="1" x14ac:dyDescent="0.25">
      <c r="B576" s="577" t="s">
        <v>928</v>
      </c>
      <c r="C576" s="578">
        <f>G58</f>
        <v>0</v>
      </c>
      <c r="D576" s="577">
        <v>0.25</v>
      </c>
      <c r="E576" s="577">
        <f t="shared" si="45"/>
        <v>0</v>
      </c>
    </row>
    <row r="577" spans="2:5" ht="15.75" hidden="1" x14ac:dyDescent="0.25">
      <c r="B577" s="577" t="s">
        <v>929</v>
      </c>
      <c r="C577" s="578">
        <f>C60</f>
        <v>0</v>
      </c>
      <c r="D577" s="577">
        <v>0.3</v>
      </c>
      <c r="E577" s="577">
        <f t="shared" si="45"/>
        <v>0</v>
      </c>
    </row>
    <row r="578" spans="2:5" ht="15.75" hidden="1" x14ac:dyDescent="0.25">
      <c r="B578" s="577" t="s">
        <v>904</v>
      </c>
      <c r="C578" s="578">
        <f>G60</f>
        <v>0</v>
      </c>
      <c r="D578" s="577">
        <v>0</v>
      </c>
      <c r="E578" s="577">
        <f t="shared" si="45"/>
        <v>0</v>
      </c>
    </row>
    <row r="579" spans="2:5" ht="15.75" hidden="1" x14ac:dyDescent="0.25">
      <c r="B579" s="577" t="s">
        <v>260</v>
      </c>
      <c r="C579" s="578"/>
      <c r="D579" s="577"/>
      <c r="E579" s="577">
        <f>SUM(E573:E578)</f>
        <v>0</v>
      </c>
    </row>
    <row r="580" spans="2:5" ht="15.75" hidden="1" x14ac:dyDescent="0.25">
      <c r="B580" s="578"/>
      <c r="C580" s="578"/>
      <c r="D580" s="578"/>
      <c r="E580" s="578"/>
    </row>
    <row r="581" spans="2:5" ht="15.75" hidden="1" x14ac:dyDescent="0.25">
      <c r="B581" s="577" t="s">
        <v>933</v>
      </c>
      <c r="C581" s="578">
        <f>(SUM(D321:D322)*10^3)</f>
        <v>0</v>
      </c>
      <c r="D581" s="577">
        <v>0.89100000000000001</v>
      </c>
      <c r="E581" s="579">
        <f>C581/0.46*D581</f>
        <v>0</v>
      </c>
    </row>
    <row r="582" spans="2:5" ht="15.75" hidden="1" x14ac:dyDescent="0.25">
      <c r="B582" s="577" t="s">
        <v>934</v>
      </c>
      <c r="C582" s="578">
        <f>IF($T$170="1",((E49*$C$49)+(E50*$C$50))/1000,(E49+E50))</f>
        <v>0</v>
      </c>
      <c r="D582" s="577">
        <v>0.83399999999999996</v>
      </c>
      <c r="E582" s="579">
        <f>C582/0.18*D582</f>
        <v>0</v>
      </c>
    </row>
    <row r="583" spans="2:5" ht="15.75" hidden="1" x14ac:dyDescent="0.25">
      <c r="B583" s="577" t="s">
        <v>935</v>
      </c>
      <c r="C583" s="578">
        <f>IF($T$170="1",((F49*$C$49)+(F50*$C$50))/1000,(F49+F50))</f>
        <v>0</v>
      </c>
      <c r="D583" s="577">
        <v>0.13100000000000001</v>
      </c>
      <c r="E583" s="579">
        <f>C583/0.5*D583</f>
        <v>0</v>
      </c>
    </row>
    <row r="584" spans="2:5" ht="15.75" hidden="1" x14ac:dyDescent="0.25">
      <c r="B584" s="577" t="s">
        <v>936</v>
      </c>
      <c r="C584" s="578">
        <f>IF($T$170="1",((G49*$C$49)+(G50*$C$50))/1000,(G49+G50))</f>
        <v>0</v>
      </c>
      <c r="D584" s="577">
        <v>0.83399999999999996</v>
      </c>
      <c r="E584" s="579">
        <f>C584/0.18*D584</f>
        <v>0</v>
      </c>
    </row>
    <row r="585" spans="2:5" ht="15.75" hidden="1" x14ac:dyDescent="0.25">
      <c r="B585" s="577" t="s">
        <v>931</v>
      </c>
      <c r="C585" s="578">
        <f>IF($T$170="1",((H49*$C$49)+(H50*$C$50))/1000,(H49+H50))</f>
        <v>0</v>
      </c>
      <c r="D585" s="577">
        <v>1.9E-2</v>
      </c>
      <c r="E585" s="579">
        <f t="shared" ref="E585" si="46">C585/0.46*D585</f>
        <v>0</v>
      </c>
    </row>
    <row r="586" spans="2:5" ht="15.75" hidden="1" x14ac:dyDescent="0.25">
      <c r="B586" s="577" t="s">
        <v>260</v>
      </c>
      <c r="C586" s="577"/>
      <c r="D586" s="577"/>
      <c r="E586" s="579">
        <f>IF(C582&gt;C584,E582,E584)+E581+E583+E585</f>
        <v>0</v>
      </c>
    </row>
    <row r="587" spans="2:5" hidden="1" x14ac:dyDescent="0.25"/>
    <row r="588" spans="2:5" hidden="1" x14ac:dyDescent="0.25"/>
    <row r="589" spans="2:5" hidden="1" x14ac:dyDescent="0.25"/>
  </sheetData>
  <sheetProtection algorithmName="SHA-512" hashValue="AiEnAKuMiJo6C3EvExfztYq2Ms4MOnrcgk6jNbLqwyHVTUgGN8luoD7JnuoFzOonxLAmVvutgvo8Qr7rdWdGWQ==" saltValue="4j6/v2iftowTphvdjD9/lw==" spinCount="100000" sheet="1" objects="1" scenarios="1"/>
  <mergeCells count="66">
    <mergeCell ref="G559:H559"/>
    <mergeCell ref="E514:F514"/>
    <mergeCell ref="H496:I496"/>
    <mergeCell ref="F496:G496"/>
    <mergeCell ref="D496:E496"/>
    <mergeCell ref="K98:K99"/>
    <mergeCell ref="D98:D99"/>
    <mergeCell ref="E98:E99"/>
    <mergeCell ref="F98:F99"/>
    <mergeCell ref="G98:G99"/>
    <mergeCell ref="H98:H99"/>
    <mergeCell ref="I98:I99"/>
    <mergeCell ref="J98:J99"/>
    <mergeCell ref="H42:I43"/>
    <mergeCell ref="G58:H58"/>
    <mergeCell ref="B75:I77"/>
    <mergeCell ref="F90:G90"/>
    <mergeCell ref="F95:G95"/>
    <mergeCell ref="D33:E33"/>
    <mergeCell ref="D34:E34"/>
    <mergeCell ref="F26:G26"/>
    <mergeCell ref="F28:G28"/>
    <mergeCell ref="B71:B72"/>
    <mergeCell ref="C41:D41"/>
    <mergeCell ref="C70:E70"/>
    <mergeCell ref="G41:I41"/>
    <mergeCell ref="E42:F42"/>
    <mergeCell ref="G53:H53"/>
    <mergeCell ref="E53:F53"/>
    <mergeCell ref="G60:H60"/>
    <mergeCell ref="E56:F56"/>
    <mergeCell ref="C67:D67"/>
    <mergeCell ref="F70:G70"/>
    <mergeCell ref="C63:D63"/>
    <mergeCell ref="H31:I31"/>
    <mergeCell ref="F30:G30"/>
    <mergeCell ref="F31:G31"/>
    <mergeCell ref="H32:I32"/>
    <mergeCell ref="D32:E32"/>
    <mergeCell ref="B2:H5"/>
    <mergeCell ref="H29:I29"/>
    <mergeCell ref="F14:G14"/>
    <mergeCell ref="H35:I35"/>
    <mergeCell ref="D29:E29"/>
    <mergeCell ref="D30:E30"/>
    <mergeCell ref="D31:E31"/>
    <mergeCell ref="H33:I33"/>
    <mergeCell ref="H34:I34"/>
    <mergeCell ref="D35:E35"/>
    <mergeCell ref="F32:G32"/>
    <mergeCell ref="F33:G33"/>
    <mergeCell ref="F34:G34"/>
    <mergeCell ref="F35:G35"/>
    <mergeCell ref="D10:F10"/>
    <mergeCell ref="F24:G24"/>
    <mergeCell ref="D12:F12"/>
    <mergeCell ref="B35:B36"/>
    <mergeCell ref="B98:C98"/>
    <mergeCell ref="H36:I36"/>
    <mergeCell ref="D36:E36"/>
    <mergeCell ref="F36:G36"/>
    <mergeCell ref="G56:H56"/>
    <mergeCell ref="E58:F58"/>
    <mergeCell ref="D24:E24"/>
    <mergeCell ref="F29:G29"/>
    <mergeCell ref="H30:I30"/>
  </mergeCells>
  <dataValidations count="20">
    <dataValidation type="decimal" allowBlank="1" showInputMessage="1" showErrorMessage="1" sqref="G93 G88 G80" xr:uid="{00000000-0002-0000-0100-000000000000}">
      <formula1>0</formula1>
      <formula2>24</formula2>
    </dataValidation>
    <dataValidation type="whole" allowBlank="1" showInputMessage="1" showErrorMessage="1" sqref="H93 H88" xr:uid="{00000000-0002-0000-0100-000001000000}">
      <formula1>0</formula1>
      <formula2>365</formula2>
    </dataValidation>
    <dataValidation type="whole" allowBlank="1" showInputMessage="1" showErrorMessage="1" sqref="G83" xr:uid="{00000000-0002-0000-0100-000002000000}">
      <formula1>0</formula1>
      <formula2>100</formula2>
    </dataValidation>
    <dataValidation type="list" allowBlank="1" showInputMessage="1" showErrorMessage="1" sqref="D14" xr:uid="{00000000-0002-0000-0100-000003000000}">
      <formula1>State</formula1>
    </dataValidation>
    <dataValidation type="list" allowBlank="1" showInputMessage="1" showErrorMessage="1" sqref="H14" xr:uid="{00000000-0002-0000-0100-000004000000}">
      <formula1>INDIRECT(C178)</formula1>
    </dataValidation>
    <dataValidation type="list" allowBlank="1" showInputMessage="1" showErrorMessage="1" sqref="E42" xr:uid="{00000000-0002-0000-0100-000005000000}">
      <formula1>Fertiliser</formula1>
    </dataValidation>
    <dataValidation type="list" allowBlank="1" showInputMessage="1" showErrorMessage="1" sqref="G53" xr:uid="{00000000-0002-0000-0100-000006000000}">
      <formula1>Electricity</formula1>
    </dataValidation>
    <dataValidation type="list" allowBlank="1" showInputMessage="1" showErrorMessage="1" sqref="C67:D67" xr:uid="{00000000-0002-0000-0100-000007000000}">
      <formula1>Trees</formula1>
    </dataValidation>
    <dataValidation type="list" allowBlank="1" showInputMessage="1" showErrorMessage="1" sqref="H67" xr:uid="{00000000-0002-0000-0100-000008000000}">
      <formula1>Rainfall</formula1>
    </dataValidation>
    <dataValidation type="list" allowBlank="1" showInputMessage="1" showErrorMessage="1" sqref="F70:G70" xr:uid="{00000000-0002-0000-0100-000009000000}">
      <formula1>Waste.Management</formula1>
    </dataValidation>
    <dataValidation type="list" allowBlank="1" showInputMessage="1" showErrorMessage="1" sqref="G86" xr:uid="{00000000-0002-0000-0100-00000A000000}">
      <formula1>Pre_treament</formula1>
    </dataValidation>
    <dataValidation type="list" allowBlank="1" showInputMessage="1" showErrorMessage="1" sqref="F90:G90" xr:uid="{00000000-0002-0000-0100-00000B000000}">
      <formula1>Milker_Feedpad_Waste</formula1>
    </dataValidation>
    <dataValidation type="list" allowBlank="1" showInputMessage="1" showErrorMessage="1" sqref="F95" xr:uid="{00000000-0002-0000-0100-00000C000000}">
      <formula1>Heifer_Feedpad_Waste</formula1>
    </dataValidation>
    <dataValidation type="list" allowBlank="1" showInputMessage="1" showErrorMessage="1" sqref="C63:D63" xr:uid="{00000000-0002-0000-0100-00000D000000}">
      <formula1>Tree_Sequestration</formula1>
    </dataValidation>
    <dataValidation type="whole" allowBlank="1" showInputMessage="1" showErrorMessage="1" error="If the herd's average lactation length is greater than 365 days, you must put 365 here as the assessment is only for a 12 month period" sqref="D28" xr:uid="{00000000-0002-0000-0100-00000E000000}">
      <formula1>1</formula1>
      <formula2>365</formula2>
    </dataValidation>
    <dataValidation type="list" allowBlank="1" showInputMessage="1" showErrorMessage="1" sqref="D24:E24" xr:uid="{00000000-0002-0000-0100-00000F000000}">
      <formula1>Milk.production</formula1>
    </dataValidation>
    <dataValidation type="decimal" allowBlank="1" showInputMessage="1" showErrorMessage="1" sqref="H80" xr:uid="{00000000-0002-0000-0100-000010000000}">
      <formula1>0</formula1>
      <formula2>365</formula2>
    </dataValidation>
    <dataValidation type="decimal" allowBlank="1" showInputMessage="1" showErrorMessage="1" sqref="F35:G35" xr:uid="{00000000-0002-0000-0100-000011000000}">
      <formula1>0</formula1>
      <formula2>100</formula2>
    </dataValidation>
    <dataValidation type="decimal" allowBlank="1" showInputMessage="1" showErrorMessage="1" sqref="H35:I35" xr:uid="{00000000-0002-0000-0100-000012000000}">
      <formula1>0</formula1>
      <formula2>50</formula2>
    </dataValidation>
    <dataValidation type="decimal" allowBlank="1" showInputMessage="1" showErrorMessage="1" sqref="D35:E35" xr:uid="{00000000-0002-0000-0100-000013000000}">
      <formula1>0</formula1>
      <formula2>30</formula2>
    </dataValidation>
  </dataValidations>
  <hyperlinks>
    <hyperlink ref="H42:I43" location="'Fertiliser rates'!A1" display="Click here to work out fertiliser rates" xr:uid="{00000000-0004-0000-0100-000000000000}"/>
    <hyperlink ref="B35:B36" location="'Feed quality table'!A1" display="Click here for help regarding feed quality" xr:uid="{00000000-0004-0000-0100-000001000000}"/>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IW1050"/>
  <sheetViews>
    <sheetView zoomScale="70" zoomScaleNormal="70" workbookViewId="0"/>
  </sheetViews>
  <sheetFormatPr defaultColWidth="16.7109375" defaultRowHeight="15" x14ac:dyDescent="0.25"/>
  <cols>
    <col min="1" max="1" width="3.140625" style="18" customWidth="1"/>
    <col min="2" max="2" width="90.28515625" style="18" customWidth="1"/>
    <col min="3" max="3" width="25.7109375" style="18" customWidth="1"/>
    <col min="4" max="4" width="46" style="18" customWidth="1"/>
    <col min="5" max="5" width="22.85546875" style="18" customWidth="1"/>
    <col min="6" max="7" width="16.7109375" style="18"/>
    <col min="8" max="8" width="16.7109375" style="18" customWidth="1"/>
    <col min="9" max="68" width="16.7109375" style="559"/>
    <col min="69" max="16384" width="16.7109375" style="18"/>
  </cols>
  <sheetData>
    <row r="1" spans="1:257" x14ac:dyDescent="0.25">
      <c r="A1" s="17"/>
    </row>
    <row r="2" spans="1:257" x14ac:dyDescent="0.25">
      <c r="A2" s="17"/>
    </row>
    <row r="3" spans="1:257" x14ac:dyDescent="0.25">
      <c r="A3" s="17"/>
    </row>
    <row r="4" spans="1:257" x14ac:dyDescent="0.25">
      <c r="A4" s="17"/>
    </row>
    <row r="5" spans="1:257" x14ac:dyDescent="0.25">
      <c r="A5" s="17"/>
    </row>
    <row r="6" spans="1:257" x14ac:dyDescent="0.25">
      <c r="A6" s="17"/>
    </row>
    <row r="7" spans="1:257" x14ac:dyDescent="0.25">
      <c r="A7" s="17"/>
    </row>
    <row r="8" spans="1:257" ht="20.100000000000001" customHeight="1" x14ac:dyDescent="0.25">
      <c r="A8" s="17"/>
      <c r="B8" s="670" t="s">
        <v>1049</v>
      </c>
      <c r="C8" s="669"/>
    </row>
    <row r="9" spans="1:257" ht="20.100000000000001" customHeight="1" x14ac:dyDescent="0.25">
      <c r="A9" s="559"/>
      <c r="B9" s="203" t="s">
        <v>744</v>
      </c>
      <c r="C9" s="171">
        <f>'Baseline farm'!D17</f>
        <v>0</v>
      </c>
    </row>
    <row r="10" spans="1:257" ht="20.100000000000001" customHeight="1" x14ac:dyDescent="0.25">
      <c r="A10" s="17"/>
      <c r="B10" s="203" t="s">
        <v>684</v>
      </c>
      <c r="C10" s="7">
        <f>'Baseline farm'!E17</f>
        <v>0</v>
      </c>
    </row>
    <row r="11" spans="1:257" ht="20.100000000000001" customHeight="1" x14ac:dyDescent="0.25">
      <c r="A11" s="17"/>
      <c r="B11" s="203" t="s">
        <v>683</v>
      </c>
      <c r="C11" s="7">
        <f>'Baseline farm'!F17</f>
        <v>0</v>
      </c>
    </row>
    <row r="12" spans="1:257" ht="20.100000000000001" customHeight="1" x14ac:dyDescent="0.25">
      <c r="A12" s="17"/>
      <c r="B12" s="203" t="s">
        <v>496</v>
      </c>
      <c r="C12" s="8" t="e">
        <f>'Baseline farm'!H28</f>
        <v>#DIV/0!</v>
      </c>
    </row>
    <row r="13" spans="1:257" ht="20.100000000000001" customHeight="1" x14ac:dyDescent="0.25">
      <c r="A13" s="17"/>
      <c r="B13" s="203" t="s">
        <v>515</v>
      </c>
      <c r="C13" s="7">
        <f>'Baseline farm'!D28</f>
        <v>0</v>
      </c>
    </row>
    <row r="14" spans="1:257" ht="20.100000000000001" customHeight="1" x14ac:dyDescent="0.25">
      <c r="A14" s="17"/>
      <c r="B14" s="671" t="s">
        <v>1050</v>
      </c>
      <c r="C14" s="4"/>
    </row>
    <row r="15" spans="1:257" ht="20.100000000000001" customHeight="1" x14ac:dyDescent="0.25">
      <c r="A15" s="17"/>
      <c r="B15" s="325" t="s">
        <v>687</v>
      </c>
      <c r="C15" s="860">
        <f>C53/1</f>
        <v>120</v>
      </c>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row>
    <row r="16" spans="1:257" s="17" customFormat="1" ht="5.0999999999999996" customHeight="1" x14ac:dyDescent="0.25">
      <c r="B16" s="325"/>
      <c r="C16" s="21"/>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row>
    <row r="17" spans="1:257" ht="20.100000000000001" customHeight="1" x14ac:dyDescent="0.25">
      <c r="A17" s="17"/>
      <c r="B17" s="325" t="s">
        <v>688</v>
      </c>
      <c r="C17" s="860">
        <f>C54/1</f>
        <v>200</v>
      </c>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row>
    <row r="18" spans="1:257" ht="5.0999999999999996" customHeight="1" x14ac:dyDescent="0.25">
      <c r="A18" s="17"/>
      <c r="B18" s="325"/>
      <c r="C18" s="23"/>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row>
    <row r="19" spans="1:257" ht="20.100000000000001" customHeight="1" x14ac:dyDescent="0.25">
      <c r="A19" s="17"/>
      <c r="B19" s="325" t="s">
        <v>699</v>
      </c>
      <c r="C19" s="860">
        <f>C55/1</f>
        <v>1200</v>
      </c>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row>
    <row r="20" spans="1:257" s="17" customFormat="1" ht="5.0999999999999996" customHeight="1" x14ac:dyDescent="0.25">
      <c r="B20" s="325"/>
      <c r="C20" s="22"/>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row>
    <row r="21" spans="1:257" ht="20.100000000000001" customHeight="1" x14ac:dyDescent="0.25">
      <c r="A21" s="17"/>
      <c r="B21" s="205" t="s">
        <v>128</v>
      </c>
      <c r="C21" s="861">
        <f>C56/100</f>
        <v>0.4</v>
      </c>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row>
    <row r="22" spans="1:257" s="17" customFormat="1" ht="5.0999999999999996" customHeight="1" x14ac:dyDescent="0.25">
      <c r="B22" s="325"/>
      <c r="C22" s="22"/>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row>
    <row r="23" spans="1:257" ht="20.100000000000001" customHeight="1" x14ac:dyDescent="0.25">
      <c r="A23" s="17"/>
      <c r="B23" s="205" t="s">
        <v>72</v>
      </c>
      <c r="C23" s="861">
        <f>C57/100</f>
        <v>6</v>
      </c>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row>
    <row r="24" spans="1:257" ht="5.0999999999999996" customHeight="1" x14ac:dyDescent="0.25">
      <c r="A24" s="17"/>
      <c r="B24" s="325"/>
      <c r="C24" s="22"/>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row>
    <row r="25" spans="1:257" ht="20.100000000000001" customHeight="1" x14ac:dyDescent="0.25">
      <c r="A25" s="17"/>
      <c r="B25" s="672" t="s">
        <v>1051</v>
      </c>
      <c r="C25" s="673"/>
    </row>
    <row r="26" spans="1:257" ht="20.100000000000001" customHeight="1" x14ac:dyDescent="0.25">
      <c r="A26" s="559"/>
      <c r="B26" s="306" t="s">
        <v>685</v>
      </c>
      <c r="C26" s="540" t="e">
        <f>(C10/C9)</f>
        <v>#DIV/0!</v>
      </c>
    </row>
    <row r="27" spans="1:257" ht="20.100000000000001" customHeight="1" x14ac:dyDescent="0.25">
      <c r="A27" s="17"/>
      <c r="B27" s="306" t="s">
        <v>686</v>
      </c>
      <c r="C27" s="540" t="e">
        <f>C15/C9</f>
        <v>#DIV/0!</v>
      </c>
    </row>
    <row r="28" spans="1:257" ht="20.100000000000001" customHeight="1" x14ac:dyDescent="0.25">
      <c r="A28" s="17"/>
      <c r="B28" s="208" t="s">
        <v>1052</v>
      </c>
      <c r="C28" s="11"/>
    </row>
    <row r="29" spans="1:257" ht="20.100000000000001" customHeight="1" x14ac:dyDescent="0.25">
      <c r="A29" s="17"/>
      <c r="B29" s="523" t="s">
        <v>89</v>
      </c>
      <c r="C29" s="524">
        <f>C189</f>
        <v>-84.876975900000019</v>
      </c>
    </row>
    <row r="30" spans="1:257" ht="20.100000000000001" customHeight="1" x14ac:dyDescent="0.25">
      <c r="A30" s="17"/>
      <c r="B30" s="523" t="s">
        <v>494</v>
      </c>
      <c r="C30" s="524">
        <f>C190</f>
        <v>-6.3876012873154568</v>
      </c>
    </row>
    <row r="31" spans="1:257" ht="20.100000000000001" customHeight="1" x14ac:dyDescent="0.25">
      <c r="A31" s="17"/>
      <c r="B31" s="523" t="s">
        <v>495</v>
      </c>
      <c r="C31" s="524" t="e">
        <f>C191</f>
        <v>#N/A</v>
      </c>
    </row>
    <row r="32" spans="1:257" ht="20.100000000000001" customHeight="1" x14ac:dyDescent="0.25">
      <c r="A32" s="17"/>
      <c r="B32" s="523" t="s">
        <v>217</v>
      </c>
      <c r="C32" s="524" t="e">
        <f>C192</f>
        <v>#N/A</v>
      </c>
    </row>
    <row r="33" spans="1:8" ht="20.100000000000001" customHeight="1" x14ac:dyDescent="0.25">
      <c r="A33" s="17"/>
      <c r="B33" s="523" t="s">
        <v>218</v>
      </c>
      <c r="C33" s="524" t="e">
        <f>SUM(C29:C32)</f>
        <v>#N/A</v>
      </c>
    </row>
    <row r="34" spans="1:8" ht="20.100000000000001" customHeight="1" x14ac:dyDescent="0.25">
      <c r="A34" s="17"/>
      <c r="B34" s="525" t="s">
        <v>1047</v>
      </c>
      <c r="C34" s="526" t="e">
        <f>C33*C23</f>
        <v>#N/A</v>
      </c>
    </row>
    <row r="35" spans="1:8" ht="20.100000000000001" customHeight="1" x14ac:dyDescent="0.25">
      <c r="A35" s="17"/>
      <c r="B35" s="525" t="s">
        <v>1048</v>
      </c>
      <c r="C35" s="526">
        <f>0</f>
        <v>0</v>
      </c>
    </row>
    <row r="36" spans="1:8" ht="20.100000000000001" customHeight="1" x14ac:dyDescent="0.25">
      <c r="A36" s="17"/>
      <c r="B36" s="525" t="s">
        <v>20</v>
      </c>
      <c r="C36" s="527" t="e">
        <f>IF(C34&gt;1,C34-C35,C35*-1)</f>
        <v>#N/A</v>
      </c>
    </row>
    <row r="37" spans="1:8" ht="20.100000000000001" customHeight="1" x14ac:dyDescent="0.25">
      <c r="A37" s="17"/>
      <c r="B37" s="525" t="s">
        <v>95</v>
      </c>
      <c r="C37" s="526">
        <f>0</f>
        <v>0</v>
      </c>
    </row>
    <row r="38" spans="1:8" ht="20.100000000000001" customHeight="1" x14ac:dyDescent="0.25">
      <c r="A38" s="17"/>
      <c r="B38" s="525" t="s">
        <v>18</v>
      </c>
      <c r="C38" s="526" t="e">
        <f>IF(C34&gt;1,C34-C35+C37,C37-C35)+C63</f>
        <v>#N/A</v>
      </c>
    </row>
    <row r="39" spans="1:8" ht="20.100000000000001" customHeight="1" x14ac:dyDescent="0.25">
      <c r="A39" s="17"/>
      <c r="B39" s="525" t="s">
        <v>1053</v>
      </c>
      <c r="C39" s="528" t="e">
        <f>C67</f>
        <v>#N/A</v>
      </c>
    </row>
    <row r="40" spans="1:8" ht="20.100000000000001" customHeight="1" x14ac:dyDescent="0.25">
      <c r="A40" s="17"/>
      <c r="B40" s="529" t="s">
        <v>1237</v>
      </c>
      <c r="C40" s="538" t="e">
        <f>C77</f>
        <v>#N/A</v>
      </c>
    </row>
    <row r="41" spans="1:8" ht="20.100000000000001" customHeight="1" x14ac:dyDescent="0.25">
      <c r="A41" s="17"/>
      <c r="B41" s="525" t="s">
        <v>1054</v>
      </c>
      <c r="C41" s="531" t="e">
        <f>C87</f>
        <v>#N/A</v>
      </c>
    </row>
    <row r="42" spans="1:8" ht="20.100000000000001" customHeight="1" x14ac:dyDescent="0.25">
      <c r="A42" s="17"/>
      <c r="B42" s="532" t="s">
        <v>235</v>
      </c>
      <c r="C42" s="533" t="e">
        <f>C41+C37-C35+D63</f>
        <v>#N/A</v>
      </c>
    </row>
    <row r="43" spans="1:8" x14ac:dyDescent="0.25">
      <c r="A43" s="17"/>
      <c r="B43" s="17"/>
      <c r="C43" s="17"/>
      <c r="D43" s="17"/>
      <c r="E43" s="17"/>
      <c r="F43" s="17"/>
      <c r="G43" s="17"/>
      <c r="H43" s="17"/>
    </row>
    <row r="44" spans="1:8" s="559" customFormat="1" x14ac:dyDescent="0.25">
      <c r="B44" s="169"/>
      <c r="C44" s="170"/>
    </row>
    <row r="45" spans="1:8" s="559" customFormat="1" x14ac:dyDescent="0.25">
      <c r="B45" s="169"/>
      <c r="C45" s="170"/>
    </row>
    <row r="46" spans="1:8" s="559" customFormat="1" x14ac:dyDescent="0.25">
      <c r="B46" s="169"/>
      <c r="C46" s="170"/>
    </row>
    <row r="47" spans="1:8" s="559" customFormat="1" x14ac:dyDescent="0.25">
      <c r="B47" s="169"/>
      <c r="C47" s="170"/>
    </row>
    <row r="48" spans="1:8" s="559" customFormat="1" x14ac:dyDescent="0.25">
      <c r="B48" s="169"/>
      <c r="C48" s="170"/>
    </row>
    <row r="49" spans="2:4" s="559" customFormat="1" x14ac:dyDescent="0.25">
      <c r="B49" s="169"/>
      <c r="C49" s="170"/>
    </row>
    <row r="50" spans="2:4" s="559" customFormat="1" ht="23.25" hidden="1" x14ac:dyDescent="0.35">
      <c r="B50" s="640"/>
      <c r="C50" s="170"/>
    </row>
    <row r="51" spans="2:4" s="559" customFormat="1" ht="23.25" hidden="1" x14ac:dyDescent="0.35">
      <c r="B51" s="640"/>
      <c r="C51" s="170"/>
      <c r="D51" s="760"/>
    </row>
    <row r="52" spans="2:4" s="559" customFormat="1" hidden="1" x14ac:dyDescent="0.25">
      <c r="B52" s="678" t="s">
        <v>166</v>
      </c>
      <c r="C52" s="677"/>
      <c r="D52" s="173"/>
    </row>
    <row r="53" spans="2:4" s="559" customFormat="1" hidden="1" x14ac:dyDescent="0.25">
      <c r="B53" s="169" t="s">
        <v>682</v>
      </c>
      <c r="C53" s="749">
        <v>120</v>
      </c>
      <c r="D53" s="173"/>
    </row>
    <row r="54" spans="2:4" s="559" customFormat="1" hidden="1" x14ac:dyDescent="0.25">
      <c r="B54" s="169" t="s">
        <v>681</v>
      </c>
      <c r="C54" s="749">
        <v>200</v>
      </c>
      <c r="D54" s="173"/>
    </row>
    <row r="55" spans="2:4" s="559" customFormat="1" hidden="1" x14ac:dyDescent="0.25">
      <c r="B55" s="169" t="s">
        <v>698</v>
      </c>
      <c r="C55" s="749">
        <v>1200</v>
      </c>
      <c r="D55" s="173"/>
    </row>
    <row r="56" spans="2:4" s="173" customFormat="1" ht="12.75" hidden="1" x14ac:dyDescent="0.2">
      <c r="B56" s="169" t="s">
        <v>88</v>
      </c>
      <c r="C56" s="750">
        <v>40</v>
      </c>
    </row>
    <row r="57" spans="2:4" s="173" customFormat="1" ht="12.75" hidden="1" x14ac:dyDescent="0.2">
      <c r="B57" s="169" t="s">
        <v>72</v>
      </c>
      <c r="C57" s="750">
        <v>600</v>
      </c>
    </row>
    <row r="58" spans="2:4" s="173" customFormat="1" ht="12.75" hidden="1" x14ac:dyDescent="0.2">
      <c r="B58" s="169"/>
      <c r="C58" s="680"/>
    </row>
    <row r="59" spans="2:4" s="173" customFormat="1" ht="12.75" hidden="1" x14ac:dyDescent="0.2">
      <c r="B59" s="169"/>
      <c r="C59" s="680"/>
    </row>
    <row r="60" spans="2:4" s="559" customFormat="1" ht="15.75" hidden="1" x14ac:dyDescent="0.25">
      <c r="B60" s="678" t="s">
        <v>152</v>
      </c>
      <c r="C60" s="751" t="s">
        <v>702</v>
      </c>
      <c r="D60" s="358" t="s">
        <v>703</v>
      </c>
    </row>
    <row r="61" spans="2:4" s="559" customFormat="1" hidden="1" x14ac:dyDescent="0.25">
      <c r="B61" s="169" t="s">
        <v>119</v>
      </c>
      <c r="C61" s="729" t="e">
        <f>C34</f>
        <v>#N/A</v>
      </c>
      <c r="D61" s="752" t="e">
        <f>C41</f>
        <v>#N/A</v>
      </c>
    </row>
    <row r="62" spans="2:4" s="559" customFormat="1" hidden="1" x14ac:dyDescent="0.25">
      <c r="B62" s="169" t="s">
        <v>120</v>
      </c>
      <c r="C62" s="729">
        <f>C35*-1</f>
        <v>0</v>
      </c>
      <c r="D62" s="752">
        <f>C62</f>
        <v>0</v>
      </c>
    </row>
    <row r="63" spans="2:4" s="559" customFormat="1" hidden="1" x14ac:dyDescent="0.25">
      <c r="B63" s="169" t="s">
        <v>700</v>
      </c>
      <c r="C63" s="729">
        <f>D96</f>
        <v>-192000</v>
      </c>
      <c r="D63" s="752">
        <f>C63</f>
        <v>-192000</v>
      </c>
    </row>
    <row r="64" spans="2:4" s="559" customFormat="1" hidden="1" x14ac:dyDescent="0.25">
      <c r="B64" s="169" t="s">
        <v>24</v>
      </c>
      <c r="C64" s="729" t="e">
        <f>C38</f>
        <v>#N/A</v>
      </c>
      <c r="D64" s="753" t="e">
        <f>C42</f>
        <v>#N/A</v>
      </c>
    </row>
    <row r="65" spans="2:6" s="559" customFormat="1" hidden="1" x14ac:dyDescent="0.25">
      <c r="B65" s="169"/>
      <c r="C65" s="729"/>
      <c r="D65" s="753"/>
    </row>
    <row r="66" spans="2:6" s="559" customFormat="1" hidden="1" x14ac:dyDescent="0.25">
      <c r="B66" s="169"/>
      <c r="C66" s="729"/>
      <c r="D66" s="753"/>
    </row>
    <row r="67" spans="2:6" s="559" customFormat="1" hidden="1" x14ac:dyDescent="0.25">
      <c r="B67" s="169" t="s">
        <v>112</v>
      </c>
      <c r="C67" s="782" t="e">
        <f>C64/C68</f>
        <v>#N/A</v>
      </c>
      <c r="D67" s="173"/>
    </row>
    <row r="68" spans="2:6" s="559" customFormat="1" hidden="1" x14ac:dyDescent="0.25">
      <c r="B68" s="169" t="s">
        <v>109</v>
      </c>
      <c r="C68" s="755" t="e">
        <f>C9*C12*C13*C21</f>
        <v>#DIV/0!</v>
      </c>
      <c r="D68" s="173"/>
    </row>
    <row r="69" spans="2:6" s="559" customFormat="1" hidden="1" x14ac:dyDescent="0.25">
      <c r="B69" s="173"/>
      <c r="C69" s="723"/>
      <c r="D69" s="173"/>
    </row>
    <row r="70" spans="2:6" s="559" customFormat="1" hidden="1" x14ac:dyDescent="0.25">
      <c r="B70" s="678" t="s">
        <v>177</v>
      </c>
      <c r="C70" s="173"/>
      <c r="E70" s="173"/>
    </row>
    <row r="71" spans="2:6" s="559" customFormat="1" hidden="1" x14ac:dyDescent="0.25">
      <c r="B71" s="169" t="s">
        <v>875</v>
      </c>
      <c r="C71" s="783" t="e">
        <f>C179</f>
        <v>#N/A</v>
      </c>
      <c r="E71" s="173"/>
      <c r="F71" s="740"/>
    </row>
    <row r="72" spans="2:6" s="559" customFormat="1" hidden="1" x14ac:dyDescent="0.25">
      <c r="B72" s="169" t="s">
        <v>1571</v>
      </c>
      <c r="C72" s="783">
        <f>'Baseline farm'!P176</f>
        <v>0</v>
      </c>
      <c r="E72" s="173"/>
    </row>
    <row r="73" spans="2:6" s="559" customFormat="1" hidden="1" x14ac:dyDescent="0.25">
      <c r="B73" s="169" t="s">
        <v>1251</v>
      </c>
      <c r="C73" s="784" t="e">
        <f>C71*1000/C72</f>
        <v>#N/A</v>
      </c>
      <c r="E73" s="173"/>
    </row>
    <row r="74" spans="2:6" s="559" customFormat="1" hidden="1" x14ac:dyDescent="0.25">
      <c r="B74" s="169" t="s">
        <v>876</v>
      </c>
      <c r="C74" s="721" t="e">
        <f>C186</f>
        <v>#N/A</v>
      </c>
      <c r="E74" s="173"/>
    </row>
    <row r="75" spans="2:6" s="559" customFormat="1" hidden="1" x14ac:dyDescent="0.25">
      <c r="B75" s="169" t="s">
        <v>1250</v>
      </c>
      <c r="C75" s="785">
        <f>C72</f>
        <v>0</v>
      </c>
      <c r="E75" s="173"/>
    </row>
    <row r="76" spans="2:6" s="559" customFormat="1" hidden="1" x14ac:dyDescent="0.25">
      <c r="B76" s="169" t="s">
        <v>1241</v>
      </c>
      <c r="C76" s="786" t="e">
        <f>C74*1000/C75</f>
        <v>#N/A</v>
      </c>
      <c r="E76" s="173"/>
    </row>
    <row r="77" spans="2:6" s="559" customFormat="1" hidden="1" x14ac:dyDescent="0.25">
      <c r="B77" s="173" t="s">
        <v>1252</v>
      </c>
      <c r="C77" s="784" t="e">
        <f>C73-C76</f>
        <v>#N/A</v>
      </c>
      <c r="E77" s="173"/>
    </row>
    <row r="78" spans="2:6" s="559" customFormat="1" hidden="1" x14ac:dyDescent="0.25">
      <c r="B78" s="173"/>
      <c r="C78" s="173"/>
      <c r="E78" s="173"/>
    </row>
    <row r="79" spans="2:6" s="173" customFormat="1" ht="15.75" hidden="1" customHeight="1" x14ac:dyDescent="0.2">
      <c r="B79" s="678" t="s">
        <v>219</v>
      </c>
    </row>
    <row r="80" spans="2:6" s="173" customFormat="1" ht="15" hidden="1" customHeight="1" x14ac:dyDescent="0.2">
      <c r="B80" s="169" t="s">
        <v>840</v>
      </c>
      <c r="C80" s="689" t="e">
        <f>C77</f>
        <v>#N/A</v>
      </c>
    </row>
    <row r="81" spans="2:4" s="173" customFormat="1" ht="15" hidden="1" customHeight="1" x14ac:dyDescent="0.2">
      <c r="B81" s="173" t="s">
        <v>841</v>
      </c>
      <c r="C81" s="689">
        <f>C75</f>
        <v>0</v>
      </c>
    </row>
    <row r="82" spans="2:4" s="173" customFormat="1" ht="15" hidden="1" customHeight="1" x14ac:dyDescent="0.2">
      <c r="B82" s="173" t="s">
        <v>878</v>
      </c>
      <c r="C82" s="715" t="e">
        <f>C81*C80</f>
        <v>#N/A</v>
      </c>
    </row>
    <row r="83" spans="2:4" s="173" customFormat="1" ht="15" hidden="1" customHeight="1" x14ac:dyDescent="0.2">
      <c r="B83" s="173" t="s">
        <v>879</v>
      </c>
      <c r="C83" s="715" t="e">
        <f>C82/365</f>
        <v>#N/A</v>
      </c>
    </row>
    <row r="84" spans="2:4" s="173" customFormat="1" ht="15" hidden="1" customHeight="1" x14ac:dyDescent="0.2">
      <c r="B84" s="173" t="s">
        <v>880</v>
      </c>
      <c r="C84" s="715">
        <f>365</f>
        <v>365</v>
      </c>
    </row>
    <row r="85" spans="2:4" s="173" customFormat="1" ht="15" hidden="1" customHeight="1" x14ac:dyDescent="0.2">
      <c r="B85" s="173" t="s">
        <v>881</v>
      </c>
      <c r="C85" s="715" t="e">
        <f>C84*C83</f>
        <v>#N/A</v>
      </c>
    </row>
    <row r="86" spans="2:4" s="173" customFormat="1" ht="15" hidden="1" customHeight="1" x14ac:dyDescent="0.2">
      <c r="B86" s="173" t="s">
        <v>226</v>
      </c>
      <c r="C86" s="716">
        <f>C23</f>
        <v>6</v>
      </c>
    </row>
    <row r="87" spans="2:4" s="173" customFormat="1" ht="15" hidden="1" customHeight="1" x14ac:dyDescent="0.2">
      <c r="B87" s="173" t="s">
        <v>228</v>
      </c>
      <c r="C87" s="717" t="e">
        <f>C85/1000*C86</f>
        <v>#N/A</v>
      </c>
    </row>
    <row r="88" spans="2:4" s="173" customFormat="1" ht="15" hidden="1" customHeight="1" x14ac:dyDescent="0.2">
      <c r="C88" s="717"/>
    </row>
    <row r="89" spans="2:4" s="173" customFormat="1" ht="15" hidden="1" customHeight="1" x14ac:dyDescent="0.2">
      <c r="C89" s="717"/>
    </row>
    <row r="90" spans="2:4" s="173" customFormat="1" ht="15" hidden="1" customHeight="1" x14ac:dyDescent="0.2">
      <c r="C90" s="717"/>
      <c r="D90" s="723" t="s">
        <v>493</v>
      </c>
    </row>
    <row r="91" spans="2:4" s="173" customFormat="1" ht="15" hidden="1" customHeight="1" x14ac:dyDescent="0.2">
      <c r="B91" s="173" t="s">
        <v>882</v>
      </c>
      <c r="C91" s="717"/>
      <c r="D91" s="717">
        <f>$C$19</f>
        <v>1200</v>
      </c>
    </row>
    <row r="92" spans="2:4" s="173" customFormat="1" ht="15" hidden="1" customHeight="1" x14ac:dyDescent="0.2">
      <c r="B92" s="173" t="s">
        <v>1065</v>
      </c>
      <c r="C92" s="787"/>
      <c r="D92" s="715">
        <f>C11-C17</f>
        <v>-200</v>
      </c>
    </row>
    <row r="93" spans="2:4" s="173" customFormat="1" ht="15" hidden="1" customHeight="1" x14ac:dyDescent="0.2">
      <c r="B93" s="173" t="s">
        <v>1066</v>
      </c>
      <c r="C93" s="787"/>
      <c r="D93" s="715">
        <f>C10-C15</f>
        <v>-120</v>
      </c>
    </row>
    <row r="94" spans="2:4" s="173" customFormat="1" ht="15" hidden="1" customHeight="1" x14ac:dyDescent="0.2">
      <c r="B94" s="173" t="s">
        <v>1067</v>
      </c>
      <c r="C94" s="717"/>
      <c r="D94" s="717">
        <f>D91/2*D92</f>
        <v>-120000</v>
      </c>
    </row>
    <row r="95" spans="2:4" s="173" customFormat="1" ht="15" hidden="1" customHeight="1" x14ac:dyDescent="0.2">
      <c r="B95" s="173" t="s">
        <v>1068</v>
      </c>
      <c r="C95" s="717"/>
      <c r="D95" s="717">
        <f>D91/2*D93</f>
        <v>-72000</v>
      </c>
    </row>
    <row r="96" spans="2:4" s="173" customFormat="1" ht="15" hidden="1" customHeight="1" x14ac:dyDescent="0.2">
      <c r="B96" s="169" t="s">
        <v>1069</v>
      </c>
      <c r="C96" s="725"/>
      <c r="D96" s="717">
        <f>D95+D94</f>
        <v>-192000</v>
      </c>
    </row>
    <row r="97" spans="2:13" s="173" customFormat="1" ht="15" hidden="1" customHeight="1" x14ac:dyDescent="0.2"/>
    <row r="98" spans="2:13" s="559" customFormat="1" hidden="1" x14ac:dyDescent="0.25"/>
    <row r="99" spans="2:13" s="559" customFormat="1" hidden="1" x14ac:dyDescent="0.25">
      <c r="B99" s="169"/>
      <c r="C99" s="725"/>
      <c r="D99" s="173"/>
    </row>
    <row r="100" spans="2:13" s="559" customFormat="1" hidden="1" x14ac:dyDescent="0.25">
      <c r="B100" s="678" t="s">
        <v>170</v>
      </c>
      <c r="C100" s="173"/>
      <c r="D100" s="173"/>
      <c r="E100" s="173"/>
      <c r="F100" s="740"/>
      <c r="G100" s="740"/>
    </row>
    <row r="101" spans="2:13" s="559" customFormat="1" hidden="1" x14ac:dyDescent="0.25">
      <c r="B101" s="678" t="s">
        <v>480</v>
      </c>
      <c r="C101" s="788" t="s">
        <v>684</v>
      </c>
      <c r="D101" s="788" t="s">
        <v>683</v>
      </c>
      <c r="E101" s="173"/>
      <c r="F101" s="740"/>
    </row>
    <row r="102" spans="2:13" s="559" customFormat="1" hidden="1" x14ac:dyDescent="0.25">
      <c r="B102" s="169" t="s">
        <v>11</v>
      </c>
      <c r="C102" s="727">
        <f>'Baseline farm'!E197</f>
        <v>2.9067457500000001E-2</v>
      </c>
      <c r="D102" s="727">
        <f>'Baseline farm'!F197</f>
        <v>2.9067457500000001E-2</v>
      </c>
      <c r="E102" s="173"/>
      <c r="F102" s="740"/>
    </row>
    <row r="103" spans="2:13" s="559" customFormat="1" hidden="1" x14ac:dyDescent="0.25">
      <c r="B103" s="679"/>
      <c r="C103" s="728"/>
      <c r="E103" s="173"/>
      <c r="F103" s="740"/>
    </row>
    <row r="104" spans="2:13" s="559" customFormat="1" hidden="1" x14ac:dyDescent="0.25">
      <c r="B104" s="169" t="s">
        <v>689</v>
      </c>
      <c r="C104" s="729">
        <f>'Baseline farm'!E17</f>
        <v>0</v>
      </c>
      <c r="D104" s="729">
        <f>'Baseline farm'!F17</f>
        <v>0</v>
      </c>
      <c r="E104" s="173"/>
      <c r="F104" s="740"/>
    </row>
    <row r="105" spans="2:13" s="559" customFormat="1" hidden="1" x14ac:dyDescent="0.25">
      <c r="B105" s="169" t="s">
        <v>13</v>
      </c>
      <c r="C105" s="730">
        <f>C102*C104*365</f>
        <v>0</v>
      </c>
      <c r="D105" s="730">
        <f>D102*D104*365</f>
        <v>0</v>
      </c>
      <c r="E105" s="173" t="s">
        <v>216</v>
      </c>
      <c r="F105" s="740"/>
    </row>
    <row r="106" spans="2:13" s="559" customFormat="1" hidden="1" x14ac:dyDescent="0.25">
      <c r="B106" s="678" t="s">
        <v>14</v>
      </c>
      <c r="C106" s="731">
        <f>(C105+D105)*25/1000</f>
        <v>0</v>
      </c>
      <c r="E106" s="173"/>
      <c r="F106" s="740"/>
    </row>
    <row r="107" spans="2:13" s="559" customFormat="1" hidden="1" x14ac:dyDescent="0.25">
      <c r="B107" s="169"/>
      <c r="C107" s="731"/>
      <c r="E107" s="173"/>
      <c r="F107" s="740"/>
    </row>
    <row r="108" spans="2:13" s="559" customFormat="1" hidden="1" x14ac:dyDescent="0.25">
      <c r="B108" s="743"/>
      <c r="C108" s="679"/>
      <c r="E108" s="173"/>
      <c r="F108" s="740"/>
    </row>
    <row r="109" spans="2:13" s="559" customFormat="1" hidden="1" x14ac:dyDescent="0.25">
      <c r="B109" s="789" t="s">
        <v>171</v>
      </c>
      <c r="C109" s="723"/>
      <c r="E109" s="173"/>
      <c r="F109" s="745"/>
    </row>
    <row r="110" spans="2:13" s="559" customFormat="1" hidden="1" x14ac:dyDescent="0.25">
      <c r="B110" s="678" t="s">
        <v>480</v>
      </c>
      <c r="C110" s="788" t="s">
        <v>684</v>
      </c>
      <c r="D110" s="788" t="s">
        <v>683</v>
      </c>
      <c r="E110" s="173"/>
      <c r="F110" s="740"/>
      <c r="K110" s="643"/>
      <c r="L110" s="643"/>
      <c r="M110" s="643"/>
    </row>
    <row r="111" spans="2:13" s="559" customFormat="1" hidden="1" x14ac:dyDescent="0.25">
      <c r="B111" s="169" t="s">
        <v>11</v>
      </c>
      <c r="C111" s="727">
        <f>C102</f>
        <v>2.9067457500000001E-2</v>
      </c>
      <c r="D111" s="727">
        <f>D102</f>
        <v>2.9067457500000001E-2</v>
      </c>
      <c r="E111" s="173"/>
      <c r="F111" s="740"/>
      <c r="K111" s="643"/>
      <c r="L111" s="643"/>
      <c r="M111" s="643"/>
    </row>
    <row r="112" spans="2:13" s="559" customFormat="1" hidden="1" x14ac:dyDescent="0.25">
      <c r="B112" s="679"/>
      <c r="C112" s="728"/>
      <c r="E112" s="173"/>
      <c r="F112" s="740"/>
      <c r="K112" s="643"/>
      <c r="L112" s="643"/>
      <c r="M112" s="643"/>
    </row>
    <row r="113" spans="2:6" s="559" customFormat="1" hidden="1" x14ac:dyDescent="0.25">
      <c r="B113" s="169" t="s">
        <v>689</v>
      </c>
      <c r="C113" s="729">
        <f>C15</f>
        <v>120</v>
      </c>
      <c r="D113" s="729">
        <f>C17</f>
        <v>200</v>
      </c>
      <c r="E113" s="173"/>
      <c r="F113" s="740"/>
    </row>
    <row r="114" spans="2:6" s="559" customFormat="1" hidden="1" x14ac:dyDescent="0.25">
      <c r="B114" s="169" t="s">
        <v>13</v>
      </c>
      <c r="C114" s="730">
        <f>C111*C113*365</f>
        <v>1273.1546385000001</v>
      </c>
      <c r="D114" s="730">
        <f>D111*D113*365</f>
        <v>2121.9243975000004</v>
      </c>
      <c r="E114" s="173"/>
      <c r="F114" s="740"/>
    </row>
    <row r="115" spans="2:6" s="559" customFormat="1" hidden="1" x14ac:dyDescent="0.25">
      <c r="B115" s="678" t="s">
        <v>14</v>
      </c>
      <c r="C115" s="731">
        <f>(C114+D114)*25/1000</f>
        <v>84.876975900000019</v>
      </c>
      <c r="E115" s="173"/>
      <c r="F115" s="740"/>
    </row>
    <row r="116" spans="2:6" s="559" customFormat="1" hidden="1" x14ac:dyDescent="0.25">
      <c r="B116" s="169"/>
      <c r="C116" s="725"/>
      <c r="E116" s="173"/>
      <c r="F116" s="740"/>
    </row>
    <row r="117" spans="2:6" s="559" customFormat="1" hidden="1" x14ac:dyDescent="0.25">
      <c r="B117" s="678"/>
      <c r="C117" s="731"/>
      <c r="E117" s="173"/>
      <c r="F117" s="740"/>
    </row>
    <row r="118" spans="2:6" s="559" customFormat="1" hidden="1" x14ac:dyDescent="0.25">
      <c r="B118" s="678" t="s">
        <v>690</v>
      </c>
      <c r="C118" s="731">
        <f>C106-C115</f>
        <v>-84.876975900000019</v>
      </c>
      <c r="E118" s="173" t="s">
        <v>694</v>
      </c>
      <c r="F118" s="740"/>
    </row>
    <row r="119" spans="2:6" s="559" customFormat="1" hidden="1" x14ac:dyDescent="0.25">
      <c r="B119" s="169"/>
      <c r="C119" s="722"/>
      <c r="E119" s="173"/>
      <c r="F119" s="740"/>
    </row>
    <row r="120" spans="2:6" s="559" customFormat="1" hidden="1" x14ac:dyDescent="0.25">
      <c r="B120" s="173"/>
      <c r="C120" s="173"/>
      <c r="E120" s="173"/>
    </row>
    <row r="121" spans="2:6" s="559" customFormat="1" hidden="1" x14ac:dyDescent="0.25">
      <c r="B121" s="678" t="s">
        <v>170</v>
      </c>
      <c r="C121" s="173"/>
      <c r="E121" s="173"/>
    </row>
    <row r="122" spans="2:6" s="559" customFormat="1" hidden="1" x14ac:dyDescent="0.25">
      <c r="B122" s="678" t="s">
        <v>479</v>
      </c>
      <c r="C122" s="788" t="s">
        <v>684</v>
      </c>
      <c r="D122" s="788" t="s">
        <v>683</v>
      </c>
      <c r="E122" s="173"/>
    </row>
    <row r="123" spans="2:6" s="559" customFormat="1" hidden="1" x14ac:dyDescent="0.25">
      <c r="B123" s="169" t="s">
        <v>11</v>
      </c>
      <c r="C123" s="723">
        <f>'Baseline farm'!E222</f>
        <v>2.1875346874368003E-3</v>
      </c>
      <c r="D123" s="723">
        <f>'Baseline farm'!F222</f>
        <v>2.1875346874368003E-3</v>
      </c>
      <c r="E123" s="173"/>
    </row>
    <row r="124" spans="2:6" s="559" customFormat="1" hidden="1" x14ac:dyDescent="0.25">
      <c r="B124" s="173"/>
      <c r="C124" s="173"/>
      <c r="E124" s="173"/>
    </row>
    <row r="125" spans="2:6" s="559" customFormat="1" hidden="1" x14ac:dyDescent="0.25">
      <c r="B125" s="169" t="s">
        <v>689</v>
      </c>
      <c r="C125" s="729">
        <f>C104</f>
        <v>0</v>
      </c>
      <c r="D125" s="729">
        <f>D104</f>
        <v>0</v>
      </c>
      <c r="E125" s="173"/>
    </row>
    <row r="126" spans="2:6" s="559" customFormat="1" hidden="1" x14ac:dyDescent="0.25">
      <c r="B126" s="169" t="s">
        <v>13</v>
      </c>
      <c r="C126" s="730">
        <f>C123*C125*365</f>
        <v>0</v>
      </c>
      <c r="D126" s="730">
        <f>D123*D125*365</f>
        <v>0</v>
      </c>
      <c r="E126" s="173" t="s">
        <v>216</v>
      </c>
    </row>
    <row r="127" spans="2:6" s="559" customFormat="1" hidden="1" x14ac:dyDescent="0.25">
      <c r="B127" s="678" t="s">
        <v>14</v>
      </c>
      <c r="C127" s="731">
        <f>(C126+D126)*25/1000</f>
        <v>0</v>
      </c>
      <c r="E127" s="173"/>
    </row>
    <row r="128" spans="2:6" s="559" customFormat="1" hidden="1" x14ac:dyDescent="0.25">
      <c r="B128" s="173"/>
      <c r="C128" s="173"/>
      <c r="E128" s="173"/>
    </row>
    <row r="129" spans="2:13" s="559" customFormat="1" hidden="1" x14ac:dyDescent="0.25">
      <c r="B129" s="173"/>
      <c r="C129" s="173"/>
      <c r="E129" s="173"/>
    </row>
    <row r="130" spans="2:13" s="559" customFormat="1" hidden="1" x14ac:dyDescent="0.25">
      <c r="B130" s="789" t="s">
        <v>171</v>
      </c>
      <c r="C130" s="173"/>
      <c r="E130" s="173"/>
    </row>
    <row r="131" spans="2:13" s="559" customFormat="1" hidden="1" x14ac:dyDescent="0.25">
      <c r="B131" s="678" t="s">
        <v>479</v>
      </c>
      <c r="C131" s="788" t="s">
        <v>684</v>
      </c>
      <c r="D131" s="788" t="s">
        <v>683</v>
      </c>
      <c r="E131" s="173"/>
    </row>
    <row r="132" spans="2:13" s="559" customFormat="1" hidden="1" x14ac:dyDescent="0.25">
      <c r="B132" s="169" t="s">
        <v>11</v>
      </c>
      <c r="C132" s="642">
        <f>C123</f>
        <v>2.1875346874368003E-3</v>
      </c>
      <c r="D132" s="642">
        <f>D123</f>
        <v>2.1875346874368003E-3</v>
      </c>
      <c r="E132" s="173"/>
      <c r="F132" s="740"/>
      <c r="K132" s="643"/>
      <c r="L132" s="643"/>
      <c r="M132" s="643"/>
    </row>
    <row r="133" spans="2:13" s="559" customFormat="1" hidden="1" x14ac:dyDescent="0.25">
      <c r="B133" s="679"/>
      <c r="C133" s="728"/>
      <c r="E133" s="173"/>
      <c r="F133" s="740"/>
      <c r="K133" s="643"/>
      <c r="L133" s="643"/>
      <c r="M133" s="643"/>
    </row>
    <row r="134" spans="2:13" s="559" customFormat="1" hidden="1" x14ac:dyDescent="0.25">
      <c r="B134" s="169" t="s">
        <v>689</v>
      </c>
      <c r="C134" s="729">
        <f>C113</f>
        <v>120</v>
      </c>
      <c r="D134" s="729">
        <f>D113</f>
        <v>200</v>
      </c>
      <c r="E134" s="173"/>
      <c r="F134" s="740"/>
    </row>
    <row r="135" spans="2:13" s="559" customFormat="1" hidden="1" x14ac:dyDescent="0.25">
      <c r="B135" s="169" t="s">
        <v>13</v>
      </c>
      <c r="C135" s="730">
        <f>C132*C134*365</f>
        <v>95.814019309731847</v>
      </c>
      <c r="D135" s="730">
        <f>D132*D134*365</f>
        <v>159.69003218288643</v>
      </c>
      <c r="E135" s="173"/>
      <c r="F135" s="740"/>
    </row>
    <row r="136" spans="2:13" s="559" customFormat="1" hidden="1" x14ac:dyDescent="0.25">
      <c r="B136" s="678" t="s">
        <v>14</v>
      </c>
      <c r="C136" s="731">
        <f>(C135+D135)*25/1000</f>
        <v>6.3876012873154568</v>
      </c>
      <c r="E136" s="173"/>
      <c r="F136" s="740"/>
    </row>
    <row r="137" spans="2:13" s="559" customFormat="1" hidden="1" x14ac:dyDescent="0.25">
      <c r="B137" s="169"/>
      <c r="C137" s="725"/>
      <c r="E137" s="173"/>
      <c r="F137" s="740"/>
    </row>
    <row r="138" spans="2:13" s="559" customFormat="1" hidden="1" x14ac:dyDescent="0.25">
      <c r="B138" s="678"/>
      <c r="C138" s="731"/>
      <c r="E138" s="173"/>
      <c r="F138" s="740"/>
    </row>
    <row r="139" spans="2:13" s="559" customFormat="1" hidden="1" x14ac:dyDescent="0.25">
      <c r="B139" s="678" t="s">
        <v>690</v>
      </c>
      <c r="C139" s="731">
        <f>C127-C136</f>
        <v>-6.3876012873154568</v>
      </c>
      <c r="E139" s="173" t="s">
        <v>695</v>
      </c>
      <c r="F139" s="740"/>
    </row>
    <row r="140" spans="2:13" s="559" customFormat="1" hidden="1" x14ac:dyDescent="0.25">
      <c r="B140" s="173"/>
      <c r="C140" s="173"/>
      <c r="E140" s="173"/>
    </row>
    <row r="141" spans="2:13" s="559" customFormat="1" hidden="1" x14ac:dyDescent="0.25">
      <c r="B141" s="789"/>
      <c r="C141" s="737"/>
      <c r="E141" s="173"/>
    </row>
    <row r="142" spans="2:13" s="559" customFormat="1" hidden="1" x14ac:dyDescent="0.25">
      <c r="B142" s="173"/>
      <c r="C142" s="173"/>
      <c r="E142" s="173"/>
    </row>
    <row r="143" spans="2:13" s="559" customFormat="1" hidden="1" x14ac:dyDescent="0.25">
      <c r="B143" s="678" t="s">
        <v>170</v>
      </c>
      <c r="C143" s="173"/>
      <c r="E143" s="173"/>
    </row>
    <row r="144" spans="2:13" s="559" customFormat="1" hidden="1" x14ac:dyDescent="0.25">
      <c r="B144" s="790" t="s">
        <v>464</v>
      </c>
      <c r="C144" s="788" t="s">
        <v>684</v>
      </c>
      <c r="D144" s="788" t="s">
        <v>683</v>
      </c>
      <c r="E144" s="173"/>
    </row>
    <row r="145" spans="2:6" s="559" customFormat="1" hidden="1" x14ac:dyDescent="0.25">
      <c r="B145" s="173" t="s">
        <v>490</v>
      </c>
      <c r="C145" s="723" t="e">
        <f>'Baseline farm'!E102/298*1000</f>
        <v>#N/A</v>
      </c>
      <c r="D145" s="723" t="e">
        <f>'Baseline farm'!F102/298*1000</f>
        <v>#N/A</v>
      </c>
      <c r="E145" s="173"/>
    </row>
    <row r="146" spans="2:6" s="559" customFormat="1" hidden="1" x14ac:dyDescent="0.25">
      <c r="B146" s="173" t="s">
        <v>691</v>
      </c>
      <c r="C146" s="791" t="e">
        <f>C145/C$125</f>
        <v>#N/A</v>
      </c>
      <c r="D146" s="791" t="e">
        <f>D145/D$125</f>
        <v>#N/A</v>
      </c>
      <c r="E146" s="173"/>
    </row>
    <row r="147" spans="2:6" s="559" customFormat="1" hidden="1" x14ac:dyDescent="0.25">
      <c r="B147" s="173"/>
      <c r="C147" s="173"/>
      <c r="E147" s="173"/>
    </row>
    <row r="148" spans="2:6" s="559" customFormat="1" hidden="1" x14ac:dyDescent="0.25">
      <c r="B148" s="790" t="s">
        <v>1538</v>
      </c>
      <c r="C148" s="173"/>
      <c r="E148" s="173"/>
    </row>
    <row r="149" spans="2:6" s="559" customFormat="1" hidden="1" x14ac:dyDescent="0.25">
      <c r="B149" s="173" t="s">
        <v>490</v>
      </c>
      <c r="C149" s="723" t="e">
        <f>'Baseline farm'!E103/298*1000</f>
        <v>#N/A</v>
      </c>
      <c r="D149" s="723" t="e">
        <f>'Baseline farm'!F103/298*1000</f>
        <v>#N/A</v>
      </c>
      <c r="E149" s="173"/>
    </row>
    <row r="150" spans="2:6" s="559" customFormat="1" hidden="1" x14ac:dyDescent="0.25">
      <c r="B150" s="173" t="s">
        <v>691</v>
      </c>
      <c r="C150" s="791" t="e">
        <f>C149/C125</f>
        <v>#N/A</v>
      </c>
      <c r="D150" s="791" t="e">
        <f>D149/D125</f>
        <v>#N/A</v>
      </c>
      <c r="E150" s="173"/>
    </row>
    <row r="151" spans="2:6" s="559" customFormat="1" hidden="1" x14ac:dyDescent="0.25">
      <c r="B151" s="173"/>
      <c r="C151" s="173"/>
      <c r="E151" s="173"/>
    </row>
    <row r="152" spans="2:6" s="559" customFormat="1" hidden="1" x14ac:dyDescent="0.25">
      <c r="B152" s="790" t="s">
        <v>461</v>
      </c>
      <c r="C152" s="173"/>
      <c r="E152" s="173"/>
    </row>
    <row r="153" spans="2:6" s="559" customFormat="1" hidden="1" x14ac:dyDescent="0.25">
      <c r="B153" s="173" t="s">
        <v>490</v>
      </c>
      <c r="C153" s="723" t="e">
        <f>'Baseline farm'!E104/298*1000</f>
        <v>#N/A</v>
      </c>
      <c r="D153" s="723" t="e">
        <f>'Baseline farm'!F104/298*1000</f>
        <v>#N/A</v>
      </c>
      <c r="E153" s="173"/>
    </row>
    <row r="154" spans="2:6" s="559" customFormat="1" hidden="1" x14ac:dyDescent="0.25">
      <c r="B154" s="173" t="s">
        <v>691</v>
      </c>
      <c r="C154" s="791" t="e">
        <f>C153/C125</f>
        <v>#N/A</v>
      </c>
      <c r="D154" s="791" t="e">
        <f>D153/D125</f>
        <v>#N/A</v>
      </c>
      <c r="E154" s="173"/>
    </row>
    <row r="155" spans="2:6" s="559" customFormat="1" hidden="1" x14ac:dyDescent="0.25">
      <c r="B155" s="173"/>
      <c r="C155" s="173"/>
      <c r="E155" s="173"/>
    </row>
    <row r="156" spans="2:6" s="559" customFormat="1" hidden="1" x14ac:dyDescent="0.25">
      <c r="B156" s="789" t="s">
        <v>485</v>
      </c>
      <c r="C156" s="173"/>
      <c r="E156" s="173"/>
    </row>
    <row r="157" spans="2:6" s="559" customFormat="1" hidden="1" x14ac:dyDescent="0.25">
      <c r="B157" s="173" t="s">
        <v>691</v>
      </c>
      <c r="C157" s="791" t="e">
        <f>C146+C150+C154</f>
        <v>#N/A</v>
      </c>
      <c r="D157" s="791" t="e">
        <f>D146+D150+D154</f>
        <v>#N/A</v>
      </c>
      <c r="E157" s="173"/>
    </row>
    <row r="158" spans="2:6" s="559" customFormat="1" hidden="1" x14ac:dyDescent="0.25">
      <c r="B158" s="173"/>
      <c r="C158" s="173"/>
      <c r="E158" s="173"/>
    </row>
    <row r="159" spans="2:6" s="559" customFormat="1" hidden="1" x14ac:dyDescent="0.25">
      <c r="B159" s="169" t="s">
        <v>689</v>
      </c>
      <c r="C159" s="729">
        <f>C125</f>
        <v>0</v>
      </c>
      <c r="D159" s="729">
        <f>D125</f>
        <v>0</v>
      </c>
      <c r="E159" s="173"/>
      <c r="F159" s="740"/>
    </row>
    <row r="160" spans="2:6" s="559" customFormat="1" hidden="1" x14ac:dyDescent="0.25">
      <c r="B160" s="169" t="s">
        <v>692</v>
      </c>
      <c r="C160" s="730" t="e">
        <f>C159*C157/1000</f>
        <v>#N/A</v>
      </c>
      <c r="D160" s="730" t="e">
        <f>D159*D157/1000</f>
        <v>#N/A</v>
      </c>
      <c r="E160" s="173" t="s">
        <v>486</v>
      </c>
      <c r="F160" s="740"/>
    </row>
    <row r="161" spans="2:6" s="559" customFormat="1" hidden="1" x14ac:dyDescent="0.25">
      <c r="B161" s="678" t="s">
        <v>693</v>
      </c>
      <c r="C161" s="731" t="e">
        <f>SUM(C160:D160)*298</f>
        <v>#N/A</v>
      </c>
      <c r="E161" s="173" t="s">
        <v>491</v>
      </c>
      <c r="F161" s="740"/>
    </row>
    <row r="162" spans="2:6" s="559" customFormat="1" hidden="1" x14ac:dyDescent="0.25"/>
    <row r="163" spans="2:6" s="559" customFormat="1" hidden="1" x14ac:dyDescent="0.25"/>
    <row r="164" spans="2:6" s="559" customFormat="1" hidden="1" x14ac:dyDescent="0.25">
      <c r="B164" s="789" t="s">
        <v>171</v>
      </c>
    </row>
    <row r="165" spans="2:6" s="559" customFormat="1" hidden="1" x14ac:dyDescent="0.25">
      <c r="B165" s="173" t="s">
        <v>691</v>
      </c>
      <c r="C165" s="792" t="e">
        <f>C157</f>
        <v>#N/A</v>
      </c>
      <c r="D165" s="792" t="e">
        <f>D157</f>
        <v>#N/A</v>
      </c>
    </row>
    <row r="166" spans="2:6" s="559" customFormat="1" hidden="1" x14ac:dyDescent="0.25"/>
    <row r="167" spans="2:6" s="559" customFormat="1" hidden="1" x14ac:dyDescent="0.25">
      <c r="B167" s="169" t="s">
        <v>689</v>
      </c>
      <c r="C167" s="729">
        <f>C134</f>
        <v>120</v>
      </c>
      <c r="D167" s="729">
        <f>D134</f>
        <v>200</v>
      </c>
      <c r="E167" s="173"/>
      <c r="F167" s="740"/>
    </row>
    <row r="168" spans="2:6" s="559" customFormat="1" hidden="1" x14ac:dyDescent="0.25">
      <c r="B168" s="169" t="s">
        <v>692</v>
      </c>
      <c r="C168" s="730" t="e">
        <f>C167*C165/1000</f>
        <v>#N/A</v>
      </c>
      <c r="D168" s="730" t="e">
        <f>D167*D165/1000</f>
        <v>#N/A</v>
      </c>
      <c r="E168" s="173" t="s">
        <v>486</v>
      </c>
      <c r="F168" s="740"/>
    </row>
    <row r="169" spans="2:6" s="559" customFormat="1" hidden="1" x14ac:dyDescent="0.25">
      <c r="B169" s="678" t="s">
        <v>693</v>
      </c>
      <c r="C169" s="731" t="e">
        <f>SUM(C168:D168)*298</f>
        <v>#N/A</v>
      </c>
      <c r="E169" s="173" t="s">
        <v>491</v>
      </c>
      <c r="F169" s="740"/>
    </row>
    <row r="170" spans="2:6" s="559" customFormat="1" hidden="1" x14ac:dyDescent="0.25"/>
    <row r="171" spans="2:6" s="559" customFormat="1" hidden="1" x14ac:dyDescent="0.25"/>
    <row r="172" spans="2:6" s="559" customFormat="1" hidden="1" x14ac:dyDescent="0.25">
      <c r="B172" s="678" t="s">
        <v>690</v>
      </c>
      <c r="C172" s="748" t="e">
        <f>C161-C169</f>
        <v>#N/A</v>
      </c>
      <c r="E172" s="173" t="s">
        <v>696</v>
      </c>
    </row>
    <row r="173" spans="2:6" s="559" customFormat="1" hidden="1" x14ac:dyDescent="0.25"/>
    <row r="174" spans="2:6" s="559" customFormat="1" hidden="1" x14ac:dyDescent="0.25">
      <c r="B174" s="550" t="s">
        <v>492</v>
      </c>
    </row>
    <row r="175" spans="2:6" s="559" customFormat="1" hidden="1" x14ac:dyDescent="0.25">
      <c r="B175" s="550" t="s">
        <v>844</v>
      </c>
      <c r="C175" s="748">
        <f>'Baseline farm'!E100+'Baseline farm'!F100</f>
        <v>0</v>
      </c>
    </row>
    <row r="176" spans="2:6" s="559" customFormat="1" hidden="1" x14ac:dyDescent="0.25">
      <c r="B176" s="550" t="s">
        <v>845</v>
      </c>
      <c r="C176" s="748">
        <f>'Baseline farm'!E101+'Baseline farm'!F101</f>
        <v>0</v>
      </c>
    </row>
    <row r="177" spans="2:3" s="559" customFormat="1" hidden="1" x14ac:dyDescent="0.25">
      <c r="B177" s="550" t="s">
        <v>846</v>
      </c>
      <c r="C177" s="748" t="e">
        <f>SUM('Baseline farm'!E102:F104)</f>
        <v>#N/A</v>
      </c>
    </row>
    <row r="178" spans="2:3" s="559" customFormat="1" hidden="1" x14ac:dyDescent="0.25">
      <c r="B178" s="550" t="s">
        <v>847</v>
      </c>
      <c r="C178" s="748" t="e">
        <f>'Baseline farm'!E103+'Baseline farm'!F103</f>
        <v>#N/A</v>
      </c>
    </row>
    <row r="179" spans="2:3" s="559" customFormat="1" hidden="1" x14ac:dyDescent="0.25">
      <c r="B179" s="550" t="s">
        <v>848</v>
      </c>
      <c r="C179" s="748" t="e">
        <f>SUM(C175:C178)</f>
        <v>#N/A</v>
      </c>
    </row>
    <row r="180" spans="2:3" s="559" customFormat="1" hidden="1" x14ac:dyDescent="0.25">
      <c r="B180" s="550"/>
      <c r="C180" s="793"/>
    </row>
    <row r="181" spans="2:3" s="559" customFormat="1" hidden="1" x14ac:dyDescent="0.25">
      <c r="B181" s="550" t="s">
        <v>493</v>
      </c>
      <c r="C181" s="793"/>
    </row>
    <row r="182" spans="2:3" s="559" customFormat="1" hidden="1" x14ac:dyDescent="0.25">
      <c r="B182" s="550" t="s">
        <v>844</v>
      </c>
      <c r="C182" s="748">
        <f>C115</f>
        <v>84.876975900000019</v>
      </c>
    </row>
    <row r="183" spans="2:3" s="559" customFormat="1" hidden="1" x14ac:dyDescent="0.25">
      <c r="B183" s="550" t="s">
        <v>845</v>
      </c>
      <c r="C183" s="748">
        <f>C136</f>
        <v>6.3876012873154568</v>
      </c>
    </row>
    <row r="184" spans="2:3" s="559" customFormat="1" hidden="1" x14ac:dyDescent="0.25">
      <c r="B184" s="550" t="s">
        <v>846</v>
      </c>
      <c r="C184" s="748" t="e">
        <f>C169</f>
        <v>#N/A</v>
      </c>
    </row>
    <row r="185" spans="2:3" s="559" customFormat="1" hidden="1" x14ac:dyDescent="0.25">
      <c r="B185" s="550" t="s">
        <v>847</v>
      </c>
      <c r="C185" s="793">
        <f>0</f>
        <v>0</v>
      </c>
    </row>
    <row r="186" spans="2:3" s="559" customFormat="1" hidden="1" x14ac:dyDescent="0.25">
      <c r="B186" s="550" t="s">
        <v>848</v>
      </c>
      <c r="C186" s="748" t="e">
        <f>SUM(C182:C185)</f>
        <v>#N/A</v>
      </c>
    </row>
    <row r="187" spans="2:3" s="559" customFormat="1" hidden="1" x14ac:dyDescent="0.25">
      <c r="B187" s="550"/>
      <c r="C187" s="793"/>
    </row>
    <row r="188" spans="2:3" s="559" customFormat="1" hidden="1" x14ac:dyDescent="0.25">
      <c r="B188" s="550" t="s">
        <v>849</v>
      </c>
      <c r="C188" s="793"/>
    </row>
    <row r="189" spans="2:3" s="559" customFormat="1" hidden="1" x14ac:dyDescent="0.25">
      <c r="B189" s="550" t="s">
        <v>844</v>
      </c>
      <c r="C189" s="748">
        <f>C175-C182</f>
        <v>-84.876975900000019</v>
      </c>
    </row>
    <row r="190" spans="2:3" s="559" customFormat="1" hidden="1" x14ac:dyDescent="0.25">
      <c r="B190" s="550" t="s">
        <v>845</v>
      </c>
      <c r="C190" s="748">
        <f>C176-C183</f>
        <v>-6.3876012873154568</v>
      </c>
    </row>
    <row r="191" spans="2:3" s="559" customFormat="1" hidden="1" x14ac:dyDescent="0.25">
      <c r="B191" s="550" t="s">
        <v>846</v>
      </c>
      <c r="C191" s="748" t="e">
        <f>C177-C184</f>
        <v>#N/A</v>
      </c>
    </row>
    <row r="192" spans="2:3" s="559" customFormat="1" hidden="1" x14ac:dyDescent="0.25">
      <c r="B192" s="550" t="s">
        <v>847</v>
      </c>
      <c r="C192" s="793" t="e">
        <f>C178-C185</f>
        <v>#N/A</v>
      </c>
    </row>
    <row r="193" spans="2:7" s="559" customFormat="1" hidden="1" x14ac:dyDescent="0.25">
      <c r="B193" s="550" t="s">
        <v>848</v>
      </c>
      <c r="C193" s="748" t="e">
        <f>SUM(C189:C192)</f>
        <v>#N/A</v>
      </c>
    </row>
    <row r="194" spans="2:7" s="559" customFormat="1" hidden="1" x14ac:dyDescent="0.25">
      <c r="E194" s="757"/>
      <c r="F194" s="356"/>
      <c r="G194" s="356"/>
    </row>
    <row r="195" spans="2:7" s="559" customFormat="1" hidden="1" x14ac:dyDescent="0.25">
      <c r="E195" s="757"/>
      <c r="F195" s="356"/>
      <c r="G195" s="356"/>
    </row>
    <row r="196" spans="2:7" s="559" customFormat="1" x14ac:dyDescent="0.25">
      <c r="E196" s="757"/>
      <c r="F196" s="356"/>
      <c r="G196" s="356"/>
    </row>
    <row r="197" spans="2:7" s="559" customFormat="1" x14ac:dyDescent="0.25">
      <c r="E197" s="757"/>
      <c r="F197" s="356"/>
      <c r="G197" s="356"/>
    </row>
    <row r="198" spans="2:7" s="559" customFormat="1" x14ac:dyDescent="0.25">
      <c r="E198" s="757"/>
      <c r="F198" s="356"/>
      <c r="G198" s="356"/>
    </row>
    <row r="199" spans="2:7" s="559" customFormat="1" x14ac:dyDescent="0.25">
      <c r="E199" s="757"/>
      <c r="F199" s="356"/>
      <c r="G199" s="356"/>
    </row>
    <row r="200" spans="2:7" s="559" customFormat="1" x14ac:dyDescent="0.25">
      <c r="E200" s="757"/>
      <c r="F200" s="356"/>
      <c r="G200" s="356"/>
    </row>
    <row r="201" spans="2:7" s="559" customFormat="1" x14ac:dyDescent="0.25">
      <c r="E201" s="757"/>
      <c r="F201" s="356"/>
      <c r="G201" s="356"/>
    </row>
    <row r="202" spans="2:7" s="559" customFormat="1" x14ac:dyDescent="0.25">
      <c r="E202" s="757"/>
      <c r="F202" s="356"/>
      <c r="G202" s="356"/>
    </row>
    <row r="203" spans="2:7" s="559" customFormat="1" x14ac:dyDescent="0.25">
      <c r="E203" s="757"/>
      <c r="F203" s="356"/>
      <c r="G203" s="356"/>
    </row>
    <row r="204" spans="2:7" s="559" customFormat="1" x14ac:dyDescent="0.25">
      <c r="E204" s="757"/>
      <c r="F204" s="356"/>
      <c r="G204" s="356"/>
    </row>
    <row r="205" spans="2:7" s="559" customFormat="1" x14ac:dyDescent="0.25">
      <c r="E205" s="757"/>
      <c r="F205" s="356"/>
      <c r="G205" s="356"/>
    </row>
    <row r="206" spans="2:7" s="559" customFormat="1" x14ac:dyDescent="0.25">
      <c r="E206" s="757"/>
      <c r="F206" s="356"/>
      <c r="G206" s="356"/>
    </row>
    <row r="207" spans="2:7" s="559" customFormat="1" x14ac:dyDescent="0.25">
      <c r="E207" s="757"/>
      <c r="F207" s="356"/>
      <c r="G207" s="356"/>
    </row>
    <row r="208" spans="2:7" s="559" customFormat="1" x14ac:dyDescent="0.25">
      <c r="E208" s="757"/>
      <c r="F208" s="356"/>
      <c r="G208" s="356"/>
    </row>
    <row r="209" spans="5:7" s="559" customFormat="1" x14ac:dyDescent="0.25">
      <c r="E209" s="757"/>
      <c r="F209" s="356"/>
      <c r="G209" s="356"/>
    </row>
    <row r="210" spans="5:7" s="559" customFormat="1" x14ac:dyDescent="0.25">
      <c r="E210" s="757"/>
      <c r="F210" s="356"/>
      <c r="G210" s="356"/>
    </row>
    <row r="211" spans="5:7" s="559" customFormat="1" x14ac:dyDescent="0.25">
      <c r="E211" s="757"/>
      <c r="F211" s="356"/>
      <c r="G211" s="356"/>
    </row>
    <row r="212" spans="5:7" s="559" customFormat="1" x14ac:dyDescent="0.25">
      <c r="E212" s="757"/>
      <c r="F212" s="356"/>
      <c r="G212" s="356"/>
    </row>
    <row r="213" spans="5:7" s="559" customFormat="1" x14ac:dyDescent="0.25">
      <c r="E213" s="757"/>
      <c r="F213" s="356"/>
      <c r="G213" s="356"/>
    </row>
    <row r="214" spans="5:7" s="559" customFormat="1" x14ac:dyDescent="0.25">
      <c r="E214" s="757"/>
      <c r="F214" s="356"/>
      <c r="G214" s="356"/>
    </row>
    <row r="215" spans="5:7" s="559" customFormat="1" x14ac:dyDescent="0.25">
      <c r="E215" s="757"/>
      <c r="F215" s="356"/>
      <c r="G215" s="356"/>
    </row>
    <row r="216" spans="5:7" s="559" customFormat="1" x14ac:dyDescent="0.25">
      <c r="E216" s="757"/>
      <c r="F216" s="356"/>
      <c r="G216" s="356"/>
    </row>
    <row r="217" spans="5:7" s="559" customFormat="1" x14ac:dyDescent="0.25">
      <c r="E217" s="757"/>
      <c r="F217" s="356"/>
      <c r="G217" s="356"/>
    </row>
    <row r="218" spans="5:7" s="559" customFormat="1" x14ac:dyDescent="0.25">
      <c r="E218" s="757"/>
      <c r="F218" s="356"/>
      <c r="G218" s="356"/>
    </row>
    <row r="219" spans="5:7" s="559" customFormat="1" x14ac:dyDescent="0.25">
      <c r="E219" s="757"/>
      <c r="F219" s="356"/>
      <c r="G219" s="356"/>
    </row>
    <row r="220" spans="5:7" s="559" customFormat="1" x14ac:dyDescent="0.25">
      <c r="E220" s="757"/>
      <c r="F220" s="356"/>
      <c r="G220" s="356"/>
    </row>
    <row r="221" spans="5:7" s="559" customFormat="1" x14ac:dyDescent="0.25">
      <c r="E221" s="757"/>
      <c r="F221" s="356"/>
      <c r="G221" s="356"/>
    </row>
    <row r="222" spans="5:7" s="559" customFormat="1" x14ac:dyDescent="0.25">
      <c r="E222" s="757"/>
      <c r="F222" s="356"/>
      <c r="G222" s="356"/>
    </row>
    <row r="223" spans="5:7" s="559" customFormat="1" x14ac:dyDescent="0.25">
      <c r="E223" s="757"/>
      <c r="F223" s="356"/>
      <c r="G223" s="356"/>
    </row>
    <row r="224" spans="5:7" s="559" customFormat="1" x14ac:dyDescent="0.25">
      <c r="E224" s="757"/>
      <c r="F224" s="356"/>
      <c r="G224" s="356"/>
    </row>
    <row r="225" spans="5:7" s="559" customFormat="1" x14ac:dyDescent="0.25">
      <c r="E225" s="757"/>
      <c r="F225" s="356"/>
      <c r="G225" s="356"/>
    </row>
    <row r="226" spans="5:7" s="559" customFormat="1" x14ac:dyDescent="0.25">
      <c r="E226" s="757"/>
      <c r="F226" s="356"/>
      <c r="G226" s="356"/>
    </row>
    <row r="227" spans="5:7" s="559" customFormat="1" x14ac:dyDescent="0.25">
      <c r="E227" s="757"/>
      <c r="F227" s="356"/>
      <c r="G227" s="356"/>
    </row>
    <row r="228" spans="5:7" s="559" customFormat="1" x14ac:dyDescent="0.25">
      <c r="E228" s="757"/>
      <c r="F228" s="356"/>
      <c r="G228" s="356"/>
    </row>
    <row r="229" spans="5:7" s="559" customFormat="1" x14ac:dyDescent="0.25">
      <c r="E229" s="757"/>
      <c r="F229" s="356"/>
      <c r="G229" s="356"/>
    </row>
    <row r="230" spans="5:7" s="559" customFormat="1" x14ac:dyDescent="0.25">
      <c r="E230" s="757"/>
      <c r="F230" s="356"/>
      <c r="G230" s="356"/>
    </row>
    <row r="231" spans="5:7" s="559" customFormat="1" x14ac:dyDescent="0.25">
      <c r="E231" s="757"/>
      <c r="F231" s="356"/>
      <c r="G231" s="356"/>
    </row>
    <row r="232" spans="5:7" s="559" customFormat="1" x14ac:dyDescent="0.25">
      <c r="E232" s="757"/>
      <c r="F232" s="356"/>
      <c r="G232" s="356"/>
    </row>
    <row r="233" spans="5:7" s="559" customFormat="1" x14ac:dyDescent="0.25">
      <c r="E233" s="757"/>
      <c r="F233" s="356"/>
      <c r="G233" s="356"/>
    </row>
    <row r="234" spans="5:7" s="559" customFormat="1" x14ac:dyDescent="0.25">
      <c r="E234" s="757"/>
      <c r="F234" s="356"/>
      <c r="G234" s="356"/>
    </row>
    <row r="235" spans="5:7" s="559" customFormat="1" x14ac:dyDescent="0.25">
      <c r="E235" s="757"/>
      <c r="F235" s="356"/>
      <c r="G235" s="356"/>
    </row>
    <row r="236" spans="5:7" s="559" customFormat="1" x14ac:dyDescent="0.25">
      <c r="E236" s="757"/>
      <c r="F236" s="356"/>
      <c r="G236" s="356"/>
    </row>
    <row r="237" spans="5:7" s="559" customFormat="1" x14ac:dyDescent="0.25">
      <c r="E237" s="757"/>
      <c r="F237" s="356"/>
      <c r="G237" s="356"/>
    </row>
    <row r="238" spans="5:7" s="559" customFormat="1" x14ac:dyDescent="0.25">
      <c r="E238" s="757"/>
      <c r="F238" s="356"/>
      <c r="G238" s="356"/>
    </row>
    <row r="239" spans="5:7" s="559" customFormat="1" x14ac:dyDescent="0.25">
      <c r="E239" s="757"/>
      <c r="F239" s="356"/>
      <c r="G239" s="356"/>
    </row>
    <row r="240" spans="5:7" s="559" customFormat="1" x14ac:dyDescent="0.25">
      <c r="E240" s="757"/>
      <c r="F240" s="356"/>
      <c r="G240" s="356"/>
    </row>
    <row r="241" spans="5:7" s="559" customFormat="1" x14ac:dyDescent="0.25">
      <c r="E241" s="757"/>
      <c r="F241" s="356"/>
      <c r="G241" s="356"/>
    </row>
    <row r="242" spans="5:7" s="559" customFormat="1" x14ac:dyDescent="0.25">
      <c r="E242" s="757"/>
      <c r="F242" s="356"/>
      <c r="G242" s="356"/>
    </row>
    <row r="243" spans="5:7" s="559" customFormat="1" x14ac:dyDescent="0.25">
      <c r="E243" s="757"/>
      <c r="F243" s="356"/>
      <c r="G243" s="356"/>
    </row>
    <row r="244" spans="5:7" s="559" customFormat="1" x14ac:dyDescent="0.25">
      <c r="E244" s="757"/>
      <c r="F244" s="356"/>
      <c r="G244" s="356"/>
    </row>
    <row r="245" spans="5:7" s="559" customFormat="1" x14ac:dyDescent="0.25">
      <c r="E245" s="757"/>
      <c r="F245" s="356"/>
      <c r="G245" s="356"/>
    </row>
    <row r="246" spans="5:7" s="559" customFormat="1" x14ac:dyDescent="0.25">
      <c r="E246" s="757"/>
      <c r="F246" s="356"/>
      <c r="G246" s="356"/>
    </row>
    <row r="247" spans="5:7" s="559" customFormat="1" x14ac:dyDescent="0.25">
      <c r="E247" s="757"/>
      <c r="F247" s="356"/>
      <c r="G247" s="356"/>
    </row>
    <row r="248" spans="5:7" s="559" customFormat="1" x14ac:dyDescent="0.25">
      <c r="E248" s="757"/>
      <c r="F248" s="356"/>
      <c r="G248" s="356"/>
    </row>
    <row r="249" spans="5:7" s="559" customFormat="1" x14ac:dyDescent="0.25">
      <c r="E249" s="757"/>
      <c r="F249" s="356"/>
      <c r="G249" s="356"/>
    </row>
    <row r="250" spans="5:7" s="559" customFormat="1" x14ac:dyDescent="0.25">
      <c r="E250" s="757"/>
      <c r="F250" s="356"/>
      <c r="G250" s="356"/>
    </row>
    <row r="251" spans="5:7" s="559" customFormat="1" x14ac:dyDescent="0.25">
      <c r="E251" s="757"/>
      <c r="F251" s="356"/>
      <c r="G251" s="356"/>
    </row>
    <row r="252" spans="5:7" s="559" customFormat="1" x14ac:dyDescent="0.25">
      <c r="E252" s="757"/>
      <c r="F252" s="356"/>
      <c r="G252" s="356"/>
    </row>
    <row r="253" spans="5:7" s="559" customFormat="1" x14ac:dyDescent="0.25">
      <c r="E253" s="757"/>
      <c r="F253" s="356"/>
      <c r="G253" s="356"/>
    </row>
    <row r="254" spans="5:7" s="559" customFormat="1" x14ac:dyDescent="0.25">
      <c r="E254" s="757"/>
      <c r="F254" s="356"/>
      <c r="G254" s="356"/>
    </row>
    <row r="255" spans="5:7" s="559" customFormat="1" x14ac:dyDescent="0.25">
      <c r="E255" s="757"/>
      <c r="F255" s="356"/>
      <c r="G255" s="356"/>
    </row>
    <row r="256" spans="5:7" s="559" customFormat="1" x14ac:dyDescent="0.25">
      <c r="E256" s="757"/>
      <c r="F256" s="356"/>
      <c r="G256" s="356"/>
    </row>
    <row r="257" spans="5:7" s="559" customFormat="1" x14ac:dyDescent="0.25">
      <c r="E257" s="757"/>
      <c r="F257" s="356"/>
      <c r="G257" s="356"/>
    </row>
    <row r="258" spans="5:7" s="559" customFormat="1" x14ac:dyDescent="0.25">
      <c r="E258" s="757"/>
      <c r="F258" s="356"/>
      <c r="G258" s="356"/>
    </row>
    <row r="259" spans="5:7" s="559" customFormat="1" x14ac:dyDescent="0.25">
      <c r="E259" s="757"/>
      <c r="F259" s="356"/>
      <c r="G259" s="356"/>
    </row>
    <row r="260" spans="5:7" s="559" customFormat="1" x14ac:dyDescent="0.25">
      <c r="E260" s="757"/>
      <c r="F260" s="356"/>
      <c r="G260" s="356"/>
    </row>
    <row r="261" spans="5:7" s="559" customFormat="1" x14ac:dyDescent="0.25">
      <c r="E261" s="757"/>
      <c r="F261" s="356"/>
      <c r="G261" s="356"/>
    </row>
    <row r="262" spans="5:7" s="559" customFormat="1" x14ac:dyDescent="0.25">
      <c r="E262" s="757"/>
      <c r="F262" s="356"/>
      <c r="G262" s="356"/>
    </row>
    <row r="263" spans="5:7" s="559" customFormat="1" x14ac:dyDescent="0.25">
      <c r="E263" s="757"/>
      <c r="F263" s="356"/>
      <c r="G263" s="356"/>
    </row>
    <row r="264" spans="5:7" s="559" customFormat="1" x14ac:dyDescent="0.25">
      <c r="E264" s="757"/>
      <c r="F264" s="356"/>
      <c r="G264" s="356"/>
    </row>
    <row r="265" spans="5:7" s="559" customFormat="1" x14ac:dyDescent="0.25">
      <c r="E265" s="757"/>
      <c r="F265" s="356"/>
      <c r="G265" s="356"/>
    </row>
    <row r="266" spans="5:7" s="559" customFormat="1" x14ac:dyDescent="0.25">
      <c r="E266" s="757"/>
      <c r="F266" s="356"/>
      <c r="G266" s="356"/>
    </row>
    <row r="267" spans="5:7" s="559" customFormat="1" x14ac:dyDescent="0.25">
      <c r="E267" s="757"/>
      <c r="F267" s="356"/>
      <c r="G267" s="356"/>
    </row>
    <row r="268" spans="5:7" s="559" customFormat="1" x14ac:dyDescent="0.25">
      <c r="E268" s="757"/>
      <c r="F268" s="356"/>
      <c r="G268" s="356"/>
    </row>
    <row r="269" spans="5:7" s="559" customFormat="1" x14ac:dyDescent="0.25">
      <c r="E269" s="757"/>
      <c r="F269" s="356"/>
      <c r="G269" s="356"/>
    </row>
    <row r="270" spans="5:7" s="559" customFormat="1" x14ac:dyDescent="0.25">
      <c r="E270" s="757"/>
      <c r="F270" s="356"/>
      <c r="G270" s="356"/>
    </row>
    <row r="271" spans="5:7" s="559" customFormat="1" x14ac:dyDescent="0.25">
      <c r="E271" s="757"/>
      <c r="F271" s="356"/>
      <c r="G271" s="356"/>
    </row>
    <row r="272" spans="5:7" s="559" customFormat="1" x14ac:dyDescent="0.25">
      <c r="E272" s="757"/>
      <c r="F272" s="356"/>
      <c r="G272" s="356"/>
    </row>
    <row r="273" spans="5:7" s="559" customFormat="1" x14ac:dyDescent="0.25">
      <c r="E273" s="757"/>
      <c r="F273" s="356"/>
      <c r="G273" s="356"/>
    </row>
    <row r="274" spans="5:7" s="559" customFormat="1" x14ac:dyDescent="0.25">
      <c r="E274" s="757"/>
      <c r="F274" s="356"/>
      <c r="G274" s="356"/>
    </row>
    <row r="275" spans="5:7" s="559" customFormat="1" x14ac:dyDescent="0.25">
      <c r="E275" s="757"/>
      <c r="F275" s="356"/>
      <c r="G275" s="356"/>
    </row>
    <row r="276" spans="5:7" s="559" customFormat="1" x14ac:dyDescent="0.25">
      <c r="E276" s="757"/>
      <c r="F276" s="356"/>
      <c r="G276" s="356"/>
    </row>
    <row r="277" spans="5:7" s="559" customFormat="1" x14ac:dyDescent="0.25">
      <c r="E277" s="757"/>
      <c r="F277" s="356"/>
      <c r="G277" s="356"/>
    </row>
    <row r="278" spans="5:7" s="559" customFormat="1" x14ac:dyDescent="0.25">
      <c r="E278" s="757"/>
      <c r="F278" s="356"/>
      <c r="G278" s="356"/>
    </row>
    <row r="279" spans="5:7" s="559" customFormat="1" x14ac:dyDescent="0.25">
      <c r="E279" s="757"/>
      <c r="F279" s="356"/>
      <c r="G279" s="356"/>
    </row>
    <row r="280" spans="5:7" s="559" customFormat="1" x14ac:dyDescent="0.25">
      <c r="E280" s="757"/>
      <c r="F280" s="356"/>
      <c r="G280" s="356"/>
    </row>
    <row r="281" spans="5:7" s="559" customFormat="1" x14ac:dyDescent="0.25">
      <c r="E281" s="757"/>
      <c r="F281" s="356"/>
      <c r="G281" s="356"/>
    </row>
    <row r="282" spans="5:7" s="559" customFormat="1" x14ac:dyDescent="0.25">
      <c r="E282" s="757"/>
      <c r="F282" s="356"/>
      <c r="G282" s="356"/>
    </row>
    <row r="283" spans="5:7" s="559" customFormat="1" x14ac:dyDescent="0.25">
      <c r="E283" s="757"/>
      <c r="F283" s="356"/>
      <c r="G283" s="356"/>
    </row>
    <row r="284" spans="5:7" s="559" customFormat="1" x14ac:dyDescent="0.25">
      <c r="E284" s="757"/>
      <c r="F284" s="356"/>
      <c r="G284" s="356"/>
    </row>
    <row r="285" spans="5:7" s="559" customFormat="1" x14ac:dyDescent="0.25">
      <c r="E285" s="757"/>
      <c r="F285" s="356"/>
      <c r="G285" s="356"/>
    </row>
    <row r="286" spans="5:7" s="559" customFormat="1" x14ac:dyDescent="0.25">
      <c r="E286" s="757"/>
      <c r="F286" s="356"/>
      <c r="G286" s="356"/>
    </row>
    <row r="287" spans="5:7" s="559" customFormat="1" x14ac:dyDescent="0.25">
      <c r="E287" s="757"/>
      <c r="F287" s="356"/>
      <c r="G287" s="356"/>
    </row>
    <row r="288" spans="5:7" s="559" customFormat="1" x14ac:dyDescent="0.25">
      <c r="E288" s="757"/>
      <c r="F288" s="356"/>
      <c r="G288" s="356"/>
    </row>
    <row r="289" spans="5:7" s="559" customFormat="1" x14ac:dyDescent="0.25">
      <c r="E289" s="757"/>
      <c r="F289" s="356"/>
      <c r="G289" s="356"/>
    </row>
    <row r="290" spans="5:7" s="559" customFormat="1" x14ac:dyDescent="0.25">
      <c r="E290" s="757"/>
      <c r="F290" s="356"/>
      <c r="G290" s="356"/>
    </row>
    <row r="291" spans="5:7" s="559" customFormat="1" x14ac:dyDescent="0.25">
      <c r="E291" s="757"/>
      <c r="F291" s="356"/>
      <c r="G291" s="356"/>
    </row>
    <row r="292" spans="5:7" s="559" customFormat="1" x14ac:dyDescent="0.25">
      <c r="E292" s="757"/>
      <c r="F292" s="356"/>
      <c r="G292" s="356"/>
    </row>
    <row r="293" spans="5:7" s="559" customFormat="1" x14ac:dyDescent="0.25">
      <c r="E293" s="757"/>
      <c r="F293" s="356"/>
      <c r="G293" s="356"/>
    </row>
    <row r="294" spans="5:7" s="559" customFormat="1" x14ac:dyDescent="0.25">
      <c r="E294" s="757"/>
      <c r="F294" s="356"/>
      <c r="G294" s="356"/>
    </row>
    <row r="295" spans="5:7" s="559" customFormat="1" x14ac:dyDescent="0.25">
      <c r="E295" s="757"/>
      <c r="F295" s="356"/>
      <c r="G295" s="356"/>
    </row>
    <row r="296" spans="5:7" s="559" customFormat="1" x14ac:dyDescent="0.25">
      <c r="E296" s="757"/>
      <c r="F296" s="356"/>
      <c r="G296" s="356"/>
    </row>
    <row r="297" spans="5:7" s="559" customFormat="1" x14ac:dyDescent="0.25">
      <c r="E297" s="757"/>
      <c r="F297" s="356"/>
      <c r="G297" s="356"/>
    </row>
    <row r="298" spans="5:7" s="559" customFormat="1" x14ac:dyDescent="0.25">
      <c r="E298" s="757"/>
      <c r="F298" s="356"/>
      <c r="G298" s="356"/>
    </row>
    <row r="299" spans="5:7" s="559" customFormat="1" x14ac:dyDescent="0.25">
      <c r="E299" s="757"/>
      <c r="F299" s="356"/>
      <c r="G299" s="356"/>
    </row>
    <row r="300" spans="5:7" s="559" customFormat="1" x14ac:dyDescent="0.25">
      <c r="E300" s="757"/>
      <c r="F300" s="356"/>
      <c r="G300" s="356"/>
    </row>
    <row r="301" spans="5:7" s="559" customFormat="1" x14ac:dyDescent="0.25">
      <c r="E301" s="757"/>
      <c r="F301" s="356"/>
      <c r="G301" s="356"/>
    </row>
    <row r="302" spans="5:7" s="559" customFormat="1" x14ac:dyDescent="0.25">
      <c r="E302" s="757"/>
      <c r="F302" s="356"/>
      <c r="G302" s="356"/>
    </row>
    <row r="303" spans="5:7" s="559" customFormat="1" x14ac:dyDescent="0.25">
      <c r="E303" s="757"/>
      <c r="F303" s="356"/>
      <c r="G303" s="356"/>
    </row>
    <row r="304" spans="5:7" s="559" customFormat="1" x14ac:dyDescent="0.25">
      <c r="E304" s="757"/>
      <c r="F304" s="356"/>
      <c r="G304" s="356"/>
    </row>
    <row r="305" spans="5:7" s="559" customFormat="1" x14ac:dyDescent="0.25">
      <c r="E305" s="757"/>
      <c r="F305" s="356"/>
      <c r="G305" s="356"/>
    </row>
    <row r="306" spans="5:7" s="559" customFormat="1" x14ac:dyDescent="0.25">
      <c r="E306" s="757"/>
      <c r="F306" s="356"/>
      <c r="G306" s="356"/>
    </row>
    <row r="307" spans="5:7" s="559" customFormat="1" x14ac:dyDescent="0.25">
      <c r="E307" s="757"/>
      <c r="F307" s="356"/>
      <c r="G307" s="356"/>
    </row>
    <row r="308" spans="5:7" s="559" customFormat="1" x14ac:dyDescent="0.25">
      <c r="E308" s="757"/>
      <c r="F308" s="356"/>
      <c r="G308" s="356"/>
    </row>
    <row r="309" spans="5:7" s="559" customFormat="1" x14ac:dyDescent="0.25">
      <c r="E309" s="757"/>
      <c r="F309" s="356"/>
      <c r="G309" s="356"/>
    </row>
    <row r="310" spans="5:7" s="559" customFormat="1" x14ac:dyDescent="0.25">
      <c r="E310" s="757"/>
      <c r="F310" s="356"/>
      <c r="G310" s="356"/>
    </row>
    <row r="311" spans="5:7" s="559" customFormat="1" x14ac:dyDescent="0.25">
      <c r="E311" s="757"/>
      <c r="F311" s="356"/>
      <c r="G311" s="356"/>
    </row>
    <row r="312" spans="5:7" s="559" customFormat="1" x14ac:dyDescent="0.25">
      <c r="E312" s="757"/>
      <c r="F312" s="356"/>
      <c r="G312" s="356"/>
    </row>
    <row r="313" spans="5:7" s="559" customFormat="1" x14ac:dyDescent="0.25">
      <c r="E313" s="757"/>
      <c r="F313" s="356"/>
      <c r="G313" s="356"/>
    </row>
    <row r="314" spans="5:7" s="559" customFormat="1" x14ac:dyDescent="0.25">
      <c r="E314" s="757"/>
      <c r="F314" s="356"/>
      <c r="G314" s="356"/>
    </row>
    <row r="315" spans="5:7" s="559" customFormat="1" x14ac:dyDescent="0.25">
      <c r="E315" s="757"/>
      <c r="F315" s="356"/>
      <c r="G315" s="356"/>
    </row>
    <row r="316" spans="5:7" s="559" customFormat="1" x14ac:dyDescent="0.25">
      <c r="E316" s="757"/>
      <c r="F316" s="356"/>
      <c r="G316" s="356"/>
    </row>
    <row r="317" spans="5:7" s="559" customFormat="1" x14ac:dyDescent="0.25">
      <c r="E317" s="757"/>
      <c r="F317" s="356"/>
      <c r="G317" s="356"/>
    </row>
    <row r="318" spans="5:7" s="559" customFormat="1" x14ac:dyDescent="0.25">
      <c r="E318" s="757"/>
      <c r="F318" s="356"/>
      <c r="G318" s="356"/>
    </row>
    <row r="319" spans="5:7" s="559" customFormat="1" x14ac:dyDescent="0.25">
      <c r="E319" s="757"/>
      <c r="F319" s="356"/>
      <c r="G319" s="356"/>
    </row>
    <row r="320" spans="5:7" s="559" customFormat="1" x14ac:dyDescent="0.25">
      <c r="E320" s="757"/>
      <c r="F320" s="356"/>
      <c r="G320" s="356"/>
    </row>
    <row r="321" spans="5:7" s="559" customFormat="1" x14ac:dyDescent="0.25">
      <c r="E321" s="757"/>
      <c r="F321" s="356"/>
      <c r="G321" s="356"/>
    </row>
    <row r="322" spans="5:7" s="559" customFormat="1" x14ac:dyDescent="0.25">
      <c r="E322" s="757"/>
      <c r="F322" s="356"/>
      <c r="G322" s="356"/>
    </row>
    <row r="323" spans="5:7" s="559" customFormat="1" x14ac:dyDescent="0.25">
      <c r="E323" s="757"/>
      <c r="F323" s="356"/>
      <c r="G323" s="356"/>
    </row>
    <row r="324" spans="5:7" s="559" customFormat="1" x14ac:dyDescent="0.25">
      <c r="E324" s="757"/>
      <c r="F324" s="356"/>
      <c r="G324" s="356"/>
    </row>
    <row r="325" spans="5:7" s="559" customFormat="1" x14ac:dyDescent="0.25">
      <c r="E325" s="757"/>
      <c r="F325" s="356"/>
      <c r="G325" s="356"/>
    </row>
    <row r="326" spans="5:7" s="559" customFormat="1" x14ac:dyDescent="0.25">
      <c r="E326" s="757"/>
      <c r="F326" s="356"/>
      <c r="G326" s="356"/>
    </row>
    <row r="327" spans="5:7" s="559" customFormat="1" x14ac:dyDescent="0.25">
      <c r="E327" s="757"/>
      <c r="F327" s="356"/>
      <c r="G327" s="356"/>
    </row>
    <row r="328" spans="5:7" s="559" customFormat="1" x14ac:dyDescent="0.25">
      <c r="E328" s="757"/>
      <c r="F328" s="356"/>
      <c r="G328" s="356"/>
    </row>
    <row r="329" spans="5:7" s="559" customFormat="1" x14ac:dyDescent="0.25">
      <c r="E329" s="757"/>
      <c r="F329" s="356"/>
      <c r="G329" s="356"/>
    </row>
    <row r="330" spans="5:7" s="559" customFormat="1" x14ac:dyDescent="0.25">
      <c r="E330" s="757"/>
      <c r="F330" s="356"/>
      <c r="G330" s="356"/>
    </row>
    <row r="331" spans="5:7" s="559" customFormat="1" x14ac:dyDescent="0.25">
      <c r="E331" s="757"/>
      <c r="F331" s="356"/>
      <c r="G331" s="356"/>
    </row>
    <row r="332" spans="5:7" s="559" customFormat="1" x14ac:dyDescent="0.25">
      <c r="E332" s="757"/>
      <c r="F332" s="356"/>
      <c r="G332" s="356"/>
    </row>
    <row r="333" spans="5:7" s="559" customFormat="1" x14ac:dyDescent="0.25">
      <c r="E333" s="757"/>
      <c r="F333" s="356"/>
      <c r="G333" s="356"/>
    </row>
    <row r="334" spans="5:7" s="559" customFormat="1" x14ac:dyDescent="0.25">
      <c r="E334" s="757"/>
      <c r="F334" s="356"/>
      <c r="G334" s="356"/>
    </row>
    <row r="335" spans="5:7" s="559" customFormat="1" x14ac:dyDescent="0.25">
      <c r="E335" s="757"/>
      <c r="F335" s="356"/>
      <c r="G335" s="356"/>
    </row>
    <row r="336" spans="5:7" s="559" customFormat="1" x14ac:dyDescent="0.25">
      <c r="E336" s="757"/>
      <c r="F336" s="356"/>
      <c r="G336" s="356"/>
    </row>
    <row r="337" spans="2:8" s="559" customFormat="1" x14ac:dyDescent="0.25">
      <c r="E337" s="757"/>
      <c r="F337" s="356"/>
      <c r="G337" s="356"/>
    </row>
    <row r="338" spans="2:8" s="559" customFormat="1" x14ac:dyDescent="0.25">
      <c r="E338" s="757"/>
      <c r="F338" s="356"/>
      <c r="G338" s="356"/>
    </row>
    <row r="339" spans="2:8" s="559" customFormat="1" x14ac:dyDescent="0.25">
      <c r="E339" s="757"/>
      <c r="F339" s="356"/>
      <c r="G339" s="356"/>
    </row>
    <row r="340" spans="2:8" s="559" customFormat="1" x14ac:dyDescent="0.25">
      <c r="E340" s="757"/>
      <c r="F340" s="356"/>
      <c r="G340" s="356"/>
    </row>
    <row r="341" spans="2:8" s="559" customFormat="1" x14ac:dyDescent="0.25">
      <c r="E341" s="757"/>
      <c r="F341" s="356"/>
      <c r="G341" s="356"/>
    </row>
    <row r="342" spans="2:8" s="559" customFormat="1" x14ac:dyDescent="0.25">
      <c r="E342" s="757"/>
      <c r="F342" s="356"/>
      <c r="G342" s="356"/>
    </row>
    <row r="343" spans="2:8" s="559" customFormat="1" x14ac:dyDescent="0.25">
      <c r="E343" s="757"/>
      <c r="F343" s="356"/>
      <c r="G343" s="356"/>
    </row>
    <row r="344" spans="2:8" s="559" customFormat="1" x14ac:dyDescent="0.25">
      <c r="E344" s="757"/>
      <c r="F344" s="356"/>
      <c r="G344" s="356"/>
    </row>
    <row r="345" spans="2:8" s="559" customFormat="1" x14ac:dyDescent="0.25">
      <c r="E345" s="757"/>
      <c r="F345" s="356"/>
      <c r="G345" s="356"/>
    </row>
    <row r="346" spans="2:8" s="559" customFormat="1" x14ac:dyDescent="0.25">
      <c r="E346" s="757"/>
      <c r="F346" s="356"/>
      <c r="G346" s="356"/>
    </row>
    <row r="347" spans="2:8" x14ac:dyDescent="0.25">
      <c r="B347" s="20"/>
      <c r="C347" s="20"/>
      <c r="D347" s="20"/>
      <c r="E347" s="326"/>
      <c r="F347" s="327"/>
      <c r="G347" s="327"/>
      <c r="H347" s="20"/>
    </row>
    <row r="348" spans="2:8" x14ac:dyDescent="0.25">
      <c r="B348" s="20"/>
      <c r="C348" s="20"/>
      <c r="D348" s="20"/>
      <c r="E348" s="326"/>
      <c r="F348" s="327"/>
      <c r="G348" s="327"/>
      <c r="H348" s="20"/>
    </row>
    <row r="349" spans="2:8" x14ac:dyDescent="0.25">
      <c r="B349" s="20"/>
      <c r="C349" s="20"/>
      <c r="D349" s="20"/>
      <c r="E349" s="326"/>
      <c r="F349" s="327"/>
      <c r="G349" s="327"/>
      <c r="H349" s="20"/>
    </row>
    <row r="350" spans="2:8" x14ac:dyDescent="0.25">
      <c r="B350" s="20"/>
      <c r="C350" s="20"/>
      <c r="D350" s="20"/>
      <c r="E350" s="326"/>
      <c r="F350" s="327"/>
      <c r="G350" s="327"/>
      <c r="H350" s="20"/>
    </row>
    <row r="351" spans="2:8" x14ac:dyDescent="0.25">
      <c r="B351" s="20"/>
      <c r="C351" s="20"/>
      <c r="D351" s="20"/>
      <c r="E351" s="326"/>
      <c r="F351" s="327"/>
      <c r="G351" s="327"/>
      <c r="H351" s="20"/>
    </row>
    <row r="352" spans="2:8" x14ac:dyDescent="0.25">
      <c r="B352" s="20"/>
      <c r="C352" s="20"/>
      <c r="D352" s="20"/>
      <c r="E352" s="326"/>
      <c r="F352" s="327"/>
      <c r="G352" s="327"/>
      <c r="H352" s="20"/>
    </row>
    <row r="353" spans="2:8" x14ac:dyDescent="0.25">
      <c r="B353" s="20"/>
      <c r="C353" s="20"/>
      <c r="D353" s="20"/>
      <c r="E353" s="326"/>
      <c r="F353" s="327"/>
      <c r="G353" s="327"/>
      <c r="H353" s="20"/>
    </row>
    <row r="354" spans="2:8" x14ac:dyDescent="0.25">
      <c r="B354" s="20"/>
      <c r="C354" s="20"/>
      <c r="D354" s="20"/>
      <c r="E354" s="326"/>
      <c r="F354" s="327"/>
      <c r="G354" s="327"/>
      <c r="H354" s="20"/>
    </row>
    <row r="355" spans="2:8" x14ac:dyDescent="0.25">
      <c r="B355" s="20"/>
      <c r="C355" s="20"/>
      <c r="D355" s="20"/>
      <c r="E355" s="326"/>
      <c r="F355" s="327"/>
      <c r="G355" s="327"/>
      <c r="H355" s="20"/>
    </row>
    <row r="356" spans="2:8" x14ac:dyDescent="0.25">
      <c r="B356" s="20"/>
      <c r="C356" s="20"/>
      <c r="D356" s="20"/>
      <c r="E356" s="326"/>
      <c r="F356" s="327"/>
      <c r="G356" s="327"/>
      <c r="H356" s="20"/>
    </row>
    <row r="357" spans="2:8" x14ac:dyDescent="0.25">
      <c r="B357" s="20"/>
      <c r="C357" s="20"/>
      <c r="D357" s="20"/>
      <c r="E357" s="326"/>
      <c r="F357" s="327"/>
      <c r="G357" s="327"/>
      <c r="H357" s="20"/>
    </row>
    <row r="358" spans="2:8" x14ac:dyDescent="0.25">
      <c r="B358" s="20"/>
      <c r="C358" s="20"/>
      <c r="D358" s="20"/>
      <c r="E358" s="326"/>
      <c r="F358" s="327"/>
      <c r="G358" s="327"/>
      <c r="H358" s="20"/>
    </row>
    <row r="359" spans="2:8" x14ac:dyDescent="0.25">
      <c r="B359" s="20"/>
      <c r="C359" s="20"/>
      <c r="D359" s="20"/>
      <c r="E359" s="326"/>
      <c r="F359" s="327"/>
      <c r="G359" s="327"/>
      <c r="H359" s="20"/>
    </row>
    <row r="360" spans="2:8" x14ac:dyDescent="0.25">
      <c r="B360" s="20"/>
      <c r="C360" s="20"/>
      <c r="D360" s="20"/>
      <c r="E360" s="326"/>
      <c r="F360" s="327"/>
      <c r="G360" s="327"/>
      <c r="H360" s="20"/>
    </row>
    <row r="361" spans="2:8" x14ac:dyDescent="0.25">
      <c r="B361" s="20"/>
      <c r="C361" s="20"/>
      <c r="D361" s="20"/>
      <c r="E361" s="326"/>
      <c r="F361" s="327"/>
      <c r="G361" s="327"/>
      <c r="H361" s="20"/>
    </row>
    <row r="362" spans="2:8" x14ac:dyDescent="0.25">
      <c r="B362" s="20"/>
      <c r="C362" s="20"/>
      <c r="D362" s="20"/>
      <c r="E362" s="326"/>
      <c r="F362" s="327"/>
      <c r="G362" s="327"/>
      <c r="H362" s="20"/>
    </row>
    <row r="363" spans="2:8" x14ac:dyDescent="0.25">
      <c r="B363" s="20"/>
      <c r="C363" s="20"/>
      <c r="D363" s="20"/>
      <c r="E363" s="326"/>
      <c r="F363" s="327"/>
      <c r="G363" s="327"/>
      <c r="H363" s="20"/>
    </row>
    <row r="364" spans="2:8" x14ac:dyDescent="0.25">
      <c r="B364" s="20"/>
      <c r="C364" s="20"/>
      <c r="D364" s="20"/>
      <c r="E364" s="326"/>
      <c r="F364" s="327"/>
      <c r="G364" s="327"/>
      <c r="H364" s="20"/>
    </row>
    <row r="365" spans="2:8" x14ac:dyDescent="0.25">
      <c r="B365" s="20"/>
      <c r="C365" s="20"/>
      <c r="D365" s="20"/>
      <c r="E365" s="326"/>
      <c r="F365" s="327"/>
      <c r="G365" s="327"/>
      <c r="H365" s="20"/>
    </row>
    <row r="366" spans="2:8" x14ac:dyDescent="0.25">
      <c r="B366" s="20"/>
      <c r="C366" s="20"/>
      <c r="D366" s="20"/>
      <c r="E366" s="326"/>
      <c r="F366" s="327"/>
      <c r="G366" s="327"/>
      <c r="H366" s="20"/>
    </row>
    <row r="367" spans="2:8" x14ac:dyDescent="0.25">
      <c r="B367" s="20"/>
      <c r="C367" s="20"/>
      <c r="D367" s="20"/>
      <c r="E367" s="326"/>
      <c r="F367" s="327"/>
      <c r="G367" s="327"/>
      <c r="H367" s="20"/>
    </row>
    <row r="368" spans="2:8" x14ac:dyDescent="0.25">
      <c r="B368" s="20"/>
      <c r="C368" s="20"/>
      <c r="D368" s="20"/>
      <c r="E368" s="326"/>
      <c r="F368" s="327"/>
      <c r="G368" s="327"/>
      <c r="H368" s="20"/>
    </row>
    <row r="369" spans="2:8" x14ac:dyDescent="0.25">
      <c r="B369" s="20"/>
      <c r="C369" s="20"/>
      <c r="D369" s="20"/>
      <c r="E369" s="326"/>
      <c r="F369" s="327"/>
      <c r="G369" s="327"/>
      <c r="H369" s="20"/>
    </row>
    <row r="370" spans="2:8" x14ac:dyDescent="0.25">
      <c r="B370" s="20"/>
      <c r="C370" s="20"/>
      <c r="D370" s="20"/>
      <c r="E370" s="326"/>
      <c r="F370" s="327"/>
      <c r="G370" s="327"/>
      <c r="H370" s="20"/>
    </row>
    <row r="371" spans="2:8" x14ac:dyDescent="0.25">
      <c r="B371" s="20"/>
      <c r="C371" s="20"/>
      <c r="D371" s="20"/>
      <c r="E371" s="326"/>
      <c r="F371" s="327"/>
      <c r="G371" s="327"/>
      <c r="H371" s="20"/>
    </row>
    <row r="372" spans="2:8" x14ac:dyDescent="0.25">
      <c r="B372" s="20"/>
      <c r="C372" s="20"/>
      <c r="D372" s="20"/>
      <c r="E372" s="326"/>
      <c r="F372" s="327"/>
      <c r="G372" s="327"/>
      <c r="H372" s="20"/>
    </row>
    <row r="373" spans="2:8" x14ac:dyDescent="0.25">
      <c r="B373" s="20"/>
      <c r="C373" s="20"/>
      <c r="D373" s="20"/>
      <c r="E373" s="326"/>
      <c r="F373" s="327"/>
      <c r="G373" s="327"/>
      <c r="H373" s="20"/>
    </row>
    <row r="374" spans="2:8" x14ac:dyDescent="0.25">
      <c r="B374" s="20"/>
      <c r="C374" s="20"/>
      <c r="D374" s="20"/>
      <c r="E374" s="326"/>
      <c r="F374" s="327"/>
      <c r="G374" s="327"/>
      <c r="H374" s="20"/>
    </row>
    <row r="375" spans="2:8" x14ac:dyDescent="0.25">
      <c r="B375" s="20"/>
      <c r="C375" s="20"/>
      <c r="D375" s="20"/>
      <c r="E375" s="326"/>
      <c r="F375" s="327"/>
      <c r="G375" s="327"/>
      <c r="H375" s="20"/>
    </row>
    <row r="376" spans="2:8" x14ac:dyDescent="0.25">
      <c r="B376" s="20"/>
      <c r="C376" s="20"/>
      <c r="D376" s="20"/>
      <c r="E376" s="326"/>
      <c r="F376" s="327"/>
      <c r="G376" s="327"/>
      <c r="H376" s="20"/>
    </row>
    <row r="377" spans="2:8" x14ac:dyDescent="0.25">
      <c r="B377" s="20"/>
      <c r="C377" s="20"/>
      <c r="D377" s="20"/>
      <c r="E377" s="326"/>
      <c r="F377" s="327"/>
      <c r="G377" s="327"/>
      <c r="H377" s="20"/>
    </row>
    <row r="378" spans="2:8" x14ac:dyDescent="0.25">
      <c r="B378" s="20"/>
      <c r="C378" s="20"/>
      <c r="D378" s="20"/>
      <c r="E378" s="326"/>
      <c r="F378" s="327"/>
      <c r="G378" s="327"/>
      <c r="H378" s="20"/>
    </row>
    <row r="379" spans="2:8" x14ac:dyDescent="0.25">
      <c r="B379" s="20"/>
      <c r="C379" s="20"/>
      <c r="D379" s="20"/>
      <c r="E379" s="326"/>
      <c r="F379" s="327"/>
      <c r="G379" s="327"/>
      <c r="H379" s="20"/>
    </row>
    <row r="380" spans="2:8" x14ac:dyDescent="0.25">
      <c r="B380" s="20"/>
      <c r="C380" s="20"/>
      <c r="D380" s="20"/>
      <c r="E380" s="326"/>
      <c r="F380" s="327"/>
      <c r="G380" s="327"/>
      <c r="H380" s="20"/>
    </row>
    <row r="381" spans="2:8" x14ac:dyDescent="0.25">
      <c r="B381" s="20"/>
      <c r="C381" s="20"/>
      <c r="D381" s="20"/>
      <c r="E381" s="326"/>
      <c r="F381" s="327"/>
      <c r="G381" s="327"/>
      <c r="H381" s="20"/>
    </row>
    <row r="382" spans="2:8" x14ac:dyDescent="0.25">
      <c r="B382" s="20"/>
      <c r="C382" s="20"/>
      <c r="D382" s="20"/>
      <c r="E382" s="326"/>
      <c r="F382" s="327"/>
      <c r="G382" s="327"/>
      <c r="H382" s="20"/>
    </row>
    <row r="383" spans="2:8" x14ac:dyDescent="0.25">
      <c r="B383" s="20"/>
      <c r="C383" s="20"/>
      <c r="D383" s="20"/>
      <c r="E383" s="326"/>
      <c r="F383" s="327"/>
      <c r="G383" s="327"/>
      <c r="H383" s="20"/>
    </row>
    <row r="384" spans="2:8" x14ac:dyDescent="0.25">
      <c r="B384" s="20"/>
      <c r="C384" s="20"/>
      <c r="D384" s="20"/>
      <c r="E384" s="326"/>
      <c r="F384" s="327"/>
      <c r="G384" s="327"/>
      <c r="H384" s="20"/>
    </row>
    <row r="385" spans="2:8" x14ac:dyDescent="0.25">
      <c r="B385" s="20"/>
      <c r="C385" s="20"/>
      <c r="D385" s="20"/>
      <c r="E385" s="326"/>
      <c r="F385" s="327"/>
      <c r="G385" s="327"/>
      <c r="H385" s="20"/>
    </row>
    <row r="386" spans="2:8" x14ac:dyDescent="0.25">
      <c r="B386" s="20"/>
      <c r="C386" s="20"/>
      <c r="D386" s="20"/>
      <c r="E386" s="326"/>
      <c r="F386" s="327"/>
      <c r="G386" s="327"/>
      <c r="H386" s="20"/>
    </row>
    <row r="387" spans="2:8" x14ac:dyDescent="0.25">
      <c r="B387" s="20"/>
      <c r="C387" s="20"/>
      <c r="D387" s="20"/>
      <c r="E387" s="326"/>
      <c r="F387" s="327"/>
      <c r="G387" s="327"/>
      <c r="H387" s="20"/>
    </row>
    <row r="388" spans="2:8" x14ac:dyDescent="0.25">
      <c r="B388" s="20"/>
      <c r="C388" s="20"/>
      <c r="D388" s="20"/>
      <c r="E388" s="326"/>
      <c r="F388" s="327"/>
      <c r="G388" s="327"/>
      <c r="H388" s="20"/>
    </row>
    <row r="389" spans="2:8" x14ac:dyDescent="0.25">
      <c r="B389" s="20"/>
      <c r="C389" s="20"/>
      <c r="D389" s="20"/>
      <c r="E389" s="326"/>
      <c r="F389" s="327"/>
      <c r="G389" s="327"/>
      <c r="H389" s="20"/>
    </row>
    <row r="390" spans="2:8" x14ac:dyDescent="0.25">
      <c r="B390" s="20"/>
      <c r="C390" s="20"/>
      <c r="D390" s="20"/>
      <c r="E390" s="326"/>
      <c r="F390" s="327"/>
      <c r="G390" s="327"/>
      <c r="H390" s="20"/>
    </row>
    <row r="391" spans="2:8" x14ac:dyDescent="0.25">
      <c r="B391" s="20"/>
      <c r="C391" s="20"/>
      <c r="D391" s="20"/>
      <c r="E391" s="326"/>
      <c r="F391" s="327"/>
      <c r="G391" s="327"/>
      <c r="H391" s="20"/>
    </row>
    <row r="392" spans="2:8" x14ac:dyDescent="0.25">
      <c r="B392" s="20"/>
      <c r="C392" s="20"/>
      <c r="D392" s="20"/>
      <c r="E392" s="326"/>
      <c r="F392" s="327"/>
      <c r="G392" s="327"/>
      <c r="H392" s="20"/>
    </row>
    <row r="393" spans="2:8" x14ac:dyDescent="0.25">
      <c r="B393" s="20"/>
      <c r="C393" s="20"/>
      <c r="D393" s="20"/>
      <c r="E393" s="326"/>
      <c r="F393" s="327"/>
      <c r="G393" s="327"/>
      <c r="H393" s="20"/>
    </row>
    <row r="394" spans="2:8" x14ac:dyDescent="0.25">
      <c r="B394" s="20"/>
      <c r="C394" s="20"/>
      <c r="D394" s="20"/>
      <c r="E394" s="326"/>
      <c r="F394" s="327"/>
      <c r="G394" s="327"/>
      <c r="H394" s="20"/>
    </row>
    <row r="395" spans="2:8" x14ac:dyDescent="0.25">
      <c r="B395" s="20"/>
      <c r="C395" s="20"/>
      <c r="D395" s="20"/>
      <c r="E395" s="326"/>
      <c r="F395" s="327"/>
      <c r="G395" s="327"/>
      <c r="H395" s="20"/>
    </row>
    <row r="396" spans="2:8" x14ac:dyDescent="0.25">
      <c r="B396" s="20"/>
      <c r="C396" s="20"/>
      <c r="D396" s="20"/>
      <c r="E396" s="326"/>
      <c r="F396" s="327"/>
      <c r="G396" s="327"/>
      <c r="H396" s="20"/>
    </row>
    <row r="397" spans="2:8" x14ac:dyDescent="0.25">
      <c r="B397" s="20"/>
      <c r="C397" s="20"/>
      <c r="D397" s="20"/>
      <c r="E397" s="326"/>
      <c r="F397" s="327"/>
      <c r="G397" s="327"/>
      <c r="H397" s="20"/>
    </row>
    <row r="398" spans="2:8" x14ac:dyDescent="0.25">
      <c r="B398" s="20"/>
      <c r="C398" s="20"/>
      <c r="D398" s="20"/>
      <c r="E398" s="326"/>
      <c r="F398" s="327"/>
      <c r="G398" s="327"/>
      <c r="H398" s="20"/>
    </row>
    <row r="399" spans="2:8" x14ac:dyDescent="0.25">
      <c r="B399" s="20"/>
      <c r="C399" s="20"/>
      <c r="D399" s="20"/>
      <c r="E399" s="326"/>
      <c r="F399" s="327"/>
      <c r="G399" s="327"/>
      <c r="H399" s="20"/>
    </row>
    <row r="400" spans="2:8" x14ac:dyDescent="0.25">
      <c r="B400" s="20"/>
      <c r="C400" s="20"/>
      <c r="D400" s="20"/>
      <c r="E400" s="326"/>
      <c r="F400" s="327"/>
      <c r="G400" s="327"/>
      <c r="H400" s="20"/>
    </row>
    <row r="401" spans="2:8" x14ac:dyDescent="0.25">
      <c r="B401" s="20"/>
      <c r="C401" s="20"/>
      <c r="D401" s="20"/>
      <c r="E401" s="326"/>
      <c r="F401" s="327"/>
      <c r="G401" s="327"/>
      <c r="H401" s="20"/>
    </row>
    <row r="402" spans="2:8" x14ac:dyDescent="0.25">
      <c r="B402" s="20"/>
      <c r="C402" s="20"/>
      <c r="D402" s="20"/>
      <c r="E402" s="326"/>
      <c r="F402" s="327"/>
      <c r="G402" s="327"/>
      <c r="H402" s="20"/>
    </row>
    <row r="403" spans="2:8" x14ac:dyDescent="0.25">
      <c r="B403" s="20"/>
      <c r="C403" s="20"/>
      <c r="D403" s="20"/>
      <c r="E403" s="326"/>
      <c r="F403" s="327"/>
      <c r="G403" s="327"/>
      <c r="H403" s="20"/>
    </row>
    <row r="404" spans="2:8" x14ac:dyDescent="0.25">
      <c r="B404" s="20"/>
      <c r="C404" s="20"/>
      <c r="D404" s="20"/>
      <c r="E404" s="326"/>
      <c r="F404" s="327"/>
      <c r="G404" s="327"/>
      <c r="H404" s="20"/>
    </row>
    <row r="405" spans="2:8" x14ac:dyDescent="0.25">
      <c r="B405" s="20"/>
      <c r="C405" s="20"/>
      <c r="D405" s="20"/>
      <c r="E405" s="326"/>
      <c r="F405" s="327"/>
      <c r="G405" s="327"/>
      <c r="H405" s="20"/>
    </row>
    <row r="406" spans="2:8" x14ac:dyDescent="0.25">
      <c r="B406" s="20"/>
      <c r="C406" s="20"/>
      <c r="D406" s="20"/>
      <c r="E406" s="326"/>
      <c r="F406" s="327"/>
      <c r="G406" s="327"/>
      <c r="H406" s="20"/>
    </row>
    <row r="407" spans="2:8" x14ac:dyDescent="0.25">
      <c r="B407" s="20"/>
      <c r="C407" s="20"/>
      <c r="D407" s="20"/>
      <c r="E407" s="326"/>
      <c r="F407" s="327"/>
      <c r="G407" s="327"/>
      <c r="H407" s="20"/>
    </row>
    <row r="408" spans="2:8" x14ac:dyDescent="0.25">
      <c r="B408" s="20"/>
      <c r="C408" s="20"/>
      <c r="D408" s="20"/>
      <c r="E408" s="326"/>
      <c r="F408" s="327"/>
      <c r="G408" s="327"/>
      <c r="H408" s="20"/>
    </row>
    <row r="409" spans="2:8" x14ac:dyDescent="0.25">
      <c r="B409" s="20"/>
      <c r="C409" s="20"/>
      <c r="D409" s="20"/>
      <c r="E409" s="326"/>
      <c r="F409" s="327"/>
      <c r="G409" s="327"/>
      <c r="H409" s="20"/>
    </row>
    <row r="410" spans="2:8" x14ac:dyDescent="0.25">
      <c r="B410" s="20"/>
      <c r="C410" s="20"/>
      <c r="D410" s="20"/>
      <c r="E410" s="326"/>
      <c r="F410" s="327"/>
      <c r="G410" s="327"/>
      <c r="H410" s="20"/>
    </row>
    <row r="411" spans="2:8" x14ac:dyDescent="0.25">
      <c r="B411" s="20"/>
      <c r="C411" s="20"/>
      <c r="D411" s="20"/>
      <c r="E411" s="326"/>
      <c r="F411" s="327"/>
      <c r="G411" s="327"/>
      <c r="H411" s="20"/>
    </row>
    <row r="412" spans="2:8" x14ac:dyDescent="0.25">
      <c r="B412" s="20"/>
      <c r="C412" s="20"/>
      <c r="D412" s="20"/>
      <c r="E412" s="326"/>
      <c r="F412" s="327"/>
      <c r="G412" s="327"/>
      <c r="H412" s="20"/>
    </row>
    <row r="413" spans="2:8" x14ac:dyDescent="0.25">
      <c r="B413" s="20"/>
      <c r="C413" s="20"/>
      <c r="D413" s="20"/>
      <c r="E413" s="326"/>
      <c r="F413" s="327"/>
      <c r="G413" s="327"/>
      <c r="H413" s="20"/>
    </row>
    <row r="414" spans="2:8" x14ac:dyDescent="0.25">
      <c r="B414" s="20"/>
      <c r="C414" s="20"/>
      <c r="D414" s="20"/>
      <c r="E414" s="326"/>
      <c r="F414" s="327"/>
      <c r="G414" s="327"/>
      <c r="H414" s="20"/>
    </row>
    <row r="415" spans="2:8" x14ac:dyDescent="0.25">
      <c r="B415" s="20"/>
      <c r="C415" s="20"/>
      <c r="D415" s="20"/>
      <c r="E415" s="326"/>
      <c r="F415" s="327"/>
      <c r="G415" s="327"/>
      <c r="H415" s="20"/>
    </row>
    <row r="416" spans="2:8" x14ac:dyDescent="0.25">
      <c r="B416" s="20"/>
      <c r="C416" s="20"/>
      <c r="D416" s="20"/>
      <c r="E416" s="326"/>
      <c r="F416" s="327"/>
      <c r="G416" s="327"/>
      <c r="H416" s="20"/>
    </row>
    <row r="417" spans="2:8" x14ac:dyDescent="0.25">
      <c r="B417" s="20"/>
      <c r="C417" s="20"/>
      <c r="D417" s="20"/>
      <c r="E417" s="326"/>
      <c r="F417" s="327"/>
      <c r="G417" s="327"/>
      <c r="H417" s="20"/>
    </row>
    <row r="418" spans="2:8" x14ac:dyDescent="0.25">
      <c r="B418" s="20"/>
      <c r="C418" s="20"/>
      <c r="D418" s="20"/>
      <c r="E418" s="326"/>
      <c r="F418" s="327"/>
      <c r="G418" s="327"/>
      <c r="H418" s="20"/>
    </row>
    <row r="419" spans="2:8" x14ac:dyDescent="0.25">
      <c r="B419" s="20"/>
      <c r="C419" s="20"/>
      <c r="D419" s="20"/>
      <c r="E419" s="326"/>
      <c r="F419" s="327"/>
      <c r="G419" s="327"/>
      <c r="H419" s="20"/>
    </row>
    <row r="420" spans="2:8" x14ac:dyDescent="0.25">
      <c r="B420" s="20"/>
      <c r="C420" s="20"/>
      <c r="D420" s="20"/>
      <c r="E420" s="326"/>
      <c r="F420" s="327"/>
      <c r="G420" s="327"/>
      <c r="H420" s="20"/>
    </row>
    <row r="421" spans="2:8" x14ac:dyDescent="0.25">
      <c r="B421" s="20"/>
      <c r="C421" s="20"/>
      <c r="D421" s="20"/>
      <c r="E421" s="326"/>
      <c r="F421" s="327"/>
      <c r="G421" s="327"/>
      <c r="H421" s="20"/>
    </row>
    <row r="422" spans="2:8" x14ac:dyDescent="0.25">
      <c r="B422" s="20"/>
      <c r="C422" s="20"/>
      <c r="D422" s="20"/>
      <c r="E422" s="326"/>
      <c r="F422" s="327"/>
      <c r="G422" s="327"/>
      <c r="H422" s="20"/>
    </row>
    <row r="423" spans="2:8" x14ac:dyDescent="0.25">
      <c r="B423" s="20"/>
      <c r="C423" s="20"/>
      <c r="D423" s="20"/>
      <c r="E423" s="326"/>
      <c r="F423" s="327"/>
      <c r="G423" s="327"/>
      <c r="H423" s="20"/>
    </row>
    <row r="424" spans="2:8" x14ac:dyDescent="0.25">
      <c r="B424" s="20"/>
      <c r="C424" s="20"/>
      <c r="D424" s="20"/>
      <c r="E424" s="326"/>
      <c r="F424" s="327"/>
      <c r="G424" s="327"/>
      <c r="H424" s="20"/>
    </row>
    <row r="425" spans="2:8" x14ac:dyDescent="0.25">
      <c r="B425" s="20"/>
      <c r="C425" s="20"/>
      <c r="D425" s="20"/>
      <c r="E425" s="326"/>
      <c r="F425" s="327"/>
      <c r="G425" s="327"/>
      <c r="H425" s="20"/>
    </row>
    <row r="426" spans="2:8" x14ac:dyDescent="0.25">
      <c r="B426" s="20"/>
      <c r="C426" s="20"/>
      <c r="D426" s="20"/>
      <c r="E426" s="326"/>
      <c r="F426" s="327"/>
      <c r="G426" s="327"/>
      <c r="H426" s="20"/>
    </row>
    <row r="427" spans="2:8" x14ac:dyDescent="0.25">
      <c r="B427" s="20"/>
      <c r="C427" s="20"/>
      <c r="D427" s="20"/>
      <c r="E427" s="326"/>
      <c r="F427" s="327"/>
      <c r="G427" s="327"/>
      <c r="H427" s="20"/>
    </row>
    <row r="428" spans="2:8" x14ac:dyDescent="0.25">
      <c r="B428" s="20"/>
      <c r="C428" s="20"/>
      <c r="D428" s="20"/>
      <c r="E428" s="326"/>
      <c r="F428" s="327"/>
      <c r="G428" s="327"/>
      <c r="H428" s="20"/>
    </row>
    <row r="429" spans="2:8" x14ac:dyDescent="0.25">
      <c r="B429" s="20"/>
      <c r="C429" s="20"/>
      <c r="D429" s="20"/>
      <c r="E429" s="326"/>
      <c r="F429" s="327"/>
      <c r="G429" s="327"/>
      <c r="H429" s="20"/>
    </row>
    <row r="430" spans="2:8" x14ac:dyDescent="0.25">
      <c r="B430" s="20"/>
      <c r="C430" s="20"/>
      <c r="D430" s="20"/>
      <c r="E430" s="326"/>
      <c r="F430" s="327"/>
      <c r="G430" s="327"/>
      <c r="H430" s="20"/>
    </row>
    <row r="431" spans="2:8" x14ac:dyDescent="0.25">
      <c r="B431" s="20"/>
      <c r="C431" s="20"/>
      <c r="D431" s="20"/>
      <c r="E431" s="326"/>
      <c r="F431" s="327"/>
      <c r="G431" s="327"/>
      <c r="H431" s="20"/>
    </row>
    <row r="432" spans="2:8" x14ac:dyDescent="0.25">
      <c r="B432" s="20"/>
      <c r="C432" s="20"/>
      <c r="D432" s="20"/>
      <c r="E432" s="326"/>
      <c r="F432" s="327"/>
      <c r="G432" s="327"/>
      <c r="H432" s="20"/>
    </row>
    <row r="433" spans="2:8" x14ac:dyDescent="0.25">
      <c r="B433" s="20"/>
      <c r="C433" s="20"/>
      <c r="D433" s="20"/>
      <c r="E433" s="326"/>
      <c r="F433" s="327"/>
      <c r="G433" s="327"/>
      <c r="H433" s="20"/>
    </row>
    <row r="434" spans="2:8" x14ac:dyDescent="0.25">
      <c r="B434" s="20"/>
      <c r="C434" s="20"/>
      <c r="D434" s="20"/>
      <c r="E434" s="326"/>
      <c r="F434" s="327"/>
      <c r="G434" s="327"/>
      <c r="H434" s="20"/>
    </row>
    <row r="435" spans="2:8" x14ac:dyDescent="0.25">
      <c r="B435" s="20"/>
      <c r="C435" s="20"/>
      <c r="D435" s="20"/>
      <c r="E435" s="326"/>
      <c r="F435" s="327"/>
      <c r="G435" s="327"/>
      <c r="H435" s="20"/>
    </row>
    <row r="436" spans="2:8" x14ac:dyDescent="0.25">
      <c r="B436" s="20"/>
      <c r="C436" s="20"/>
      <c r="D436" s="20"/>
      <c r="E436" s="326"/>
      <c r="F436" s="327"/>
      <c r="G436" s="327"/>
      <c r="H436" s="20"/>
    </row>
    <row r="437" spans="2:8" x14ac:dyDescent="0.25">
      <c r="B437" s="20"/>
      <c r="C437" s="20"/>
      <c r="D437" s="20"/>
      <c r="E437" s="326"/>
      <c r="F437" s="327"/>
      <c r="G437" s="327"/>
      <c r="H437" s="20"/>
    </row>
    <row r="438" spans="2:8" x14ac:dyDescent="0.25">
      <c r="B438" s="20"/>
      <c r="C438" s="20"/>
      <c r="D438" s="20"/>
      <c r="E438" s="326"/>
      <c r="F438" s="327"/>
      <c r="G438" s="327"/>
      <c r="H438" s="20"/>
    </row>
    <row r="439" spans="2:8" x14ac:dyDescent="0.25">
      <c r="B439" s="20"/>
      <c r="C439" s="20"/>
      <c r="D439" s="20"/>
      <c r="E439" s="326"/>
      <c r="F439" s="327"/>
      <c r="G439" s="327"/>
      <c r="H439" s="20"/>
    </row>
    <row r="440" spans="2:8" x14ac:dyDescent="0.25">
      <c r="B440" s="20"/>
      <c r="C440" s="20"/>
      <c r="D440" s="20"/>
      <c r="E440" s="326"/>
      <c r="F440" s="327"/>
      <c r="G440" s="327"/>
      <c r="H440" s="20"/>
    </row>
    <row r="441" spans="2:8" x14ac:dyDescent="0.25">
      <c r="B441" s="20"/>
      <c r="C441" s="20"/>
      <c r="D441" s="20"/>
      <c r="E441" s="326"/>
      <c r="F441" s="327"/>
      <c r="G441" s="327"/>
      <c r="H441" s="20"/>
    </row>
    <row r="442" spans="2:8" x14ac:dyDescent="0.25">
      <c r="B442" s="20"/>
      <c r="C442" s="20"/>
      <c r="D442" s="20"/>
      <c r="E442" s="326"/>
      <c r="F442" s="327"/>
      <c r="G442" s="327"/>
      <c r="H442" s="20"/>
    </row>
    <row r="443" spans="2:8" x14ac:dyDescent="0.25">
      <c r="B443" s="20"/>
      <c r="C443" s="20"/>
      <c r="D443" s="20"/>
      <c r="E443" s="326"/>
      <c r="F443" s="327"/>
      <c r="G443" s="327"/>
      <c r="H443" s="20"/>
    </row>
    <row r="444" spans="2:8" x14ac:dyDescent="0.25">
      <c r="B444" s="20"/>
      <c r="C444" s="20"/>
      <c r="D444" s="20"/>
      <c r="E444" s="326"/>
      <c r="F444" s="327"/>
      <c r="G444" s="327"/>
      <c r="H444" s="20"/>
    </row>
    <row r="445" spans="2:8" x14ac:dyDescent="0.25">
      <c r="B445" s="20"/>
      <c r="C445" s="20"/>
      <c r="D445" s="20"/>
      <c r="E445" s="326"/>
      <c r="F445" s="327"/>
      <c r="G445" s="327"/>
      <c r="H445" s="20"/>
    </row>
    <row r="446" spans="2:8" x14ac:dyDescent="0.25">
      <c r="B446" s="20"/>
      <c r="C446" s="20"/>
      <c r="D446" s="20"/>
      <c r="E446" s="326"/>
      <c r="F446" s="327"/>
      <c r="G446" s="327"/>
      <c r="H446" s="20"/>
    </row>
    <row r="447" spans="2:8" x14ac:dyDescent="0.25">
      <c r="B447" s="20"/>
      <c r="C447" s="20"/>
      <c r="D447" s="20"/>
      <c r="E447" s="326"/>
      <c r="F447" s="327"/>
      <c r="G447" s="327"/>
      <c r="H447" s="20"/>
    </row>
    <row r="448" spans="2:8" x14ac:dyDescent="0.25">
      <c r="B448" s="20"/>
      <c r="C448" s="20"/>
      <c r="D448" s="20"/>
      <c r="E448" s="326"/>
      <c r="F448" s="327"/>
      <c r="G448" s="327"/>
      <c r="H448" s="20"/>
    </row>
    <row r="449" spans="2:8" x14ac:dyDescent="0.25">
      <c r="B449" s="20"/>
      <c r="C449" s="20"/>
      <c r="D449" s="20"/>
      <c r="E449" s="326"/>
      <c r="F449" s="327"/>
      <c r="G449" s="327"/>
      <c r="H449" s="20"/>
    </row>
    <row r="450" spans="2:8" x14ac:dyDescent="0.25">
      <c r="B450" s="20"/>
      <c r="C450" s="20"/>
      <c r="D450" s="20"/>
      <c r="E450" s="326"/>
      <c r="F450" s="327"/>
      <c r="G450" s="327"/>
      <c r="H450" s="20"/>
    </row>
    <row r="451" spans="2:8" x14ac:dyDescent="0.25">
      <c r="B451" s="20"/>
      <c r="C451" s="20"/>
      <c r="D451" s="20"/>
      <c r="E451" s="326"/>
      <c r="F451" s="327"/>
      <c r="G451" s="327"/>
      <c r="H451" s="20"/>
    </row>
    <row r="452" spans="2:8" x14ac:dyDescent="0.25">
      <c r="B452" s="20"/>
      <c r="C452" s="20"/>
      <c r="D452" s="20"/>
      <c r="E452" s="326"/>
      <c r="F452" s="327"/>
      <c r="G452" s="327"/>
      <c r="H452" s="20"/>
    </row>
    <row r="453" spans="2:8" x14ac:dyDescent="0.25">
      <c r="B453" s="20"/>
      <c r="C453" s="20"/>
      <c r="D453" s="20"/>
      <c r="E453" s="326"/>
      <c r="F453" s="327"/>
      <c r="G453" s="327"/>
      <c r="H453" s="20"/>
    </row>
    <row r="454" spans="2:8" x14ac:dyDescent="0.25">
      <c r="B454" s="20"/>
      <c r="C454" s="20"/>
      <c r="D454" s="20"/>
      <c r="E454" s="326"/>
      <c r="F454" s="327"/>
      <c r="G454" s="327"/>
      <c r="H454" s="20"/>
    </row>
    <row r="455" spans="2:8" x14ac:dyDescent="0.25">
      <c r="B455" s="20"/>
      <c r="C455" s="20"/>
      <c r="D455" s="20"/>
      <c r="E455" s="326"/>
      <c r="F455" s="327"/>
      <c r="G455" s="327"/>
      <c r="H455" s="20"/>
    </row>
    <row r="456" spans="2:8" x14ac:dyDescent="0.25">
      <c r="B456" s="20"/>
      <c r="C456" s="20"/>
      <c r="D456" s="20"/>
      <c r="E456" s="326"/>
      <c r="F456" s="327"/>
      <c r="G456" s="327"/>
      <c r="H456" s="20"/>
    </row>
    <row r="457" spans="2:8" x14ac:dyDescent="0.25">
      <c r="B457" s="20"/>
      <c r="C457" s="20"/>
      <c r="D457" s="20"/>
      <c r="E457" s="326"/>
      <c r="F457" s="327"/>
      <c r="G457" s="327"/>
      <c r="H457" s="20"/>
    </row>
    <row r="458" spans="2:8" x14ac:dyDescent="0.25">
      <c r="B458" s="20"/>
      <c r="C458" s="20"/>
      <c r="D458" s="20"/>
      <c r="E458" s="326"/>
      <c r="F458" s="327"/>
      <c r="G458" s="327"/>
      <c r="H458" s="20"/>
    </row>
    <row r="459" spans="2:8" x14ac:dyDescent="0.25">
      <c r="B459" s="20"/>
      <c r="C459" s="20"/>
      <c r="D459" s="20"/>
      <c r="E459" s="326"/>
      <c r="F459" s="327"/>
      <c r="G459" s="327"/>
      <c r="H459" s="20"/>
    </row>
    <row r="460" spans="2:8" x14ac:dyDescent="0.25">
      <c r="B460" s="20"/>
      <c r="C460" s="20"/>
      <c r="D460" s="20"/>
      <c r="E460" s="326"/>
      <c r="F460" s="327"/>
      <c r="G460" s="327"/>
      <c r="H460" s="20"/>
    </row>
    <row r="461" spans="2:8" x14ac:dyDescent="0.25">
      <c r="B461" s="20"/>
      <c r="C461" s="20"/>
      <c r="D461" s="20"/>
      <c r="E461" s="326"/>
      <c r="F461" s="327"/>
      <c r="G461" s="327"/>
      <c r="H461" s="20"/>
    </row>
    <row r="462" spans="2:8" x14ac:dyDescent="0.25">
      <c r="B462" s="20"/>
      <c r="C462" s="20"/>
      <c r="D462" s="20"/>
      <c r="E462" s="326"/>
      <c r="F462" s="327"/>
      <c r="G462" s="327"/>
      <c r="H462" s="20"/>
    </row>
    <row r="463" spans="2:8" x14ac:dyDescent="0.25">
      <c r="B463" s="20"/>
      <c r="C463" s="20"/>
      <c r="D463" s="20"/>
      <c r="E463" s="326"/>
      <c r="F463" s="327"/>
      <c r="G463" s="327"/>
      <c r="H463" s="20"/>
    </row>
    <row r="464" spans="2:8" x14ac:dyDescent="0.25">
      <c r="B464" s="20"/>
      <c r="C464" s="20"/>
      <c r="D464" s="20"/>
      <c r="E464" s="326"/>
      <c r="F464" s="327"/>
      <c r="G464" s="327"/>
      <c r="H464" s="20"/>
    </row>
    <row r="465" spans="2:8" x14ac:dyDescent="0.25">
      <c r="B465" s="20"/>
      <c r="C465" s="20"/>
      <c r="D465" s="20"/>
      <c r="E465" s="326"/>
      <c r="F465" s="327"/>
      <c r="G465" s="327"/>
      <c r="H465" s="20"/>
    </row>
    <row r="466" spans="2:8" x14ac:dyDescent="0.25">
      <c r="B466" s="20"/>
      <c r="C466" s="20"/>
      <c r="D466" s="20"/>
      <c r="E466" s="326"/>
      <c r="F466" s="327"/>
      <c r="G466" s="327"/>
      <c r="H466" s="20"/>
    </row>
    <row r="467" spans="2:8" x14ac:dyDescent="0.25">
      <c r="B467" s="20"/>
      <c r="C467" s="20"/>
      <c r="D467" s="20"/>
      <c r="E467" s="326"/>
      <c r="F467" s="327"/>
      <c r="G467" s="327"/>
      <c r="H467" s="20"/>
    </row>
    <row r="468" spans="2:8" x14ac:dyDescent="0.25">
      <c r="B468" s="20"/>
      <c r="C468" s="20"/>
      <c r="D468" s="20"/>
      <c r="E468" s="326"/>
      <c r="F468" s="327"/>
      <c r="G468" s="327"/>
      <c r="H468" s="20"/>
    </row>
    <row r="469" spans="2:8" x14ac:dyDescent="0.25">
      <c r="B469" s="20"/>
      <c r="C469" s="20"/>
      <c r="D469" s="20"/>
      <c r="E469" s="326"/>
      <c r="F469" s="327"/>
      <c r="G469" s="327"/>
      <c r="H469" s="20"/>
    </row>
    <row r="470" spans="2:8" x14ac:dyDescent="0.25">
      <c r="B470" s="20"/>
      <c r="C470" s="20"/>
      <c r="D470" s="20"/>
      <c r="E470" s="326"/>
      <c r="F470" s="327"/>
      <c r="G470" s="327"/>
      <c r="H470" s="20"/>
    </row>
    <row r="471" spans="2:8" x14ac:dyDescent="0.25">
      <c r="B471" s="20"/>
      <c r="C471" s="20"/>
      <c r="D471" s="20"/>
      <c r="E471" s="326"/>
      <c r="F471" s="327"/>
      <c r="G471" s="327"/>
      <c r="H471" s="20"/>
    </row>
    <row r="472" spans="2:8" x14ac:dyDescent="0.25">
      <c r="B472" s="20"/>
      <c r="C472" s="20"/>
      <c r="D472" s="20"/>
      <c r="E472" s="326"/>
      <c r="F472" s="327"/>
      <c r="G472" s="327"/>
      <c r="H472" s="20"/>
    </row>
    <row r="473" spans="2:8" x14ac:dyDescent="0.25">
      <c r="B473" s="20"/>
      <c r="C473" s="20"/>
      <c r="D473" s="20"/>
      <c r="E473" s="326"/>
      <c r="F473" s="327"/>
      <c r="G473" s="327"/>
      <c r="H473" s="20"/>
    </row>
    <row r="474" spans="2:8" x14ac:dyDescent="0.25">
      <c r="B474" s="20"/>
      <c r="C474" s="20"/>
      <c r="D474" s="20"/>
      <c r="E474" s="326"/>
      <c r="F474" s="327"/>
      <c r="G474" s="327"/>
      <c r="H474" s="20"/>
    </row>
    <row r="475" spans="2:8" x14ac:dyDescent="0.25">
      <c r="B475" s="20"/>
      <c r="C475" s="20"/>
      <c r="D475" s="20"/>
      <c r="E475" s="326"/>
      <c r="F475" s="327"/>
      <c r="G475" s="327"/>
      <c r="H475" s="20"/>
    </row>
    <row r="476" spans="2:8" x14ac:dyDescent="0.25">
      <c r="B476" s="20"/>
      <c r="C476" s="20"/>
      <c r="D476" s="20"/>
      <c r="E476" s="326"/>
      <c r="F476" s="327"/>
      <c r="G476" s="327"/>
      <c r="H476" s="20"/>
    </row>
    <row r="477" spans="2:8" x14ac:dyDescent="0.25">
      <c r="B477" s="20"/>
      <c r="C477" s="20"/>
      <c r="D477" s="20"/>
      <c r="E477" s="326"/>
      <c r="F477" s="327"/>
      <c r="G477" s="327"/>
      <c r="H477" s="20"/>
    </row>
    <row r="478" spans="2:8" x14ac:dyDescent="0.25">
      <c r="B478" s="20"/>
      <c r="C478" s="20"/>
      <c r="D478" s="20"/>
      <c r="E478" s="326"/>
      <c r="F478" s="327"/>
      <c r="G478" s="327"/>
      <c r="H478" s="20"/>
    </row>
    <row r="479" spans="2:8" x14ac:dyDescent="0.25">
      <c r="B479" s="20"/>
      <c r="C479" s="20"/>
      <c r="D479" s="20"/>
      <c r="E479" s="326"/>
      <c r="F479" s="327"/>
      <c r="G479" s="327"/>
      <c r="H479" s="20"/>
    </row>
    <row r="480" spans="2:8" x14ac:dyDescent="0.25">
      <c r="B480" s="20"/>
      <c r="C480" s="20"/>
      <c r="D480" s="20"/>
      <c r="E480" s="326"/>
      <c r="F480" s="327"/>
      <c r="G480" s="327"/>
      <c r="H480" s="20"/>
    </row>
    <row r="481" spans="2:8" x14ac:dyDescent="0.25">
      <c r="B481" s="20"/>
      <c r="C481" s="20"/>
      <c r="D481" s="20"/>
      <c r="E481" s="326"/>
      <c r="F481" s="327"/>
      <c r="G481" s="327"/>
      <c r="H481" s="20"/>
    </row>
    <row r="482" spans="2:8" x14ac:dyDescent="0.25">
      <c r="B482" s="20"/>
      <c r="C482" s="20"/>
      <c r="D482" s="20"/>
      <c r="E482" s="326"/>
      <c r="F482" s="327"/>
      <c r="G482" s="327"/>
      <c r="H482" s="20"/>
    </row>
    <row r="483" spans="2:8" x14ac:dyDescent="0.25">
      <c r="B483" s="20"/>
      <c r="C483" s="20"/>
      <c r="D483" s="20"/>
      <c r="E483" s="326"/>
      <c r="F483" s="327"/>
      <c r="G483" s="327"/>
      <c r="H483" s="20"/>
    </row>
    <row r="484" spans="2:8" x14ac:dyDescent="0.25">
      <c r="B484" s="20"/>
      <c r="C484" s="20"/>
      <c r="D484" s="20"/>
      <c r="E484" s="326"/>
      <c r="F484" s="327"/>
      <c r="G484" s="327"/>
      <c r="H484" s="20"/>
    </row>
    <row r="485" spans="2:8" x14ac:dyDescent="0.25">
      <c r="B485" s="20"/>
      <c r="C485" s="20"/>
      <c r="D485" s="20"/>
      <c r="E485" s="326"/>
      <c r="F485" s="327"/>
      <c r="G485" s="327"/>
      <c r="H485" s="20"/>
    </row>
    <row r="486" spans="2:8" x14ac:dyDescent="0.25">
      <c r="B486" s="20"/>
      <c r="C486" s="20"/>
      <c r="D486" s="20"/>
      <c r="E486" s="326"/>
      <c r="F486" s="327"/>
      <c r="G486" s="327"/>
      <c r="H486" s="20"/>
    </row>
    <row r="487" spans="2:8" x14ac:dyDescent="0.25">
      <c r="B487" s="20"/>
      <c r="C487" s="20"/>
      <c r="D487" s="20"/>
      <c r="E487" s="326"/>
      <c r="F487" s="327"/>
      <c r="G487" s="327"/>
      <c r="H487" s="20"/>
    </row>
    <row r="488" spans="2:8" x14ac:dyDescent="0.25">
      <c r="B488" s="20"/>
      <c r="C488" s="20"/>
      <c r="D488" s="20"/>
      <c r="E488" s="326"/>
      <c r="F488" s="327"/>
      <c r="G488" s="327"/>
      <c r="H488" s="20"/>
    </row>
    <row r="489" spans="2:8" x14ac:dyDescent="0.25">
      <c r="B489" s="20"/>
      <c r="C489" s="20"/>
      <c r="D489" s="20"/>
      <c r="E489" s="326"/>
      <c r="F489" s="327"/>
      <c r="G489" s="327"/>
      <c r="H489" s="20"/>
    </row>
    <row r="490" spans="2:8" x14ac:dyDescent="0.25">
      <c r="B490" s="20"/>
      <c r="C490" s="20"/>
      <c r="D490" s="20"/>
      <c r="E490" s="326"/>
      <c r="F490" s="327"/>
      <c r="G490" s="327"/>
      <c r="H490" s="20"/>
    </row>
    <row r="491" spans="2:8" x14ac:dyDescent="0.25">
      <c r="B491" s="20"/>
      <c r="C491" s="20"/>
      <c r="D491" s="20"/>
      <c r="E491" s="326"/>
      <c r="F491" s="327"/>
      <c r="G491" s="327"/>
      <c r="H491" s="20"/>
    </row>
    <row r="492" spans="2:8" x14ac:dyDescent="0.25">
      <c r="B492" s="20"/>
      <c r="C492" s="20"/>
      <c r="D492" s="20"/>
      <c r="E492" s="326"/>
      <c r="F492" s="327"/>
      <c r="G492" s="327"/>
      <c r="H492" s="20"/>
    </row>
    <row r="493" spans="2:8" x14ac:dyDescent="0.25">
      <c r="B493" s="20"/>
      <c r="C493" s="20"/>
      <c r="D493" s="20"/>
      <c r="E493" s="326"/>
      <c r="F493" s="327"/>
      <c r="G493" s="327"/>
      <c r="H493" s="20"/>
    </row>
    <row r="494" spans="2:8" x14ac:dyDescent="0.25">
      <c r="B494" s="20"/>
      <c r="C494" s="20"/>
      <c r="D494" s="20"/>
      <c r="E494" s="326"/>
      <c r="F494" s="327"/>
      <c r="G494" s="327"/>
      <c r="H494" s="20"/>
    </row>
    <row r="495" spans="2:8" x14ac:dyDescent="0.25">
      <c r="B495" s="20"/>
      <c r="C495" s="20"/>
      <c r="D495" s="20"/>
      <c r="E495" s="326"/>
      <c r="F495" s="327"/>
      <c r="G495" s="327"/>
      <c r="H495" s="20"/>
    </row>
    <row r="496" spans="2:8" x14ac:dyDescent="0.25">
      <c r="B496" s="20"/>
      <c r="C496" s="20"/>
      <c r="D496" s="20"/>
      <c r="E496" s="326"/>
      <c r="F496" s="327"/>
      <c r="G496" s="327"/>
      <c r="H496" s="20"/>
    </row>
    <row r="497" spans="2:8" x14ac:dyDescent="0.25">
      <c r="B497" s="20"/>
      <c r="C497" s="20"/>
      <c r="D497" s="20"/>
      <c r="E497" s="326"/>
      <c r="F497" s="327"/>
      <c r="G497" s="327"/>
      <c r="H497" s="20"/>
    </row>
    <row r="498" spans="2:8" x14ac:dyDescent="0.25">
      <c r="B498" s="20"/>
      <c r="C498" s="20"/>
      <c r="D498" s="20"/>
      <c r="E498" s="326"/>
      <c r="F498" s="327"/>
      <c r="G498" s="327"/>
      <c r="H498" s="20"/>
    </row>
    <row r="499" spans="2:8" x14ac:dyDescent="0.25">
      <c r="B499" s="20"/>
      <c r="C499" s="20"/>
      <c r="D499" s="20"/>
      <c r="E499" s="326"/>
      <c r="F499" s="327"/>
      <c r="G499" s="327"/>
      <c r="H499" s="20"/>
    </row>
    <row r="500" spans="2:8" x14ac:dyDescent="0.25">
      <c r="B500" s="20"/>
      <c r="C500" s="20"/>
      <c r="D500" s="20"/>
      <c r="E500" s="326"/>
      <c r="F500" s="327"/>
      <c r="G500" s="327"/>
      <c r="H500" s="20"/>
    </row>
    <row r="501" spans="2:8" x14ac:dyDescent="0.25">
      <c r="B501" s="20"/>
      <c r="C501" s="20"/>
      <c r="D501" s="20"/>
      <c r="E501" s="326"/>
      <c r="F501" s="327"/>
      <c r="G501" s="327"/>
      <c r="H501" s="20"/>
    </row>
    <row r="502" spans="2:8" x14ac:dyDescent="0.25">
      <c r="B502" s="20"/>
      <c r="C502" s="20"/>
      <c r="D502" s="20"/>
      <c r="E502" s="326"/>
      <c r="F502" s="327"/>
      <c r="G502" s="327"/>
      <c r="H502" s="20"/>
    </row>
    <row r="503" spans="2:8" x14ac:dyDescent="0.25">
      <c r="B503" s="20"/>
      <c r="C503" s="20"/>
      <c r="D503" s="20"/>
      <c r="E503" s="326"/>
      <c r="F503" s="327"/>
      <c r="G503" s="327"/>
      <c r="H503" s="20"/>
    </row>
    <row r="504" spans="2:8" x14ac:dyDescent="0.25">
      <c r="B504" s="20"/>
      <c r="C504" s="20"/>
      <c r="D504" s="20"/>
      <c r="E504" s="326"/>
      <c r="F504" s="327"/>
      <c r="G504" s="327"/>
      <c r="H504" s="20"/>
    </row>
    <row r="505" spans="2:8" x14ac:dyDescent="0.25">
      <c r="B505" s="20"/>
      <c r="C505" s="20"/>
      <c r="D505" s="20"/>
      <c r="E505" s="326"/>
      <c r="F505" s="327"/>
      <c r="G505" s="327"/>
      <c r="H505" s="20"/>
    </row>
    <row r="506" spans="2:8" x14ac:dyDescent="0.25">
      <c r="B506" s="20"/>
      <c r="C506" s="20"/>
      <c r="D506" s="20"/>
      <c r="E506" s="326"/>
      <c r="F506" s="327"/>
      <c r="G506" s="327"/>
      <c r="H506" s="20"/>
    </row>
    <row r="507" spans="2:8" x14ac:dyDescent="0.25">
      <c r="B507" s="20"/>
      <c r="C507" s="20"/>
      <c r="D507" s="20"/>
      <c r="E507" s="326"/>
      <c r="F507" s="327"/>
      <c r="G507" s="327"/>
      <c r="H507" s="20"/>
    </row>
    <row r="508" spans="2:8" x14ac:dyDescent="0.25">
      <c r="B508" s="20"/>
      <c r="C508" s="20"/>
      <c r="D508" s="20"/>
      <c r="E508" s="326"/>
      <c r="F508" s="327"/>
      <c r="G508" s="327"/>
      <c r="H508" s="20"/>
    </row>
    <row r="509" spans="2:8" x14ac:dyDescent="0.25">
      <c r="B509" s="20"/>
      <c r="C509" s="20"/>
      <c r="D509" s="20"/>
      <c r="E509" s="326"/>
      <c r="F509" s="327"/>
      <c r="G509" s="327"/>
      <c r="H509" s="20"/>
    </row>
    <row r="510" spans="2:8" x14ac:dyDescent="0.25">
      <c r="B510" s="20"/>
      <c r="C510" s="20"/>
      <c r="D510" s="20"/>
      <c r="E510" s="326"/>
      <c r="F510" s="327"/>
      <c r="G510" s="327"/>
      <c r="H510" s="20"/>
    </row>
    <row r="511" spans="2:8" x14ac:dyDescent="0.25">
      <c r="B511" s="20"/>
      <c r="C511" s="20"/>
      <c r="D511" s="20"/>
      <c r="E511" s="326"/>
      <c r="F511" s="327"/>
      <c r="G511" s="327"/>
      <c r="H511" s="20"/>
    </row>
    <row r="512" spans="2:8" x14ac:dyDescent="0.25">
      <c r="B512" s="20"/>
      <c r="C512" s="20"/>
      <c r="D512" s="20"/>
      <c r="E512" s="326"/>
      <c r="F512" s="327"/>
      <c r="G512" s="327"/>
      <c r="H512" s="20"/>
    </row>
    <row r="513" spans="2:8" x14ac:dyDescent="0.25">
      <c r="B513" s="20"/>
      <c r="C513" s="20"/>
      <c r="D513" s="20"/>
      <c r="E513" s="326"/>
      <c r="F513" s="327"/>
      <c r="G513" s="327"/>
      <c r="H513" s="20"/>
    </row>
    <row r="514" spans="2:8" x14ac:dyDescent="0.25">
      <c r="B514" s="20"/>
      <c r="C514" s="20"/>
      <c r="D514" s="20"/>
      <c r="E514" s="326"/>
      <c r="F514" s="327"/>
      <c r="G514" s="327"/>
      <c r="H514" s="20"/>
    </row>
    <row r="515" spans="2:8" x14ac:dyDescent="0.25">
      <c r="B515" s="20"/>
      <c r="C515" s="20"/>
      <c r="D515" s="20"/>
      <c r="E515" s="326"/>
      <c r="F515" s="327"/>
      <c r="G515" s="327"/>
      <c r="H515" s="20"/>
    </row>
    <row r="516" spans="2:8" x14ac:dyDescent="0.25">
      <c r="B516" s="20"/>
      <c r="C516" s="20"/>
      <c r="D516" s="20"/>
      <c r="E516" s="326"/>
      <c r="F516" s="327"/>
      <c r="G516" s="327"/>
      <c r="H516" s="20"/>
    </row>
    <row r="517" spans="2:8" x14ac:dyDescent="0.25">
      <c r="B517" s="20"/>
      <c r="C517" s="20"/>
      <c r="D517" s="20"/>
      <c r="E517" s="326"/>
      <c r="F517" s="327"/>
      <c r="G517" s="327"/>
      <c r="H517" s="20"/>
    </row>
    <row r="518" spans="2:8" x14ac:dyDescent="0.25">
      <c r="B518" s="20"/>
      <c r="C518" s="20"/>
      <c r="D518" s="20"/>
      <c r="E518" s="326"/>
      <c r="F518" s="327"/>
      <c r="G518" s="327"/>
      <c r="H518" s="20"/>
    </row>
    <row r="519" spans="2:8" x14ac:dyDescent="0.25">
      <c r="B519" s="20"/>
      <c r="C519" s="20"/>
      <c r="D519" s="20"/>
      <c r="E519" s="326"/>
      <c r="F519" s="327"/>
      <c r="G519" s="327"/>
      <c r="H519" s="20"/>
    </row>
    <row r="520" spans="2:8" x14ac:dyDescent="0.25">
      <c r="B520" s="20"/>
      <c r="C520" s="20"/>
      <c r="D520" s="20"/>
      <c r="E520" s="326"/>
      <c r="F520" s="327"/>
      <c r="G520" s="327"/>
      <c r="H520" s="20"/>
    </row>
    <row r="521" spans="2:8" x14ac:dyDescent="0.25">
      <c r="B521" s="20"/>
      <c r="C521" s="20"/>
      <c r="D521" s="20"/>
      <c r="E521" s="326"/>
      <c r="F521" s="327"/>
      <c r="G521" s="327"/>
      <c r="H521" s="20"/>
    </row>
    <row r="522" spans="2:8" x14ac:dyDescent="0.25">
      <c r="B522" s="20"/>
      <c r="C522" s="20"/>
      <c r="D522" s="20"/>
      <c r="E522" s="326"/>
      <c r="F522" s="327"/>
      <c r="G522" s="327"/>
      <c r="H522" s="20"/>
    </row>
    <row r="523" spans="2:8" x14ac:dyDescent="0.25">
      <c r="B523" s="20"/>
      <c r="C523" s="20"/>
      <c r="D523" s="20"/>
      <c r="E523" s="326"/>
      <c r="F523" s="327"/>
      <c r="G523" s="327"/>
      <c r="H523" s="20"/>
    </row>
    <row r="524" spans="2:8" x14ac:dyDescent="0.25">
      <c r="B524" s="20"/>
      <c r="C524" s="20"/>
      <c r="D524" s="20"/>
      <c r="E524" s="326"/>
      <c r="F524" s="327"/>
      <c r="G524" s="327"/>
      <c r="H524" s="20"/>
    </row>
    <row r="525" spans="2:8" x14ac:dyDescent="0.25">
      <c r="B525" s="20"/>
      <c r="C525" s="20"/>
      <c r="D525" s="20"/>
      <c r="E525" s="326"/>
      <c r="F525" s="327"/>
      <c r="G525" s="327"/>
      <c r="H525" s="20"/>
    </row>
    <row r="526" spans="2:8" x14ac:dyDescent="0.25">
      <c r="B526" s="20"/>
      <c r="C526" s="20"/>
      <c r="D526" s="20"/>
      <c r="E526" s="326"/>
      <c r="F526" s="327"/>
      <c r="G526" s="327"/>
      <c r="H526" s="20"/>
    </row>
    <row r="527" spans="2:8" x14ac:dyDescent="0.25">
      <c r="B527" s="20"/>
      <c r="C527" s="20"/>
      <c r="D527" s="20"/>
      <c r="E527" s="326"/>
      <c r="F527" s="327"/>
      <c r="G527" s="327"/>
      <c r="H527" s="20"/>
    </row>
    <row r="528" spans="2:8" x14ac:dyDescent="0.25">
      <c r="B528" s="20"/>
      <c r="C528" s="20"/>
      <c r="D528" s="20"/>
      <c r="E528" s="326"/>
      <c r="F528" s="327"/>
      <c r="G528" s="327"/>
      <c r="H528" s="20"/>
    </row>
    <row r="529" spans="2:8" x14ac:dyDescent="0.25">
      <c r="B529" s="20"/>
      <c r="C529" s="20"/>
      <c r="D529" s="20"/>
      <c r="E529" s="326"/>
      <c r="F529" s="327"/>
      <c r="G529" s="327"/>
      <c r="H529" s="20"/>
    </row>
    <row r="530" spans="2:8" x14ac:dyDescent="0.25">
      <c r="B530" s="20"/>
      <c r="C530" s="20"/>
      <c r="D530" s="20"/>
      <c r="E530" s="326"/>
      <c r="F530" s="327"/>
      <c r="G530" s="327"/>
      <c r="H530" s="20"/>
    </row>
    <row r="531" spans="2:8" x14ac:dyDescent="0.25">
      <c r="B531" s="20"/>
      <c r="C531" s="20"/>
      <c r="D531" s="20"/>
      <c r="E531" s="326"/>
      <c r="F531" s="327"/>
      <c r="G531" s="327"/>
      <c r="H531" s="20"/>
    </row>
    <row r="532" spans="2:8" x14ac:dyDescent="0.25">
      <c r="B532" s="20"/>
      <c r="C532" s="20"/>
      <c r="D532" s="20"/>
      <c r="E532" s="326"/>
      <c r="F532" s="327"/>
      <c r="G532" s="327"/>
      <c r="H532" s="20"/>
    </row>
    <row r="533" spans="2:8" x14ac:dyDescent="0.25">
      <c r="B533" s="20"/>
      <c r="C533" s="20"/>
      <c r="D533" s="20"/>
      <c r="E533" s="326"/>
      <c r="F533" s="327"/>
      <c r="G533" s="327"/>
      <c r="H533" s="20"/>
    </row>
    <row r="534" spans="2:8" x14ac:dyDescent="0.25">
      <c r="B534" s="20"/>
      <c r="C534" s="20"/>
      <c r="D534" s="20"/>
      <c r="E534" s="326"/>
      <c r="F534" s="327"/>
      <c r="G534" s="327"/>
      <c r="H534" s="20"/>
    </row>
    <row r="535" spans="2:8" x14ac:dyDescent="0.25">
      <c r="B535" s="20"/>
      <c r="C535" s="20"/>
      <c r="D535" s="20"/>
      <c r="E535" s="326"/>
      <c r="F535" s="327"/>
      <c r="G535" s="327"/>
      <c r="H535" s="20"/>
    </row>
    <row r="536" spans="2:8" x14ac:dyDescent="0.25">
      <c r="B536" s="20"/>
      <c r="C536" s="20"/>
      <c r="D536" s="20"/>
      <c r="E536" s="326"/>
      <c r="F536" s="327"/>
      <c r="G536" s="327"/>
      <c r="H536" s="20"/>
    </row>
    <row r="537" spans="2:8" x14ac:dyDescent="0.25">
      <c r="B537" s="20"/>
      <c r="C537" s="20"/>
      <c r="D537" s="20"/>
      <c r="E537" s="326"/>
      <c r="F537" s="327"/>
      <c r="G537" s="327"/>
      <c r="H537" s="20"/>
    </row>
    <row r="538" spans="2:8" x14ac:dyDescent="0.25">
      <c r="B538" s="20"/>
      <c r="C538" s="20"/>
      <c r="D538" s="20"/>
      <c r="E538" s="326"/>
      <c r="F538" s="327"/>
      <c r="G538" s="327"/>
      <c r="H538" s="20"/>
    </row>
    <row r="539" spans="2:8" x14ac:dyDescent="0.25">
      <c r="B539" s="20"/>
      <c r="C539" s="20"/>
      <c r="D539" s="20"/>
      <c r="E539" s="326"/>
      <c r="F539" s="327"/>
      <c r="G539" s="327"/>
      <c r="H539" s="20"/>
    </row>
    <row r="540" spans="2:8" x14ac:dyDescent="0.25">
      <c r="B540" s="20"/>
      <c r="C540" s="20"/>
      <c r="D540" s="20"/>
      <c r="E540" s="326"/>
      <c r="F540" s="327"/>
      <c r="G540" s="327"/>
      <c r="H540" s="20"/>
    </row>
    <row r="541" spans="2:8" x14ac:dyDescent="0.25">
      <c r="B541" s="20"/>
      <c r="C541" s="20"/>
      <c r="D541" s="20"/>
      <c r="E541" s="326"/>
      <c r="F541" s="327"/>
      <c r="G541" s="327"/>
      <c r="H541" s="20"/>
    </row>
    <row r="542" spans="2:8" x14ac:dyDescent="0.25">
      <c r="B542" s="20"/>
      <c r="C542" s="20"/>
      <c r="D542" s="20"/>
      <c r="E542" s="326"/>
      <c r="F542" s="327"/>
      <c r="G542" s="327"/>
      <c r="H542" s="20"/>
    </row>
    <row r="543" spans="2:8" x14ac:dyDescent="0.25">
      <c r="B543" s="20"/>
      <c r="C543" s="20"/>
      <c r="D543" s="20"/>
      <c r="E543" s="326"/>
      <c r="F543" s="327"/>
      <c r="G543" s="327"/>
      <c r="H543" s="20"/>
    </row>
    <row r="544" spans="2:8" x14ac:dyDescent="0.25">
      <c r="B544" s="20"/>
      <c r="C544" s="20"/>
      <c r="D544" s="20"/>
      <c r="E544" s="326"/>
      <c r="F544" s="327"/>
      <c r="G544" s="327"/>
      <c r="H544" s="20"/>
    </row>
    <row r="545" spans="2:8" x14ac:dyDescent="0.25">
      <c r="B545" s="20"/>
      <c r="C545" s="20"/>
      <c r="D545" s="20"/>
      <c r="E545" s="326"/>
      <c r="F545" s="327"/>
      <c r="G545" s="327"/>
      <c r="H545" s="20"/>
    </row>
    <row r="546" spans="2:8" x14ac:dyDescent="0.25">
      <c r="B546" s="20"/>
      <c r="C546" s="20"/>
      <c r="D546" s="20"/>
      <c r="E546" s="326"/>
      <c r="F546" s="327"/>
      <c r="G546" s="327"/>
      <c r="H546" s="20"/>
    </row>
    <row r="547" spans="2:8" x14ac:dyDescent="0.25">
      <c r="B547" s="20"/>
      <c r="C547" s="20"/>
      <c r="D547" s="20"/>
      <c r="E547" s="326"/>
      <c r="F547" s="327"/>
      <c r="G547" s="327"/>
      <c r="H547" s="20"/>
    </row>
    <row r="548" spans="2:8" x14ac:dyDescent="0.25">
      <c r="B548" s="20"/>
      <c r="C548" s="20"/>
      <c r="D548" s="20"/>
      <c r="E548" s="326"/>
      <c r="F548" s="327"/>
      <c r="G548" s="327"/>
      <c r="H548" s="20"/>
    </row>
    <row r="549" spans="2:8" x14ac:dyDescent="0.25">
      <c r="B549" s="20"/>
      <c r="C549" s="20"/>
      <c r="D549" s="20"/>
      <c r="E549" s="326"/>
      <c r="F549" s="327"/>
      <c r="G549" s="327"/>
      <c r="H549" s="20"/>
    </row>
    <row r="550" spans="2:8" x14ac:dyDescent="0.25">
      <c r="B550" s="20"/>
      <c r="C550" s="20"/>
      <c r="D550" s="20"/>
      <c r="E550" s="326"/>
      <c r="F550" s="327"/>
      <c r="G550" s="327"/>
      <c r="H550" s="20"/>
    </row>
    <row r="551" spans="2:8" x14ac:dyDescent="0.25">
      <c r="B551" s="20"/>
      <c r="C551" s="20"/>
      <c r="D551" s="20"/>
      <c r="E551" s="326"/>
      <c r="F551" s="327"/>
      <c r="G551" s="327"/>
      <c r="H551" s="20"/>
    </row>
    <row r="552" spans="2:8" x14ac:dyDescent="0.25">
      <c r="B552" s="20"/>
      <c r="C552" s="20"/>
      <c r="D552" s="20"/>
      <c r="E552" s="326"/>
      <c r="F552" s="327"/>
      <c r="G552" s="327"/>
      <c r="H552" s="20"/>
    </row>
    <row r="553" spans="2:8" x14ac:dyDescent="0.25">
      <c r="B553" s="20"/>
      <c r="C553" s="20"/>
      <c r="D553" s="20"/>
      <c r="E553" s="326"/>
      <c r="F553" s="327"/>
      <c r="G553" s="327"/>
      <c r="H553" s="20"/>
    </row>
    <row r="554" spans="2:8" x14ac:dyDescent="0.25">
      <c r="B554" s="20"/>
      <c r="C554" s="20"/>
      <c r="D554" s="20"/>
      <c r="E554" s="326"/>
      <c r="F554" s="327"/>
      <c r="G554" s="327"/>
      <c r="H554" s="20"/>
    </row>
    <row r="555" spans="2:8" x14ac:dyDescent="0.25">
      <c r="B555" s="20"/>
      <c r="C555" s="20"/>
      <c r="D555" s="20"/>
      <c r="E555" s="326"/>
      <c r="F555" s="327"/>
      <c r="G555" s="327"/>
      <c r="H555" s="20"/>
    </row>
    <row r="556" spans="2:8" x14ac:dyDescent="0.25">
      <c r="B556" s="20"/>
      <c r="C556" s="20"/>
      <c r="D556" s="20"/>
      <c r="E556" s="326"/>
      <c r="F556" s="327"/>
      <c r="G556" s="327"/>
      <c r="H556" s="20"/>
    </row>
    <row r="557" spans="2:8" x14ac:dyDescent="0.25">
      <c r="B557" s="20"/>
      <c r="C557" s="20"/>
      <c r="D557" s="20"/>
      <c r="E557" s="326"/>
      <c r="F557" s="327"/>
      <c r="G557" s="327"/>
      <c r="H557" s="20"/>
    </row>
    <row r="558" spans="2:8" x14ac:dyDescent="0.25">
      <c r="B558" s="20"/>
      <c r="C558" s="20"/>
      <c r="D558" s="20"/>
      <c r="E558" s="326"/>
      <c r="F558" s="327"/>
      <c r="G558" s="327"/>
      <c r="H558" s="20"/>
    </row>
    <row r="559" spans="2:8" x14ac:dyDescent="0.25">
      <c r="B559" s="20"/>
      <c r="C559" s="20"/>
      <c r="D559" s="20"/>
      <c r="E559" s="326"/>
      <c r="F559" s="327"/>
      <c r="G559" s="327"/>
      <c r="H559" s="20"/>
    </row>
    <row r="560" spans="2:8" x14ac:dyDescent="0.25">
      <c r="B560" s="20"/>
      <c r="C560" s="20"/>
      <c r="D560" s="20"/>
      <c r="E560" s="326"/>
      <c r="F560" s="327"/>
      <c r="G560" s="327"/>
      <c r="H560" s="20"/>
    </row>
    <row r="561" spans="2:8" x14ac:dyDescent="0.25">
      <c r="B561" s="20"/>
      <c r="C561" s="20"/>
      <c r="D561" s="20"/>
      <c r="E561" s="326"/>
      <c r="F561" s="327"/>
      <c r="G561" s="327"/>
      <c r="H561" s="20"/>
    </row>
    <row r="562" spans="2:8" x14ac:dyDescent="0.25">
      <c r="B562" s="20"/>
      <c r="C562" s="20"/>
      <c r="D562" s="20"/>
      <c r="E562" s="326"/>
      <c r="F562" s="327"/>
      <c r="G562" s="327"/>
      <c r="H562" s="20"/>
    </row>
    <row r="563" spans="2:8" x14ac:dyDescent="0.25">
      <c r="B563" s="20"/>
      <c r="C563" s="20"/>
      <c r="D563" s="20"/>
      <c r="E563" s="326"/>
      <c r="F563" s="327"/>
      <c r="G563" s="327"/>
      <c r="H563" s="20"/>
    </row>
    <row r="564" spans="2:8" x14ac:dyDescent="0.25">
      <c r="B564" s="20"/>
      <c r="C564" s="20"/>
      <c r="D564" s="20"/>
      <c r="E564" s="326"/>
      <c r="F564" s="327"/>
      <c r="G564" s="327"/>
      <c r="H564" s="20"/>
    </row>
    <row r="565" spans="2:8" x14ac:dyDescent="0.25">
      <c r="B565" s="20"/>
      <c r="C565" s="20"/>
      <c r="D565" s="20"/>
      <c r="E565" s="326"/>
      <c r="F565" s="327"/>
      <c r="G565" s="327"/>
      <c r="H565" s="20"/>
    </row>
    <row r="566" spans="2:8" x14ac:dyDescent="0.25">
      <c r="B566" s="20"/>
      <c r="C566" s="20"/>
      <c r="D566" s="20"/>
      <c r="E566" s="326"/>
      <c r="F566" s="327"/>
      <c r="G566" s="327"/>
      <c r="H566" s="20"/>
    </row>
    <row r="567" spans="2:8" x14ac:dyDescent="0.25">
      <c r="B567" s="20"/>
      <c r="C567" s="20"/>
      <c r="D567" s="20"/>
      <c r="E567" s="326"/>
      <c r="F567" s="327"/>
      <c r="G567" s="327"/>
      <c r="H567" s="20"/>
    </row>
    <row r="568" spans="2:8" x14ac:dyDescent="0.25">
      <c r="B568" s="20"/>
      <c r="C568" s="20"/>
      <c r="D568" s="20"/>
      <c r="E568" s="326"/>
      <c r="F568" s="327"/>
      <c r="G568" s="327"/>
      <c r="H568" s="20"/>
    </row>
    <row r="569" spans="2:8" x14ac:dyDescent="0.25">
      <c r="B569" s="20"/>
      <c r="C569" s="20"/>
      <c r="D569" s="20"/>
      <c r="E569" s="326"/>
      <c r="F569" s="327"/>
      <c r="G569" s="327"/>
      <c r="H569" s="20"/>
    </row>
    <row r="570" spans="2:8" x14ac:dyDescent="0.25">
      <c r="B570" s="20"/>
      <c r="C570" s="20"/>
      <c r="D570" s="20"/>
      <c r="E570" s="326"/>
      <c r="F570" s="327"/>
      <c r="G570" s="327"/>
      <c r="H570" s="20"/>
    </row>
    <row r="571" spans="2:8" x14ac:dyDescent="0.25">
      <c r="B571" s="20"/>
      <c r="C571" s="20"/>
      <c r="D571" s="20"/>
      <c r="E571" s="326"/>
      <c r="F571" s="327"/>
      <c r="G571" s="327"/>
      <c r="H571" s="20"/>
    </row>
    <row r="572" spans="2:8" x14ac:dyDescent="0.25">
      <c r="B572" s="20"/>
      <c r="C572" s="20"/>
      <c r="D572" s="20"/>
      <c r="E572" s="326"/>
      <c r="F572" s="327"/>
      <c r="G572" s="327"/>
      <c r="H572" s="20"/>
    </row>
    <row r="573" spans="2:8" x14ac:dyDescent="0.25">
      <c r="B573" s="20"/>
      <c r="C573" s="20"/>
      <c r="D573" s="20"/>
      <c r="E573" s="326"/>
      <c r="F573" s="327"/>
      <c r="G573" s="327"/>
      <c r="H573" s="20"/>
    </row>
    <row r="574" spans="2:8" x14ac:dyDescent="0.25">
      <c r="B574" s="20"/>
      <c r="C574" s="20"/>
      <c r="D574" s="20"/>
      <c r="E574" s="326"/>
      <c r="F574" s="327"/>
      <c r="G574" s="327"/>
      <c r="H574" s="20"/>
    </row>
    <row r="575" spans="2:8" x14ac:dyDescent="0.25">
      <c r="B575" s="20"/>
      <c r="C575" s="20"/>
      <c r="D575" s="20"/>
      <c r="E575" s="326"/>
      <c r="F575" s="327"/>
      <c r="G575" s="327"/>
      <c r="H575" s="20"/>
    </row>
    <row r="576" spans="2:8" x14ac:dyDescent="0.25">
      <c r="B576" s="20"/>
      <c r="C576" s="20"/>
      <c r="D576" s="20"/>
      <c r="E576" s="326"/>
      <c r="F576" s="327"/>
      <c r="G576" s="327"/>
      <c r="H576" s="20"/>
    </row>
    <row r="577" spans="2:8" x14ac:dyDescent="0.25">
      <c r="B577" s="20"/>
      <c r="C577" s="20"/>
      <c r="D577" s="20"/>
      <c r="E577" s="326"/>
      <c r="F577" s="327"/>
      <c r="G577" s="327"/>
      <c r="H577" s="20"/>
    </row>
    <row r="578" spans="2:8" x14ac:dyDescent="0.25">
      <c r="B578" s="20"/>
      <c r="C578" s="20"/>
      <c r="D578" s="20"/>
      <c r="E578" s="326"/>
      <c r="F578" s="327"/>
      <c r="G578" s="327"/>
      <c r="H578" s="20"/>
    </row>
    <row r="579" spans="2:8" x14ac:dyDescent="0.25">
      <c r="B579" s="20"/>
      <c r="C579" s="20"/>
      <c r="D579" s="20"/>
      <c r="E579" s="326"/>
      <c r="F579" s="327"/>
      <c r="G579" s="327"/>
      <c r="H579" s="20"/>
    </row>
    <row r="580" spans="2:8" x14ac:dyDescent="0.25">
      <c r="B580" s="20"/>
      <c r="C580" s="20"/>
      <c r="D580" s="20"/>
      <c r="E580" s="326"/>
      <c r="F580" s="327"/>
      <c r="G580" s="327"/>
      <c r="H580" s="20"/>
    </row>
    <row r="581" spans="2:8" x14ac:dyDescent="0.25">
      <c r="B581" s="20"/>
      <c r="C581" s="20"/>
      <c r="D581" s="20"/>
      <c r="E581" s="326"/>
      <c r="F581" s="327"/>
      <c r="G581" s="327"/>
      <c r="H581" s="20"/>
    </row>
    <row r="582" spans="2:8" x14ac:dyDescent="0.25">
      <c r="B582" s="20"/>
      <c r="C582" s="20"/>
      <c r="D582" s="20"/>
      <c r="E582" s="326"/>
      <c r="F582" s="327"/>
      <c r="G582" s="327"/>
      <c r="H582" s="20"/>
    </row>
    <row r="583" spans="2:8" x14ac:dyDescent="0.25">
      <c r="B583" s="20"/>
      <c r="C583" s="20"/>
      <c r="D583" s="20"/>
      <c r="E583" s="326"/>
      <c r="F583" s="327"/>
      <c r="G583" s="327"/>
      <c r="H583" s="20"/>
    </row>
    <row r="584" spans="2:8" x14ac:dyDescent="0.25">
      <c r="B584" s="20"/>
      <c r="C584" s="20"/>
      <c r="D584" s="20"/>
      <c r="E584" s="326"/>
      <c r="F584" s="327"/>
      <c r="G584" s="327"/>
      <c r="H584" s="20"/>
    </row>
    <row r="585" spans="2:8" x14ac:dyDescent="0.25">
      <c r="B585" s="20"/>
      <c r="C585" s="20"/>
      <c r="D585" s="20"/>
      <c r="E585" s="326"/>
      <c r="F585" s="327"/>
      <c r="G585" s="327"/>
      <c r="H585" s="20"/>
    </row>
    <row r="586" spans="2:8" x14ac:dyDescent="0.25">
      <c r="B586" s="20"/>
      <c r="C586" s="20"/>
      <c r="D586" s="20"/>
      <c r="E586" s="326"/>
      <c r="F586" s="327"/>
      <c r="G586" s="327"/>
      <c r="H586" s="20"/>
    </row>
    <row r="587" spans="2:8" x14ac:dyDescent="0.25">
      <c r="B587" s="20"/>
      <c r="C587" s="20"/>
      <c r="D587" s="20"/>
      <c r="E587" s="326"/>
      <c r="F587" s="327"/>
      <c r="G587" s="327"/>
      <c r="H587" s="20"/>
    </row>
    <row r="588" spans="2:8" x14ac:dyDescent="0.25">
      <c r="B588" s="20"/>
      <c r="C588" s="20"/>
      <c r="D588" s="20"/>
      <c r="E588" s="326"/>
      <c r="F588" s="327"/>
      <c r="G588" s="327"/>
      <c r="H588" s="20"/>
    </row>
    <row r="589" spans="2:8" x14ac:dyDescent="0.25">
      <c r="B589" s="20"/>
      <c r="C589" s="20"/>
      <c r="D589" s="20"/>
      <c r="E589" s="326"/>
      <c r="F589" s="327"/>
      <c r="G589" s="327"/>
      <c r="H589" s="20"/>
    </row>
    <row r="590" spans="2:8" x14ac:dyDescent="0.25">
      <c r="B590" s="20"/>
      <c r="C590" s="20"/>
      <c r="D590" s="20"/>
      <c r="E590" s="326"/>
      <c r="F590" s="327"/>
      <c r="G590" s="327"/>
      <c r="H590" s="20"/>
    </row>
    <row r="591" spans="2:8" x14ac:dyDescent="0.25">
      <c r="B591" s="20"/>
      <c r="C591" s="20"/>
      <c r="D591" s="20"/>
      <c r="E591" s="326"/>
      <c r="F591" s="327"/>
      <c r="G591" s="327"/>
      <c r="H591" s="20"/>
    </row>
    <row r="592" spans="2:8" x14ac:dyDescent="0.25">
      <c r="B592" s="20"/>
      <c r="C592" s="20"/>
      <c r="D592" s="20"/>
      <c r="E592" s="326"/>
      <c r="F592" s="327"/>
      <c r="G592" s="327"/>
      <c r="H592" s="20"/>
    </row>
    <row r="593" spans="2:8" x14ac:dyDescent="0.25">
      <c r="B593" s="20"/>
      <c r="C593" s="20"/>
      <c r="D593" s="20"/>
      <c r="E593" s="326"/>
      <c r="F593" s="327"/>
      <c r="G593" s="327"/>
      <c r="H593" s="20"/>
    </row>
    <row r="594" spans="2:8" x14ac:dyDescent="0.25">
      <c r="B594" s="20"/>
      <c r="C594" s="20"/>
      <c r="D594" s="20"/>
      <c r="E594" s="326"/>
      <c r="F594" s="327"/>
      <c r="G594" s="327"/>
      <c r="H594" s="20"/>
    </row>
    <row r="595" spans="2:8" x14ac:dyDescent="0.25">
      <c r="B595" s="20"/>
      <c r="C595" s="20"/>
      <c r="D595" s="20"/>
      <c r="E595" s="326"/>
      <c r="F595" s="327"/>
      <c r="G595" s="327"/>
      <c r="H595" s="20"/>
    </row>
    <row r="596" spans="2:8" x14ac:dyDescent="0.25">
      <c r="B596" s="20"/>
      <c r="C596" s="20"/>
      <c r="D596" s="20"/>
      <c r="E596" s="326"/>
      <c r="F596" s="327"/>
      <c r="G596" s="327"/>
      <c r="H596" s="20"/>
    </row>
    <row r="597" spans="2:8" x14ac:dyDescent="0.25">
      <c r="B597" s="20"/>
      <c r="C597" s="20"/>
      <c r="D597" s="20"/>
      <c r="E597" s="326"/>
      <c r="F597" s="327"/>
      <c r="G597" s="327"/>
      <c r="H597" s="20"/>
    </row>
    <row r="598" spans="2:8" x14ac:dyDescent="0.25">
      <c r="B598" s="20"/>
      <c r="C598" s="20"/>
      <c r="D598" s="20"/>
      <c r="E598" s="326"/>
      <c r="F598" s="327"/>
      <c r="G598" s="327"/>
      <c r="H598" s="20"/>
    </row>
    <row r="599" spans="2:8" x14ac:dyDescent="0.25">
      <c r="B599" s="20"/>
      <c r="C599" s="20"/>
      <c r="D599" s="20"/>
      <c r="E599" s="326"/>
      <c r="F599" s="327"/>
      <c r="G599" s="327"/>
      <c r="H599" s="20"/>
    </row>
    <row r="600" spans="2:8" x14ac:dyDescent="0.25">
      <c r="B600" s="20"/>
      <c r="C600" s="20"/>
      <c r="D600" s="20"/>
      <c r="E600" s="326"/>
      <c r="F600" s="327"/>
      <c r="G600" s="327"/>
      <c r="H600" s="20"/>
    </row>
    <row r="601" spans="2:8" x14ac:dyDescent="0.25">
      <c r="B601" s="20"/>
      <c r="C601" s="20"/>
      <c r="D601" s="20"/>
      <c r="E601" s="326"/>
      <c r="F601" s="327"/>
      <c r="G601" s="327"/>
      <c r="H601" s="20"/>
    </row>
    <row r="602" spans="2:8" x14ac:dyDescent="0.25">
      <c r="B602" s="20"/>
      <c r="C602" s="20"/>
      <c r="D602" s="20"/>
      <c r="E602" s="326"/>
      <c r="F602" s="327"/>
      <c r="G602" s="327"/>
      <c r="H602" s="20"/>
    </row>
    <row r="603" spans="2:8" x14ac:dyDescent="0.25">
      <c r="B603" s="20"/>
      <c r="C603" s="20"/>
      <c r="D603" s="20"/>
      <c r="E603" s="326"/>
      <c r="F603" s="327"/>
      <c r="G603" s="327"/>
      <c r="H603" s="20"/>
    </row>
    <row r="604" spans="2:8" x14ac:dyDescent="0.25">
      <c r="B604" s="20"/>
      <c r="C604" s="20"/>
      <c r="D604" s="20"/>
      <c r="E604" s="326"/>
      <c r="F604" s="327"/>
      <c r="G604" s="327"/>
      <c r="H604" s="20"/>
    </row>
    <row r="605" spans="2:8" x14ac:dyDescent="0.25">
      <c r="B605" s="20"/>
      <c r="C605" s="20"/>
      <c r="D605" s="20"/>
      <c r="E605" s="326"/>
      <c r="F605" s="327"/>
      <c r="G605" s="327"/>
      <c r="H605" s="20"/>
    </row>
    <row r="606" spans="2:8" x14ac:dyDescent="0.25">
      <c r="B606" s="20"/>
      <c r="C606" s="20"/>
      <c r="D606" s="20"/>
      <c r="E606" s="326"/>
      <c r="F606" s="327"/>
      <c r="G606" s="327"/>
      <c r="H606" s="20"/>
    </row>
    <row r="607" spans="2:8" x14ac:dyDescent="0.25">
      <c r="B607" s="20"/>
      <c r="C607" s="20"/>
      <c r="D607" s="20"/>
      <c r="E607" s="326"/>
      <c r="F607" s="327"/>
      <c r="G607" s="327"/>
      <c r="H607" s="20"/>
    </row>
    <row r="608" spans="2:8" x14ac:dyDescent="0.25">
      <c r="B608" s="20"/>
      <c r="C608" s="20"/>
      <c r="D608" s="20"/>
      <c r="E608" s="326"/>
      <c r="F608" s="327"/>
      <c r="G608" s="327"/>
      <c r="H608" s="20"/>
    </row>
    <row r="609" spans="2:8" x14ac:dyDescent="0.25">
      <c r="B609" s="20"/>
      <c r="C609" s="20"/>
      <c r="D609" s="20"/>
      <c r="E609" s="326"/>
      <c r="F609" s="327"/>
      <c r="G609" s="327"/>
      <c r="H609" s="20"/>
    </row>
    <row r="610" spans="2:8" x14ac:dyDescent="0.25">
      <c r="B610" s="20"/>
      <c r="C610" s="20"/>
      <c r="D610" s="20"/>
      <c r="E610" s="326"/>
      <c r="F610" s="327"/>
      <c r="G610" s="327"/>
      <c r="H610" s="20"/>
    </row>
    <row r="611" spans="2:8" x14ac:dyDescent="0.25">
      <c r="B611" s="20"/>
      <c r="C611" s="20"/>
      <c r="D611" s="20"/>
      <c r="E611" s="326"/>
      <c r="F611" s="327"/>
      <c r="G611" s="327"/>
      <c r="H611" s="20"/>
    </row>
    <row r="612" spans="2:8" x14ac:dyDescent="0.25">
      <c r="B612" s="20"/>
      <c r="C612" s="20"/>
      <c r="D612" s="20"/>
      <c r="E612" s="326"/>
      <c r="F612" s="327"/>
      <c r="G612" s="327"/>
      <c r="H612" s="20"/>
    </row>
    <row r="613" spans="2:8" x14ac:dyDescent="0.25">
      <c r="B613" s="20"/>
      <c r="C613" s="20"/>
      <c r="D613" s="20"/>
      <c r="E613" s="326"/>
      <c r="F613" s="327"/>
      <c r="G613" s="327"/>
      <c r="H613" s="20"/>
    </row>
    <row r="614" spans="2:8" x14ac:dyDescent="0.25">
      <c r="B614" s="20"/>
      <c r="C614" s="20"/>
      <c r="D614" s="20"/>
      <c r="E614" s="326"/>
      <c r="F614" s="327"/>
      <c r="G614" s="327"/>
      <c r="H614" s="20"/>
    </row>
    <row r="615" spans="2:8" x14ac:dyDescent="0.25">
      <c r="B615" s="20"/>
      <c r="C615" s="20"/>
      <c r="D615" s="20"/>
      <c r="E615" s="326"/>
      <c r="F615" s="327"/>
      <c r="G615" s="327"/>
      <c r="H615" s="20"/>
    </row>
    <row r="616" spans="2:8" x14ac:dyDescent="0.25">
      <c r="B616" s="20"/>
      <c r="C616" s="20"/>
      <c r="D616" s="20"/>
      <c r="E616" s="326"/>
      <c r="F616" s="327"/>
      <c r="G616" s="327"/>
      <c r="H616" s="20"/>
    </row>
    <row r="617" spans="2:8" x14ac:dyDescent="0.25">
      <c r="B617" s="20"/>
      <c r="C617" s="20"/>
      <c r="D617" s="20"/>
      <c r="E617" s="326"/>
      <c r="F617" s="327"/>
      <c r="G617" s="327"/>
      <c r="H617" s="20"/>
    </row>
    <row r="618" spans="2:8" x14ac:dyDescent="0.25">
      <c r="B618" s="20"/>
      <c r="C618" s="20"/>
      <c r="D618" s="20"/>
      <c r="E618" s="326"/>
      <c r="F618" s="327"/>
      <c r="G618" s="327"/>
      <c r="H618" s="20"/>
    </row>
    <row r="619" spans="2:8" x14ac:dyDescent="0.25">
      <c r="B619" s="20"/>
      <c r="C619" s="20"/>
      <c r="D619" s="20"/>
      <c r="E619" s="326"/>
      <c r="F619" s="327"/>
      <c r="G619" s="327"/>
      <c r="H619" s="20"/>
    </row>
    <row r="620" spans="2:8" x14ac:dyDescent="0.25">
      <c r="B620" s="20"/>
      <c r="C620" s="20"/>
      <c r="D620" s="20"/>
      <c r="E620" s="326"/>
      <c r="F620" s="327"/>
      <c r="G620" s="327"/>
      <c r="H620" s="20"/>
    </row>
    <row r="621" spans="2:8" x14ac:dyDescent="0.25">
      <c r="B621" s="20"/>
      <c r="C621" s="20"/>
      <c r="D621" s="20"/>
      <c r="E621" s="326"/>
      <c r="F621" s="327"/>
      <c r="G621" s="327"/>
      <c r="H621" s="20"/>
    </row>
    <row r="622" spans="2:8" x14ac:dyDescent="0.25">
      <c r="B622" s="20"/>
      <c r="C622" s="20"/>
      <c r="D622" s="20"/>
      <c r="E622" s="326"/>
      <c r="F622" s="327"/>
      <c r="G622" s="327"/>
      <c r="H622" s="20"/>
    </row>
    <row r="623" spans="2:8" x14ac:dyDescent="0.25">
      <c r="B623" s="20"/>
      <c r="C623" s="20"/>
      <c r="D623" s="20"/>
      <c r="E623" s="326"/>
      <c r="F623" s="327"/>
      <c r="G623" s="327"/>
      <c r="H623" s="20"/>
    </row>
    <row r="624" spans="2:8" x14ac:dyDescent="0.25">
      <c r="B624" s="20"/>
      <c r="C624" s="20"/>
      <c r="D624" s="20"/>
      <c r="E624" s="326"/>
      <c r="F624" s="327"/>
      <c r="G624" s="327"/>
      <c r="H624" s="20"/>
    </row>
    <row r="625" spans="2:8" x14ac:dyDescent="0.25">
      <c r="B625" s="20"/>
      <c r="C625" s="20"/>
      <c r="D625" s="20"/>
      <c r="E625" s="326"/>
      <c r="F625" s="327"/>
      <c r="G625" s="327"/>
      <c r="H625" s="20"/>
    </row>
    <row r="626" spans="2:8" x14ac:dyDescent="0.25">
      <c r="B626" s="20"/>
      <c r="C626" s="20"/>
      <c r="D626" s="20"/>
      <c r="E626" s="326"/>
      <c r="F626" s="327"/>
      <c r="G626" s="327"/>
      <c r="H626" s="20"/>
    </row>
    <row r="627" spans="2:8" x14ac:dyDescent="0.25">
      <c r="B627" s="20"/>
      <c r="C627" s="20"/>
      <c r="D627" s="20"/>
      <c r="E627" s="326"/>
      <c r="F627" s="327"/>
      <c r="G627" s="327"/>
      <c r="H627" s="20"/>
    </row>
    <row r="628" spans="2:8" x14ac:dyDescent="0.25">
      <c r="B628" s="20"/>
      <c r="C628" s="20"/>
      <c r="D628" s="20"/>
      <c r="E628" s="326"/>
      <c r="F628" s="327"/>
      <c r="G628" s="327"/>
      <c r="H628" s="20"/>
    </row>
    <row r="629" spans="2:8" x14ac:dyDescent="0.25">
      <c r="B629" s="20"/>
      <c r="C629" s="20"/>
      <c r="D629" s="20"/>
      <c r="E629" s="326"/>
      <c r="F629" s="327"/>
      <c r="G629" s="327"/>
      <c r="H629" s="20"/>
    </row>
    <row r="630" spans="2:8" x14ac:dyDescent="0.25">
      <c r="B630" s="20"/>
      <c r="C630" s="20"/>
      <c r="D630" s="20"/>
      <c r="E630" s="326"/>
      <c r="F630" s="327"/>
      <c r="G630" s="327"/>
      <c r="H630" s="20"/>
    </row>
    <row r="631" spans="2:8" x14ac:dyDescent="0.25">
      <c r="B631" s="20"/>
      <c r="C631" s="20"/>
      <c r="D631" s="20"/>
      <c r="E631" s="326"/>
      <c r="F631" s="327"/>
      <c r="G631" s="327"/>
      <c r="H631" s="20"/>
    </row>
    <row r="632" spans="2:8" x14ac:dyDescent="0.25">
      <c r="B632" s="20"/>
      <c r="C632" s="20"/>
      <c r="D632" s="20"/>
      <c r="E632" s="326"/>
      <c r="F632" s="327"/>
      <c r="G632" s="327"/>
      <c r="H632" s="20"/>
    </row>
    <row r="633" spans="2:8" x14ac:dyDescent="0.25">
      <c r="B633" s="20"/>
      <c r="C633" s="20"/>
      <c r="D633" s="20"/>
      <c r="E633" s="326"/>
      <c r="F633" s="327"/>
      <c r="G633" s="327"/>
      <c r="H633" s="20"/>
    </row>
    <row r="634" spans="2:8" x14ac:dyDescent="0.25">
      <c r="B634" s="20"/>
      <c r="C634" s="20"/>
      <c r="D634" s="20"/>
      <c r="E634" s="326"/>
      <c r="F634" s="327"/>
      <c r="G634" s="327"/>
      <c r="H634" s="20"/>
    </row>
    <row r="635" spans="2:8" x14ac:dyDescent="0.25">
      <c r="B635" s="20"/>
      <c r="C635" s="20"/>
      <c r="D635" s="20"/>
      <c r="E635" s="326"/>
      <c r="F635" s="327"/>
      <c r="G635" s="327"/>
      <c r="H635" s="20"/>
    </row>
    <row r="636" spans="2:8" x14ac:dyDescent="0.25">
      <c r="B636" s="20"/>
      <c r="C636" s="20"/>
      <c r="D636" s="20"/>
      <c r="E636" s="326"/>
      <c r="F636" s="327"/>
      <c r="G636" s="327"/>
      <c r="H636" s="20"/>
    </row>
    <row r="637" spans="2:8" x14ac:dyDescent="0.25">
      <c r="B637" s="20"/>
      <c r="C637" s="20"/>
      <c r="D637" s="20"/>
      <c r="E637" s="326"/>
      <c r="F637" s="327"/>
      <c r="G637" s="327"/>
      <c r="H637" s="20"/>
    </row>
    <row r="638" spans="2:8" x14ac:dyDescent="0.25">
      <c r="B638" s="20"/>
      <c r="C638" s="20"/>
      <c r="D638" s="20"/>
      <c r="E638" s="326"/>
      <c r="F638" s="327"/>
      <c r="G638" s="327"/>
      <c r="H638" s="20"/>
    </row>
    <row r="639" spans="2:8" x14ac:dyDescent="0.25">
      <c r="B639" s="20"/>
      <c r="C639" s="20"/>
      <c r="D639" s="20"/>
      <c r="E639" s="326"/>
      <c r="F639" s="327"/>
      <c r="G639" s="327"/>
      <c r="H639" s="20"/>
    </row>
    <row r="640" spans="2:8" x14ac:dyDescent="0.25">
      <c r="B640" s="20"/>
      <c r="C640" s="20"/>
      <c r="D640" s="20"/>
      <c r="E640" s="326"/>
      <c r="F640" s="327"/>
      <c r="G640" s="327"/>
      <c r="H640" s="20"/>
    </row>
    <row r="641" spans="2:8" x14ac:dyDescent="0.25">
      <c r="B641" s="20"/>
      <c r="C641" s="20"/>
      <c r="D641" s="20"/>
      <c r="E641" s="326"/>
      <c r="F641" s="327"/>
      <c r="G641" s="327"/>
      <c r="H641" s="20"/>
    </row>
    <row r="642" spans="2:8" x14ac:dyDescent="0.25">
      <c r="B642" s="20"/>
      <c r="C642" s="20"/>
      <c r="D642" s="20"/>
      <c r="E642" s="326"/>
      <c r="F642" s="327"/>
      <c r="G642" s="327"/>
      <c r="H642" s="20"/>
    </row>
    <row r="643" spans="2:8" x14ac:dyDescent="0.25">
      <c r="B643" s="20"/>
      <c r="C643" s="20"/>
      <c r="D643" s="20"/>
      <c r="E643" s="326"/>
      <c r="F643" s="327"/>
      <c r="G643" s="327"/>
      <c r="H643" s="20"/>
    </row>
    <row r="644" spans="2:8" x14ac:dyDescent="0.25">
      <c r="B644" s="20"/>
      <c r="C644" s="20"/>
      <c r="D644" s="20"/>
      <c r="E644" s="326"/>
      <c r="F644" s="327"/>
      <c r="G644" s="327"/>
      <c r="H644" s="20"/>
    </row>
    <row r="645" spans="2:8" x14ac:dyDescent="0.25">
      <c r="B645" s="20"/>
      <c r="C645" s="20"/>
      <c r="D645" s="20"/>
      <c r="E645" s="326"/>
      <c r="F645" s="327"/>
      <c r="G645" s="327"/>
      <c r="H645" s="20"/>
    </row>
    <row r="646" spans="2:8" x14ac:dyDescent="0.25">
      <c r="B646" s="20"/>
      <c r="C646" s="20"/>
      <c r="D646" s="20"/>
      <c r="E646" s="326"/>
      <c r="F646" s="327"/>
      <c r="G646" s="327"/>
      <c r="H646" s="20"/>
    </row>
    <row r="647" spans="2:8" x14ac:dyDescent="0.25">
      <c r="B647" s="20"/>
      <c r="C647" s="20"/>
      <c r="D647" s="20"/>
      <c r="E647" s="326"/>
      <c r="F647" s="327"/>
      <c r="G647" s="327"/>
      <c r="H647" s="20"/>
    </row>
    <row r="648" spans="2:8" x14ac:dyDescent="0.25">
      <c r="B648" s="20"/>
      <c r="C648" s="20"/>
      <c r="D648" s="20"/>
      <c r="E648" s="326"/>
      <c r="F648" s="327"/>
      <c r="G648" s="327"/>
      <c r="H648" s="20"/>
    </row>
    <row r="649" spans="2:8" x14ac:dyDescent="0.25">
      <c r="B649" s="20"/>
      <c r="C649" s="20"/>
      <c r="D649" s="20"/>
      <c r="E649" s="326"/>
      <c r="F649" s="327"/>
      <c r="G649" s="327"/>
      <c r="H649" s="20"/>
    </row>
    <row r="650" spans="2:8" x14ac:dyDescent="0.25">
      <c r="B650" s="20"/>
      <c r="C650" s="20"/>
      <c r="D650" s="20"/>
      <c r="E650" s="326"/>
      <c r="F650" s="327"/>
      <c r="G650" s="327"/>
      <c r="H650" s="20"/>
    </row>
    <row r="651" spans="2:8" x14ac:dyDescent="0.25">
      <c r="B651" s="20"/>
      <c r="C651" s="20"/>
      <c r="D651" s="20"/>
      <c r="E651" s="326"/>
      <c r="F651" s="327"/>
      <c r="G651" s="327"/>
      <c r="H651" s="20"/>
    </row>
    <row r="652" spans="2:8" x14ac:dyDescent="0.25">
      <c r="B652" s="20"/>
      <c r="C652" s="20"/>
      <c r="D652" s="20"/>
      <c r="E652" s="326"/>
      <c r="F652" s="327"/>
      <c r="G652" s="327"/>
      <c r="H652" s="20"/>
    </row>
    <row r="653" spans="2:8" x14ac:dyDescent="0.25">
      <c r="B653" s="20"/>
      <c r="C653" s="20"/>
      <c r="D653" s="20"/>
      <c r="E653" s="326"/>
      <c r="F653" s="327"/>
      <c r="G653" s="327"/>
      <c r="H653" s="20"/>
    </row>
    <row r="654" spans="2:8" x14ac:dyDescent="0.25">
      <c r="B654" s="20"/>
      <c r="C654" s="20"/>
      <c r="D654" s="20"/>
      <c r="E654" s="326"/>
      <c r="F654" s="327"/>
      <c r="G654" s="327"/>
      <c r="H654" s="20"/>
    </row>
    <row r="655" spans="2:8" x14ac:dyDescent="0.25">
      <c r="B655" s="20"/>
      <c r="C655" s="20"/>
      <c r="D655" s="20"/>
      <c r="E655" s="326"/>
      <c r="F655" s="327"/>
      <c r="G655" s="327"/>
      <c r="H655" s="20"/>
    </row>
    <row r="656" spans="2:8" x14ac:dyDescent="0.25">
      <c r="B656" s="20"/>
      <c r="C656" s="20"/>
      <c r="D656" s="20"/>
      <c r="E656" s="326"/>
      <c r="F656" s="327"/>
      <c r="G656" s="327"/>
      <c r="H656" s="20"/>
    </row>
    <row r="657" spans="2:8" x14ac:dyDescent="0.25">
      <c r="B657" s="20"/>
      <c r="C657" s="20"/>
      <c r="D657" s="20"/>
      <c r="E657" s="326"/>
      <c r="F657" s="327"/>
      <c r="G657" s="327"/>
      <c r="H657" s="20"/>
    </row>
    <row r="658" spans="2:8" x14ac:dyDescent="0.25">
      <c r="B658" s="20"/>
      <c r="C658" s="20"/>
      <c r="D658" s="20"/>
      <c r="E658" s="326"/>
      <c r="F658" s="327"/>
      <c r="G658" s="327"/>
      <c r="H658" s="20"/>
    </row>
    <row r="659" spans="2:8" x14ac:dyDescent="0.25">
      <c r="B659" s="20"/>
      <c r="C659" s="20"/>
      <c r="D659" s="20"/>
      <c r="E659" s="326"/>
      <c r="F659" s="327"/>
      <c r="G659" s="327"/>
      <c r="H659" s="20"/>
    </row>
    <row r="660" spans="2:8" x14ac:dyDescent="0.25">
      <c r="B660" s="20"/>
      <c r="C660" s="20"/>
      <c r="D660" s="20"/>
      <c r="E660" s="326"/>
      <c r="F660" s="327"/>
      <c r="G660" s="327"/>
      <c r="H660" s="20"/>
    </row>
    <row r="661" spans="2:8" x14ac:dyDescent="0.25">
      <c r="B661" s="20"/>
      <c r="C661" s="20"/>
      <c r="D661" s="20"/>
      <c r="E661" s="326"/>
      <c r="F661" s="327"/>
      <c r="G661" s="327"/>
      <c r="H661" s="20"/>
    </row>
    <row r="662" spans="2:8" x14ac:dyDescent="0.25">
      <c r="B662" s="20"/>
      <c r="C662" s="20"/>
      <c r="D662" s="20"/>
      <c r="E662" s="326"/>
      <c r="F662" s="327"/>
      <c r="G662" s="327"/>
      <c r="H662" s="20"/>
    </row>
    <row r="663" spans="2:8" x14ac:dyDescent="0.25">
      <c r="B663" s="20"/>
      <c r="C663" s="20"/>
      <c r="D663" s="20"/>
      <c r="E663" s="326"/>
      <c r="F663" s="327"/>
      <c r="G663" s="327"/>
      <c r="H663" s="20"/>
    </row>
    <row r="664" spans="2:8" x14ac:dyDescent="0.25">
      <c r="B664" s="20"/>
      <c r="C664" s="20"/>
      <c r="D664" s="20"/>
      <c r="E664" s="326"/>
      <c r="F664" s="327"/>
      <c r="G664" s="327"/>
      <c r="H664" s="20"/>
    </row>
    <row r="665" spans="2:8" x14ac:dyDescent="0.25">
      <c r="B665" s="20"/>
      <c r="C665" s="20"/>
      <c r="D665" s="20"/>
      <c r="E665" s="326"/>
      <c r="F665" s="327"/>
      <c r="G665" s="327"/>
      <c r="H665" s="20"/>
    </row>
    <row r="666" spans="2:8" x14ac:dyDescent="0.25">
      <c r="B666" s="20"/>
      <c r="C666" s="20"/>
      <c r="D666" s="20"/>
      <c r="E666" s="326"/>
      <c r="F666" s="327"/>
      <c r="G666" s="327"/>
      <c r="H666" s="20"/>
    </row>
    <row r="667" spans="2:8" x14ac:dyDescent="0.25">
      <c r="B667" s="20"/>
      <c r="C667" s="20"/>
      <c r="D667" s="20"/>
      <c r="E667" s="326"/>
      <c r="F667" s="327"/>
      <c r="G667" s="327"/>
      <c r="H667" s="20"/>
    </row>
    <row r="668" spans="2:8" x14ac:dyDescent="0.25">
      <c r="B668" s="20"/>
      <c r="C668" s="20"/>
      <c r="D668" s="20"/>
      <c r="E668" s="326"/>
      <c r="F668" s="327"/>
      <c r="G668" s="327"/>
      <c r="H668" s="20"/>
    </row>
    <row r="669" spans="2:8" x14ac:dyDescent="0.25">
      <c r="B669" s="20"/>
      <c r="C669" s="20"/>
      <c r="D669" s="20"/>
      <c r="E669" s="326"/>
      <c r="F669" s="327"/>
      <c r="G669" s="327"/>
      <c r="H669" s="20"/>
    </row>
    <row r="670" spans="2:8" x14ac:dyDescent="0.25">
      <c r="B670" s="20"/>
      <c r="C670" s="20"/>
      <c r="D670" s="20"/>
      <c r="E670" s="326"/>
      <c r="F670" s="327"/>
      <c r="G670" s="327"/>
      <c r="H670" s="20"/>
    </row>
    <row r="671" spans="2:8" x14ac:dyDescent="0.25">
      <c r="B671" s="20"/>
      <c r="C671" s="20"/>
      <c r="D671" s="20"/>
      <c r="E671" s="326"/>
      <c r="F671" s="327"/>
      <c r="G671" s="327"/>
      <c r="H671" s="20"/>
    </row>
    <row r="672" spans="2:8" x14ac:dyDescent="0.25">
      <c r="B672" s="20"/>
      <c r="C672" s="20"/>
      <c r="D672" s="20"/>
      <c r="E672" s="326"/>
      <c r="F672" s="327"/>
      <c r="G672" s="327"/>
      <c r="H672" s="20"/>
    </row>
    <row r="673" spans="2:8" x14ac:dyDescent="0.25">
      <c r="B673" s="20"/>
      <c r="C673" s="20"/>
      <c r="D673" s="20"/>
      <c r="E673" s="326"/>
      <c r="F673" s="327"/>
      <c r="G673" s="327"/>
      <c r="H673" s="20"/>
    </row>
    <row r="674" spans="2:8" x14ac:dyDescent="0.25">
      <c r="B674" s="20"/>
      <c r="C674" s="20"/>
      <c r="D674" s="20"/>
      <c r="E674" s="326"/>
      <c r="F674" s="327"/>
      <c r="G674" s="327"/>
      <c r="H674" s="20"/>
    </row>
    <row r="675" spans="2:8" x14ac:dyDescent="0.25">
      <c r="B675" s="20"/>
      <c r="C675" s="20"/>
      <c r="D675" s="20"/>
      <c r="E675" s="326"/>
      <c r="F675" s="327"/>
      <c r="G675" s="327"/>
      <c r="H675" s="20"/>
    </row>
    <row r="676" spans="2:8" x14ac:dyDescent="0.25">
      <c r="B676" s="20"/>
      <c r="C676" s="20"/>
      <c r="D676" s="20"/>
      <c r="E676" s="326"/>
      <c r="F676" s="327"/>
      <c r="G676" s="327"/>
      <c r="H676" s="20"/>
    </row>
    <row r="677" spans="2:8" x14ac:dyDescent="0.25">
      <c r="B677" s="20"/>
      <c r="C677" s="20"/>
      <c r="D677" s="20"/>
      <c r="E677" s="326"/>
      <c r="F677" s="327"/>
      <c r="G677" s="327"/>
      <c r="H677" s="20"/>
    </row>
    <row r="678" spans="2:8" x14ac:dyDescent="0.25">
      <c r="B678" s="20"/>
      <c r="C678" s="20"/>
      <c r="D678" s="20"/>
      <c r="E678" s="326"/>
      <c r="F678" s="327"/>
      <c r="G678" s="327"/>
      <c r="H678" s="20"/>
    </row>
    <row r="679" spans="2:8" x14ac:dyDescent="0.25">
      <c r="B679" s="20"/>
      <c r="C679" s="20"/>
      <c r="D679" s="20"/>
      <c r="E679" s="326"/>
      <c r="F679" s="327"/>
      <c r="G679" s="327"/>
      <c r="H679" s="20"/>
    </row>
    <row r="680" spans="2:8" x14ac:dyDescent="0.25">
      <c r="B680" s="20"/>
      <c r="C680" s="20"/>
      <c r="D680" s="20"/>
      <c r="E680" s="326"/>
      <c r="F680" s="327"/>
      <c r="G680" s="327"/>
      <c r="H680" s="20"/>
    </row>
    <row r="681" spans="2:8" x14ac:dyDescent="0.25">
      <c r="B681" s="20"/>
      <c r="C681" s="20"/>
      <c r="D681" s="20"/>
      <c r="E681" s="326"/>
      <c r="F681" s="327"/>
      <c r="G681" s="327"/>
      <c r="H681" s="20"/>
    </row>
    <row r="682" spans="2:8" x14ac:dyDescent="0.25">
      <c r="B682" s="20"/>
      <c r="C682" s="20"/>
      <c r="D682" s="20"/>
      <c r="E682" s="326"/>
      <c r="F682" s="327"/>
      <c r="G682" s="327"/>
      <c r="H682" s="20"/>
    </row>
    <row r="683" spans="2:8" x14ac:dyDescent="0.25">
      <c r="B683" s="20"/>
      <c r="C683" s="20"/>
      <c r="D683" s="20"/>
      <c r="E683" s="326"/>
      <c r="F683" s="327"/>
      <c r="G683" s="327"/>
      <c r="H683" s="20"/>
    </row>
    <row r="684" spans="2:8" x14ac:dyDescent="0.25">
      <c r="B684" s="20"/>
      <c r="C684" s="20"/>
      <c r="D684" s="20"/>
      <c r="E684" s="326"/>
      <c r="F684" s="327"/>
      <c r="G684" s="327"/>
      <c r="H684" s="20"/>
    </row>
    <row r="685" spans="2:8" x14ac:dyDescent="0.25">
      <c r="B685" s="20"/>
      <c r="C685" s="20"/>
      <c r="D685" s="20"/>
      <c r="E685" s="326"/>
      <c r="F685" s="327"/>
      <c r="G685" s="327"/>
      <c r="H685" s="20"/>
    </row>
    <row r="686" spans="2:8" x14ac:dyDescent="0.25">
      <c r="B686" s="20"/>
      <c r="C686" s="20"/>
      <c r="D686" s="20"/>
      <c r="E686" s="326"/>
      <c r="F686" s="327"/>
      <c r="G686" s="327"/>
      <c r="H686" s="20"/>
    </row>
    <row r="687" spans="2:8" x14ac:dyDescent="0.25">
      <c r="B687" s="20"/>
      <c r="C687" s="20"/>
      <c r="D687" s="20"/>
      <c r="E687" s="326"/>
      <c r="F687" s="327"/>
      <c r="G687" s="327"/>
      <c r="H687" s="20"/>
    </row>
    <row r="688" spans="2:8" x14ac:dyDescent="0.25">
      <c r="B688" s="20"/>
      <c r="C688" s="20"/>
      <c r="D688" s="20"/>
      <c r="E688" s="326"/>
      <c r="F688" s="327"/>
      <c r="G688" s="327"/>
      <c r="H688" s="20"/>
    </row>
    <row r="689" spans="2:8" x14ac:dyDescent="0.25">
      <c r="B689" s="20"/>
      <c r="C689" s="20"/>
      <c r="D689" s="20"/>
      <c r="E689" s="326"/>
      <c r="F689" s="327"/>
      <c r="G689" s="327"/>
      <c r="H689" s="20"/>
    </row>
    <row r="690" spans="2:8" x14ac:dyDescent="0.25">
      <c r="B690" s="20"/>
      <c r="C690" s="20"/>
      <c r="D690" s="20"/>
      <c r="E690" s="326"/>
      <c r="F690" s="327"/>
      <c r="G690" s="327"/>
      <c r="H690" s="20"/>
    </row>
    <row r="691" spans="2:8" x14ac:dyDescent="0.25">
      <c r="B691" s="20"/>
      <c r="C691" s="20"/>
      <c r="D691" s="20"/>
      <c r="E691" s="326"/>
      <c r="F691" s="327"/>
      <c r="G691" s="327"/>
      <c r="H691" s="20"/>
    </row>
    <row r="692" spans="2:8" x14ac:dyDescent="0.25">
      <c r="B692" s="20"/>
      <c r="C692" s="20"/>
      <c r="D692" s="20"/>
      <c r="E692" s="326"/>
      <c r="F692" s="327"/>
      <c r="G692" s="327"/>
      <c r="H692" s="20"/>
    </row>
    <row r="693" spans="2:8" x14ac:dyDescent="0.25">
      <c r="B693" s="20"/>
      <c r="C693" s="20"/>
      <c r="D693" s="20"/>
      <c r="E693" s="326"/>
      <c r="F693" s="327"/>
      <c r="G693" s="327"/>
      <c r="H693" s="20"/>
    </row>
    <row r="694" spans="2:8" x14ac:dyDescent="0.25">
      <c r="B694" s="20"/>
      <c r="C694" s="20"/>
      <c r="D694" s="20"/>
      <c r="E694" s="326"/>
      <c r="F694" s="327"/>
      <c r="G694" s="327"/>
      <c r="H694" s="20"/>
    </row>
    <row r="695" spans="2:8" x14ac:dyDescent="0.25">
      <c r="B695" s="20"/>
      <c r="C695" s="20"/>
      <c r="D695" s="20"/>
      <c r="E695" s="326"/>
      <c r="F695" s="327"/>
      <c r="G695" s="327"/>
      <c r="H695" s="20"/>
    </row>
    <row r="696" spans="2:8" x14ac:dyDescent="0.25">
      <c r="B696" s="20"/>
      <c r="C696" s="20"/>
      <c r="D696" s="20"/>
      <c r="E696" s="326"/>
      <c r="F696" s="327"/>
      <c r="G696" s="327"/>
      <c r="H696" s="20"/>
    </row>
    <row r="697" spans="2:8" x14ac:dyDescent="0.25">
      <c r="B697" s="20"/>
      <c r="C697" s="20"/>
      <c r="D697" s="20"/>
      <c r="E697" s="326"/>
      <c r="F697" s="327"/>
      <c r="G697" s="327"/>
      <c r="H697" s="20"/>
    </row>
    <row r="698" spans="2:8" x14ac:dyDescent="0.25">
      <c r="B698" s="20"/>
      <c r="C698" s="20"/>
      <c r="D698" s="20"/>
      <c r="E698" s="326"/>
      <c r="F698" s="327"/>
      <c r="G698" s="327"/>
      <c r="H698" s="20"/>
    </row>
    <row r="699" spans="2:8" x14ac:dyDescent="0.25">
      <c r="B699" s="20"/>
      <c r="C699" s="20"/>
      <c r="D699" s="20"/>
      <c r="E699" s="326"/>
      <c r="F699" s="327"/>
      <c r="G699" s="327"/>
      <c r="H699" s="20"/>
    </row>
    <row r="700" spans="2:8" x14ac:dyDescent="0.25">
      <c r="B700" s="20"/>
      <c r="C700" s="20"/>
      <c r="D700" s="20"/>
      <c r="E700" s="326"/>
      <c r="F700" s="327"/>
      <c r="G700" s="327"/>
      <c r="H700" s="20"/>
    </row>
    <row r="701" spans="2:8" x14ac:dyDescent="0.25">
      <c r="B701" s="20"/>
      <c r="C701" s="20"/>
      <c r="D701" s="20"/>
      <c r="E701" s="326"/>
      <c r="F701" s="327"/>
      <c r="G701" s="327"/>
      <c r="H701" s="20"/>
    </row>
    <row r="702" spans="2:8" x14ac:dyDescent="0.25">
      <c r="B702" s="20"/>
      <c r="C702" s="20"/>
      <c r="D702" s="20"/>
      <c r="E702" s="326"/>
      <c r="F702" s="327"/>
      <c r="G702" s="327"/>
      <c r="H702" s="20"/>
    </row>
    <row r="703" spans="2:8" x14ac:dyDescent="0.25">
      <c r="B703" s="20"/>
      <c r="C703" s="20"/>
      <c r="D703" s="20"/>
      <c r="E703" s="326"/>
      <c r="F703" s="327"/>
      <c r="G703" s="327"/>
      <c r="H703" s="20"/>
    </row>
    <row r="704" spans="2:8" x14ac:dyDescent="0.25">
      <c r="B704" s="20"/>
      <c r="C704" s="20"/>
      <c r="D704" s="20"/>
      <c r="E704" s="326"/>
      <c r="F704" s="327"/>
      <c r="G704" s="327"/>
      <c r="H704" s="20"/>
    </row>
    <row r="705" spans="2:8" x14ac:dyDescent="0.25">
      <c r="B705" s="20"/>
      <c r="C705" s="20"/>
      <c r="D705" s="20"/>
      <c r="E705" s="326"/>
      <c r="F705" s="327"/>
      <c r="G705" s="327"/>
      <c r="H705" s="20"/>
    </row>
    <row r="706" spans="2:8" x14ac:dyDescent="0.25">
      <c r="B706" s="20"/>
      <c r="C706" s="20"/>
      <c r="D706" s="20"/>
      <c r="E706" s="326"/>
      <c r="F706" s="327"/>
      <c r="G706" s="327"/>
      <c r="H706" s="20"/>
    </row>
    <row r="707" spans="2:8" x14ac:dyDescent="0.25">
      <c r="B707" s="20"/>
      <c r="C707" s="20"/>
      <c r="D707" s="20"/>
      <c r="E707" s="326"/>
      <c r="F707" s="327"/>
      <c r="G707" s="327"/>
      <c r="H707" s="20"/>
    </row>
    <row r="708" spans="2:8" x14ac:dyDescent="0.25">
      <c r="B708" s="20"/>
      <c r="C708" s="20"/>
      <c r="D708" s="20"/>
      <c r="E708" s="326"/>
      <c r="F708" s="327"/>
      <c r="G708" s="327"/>
      <c r="H708" s="20"/>
    </row>
    <row r="709" spans="2:8" x14ac:dyDescent="0.25">
      <c r="B709" s="20"/>
      <c r="C709" s="20"/>
      <c r="D709" s="20"/>
      <c r="E709" s="326"/>
      <c r="F709" s="327"/>
      <c r="G709" s="327"/>
      <c r="H709" s="20"/>
    </row>
    <row r="710" spans="2:8" x14ac:dyDescent="0.25">
      <c r="B710" s="20"/>
      <c r="C710" s="20"/>
      <c r="D710" s="20"/>
      <c r="E710" s="326"/>
      <c r="F710" s="327"/>
      <c r="G710" s="327"/>
      <c r="H710" s="20"/>
    </row>
    <row r="711" spans="2:8" x14ac:dyDescent="0.25">
      <c r="B711" s="20"/>
      <c r="C711" s="20"/>
      <c r="D711" s="20"/>
      <c r="E711" s="326"/>
      <c r="F711" s="327"/>
      <c r="G711" s="327"/>
      <c r="H711" s="20"/>
    </row>
    <row r="712" spans="2:8" x14ac:dyDescent="0.25">
      <c r="B712" s="20"/>
      <c r="C712" s="20"/>
      <c r="D712" s="20"/>
      <c r="E712" s="326"/>
      <c r="F712" s="327"/>
      <c r="G712" s="327"/>
      <c r="H712" s="20"/>
    </row>
    <row r="713" spans="2:8" x14ac:dyDescent="0.25">
      <c r="B713" s="20"/>
      <c r="C713" s="20"/>
      <c r="D713" s="20"/>
      <c r="E713" s="326"/>
      <c r="F713" s="327"/>
      <c r="G713" s="327"/>
      <c r="H713" s="20"/>
    </row>
    <row r="714" spans="2:8" x14ac:dyDescent="0.25">
      <c r="B714" s="20"/>
      <c r="C714" s="20"/>
      <c r="D714" s="20"/>
      <c r="E714" s="326"/>
      <c r="F714" s="327"/>
      <c r="G714" s="327"/>
      <c r="H714" s="20"/>
    </row>
    <row r="715" spans="2:8" x14ac:dyDescent="0.25">
      <c r="B715" s="20"/>
      <c r="C715" s="20"/>
      <c r="D715" s="20"/>
      <c r="E715" s="326"/>
      <c r="F715" s="327"/>
      <c r="G715" s="327"/>
      <c r="H715" s="20"/>
    </row>
    <row r="716" spans="2:8" x14ac:dyDescent="0.25">
      <c r="B716" s="20"/>
      <c r="C716" s="20"/>
      <c r="D716" s="20"/>
      <c r="E716" s="326"/>
      <c r="F716" s="327"/>
      <c r="G716" s="327"/>
      <c r="H716" s="20"/>
    </row>
    <row r="717" spans="2:8" x14ac:dyDescent="0.25">
      <c r="B717" s="20"/>
      <c r="C717" s="20"/>
      <c r="D717" s="20"/>
      <c r="E717" s="326"/>
      <c r="F717" s="327"/>
      <c r="G717" s="327"/>
      <c r="H717" s="20"/>
    </row>
    <row r="718" spans="2:8" x14ac:dyDescent="0.25">
      <c r="B718" s="20"/>
      <c r="C718" s="20"/>
      <c r="D718" s="20"/>
      <c r="E718" s="326"/>
      <c r="F718" s="327"/>
      <c r="G718" s="327"/>
      <c r="H718" s="20"/>
    </row>
    <row r="719" spans="2:8" x14ac:dyDescent="0.25">
      <c r="B719" s="20"/>
      <c r="C719" s="20"/>
      <c r="D719" s="20"/>
      <c r="E719" s="326"/>
      <c r="F719" s="327"/>
      <c r="G719" s="327"/>
      <c r="H719" s="20"/>
    </row>
    <row r="720" spans="2:8" x14ac:dyDescent="0.25">
      <c r="B720" s="20"/>
      <c r="C720" s="20"/>
      <c r="D720" s="20"/>
      <c r="E720" s="326"/>
      <c r="F720" s="327"/>
      <c r="G720" s="327"/>
      <c r="H720" s="20"/>
    </row>
    <row r="721" spans="2:8" x14ac:dyDescent="0.25">
      <c r="B721" s="20"/>
      <c r="C721" s="20"/>
      <c r="D721" s="20"/>
      <c r="E721" s="326"/>
      <c r="F721" s="327"/>
      <c r="G721" s="327"/>
      <c r="H721" s="20"/>
    </row>
    <row r="722" spans="2:8" x14ac:dyDescent="0.25">
      <c r="B722" s="20"/>
      <c r="C722" s="20"/>
      <c r="D722" s="20"/>
      <c r="E722" s="326"/>
      <c r="F722" s="327"/>
      <c r="G722" s="327"/>
      <c r="H722" s="20"/>
    </row>
    <row r="723" spans="2:8" x14ac:dyDescent="0.25">
      <c r="B723" s="20"/>
      <c r="C723" s="20"/>
      <c r="D723" s="20"/>
      <c r="E723" s="326"/>
      <c r="F723" s="327"/>
      <c r="G723" s="327"/>
      <c r="H723" s="20"/>
    </row>
    <row r="724" spans="2:8" x14ac:dyDescent="0.25">
      <c r="B724" s="20"/>
      <c r="C724" s="20"/>
      <c r="D724" s="20"/>
      <c r="E724" s="326"/>
      <c r="F724" s="327"/>
      <c r="G724" s="327"/>
      <c r="H724" s="20"/>
    </row>
    <row r="725" spans="2:8" x14ac:dyDescent="0.25">
      <c r="B725" s="20"/>
      <c r="C725" s="20"/>
      <c r="D725" s="20"/>
      <c r="E725" s="326"/>
      <c r="F725" s="327"/>
      <c r="G725" s="327"/>
      <c r="H725" s="20"/>
    </row>
    <row r="726" spans="2:8" x14ac:dyDescent="0.25">
      <c r="B726" s="20"/>
      <c r="C726" s="20"/>
      <c r="D726" s="20"/>
      <c r="E726" s="326"/>
      <c r="F726" s="327"/>
      <c r="G726" s="327"/>
      <c r="H726" s="20"/>
    </row>
    <row r="727" spans="2:8" x14ac:dyDescent="0.25">
      <c r="B727" s="20"/>
      <c r="C727" s="20"/>
      <c r="D727" s="20"/>
      <c r="E727" s="326"/>
      <c r="F727" s="327"/>
      <c r="G727" s="327"/>
      <c r="H727" s="20"/>
    </row>
    <row r="728" spans="2:8" x14ac:dyDescent="0.25">
      <c r="B728" s="20"/>
      <c r="C728" s="20"/>
      <c r="D728" s="20"/>
      <c r="E728" s="326"/>
      <c r="F728" s="327"/>
      <c r="G728" s="327"/>
      <c r="H728" s="20"/>
    </row>
    <row r="729" spans="2:8" x14ac:dyDescent="0.25">
      <c r="B729" s="20"/>
      <c r="C729" s="20"/>
      <c r="D729" s="20"/>
      <c r="E729" s="326"/>
      <c r="F729" s="327"/>
      <c r="G729" s="327"/>
      <c r="H729" s="20"/>
    </row>
    <row r="730" spans="2:8" x14ac:dyDescent="0.25">
      <c r="B730" s="20"/>
      <c r="C730" s="20"/>
      <c r="D730" s="20"/>
      <c r="E730" s="326"/>
      <c r="F730" s="327"/>
      <c r="G730" s="327"/>
      <c r="H730" s="20"/>
    </row>
    <row r="731" spans="2:8" x14ac:dyDescent="0.25">
      <c r="B731" s="20"/>
      <c r="C731" s="20"/>
      <c r="D731" s="20"/>
      <c r="E731" s="326"/>
      <c r="F731" s="327"/>
      <c r="G731" s="327"/>
      <c r="H731" s="20"/>
    </row>
    <row r="732" spans="2:8" x14ac:dyDescent="0.25">
      <c r="B732" s="20"/>
      <c r="C732" s="20"/>
      <c r="D732" s="20"/>
      <c r="E732" s="326"/>
      <c r="F732" s="327"/>
      <c r="G732" s="327"/>
      <c r="H732" s="20"/>
    </row>
    <row r="733" spans="2:8" x14ac:dyDescent="0.25">
      <c r="B733" s="20"/>
      <c r="C733" s="20"/>
      <c r="D733" s="20"/>
      <c r="E733" s="326"/>
      <c r="F733" s="327"/>
      <c r="G733" s="327"/>
      <c r="H733" s="20"/>
    </row>
    <row r="734" spans="2:8" x14ac:dyDescent="0.25">
      <c r="B734" s="20"/>
      <c r="C734" s="20"/>
      <c r="D734" s="20"/>
      <c r="E734" s="326"/>
      <c r="F734" s="327"/>
      <c r="G734" s="327"/>
      <c r="H734" s="20"/>
    </row>
    <row r="735" spans="2:8" x14ac:dyDescent="0.25">
      <c r="B735" s="20"/>
      <c r="C735" s="20"/>
      <c r="D735" s="20"/>
      <c r="E735" s="326"/>
      <c r="F735" s="327"/>
      <c r="G735" s="327"/>
      <c r="H735" s="20"/>
    </row>
    <row r="736" spans="2:8" x14ac:dyDescent="0.25">
      <c r="B736" s="20"/>
      <c r="C736" s="20"/>
      <c r="D736" s="20"/>
      <c r="E736" s="326"/>
      <c r="F736" s="327"/>
      <c r="G736" s="327"/>
      <c r="H736" s="20"/>
    </row>
    <row r="737" spans="2:8" x14ac:dyDescent="0.25">
      <c r="B737" s="20"/>
      <c r="C737" s="20"/>
      <c r="D737" s="20"/>
      <c r="E737" s="326"/>
      <c r="F737" s="327"/>
      <c r="G737" s="327"/>
      <c r="H737" s="20"/>
    </row>
    <row r="738" spans="2:8" x14ac:dyDescent="0.25">
      <c r="B738" s="20"/>
      <c r="C738" s="20"/>
      <c r="D738" s="20"/>
      <c r="E738" s="326"/>
      <c r="F738" s="327"/>
      <c r="G738" s="327"/>
      <c r="H738" s="20"/>
    </row>
    <row r="739" spans="2:8" x14ac:dyDescent="0.25">
      <c r="B739" s="20"/>
      <c r="C739" s="20"/>
      <c r="D739" s="20"/>
      <c r="E739" s="326"/>
      <c r="F739" s="327"/>
      <c r="G739" s="327"/>
      <c r="H739" s="20"/>
    </row>
    <row r="740" spans="2:8" x14ac:dyDescent="0.25">
      <c r="B740" s="20"/>
      <c r="C740" s="20"/>
      <c r="D740" s="20"/>
      <c r="E740" s="326"/>
      <c r="F740" s="327"/>
      <c r="G740" s="327"/>
      <c r="H740" s="20"/>
    </row>
    <row r="741" spans="2:8" x14ac:dyDescent="0.25">
      <c r="B741" s="20"/>
      <c r="C741" s="20"/>
      <c r="D741" s="20"/>
      <c r="E741" s="326"/>
      <c r="F741" s="327"/>
      <c r="G741" s="327"/>
      <c r="H741" s="20"/>
    </row>
    <row r="742" spans="2:8" x14ac:dyDescent="0.25">
      <c r="B742" s="20"/>
      <c r="C742" s="20"/>
      <c r="D742" s="20"/>
      <c r="E742" s="326"/>
      <c r="F742" s="327"/>
      <c r="G742" s="327"/>
      <c r="H742" s="20"/>
    </row>
    <row r="743" spans="2:8" x14ac:dyDescent="0.25">
      <c r="B743" s="20"/>
      <c r="C743" s="20"/>
      <c r="D743" s="20"/>
      <c r="E743" s="326"/>
      <c r="F743" s="327"/>
      <c r="G743" s="327"/>
      <c r="H743" s="20"/>
    </row>
    <row r="744" spans="2:8" x14ac:dyDescent="0.25">
      <c r="B744" s="20"/>
      <c r="C744" s="20"/>
      <c r="D744" s="20"/>
      <c r="E744" s="326"/>
      <c r="F744" s="327"/>
      <c r="G744" s="327"/>
      <c r="H744" s="20"/>
    </row>
    <row r="745" spans="2:8" x14ac:dyDescent="0.25">
      <c r="B745" s="20"/>
      <c r="C745" s="20"/>
      <c r="D745" s="20"/>
      <c r="E745" s="326"/>
      <c r="F745" s="327"/>
      <c r="G745" s="327"/>
      <c r="H745" s="20"/>
    </row>
    <row r="746" spans="2:8" x14ac:dyDescent="0.25">
      <c r="B746" s="20"/>
      <c r="C746" s="20"/>
      <c r="D746" s="20"/>
      <c r="E746" s="326"/>
      <c r="F746" s="327"/>
      <c r="G746" s="327"/>
      <c r="H746" s="20"/>
    </row>
    <row r="747" spans="2:8" x14ac:dyDescent="0.25">
      <c r="B747" s="20"/>
      <c r="C747" s="20"/>
      <c r="D747" s="20"/>
      <c r="E747" s="326"/>
      <c r="F747" s="327"/>
      <c r="G747" s="327"/>
      <c r="H747" s="20"/>
    </row>
    <row r="748" spans="2:8" x14ac:dyDescent="0.25">
      <c r="B748" s="20"/>
      <c r="C748" s="20"/>
      <c r="D748" s="20"/>
      <c r="E748" s="326"/>
      <c r="F748" s="327"/>
      <c r="G748" s="327"/>
      <c r="H748" s="20"/>
    </row>
    <row r="749" spans="2:8" x14ac:dyDescent="0.25">
      <c r="B749" s="20"/>
      <c r="C749" s="20"/>
      <c r="D749" s="20"/>
      <c r="E749" s="326"/>
      <c r="F749" s="327"/>
      <c r="G749" s="327"/>
      <c r="H749" s="20"/>
    </row>
    <row r="750" spans="2:8" x14ac:dyDescent="0.25">
      <c r="B750" s="20"/>
      <c r="C750" s="20"/>
      <c r="D750" s="20"/>
      <c r="E750" s="326"/>
      <c r="F750" s="327"/>
      <c r="G750" s="327"/>
      <c r="H750" s="20"/>
    </row>
    <row r="751" spans="2:8" x14ac:dyDescent="0.25">
      <c r="B751" s="20"/>
      <c r="C751" s="20"/>
      <c r="D751" s="20"/>
      <c r="E751" s="326"/>
      <c r="F751" s="327"/>
      <c r="G751" s="327"/>
      <c r="H751" s="20"/>
    </row>
    <row r="752" spans="2:8" x14ac:dyDescent="0.25">
      <c r="B752" s="20"/>
      <c r="C752" s="20"/>
      <c r="D752" s="20"/>
      <c r="E752" s="326"/>
      <c r="F752" s="327"/>
      <c r="G752" s="327"/>
      <c r="H752" s="20"/>
    </row>
    <row r="753" spans="2:8" x14ac:dyDescent="0.25">
      <c r="B753" s="20"/>
      <c r="C753" s="20"/>
      <c r="D753" s="20"/>
      <c r="E753" s="326"/>
      <c r="F753" s="327"/>
      <c r="G753" s="327"/>
      <c r="H753" s="20"/>
    </row>
    <row r="754" spans="2:8" x14ac:dyDescent="0.25">
      <c r="B754" s="20"/>
      <c r="C754" s="20"/>
      <c r="D754" s="20"/>
      <c r="E754" s="326"/>
      <c r="F754" s="327"/>
      <c r="G754" s="327"/>
      <c r="H754" s="20"/>
    </row>
    <row r="755" spans="2:8" x14ac:dyDescent="0.25">
      <c r="B755" s="20"/>
      <c r="C755" s="20"/>
      <c r="D755" s="20"/>
      <c r="E755" s="326"/>
      <c r="F755" s="327"/>
      <c r="G755" s="327"/>
      <c r="H755" s="20"/>
    </row>
    <row r="756" spans="2:8" x14ac:dyDescent="0.25">
      <c r="B756" s="20"/>
      <c r="C756" s="20"/>
      <c r="D756" s="20"/>
      <c r="E756" s="326"/>
      <c r="F756" s="327"/>
      <c r="G756" s="327"/>
      <c r="H756" s="20"/>
    </row>
    <row r="757" spans="2:8" x14ac:dyDescent="0.25">
      <c r="B757" s="20"/>
      <c r="C757" s="20"/>
      <c r="D757" s="20"/>
      <c r="E757" s="326"/>
      <c r="F757" s="327"/>
      <c r="G757" s="327"/>
      <c r="H757" s="20"/>
    </row>
    <row r="758" spans="2:8" x14ac:dyDescent="0.25">
      <c r="B758" s="20"/>
      <c r="C758" s="20"/>
      <c r="D758" s="20"/>
      <c r="E758" s="326"/>
      <c r="F758" s="327"/>
      <c r="G758" s="327"/>
      <c r="H758" s="20"/>
    </row>
    <row r="759" spans="2:8" x14ac:dyDescent="0.25">
      <c r="B759" s="20"/>
      <c r="C759" s="20"/>
      <c r="D759" s="20"/>
      <c r="E759" s="326"/>
      <c r="F759" s="327"/>
      <c r="G759" s="327"/>
      <c r="H759" s="20"/>
    </row>
    <row r="760" spans="2:8" x14ac:dyDescent="0.25">
      <c r="B760" s="20"/>
      <c r="C760" s="20"/>
      <c r="D760" s="20"/>
      <c r="E760" s="326"/>
      <c r="F760" s="327"/>
      <c r="G760" s="327"/>
      <c r="H760" s="20"/>
    </row>
    <row r="761" spans="2:8" x14ac:dyDescent="0.25">
      <c r="B761" s="20"/>
      <c r="C761" s="20"/>
      <c r="D761" s="20"/>
      <c r="E761" s="326"/>
      <c r="F761" s="327"/>
      <c r="G761" s="327"/>
      <c r="H761" s="20"/>
    </row>
    <row r="762" spans="2:8" x14ac:dyDescent="0.25">
      <c r="B762" s="20"/>
      <c r="C762" s="20"/>
      <c r="D762" s="20"/>
      <c r="E762" s="326"/>
      <c r="F762" s="327"/>
      <c r="G762" s="327"/>
      <c r="H762" s="20"/>
    </row>
    <row r="763" spans="2:8" x14ac:dyDescent="0.25">
      <c r="B763" s="20"/>
      <c r="C763" s="20"/>
      <c r="D763" s="20"/>
      <c r="E763" s="326"/>
      <c r="F763" s="327"/>
      <c r="G763" s="327"/>
      <c r="H763" s="20"/>
    </row>
    <row r="764" spans="2:8" x14ac:dyDescent="0.25">
      <c r="B764" s="20"/>
      <c r="C764" s="20"/>
      <c r="D764" s="20"/>
      <c r="E764" s="326"/>
      <c r="F764" s="327"/>
      <c r="G764" s="327"/>
      <c r="H764" s="20"/>
    </row>
    <row r="765" spans="2:8" x14ac:dyDescent="0.25">
      <c r="B765" s="20"/>
      <c r="C765" s="20"/>
      <c r="D765" s="20"/>
      <c r="E765" s="326"/>
      <c r="F765" s="327"/>
      <c r="G765" s="327"/>
      <c r="H765" s="20"/>
    </row>
    <row r="766" spans="2:8" x14ac:dyDescent="0.25">
      <c r="B766" s="20"/>
      <c r="C766" s="20"/>
      <c r="D766" s="20"/>
      <c r="E766" s="326"/>
      <c r="F766" s="327"/>
      <c r="G766" s="327"/>
      <c r="H766" s="20"/>
    </row>
    <row r="767" spans="2:8" x14ac:dyDescent="0.25">
      <c r="B767" s="20"/>
      <c r="C767" s="20"/>
      <c r="D767" s="20"/>
      <c r="E767" s="326"/>
      <c r="F767" s="327"/>
      <c r="G767" s="327"/>
      <c r="H767" s="20"/>
    </row>
    <row r="768" spans="2:8" x14ac:dyDescent="0.25">
      <c r="B768" s="20"/>
      <c r="C768" s="20"/>
      <c r="D768" s="20"/>
      <c r="E768" s="326"/>
      <c r="F768" s="327"/>
      <c r="G768" s="327"/>
      <c r="H768" s="20"/>
    </row>
    <row r="769" spans="2:8" x14ac:dyDescent="0.25">
      <c r="B769" s="20"/>
      <c r="C769" s="20"/>
      <c r="D769" s="20"/>
      <c r="E769" s="326"/>
      <c r="F769" s="327"/>
      <c r="G769" s="327"/>
      <c r="H769" s="20"/>
    </row>
    <row r="770" spans="2:8" x14ac:dyDescent="0.25">
      <c r="B770" s="20"/>
      <c r="C770" s="20"/>
      <c r="D770" s="20"/>
      <c r="E770" s="326"/>
      <c r="F770" s="327"/>
      <c r="G770" s="327"/>
      <c r="H770" s="20"/>
    </row>
    <row r="771" spans="2:8" x14ac:dyDescent="0.25">
      <c r="B771" s="20"/>
      <c r="C771" s="20"/>
      <c r="D771" s="20"/>
      <c r="E771" s="326"/>
      <c r="F771" s="327"/>
      <c r="G771" s="327"/>
      <c r="H771" s="20"/>
    </row>
    <row r="772" spans="2:8" x14ac:dyDescent="0.25">
      <c r="B772" s="20"/>
      <c r="C772" s="20"/>
      <c r="D772" s="20"/>
      <c r="E772" s="326"/>
      <c r="F772" s="327"/>
      <c r="G772" s="327"/>
      <c r="H772" s="20"/>
    </row>
    <row r="773" spans="2:8" x14ac:dyDescent="0.25">
      <c r="B773" s="20"/>
      <c r="C773" s="20"/>
      <c r="D773" s="20"/>
      <c r="E773" s="326"/>
      <c r="F773" s="327"/>
      <c r="G773" s="327"/>
      <c r="H773" s="20"/>
    </row>
    <row r="774" spans="2:8" x14ac:dyDescent="0.25">
      <c r="B774" s="20"/>
      <c r="C774" s="20"/>
      <c r="D774" s="20"/>
      <c r="E774" s="326"/>
      <c r="F774" s="327"/>
      <c r="G774" s="327"/>
      <c r="H774" s="20"/>
    </row>
    <row r="775" spans="2:8" x14ac:dyDescent="0.25">
      <c r="B775" s="20"/>
      <c r="C775" s="20"/>
      <c r="D775" s="20"/>
      <c r="E775" s="326"/>
      <c r="F775" s="327"/>
      <c r="G775" s="327"/>
      <c r="H775" s="20"/>
    </row>
    <row r="776" spans="2:8" x14ac:dyDescent="0.25">
      <c r="B776" s="20"/>
      <c r="C776" s="20"/>
      <c r="D776" s="20"/>
      <c r="E776" s="326"/>
      <c r="F776" s="327"/>
      <c r="G776" s="327"/>
      <c r="H776" s="20"/>
    </row>
    <row r="777" spans="2:8" x14ac:dyDescent="0.25">
      <c r="B777" s="20"/>
      <c r="C777" s="20"/>
      <c r="D777" s="20"/>
      <c r="E777" s="326"/>
      <c r="F777" s="327"/>
      <c r="G777" s="327"/>
      <c r="H777" s="20"/>
    </row>
    <row r="778" spans="2:8" x14ac:dyDescent="0.25">
      <c r="B778" s="20"/>
      <c r="C778" s="20"/>
      <c r="D778" s="20"/>
      <c r="E778" s="326"/>
      <c r="F778" s="327"/>
      <c r="G778" s="327"/>
      <c r="H778" s="20"/>
    </row>
    <row r="779" spans="2:8" x14ac:dyDescent="0.25">
      <c r="B779" s="20"/>
      <c r="C779" s="20"/>
      <c r="D779" s="20"/>
      <c r="E779" s="326"/>
      <c r="F779" s="327"/>
      <c r="G779" s="327"/>
      <c r="H779" s="20"/>
    </row>
    <row r="780" spans="2:8" x14ac:dyDescent="0.25">
      <c r="B780" s="20"/>
      <c r="C780" s="20"/>
      <c r="D780" s="20"/>
      <c r="E780" s="326"/>
      <c r="F780" s="327"/>
      <c r="G780" s="327"/>
      <c r="H780" s="20"/>
    </row>
    <row r="781" spans="2:8" x14ac:dyDescent="0.25">
      <c r="B781" s="20"/>
      <c r="C781" s="20"/>
      <c r="D781" s="20"/>
      <c r="E781" s="326"/>
      <c r="F781" s="327"/>
      <c r="G781" s="327"/>
      <c r="H781" s="20"/>
    </row>
    <row r="782" spans="2:8" x14ac:dyDescent="0.25">
      <c r="B782" s="20"/>
      <c r="C782" s="20"/>
      <c r="D782" s="20"/>
      <c r="E782" s="326"/>
      <c r="F782" s="327"/>
      <c r="G782" s="327"/>
      <c r="H782" s="20"/>
    </row>
    <row r="783" spans="2:8" x14ac:dyDescent="0.25">
      <c r="B783" s="20"/>
      <c r="C783" s="20"/>
      <c r="D783" s="20"/>
      <c r="E783" s="326"/>
      <c r="F783" s="327"/>
      <c r="G783" s="327"/>
      <c r="H783" s="20"/>
    </row>
    <row r="784" spans="2:8" x14ac:dyDescent="0.25">
      <c r="B784" s="20"/>
      <c r="C784" s="20"/>
      <c r="D784" s="20"/>
      <c r="E784" s="326"/>
      <c r="F784" s="327"/>
      <c r="G784" s="327"/>
      <c r="H784" s="20"/>
    </row>
    <row r="785" spans="2:8" x14ac:dyDescent="0.25">
      <c r="B785" s="20"/>
      <c r="C785" s="20"/>
      <c r="D785" s="20"/>
      <c r="E785" s="326"/>
      <c r="F785" s="327"/>
      <c r="G785" s="327"/>
      <c r="H785" s="20"/>
    </row>
    <row r="786" spans="2:8" x14ac:dyDescent="0.25">
      <c r="B786" s="20"/>
      <c r="C786" s="20"/>
      <c r="D786" s="20"/>
      <c r="E786" s="326"/>
      <c r="F786" s="327"/>
      <c r="G786" s="327"/>
      <c r="H786" s="20"/>
    </row>
    <row r="787" spans="2:8" x14ac:dyDescent="0.25">
      <c r="B787" s="20"/>
      <c r="C787" s="20"/>
      <c r="D787" s="20"/>
      <c r="E787" s="326"/>
      <c r="F787" s="327"/>
      <c r="G787" s="327"/>
      <c r="H787" s="20"/>
    </row>
    <row r="788" spans="2:8" x14ac:dyDescent="0.25">
      <c r="B788" s="20"/>
      <c r="C788" s="20"/>
      <c r="D788" s="20"/>
      <c r="E788" s="326"/>
      <c r="F788" s="327"/>
      <c r="G788" s="327"/>
      <c r="H788" s="20"/>
    </row>
    <row r="789" spans="2:8" x14ac:dyDescent="0.25">
      <c r="B789" s="20"/>
      <c r="C789" s="20"/>
      <c r="D789" s="20"/>
      <c r="E789" s="326"/>
      <c r="F789" s="327"/>
      <c r="G789" s="327"/>
      <c r="H789" s="20"/>
    </row>
    <row r="790" spans="2:8" x14ac:dyDescent="0.25">
      <c r="B790" s="20"/>
      <c r="C790" s="20"/>
      <c r="D790" s="20"/>
      <c r="E790" s="326"/>
      <c r="F790" s="327"/>
      <c r="G790" s="327"/>
      <c r="H790" s="20"/>
    </row>
    <row r="791" spans="2:8" x14ac:dyDescent="0.25">
      <c r="B791" s="20"/>
      <c r="C791" s="20"/>
      <c r="D791" s="20"/>
      <c r="E791" s="326"/>
      <c r="F791" s="327"/>
      <c r="G791" s="327"/>
      <c r="H791" s="20"/>
    </row>
    <row r="792" spans="2:8" x14ac:dyDescent="0.25">
      <c r="B792" s="20"/>
      <c r="C792" s="20"/>
      <c r="D792" s="20"/>
      <c r="E792" s="326"/>
      <c r="F792" s="327"/>
      <c r="G792" s="327"/>
      <c r="H792" s="20"/>
    </row>
    <row r="793" spans="2:8" x14ac:dyDescent="0.25">
      <c r="B793" s="20"/>
      <c r="C793" s="20"/>
      <c r="D793" s="20"/>
      <c r="E793" s="326"/>
      <c r="F793" s="327"/>
      <c r="G793" s="327"/>
      <c r="H793" s="20"/>
    </row>
    <row r="794" spans="2:8" x14ac:dyDescent="0.25">
      <c r="B794" s="20"/>
      <c r="C794" s="20"/>
      <c r="D794" s="20"/>
      <c r="E794" s="326"/>
      <c r="F794" s="327"/>
      <c r="G794" s="327"/>
      <c r="H794" s="20"/>
    </row>
    <row r="795" spans="2:8" x14ac:dyDescent="0.25">
      <c r="B795" s="20"/>
      <c r="C795" s="20"/>
      <c r="D795" s="20"/>
      <c r="E795" s="326"/>
      <c r="F795" s="327"/>
      <c r="G795" s="327"/>
      <c r="H795" s="20"/>
    </row>
    <row r="796" spans="2:8" x14ac:dyDescent="0.25">
      <c r="B796" s="20"/>
      <c r="C796" s="20"/>
      <c r="D796" s="20"/>
      <c r="E796" s="326"/>
      <c r="F796" s="327"/>
      <c r="G796" s="327"/>
      <c r="H796" s="20"/>
    </row>
    <row r="797" spans="2:8" x14ac:dyDescent="0.25">
      <c r="B797" s="20"/>
      <c r="C797" s="20"/>
      <c r="D797" s="20"/>
      <c r="E797" s="326"/>
      <c r="F797" s="327"/>
      <c r="G797" s="327"/>
      <c r="H797" s="20"/>
    </row>
    <row r="798" spans="2:8" x14ac:dyDescent="0.25">
      <c r="B798" s="20"/>
      <c r="C798" s="20"/>
      <c r="D798" s="20"/>
      <c r="E798" s="326"/>
      <c r="F798" s="327"/>
      <c r="G798" s="327"/>
      <c r="H798" s="20"/>
    </row>
    <row r="799" spans="2:8" x14ac:dyDescent="0.25">
      <c r="B799" s="20"/>
      <c r="C799" s="20"/>
      <c r="D799" s="20"/>
      <c r="E799" s="326"/>
      <c r="F799" s="327"/>
      <c r="G799" s="327"/>
      <c r="H799" s="20"/>
    </row>
    <row r="800" spans="2:8" x14ac:dyDescent="0.25">
      <c r="B800" s="20"/>
      <c r="C800" s="20"/>
      <c r="D800" s="20"/>
      <c r="E800" s="326"/>
      <c r="F800" s="327"/>
      <c r="G800" s="327"/>
      <c r="H800" s="20"/>
    </row>
    <row r="801" spans="2:8" x14ac:dyDescent="0.25">
      <c r="B801" s="20"/>
      <c r="C801" s="20"/>
      <c r="D801" s="20"/>
      <c r="E801" s="326"/>
      <c r="F801" s="327"/>
      <c r="G801" s="327"/>
      <c r="H801" s="20"/>
    </row>
    <row r="802" spans="2:8" x14ac:dyDescent="0.25">
      <c r="B802" s="20"/>
      <c r="C802" s="20"/>
      <c r="D802" s="20"/>
      <c r="E802" s="326"/>
      <c r="F802" s="327"/>
      <c r="G802" s="327"/>
      <c r="H802" s="20"/>
    </row>
    <row r="803" spans="2:8" x14ac:dyDescent="0.25">
      <c r="B803" s="20"/>
      <c r="C803" s="20"/>
      <c r="D803" s="20"/>
      <c r="E803" s="326"/>
      <c r="F803" s="327"/>
      <c r="G803" s="327"/>
      <c r="H803" s="20"/>
    </row>
    <row r="804" spans="2:8" x14ac:dyDescent="0.25">
      <c r="B804" s="20"/>
      <c r="C804" s="20"/>
      <c r="D804" s="20"/>
      <c r="E804" s="326"/>
      <c r="F804" s="327"/>
      <c r="G804" s="327"/>
      <c r="H804" s="20"/>
    </row>
    <row r="805" spans="2:8" x14ac:dyDescent="0.25">
      <c r="B805" s="20"/>
      <c r="C805" s="20"/>
      <c r="D805" s="20"/>
      <c r="E805" s="326"/>
      <c r="F805" s="327"/>
      <c r="G805" s="327"/>
      <c r="H805" s="20"/>
    </row>
    <row r="806" spans="2:8" x14ac:dyDescent="0.25">
      <c r="B806" s="20"/>
      <c r="C806" s="20"/>
      <c r="D806" s="20"/>
      <c r="E806" s="326"/>
      <c r="F806" s="327"/>
      <c r="G806" s="327"/>
      <c r="H806" s="20"/>
    </row>
    <row r="807" spans="2:8" x14ac:dyDescent="0.25">
      <c r="B807" s="20"/>
      <c r="C807" s="20"/>
      <c r="D807" s="20"/>
      <c r="E807" s="326"/>
      <c r="F807" s="327"/>
      <c r="G807" s="327"/>
      <c r="H807" s="20"/>
    </row>
    <row r="808" spans="2:8" x14ac:dyDescent="0.25">
      <c r="B808" s="20"/>
      <c r="C808" s="20"/>
      <c r="D808" s="20"/>
      <c r="E808" s="326"/>
      <c r="F808" s="327"/>
      <c r="G808" s="327"/>
      <c r="H808" s="20"/>
    </row>
    <row r="809" spans="2:8" x14ac:dyDescent="0.25">
      <c r="B809" s="20"/>
      <c r="C809" s="20"/>
      <c r="D809" s="20"/>
      <c r="E809" s="326"/>
      <c r="F809" s="327"/>
      <c r="G809" s="327"/>
      <c r="H809" s="20"/>
    </row>
    <row r="810" spans="2:8" x14ac:dyDescent="0.25">
      <c r="B810" s="20"/>
      <c r="C810" s="20"/>
      <c r="D810" s="20"/>
      <c r="E810" s="326"/>
      <c r="F810" s="327"/>
      <c r="G810" s="327"/>
      <c r="H810" s="20"/>
    </row>
    <row r="811" spans="2:8" x14ac:dyDescent="0.25">
      <c r="B811" s="20"/>
      <c r="C811" s="20"/>
      <c r="D811" s="20"/>
      <c r="E811" s="326"/>
      <c r="F811" s="327"/>
      <c r="G811" s="327"/>
      <c r="H811" s="20"/>
    </row>
    <row r="812" spans="2:8" x14ac:dyDescent="0.25">
      <c r="B812" s="20"/>
      <c r="C812" s="20"/>
      <c r="D812" s="20"/>
      <c r="E812" s="326"/>
      <c r="F812" s="327"/>
      <c r="G812" s="327"/>
      <c r="H812" s="20"/>
    </row>
    <row r="813" spans="2:8" x14ac:dyDescent="0.25">
      <c r="B813" s="20"/>
      <c r="C813" s="20"/>
      <c r="D813" s="20"/>
      <c r="E813" s="326"/>
      <c r="F813" s="327"/>
      <c r="G813" s="327"/>
      <c r="H813" s="20"/>
    </row>
    <row r="814" spans="2:8" x14ac:dyDescent="0.25">
      <c r="B814" s="20"/>
      <c r="C814" s="20"/>
      <c r="D814" s="20"/>
      <c r="E814" s="326"/>
      <c r="F814" s="327"/>
      <c r="G814" s="327"/>
      <c r="H814" s="20"/>
    </row>
    <row r="815" spans="2:8" x14ac:dyDescent="0.25">
      <c r="B815" s="20"/>
      <c r="C815" s="20"/>
      <c r="D815" s="20"/>
      <c r="E815" s="326"/>
      <c r="F815" s="327"/>
      <c r="G815" s="327"/>
      <c r="H815" s="20"/>
    </row>
    <row r="816" spans="2:8" x14ac:dyDescent="0.25">
      <c r="B816" s="20"/>
      <c r="C816" s="20"/>
      <c r="D816" s="20"/>
      <c r="E816" s="326"/>
      <c r="F816" s="327"/>
      <c r="G816" s="327"/>
      <c r="H816" s="20"/>
    </row>
    <row r="817" spans="2:8" x14ac:dyDescent="0.25">
      <c r="B817" s="20"/>
      <c r="C817" s="20"/>
      <c r="D817" s="20"/>
      <c r="E817" s="326"/>
      <c r="F817" s="327"/>
      <c r="G817" s="327"/>
      <c r="H817" s="20"/>
    </row>
    <row r="818" spans="2:8" x14ac:dyDescent="0.25">
      <c r="B818" s="20"/>
      <c r="C818" s="20"/>
      <c r="D818" s="20"/>
      <c r="E818" s="326"/>
      <c r="F818" s="327"/>
      <c r="G818" s="327"/>
      <c r="H818" s="20"/>
    </row>
    <row r="819" spans="2:8" x14ac:dyDescent="0.25">
      <c r="B819" s="20"/>
      <c r="C819" s="20"/>
      <c r="D819" s="20"/>
      <c r="E819" s="326"/>
      <c r="F819" s="327"/>
      <c r="G819" s="327"/>
      <c r="H819" s="20"/>
    </row>
    <row r="820" spans="2:8" x14ac:dyDescent="0.25">
      <c r="B820" s="20"/>
      <c r="C820" s="20"/>
      <c r="D820" s="20"/>
      <c r="E820" s="326"/>
      <c r="F820" s="327"/>
      <c r="G820" s="327"/>
      <c r="H820" s="20"/>
    </row>
    <row r="821" spans="2:8" x14ac:dyDescent="0.25">
      <c r="B821" s="20"/>
      <c r="C821" s="20"/>
      <c r="D821" s="20"/>
      <c r="E821" s="326"/>
      <c r="F821" s="327"/>
      <c r="G821" s="327"/>
      <c r="H821" s="20"/>
    </row>
    <row r="822" spans="2:8" x14ac:dyDescent="0.25">
      <c r="B822" s="20"/>
      <c r="C822" s="20"/>
      <c r="D822" s="20"/>
      <c r="E822" s="326"/>
      <c r="F822" s="327"/>
      <c r="G822" s="327"/>
      <c r="H822" s="20"/>
    </row>
    <row r="823" spans="2:8" x14ac:dyDescent="0.25">
      <c r="B823" s="20"/>
      <c r="C823" s="20"/>
      <c r="D823" s="20"/>
      <c r="E823" s="326"/>
      <c r="F823" s="327"/>
      <c r="G823" s="327"/>
      <c r="H823" s="20"/>
    </row>
    <row r="824" spans="2:8" x14ac:dyDescent="0.25">
      <c r="B824" s="20"/>
      <c r="C824" s="20"/>
      <c r="D824" s="20"/>
      <c r="E824" s="326"/>
      <c r="F824" s="327"/>
      <c r="G824" s="327"/>
      <c r="H824" s="20"/>
    </row>
    <row r="825" spans="2:8" x14ac:dyDescent="0.25">
      <c r="B825" s="20"/>
      <c r="C825" s="20"/>
      <c r="D825" s="20"/>
      <c r="E825" s="326"/>
      <c r="F825" s="327"/>
      <c r="G825" s="327"/>
      <c r="H825" s="20"/>
    </row>
    <row r="826" spans="2:8" x14ac:dyDescent="0.25">
      <c r="B826" s="20"/>
      <c r="C826" s="20"/>
      <c r="D826" s="20"/>
      <c r="E826" s="326"/>
      <c r="F826" s="327"/>
      <c r="G826" s="327"/>
      <c r="H826" s="20"/>
    </row>
    <row r="827" spans="2:8" x14ac:dyDescent="0.25">
      <c r="B827" s="20"/>
      <c r="C827" s="20"/>
      <c r="D827" s="20"/>
      <c r="E827" s="326"/>
      <c r="F827" s="327"/>
      <c r="G827" s="327"/>
      <c r="H827" s="20"/>
    </row>
    <row r="828" spans="2:8" x14ac:dyDescent="0.25">
      <c r="B828" s="20"/>
      <c r="C828" s="20"/>
      <c r="D828" s="20"/>
      <c r="E828" s="326"/>
      <c r="F828" s="327"/>
      <c r="G828" s="327"/>
      <c r="H828" s="20"/>
    </row>
    <row r="829" spans="2:8" x14ac:dyDescent="0.25">
      <c r="B829" s="20"/>
      <c r="C829" s="20"/>
      <c r="D829" s="20"/>
      <c r="E829" s="326"/>
      <c r="F829" s="327"/>
      <c r="G829" s="327"/>
      <c r="H829" s="20"/>
    </row>
    <row r="830" spans="2:8" x14ac:dyDescent="0.25">
      <c r="B830" s="20"/>
      <c r="C830" s="20"/>
      <c r="D830" s="20"/>
      <c r="E830" s="326"/>
      <c r="F830" s="327"/>
      <c r="G830" s="327"/>
      <c r="H830" s="20"/>
    </row>
    <row r="831" spans="2:8" x14ac:dyDescent="0.25">
      <c r="B831" s="20"/>
      <c r="C831" s="20"/>
      <c r="D831" s="20"/>
      <c r="E831" s="326"/>
      <c r="F831" s="327"/>
      <c r="G831" s="327"/>
      <c r="H831" s="20"/>
    </row>
    <row r="832" spans="2:8" x14ac:dyDescent="0.25">
      <c r="B832" s="20"/>
      <c r="C832" s="20"/>
      <c r="D832" s="20"/>
      <c r="E832" s="326"/>
      <c r="F832" s="327"/>
      <c r="G832" s="327"/>
      <c r="H832" s="20"/>
    </row>
    <row r="833" spans="2:8" x14ac:dyDescent="0.25">
      <c r="B833" s="20"/>
      <c r="C833" s="20"/>
      <c r="D833" s="20"/>
      <c r="E833" s="326"/>
      <c r="F833" s="327"/>
      <c r="G833" s="327"/>
      <c r="H833" s="20"/>
    </row>
    <row r="834" spans="2:8" x14ac:dyDescent="0.25">
      <c r="B834" s="20"/>
      <c r="C834" s="20"/>
      <c r="D834" s="20"/>
      <c r="E834" s="326"/>
      <c r="F834" s="327"/>
      <c r="G834" s="327"/>
      <c r="H834" s="20"/>
    </row>
    <row r="835" spans="2:8" x14ac:dyDescent="0.25">
      <c r="B835" s="20"/>
      <c r="C835" s="20"/>
      <c r="D835" s="20"/>
      <c r="E835" s="326"/>
      <c r="F835" s="327"/>
      <c r="G835" s="327"/>
      <c r="H835" s="20"/>
    </row>
    <row r="836" spans="2:8" x14ac:dyDescent="0.25">
      <c r="B836" s="20"/>
      <c r="C836" s="20"/>
      <c r="D836" s="20"/>
      <c r="E836" s="326"/>
      <c r="F836" s="327"/>
      <c r="G836" s="327"/>
      <c r="H836" s="20"/>
    </row>
    <row r="837" spans="2:8" x14ac:dyDescent="0.25">
      <c r="B837" s="20"/>
      <c r="C837" s="20"/>
      <c r="D837" s="20"/>
      <c r="E837" s="326"/>
      <c r="F837" s="327"/>
      <c r="G837" s="327"/>
      <c r="H837" s="20"/>
    </row>
    <row r="838" spans="2:8" x14ac:dyDescent="0.25">
      <c r="B838" s="20"/>
      <c r="C838" s="20"/>
      <c r="D838" s="20"/>
      <c r="E838" s="326"/>
      <c r="F838" s="327"/>
      <c r="G838" s="327"/>
      <c r="H838" s="20"/>
    </row>
    <row r="839" spans="2:8" x14ac:dyDescent="0.25">
      <c r="B839" s="20"/>
      <c r="C839" s="20"/>
      <c r="D839" s="20"/>
      <c r="E839" s="326"/>
      <c r="F839" s="327"/>
      <c r="G839" s="327"/>
      <c r="H839" s="20"/>
    </row>
    <row r="840" spans="2:8" x14ac:dyDescent="0.25">
      <c r="B840" s="20"/>
      <c r="C840" s="20"/>
      <c r="D840" s="20"/>
      <c r="E840" s="326"/>
      <c r="F840" s="327"/>
      <c r="G840" s="327"/>
      <c r="H840" s="20"/>
    </row>
    <row r="841" spans="2:8" x14ac:dyDescent="0.25">
      <c r="B841" s="20"/>
      <c r="C841" s="20"/>
      <c r="D841" s="20"/>
      <c r="E841" s="326"/>
      <c r="F841" s="327"/>
      <c r="G841" s="327"/>
      <c r="H841" s="20"/>
    </row>
    <row r="842" spans="2:8" x14ac:dyDescent="0.25">
      <c r="B842" s="20"/>
      <c r="C842" s="20"/>
      <c r="D842" s="20"/>
      <c r="E842" s="326"/>
      <c r="F842" s="327"/>
      <c r="G842" s="327"/>
      <c r="H842" s="20"/>
    </row>
    <row r="843" spans="2:8" x14ac:dyDescent="0.25">
      <c r="B843" s="20"/>
      <c r="C843" s="20"/>
      <c r="D843" s="20"/>
      <c r="E843" s="326"/>
      <c r="F843" s="327"/>
      <c r="G843" s="327"/>
      <c r="H843" s="20"/>
    </row>
    <row r="844" spans="2:8" x14ac:dyDescent="0.25">
      <c r="B844" s="20"/>
      <c r="C844" s="20"/>
      <c r="D844" s="20"/>
      <c r="E844" s="326"/>
      <c r="F844" s="327"/>
      <c r="G844" s="327"/>
      <c r="H844" s="20"/>
    </row>
    <row r="845" spans="2:8" x14ac:dyDescent="0.25">
      <c r="B845" s="20"/>
      <c r="C845" s="20"/>
      <c r="D845" s="20"/>
      <c r="E845" s="326"/>
      <c r="F845" s="327"/>
      <c r="G845" s="327"/>
      <c r="H845" s="20"/>
    </row>
    <row r="846" spans="2:8" x14ac:dyDescent="0.25">
      <c r="B846" s="20"/>
      <c r="C846" s="20"/>
      <c r="D846" s="20"/>
      <c r="E846" s="326"/>
      <c r="F846" s="327"/>
      <c r="G846" s="327"/>
      <c r="H846" s="20"/>
    </row>
    <row r="847" spans="2:8" x14ac:dyDescent="0.25">
      <c r="B847" s="20"/>
      <c r="C847" s="20"/>
      <c r="D847" s="20"/>
      <c r="E847" s="326"/>
      <c r="F847" s="327"/>
      <c r="G847" s="327"/>
      <c r="H847" s="20"/>
    </row>
    <row r="848" spans="2:8" x14ac:dyDescent="0.25">
      <c r="B848" s="20"/>
      <c r="C848" s="20"/>
      <c r="D848" s="20"/>
      <c r="E848" s="326"/>
      <c r="F848" s="327"/>
      <c r="G848" s="327"/>
      <c r="H848" s="20"/>
    </row>
    <row r="849" spans="2:8" x14ac:dyDescent="0.25">
      <c r="B849" s="20"/>
      <c r="C849" s="20"/>
      <c r="D849" s="20"/>
      <c r="E849" s="326"/>
      <c r="F849" s="327"/>
      <c r="G849" s="327"/>
      <c r="H849" s="20"/>
    </row>
    <row r="850" spans="2:8" x14ac:dyDescent="0.25">
      <c r="B850" s="20"/>
      <c r="C850" s="20"/>
      <c r="D850" s="20"/>
      <c r="E850" s="326"/>
      <c r="F850" s="327"/>
      <c r="G850" s="327"/>
      <c r="H850" s="20"/>
    </row>
    <row r="851" spans="2:8" x14ac:dyDescent="0.25">
      <c r="B851" s="20"/>
      <c r="C851" s="20"/>
      <c r="D851" s="20"/>
      <c r="E851" s="326"/>
      <c r="F851" s="327"/>
      <c r="G851" s="327"/>
      <c r="H851" s="20"/>
    </row>
    <row r="852" spans="2:8" x14ac:dyDescent="0.25">
      <c r="B852" s="20"/>
      <c r="C852" s="20"/>
      <c r="D852" s="20"/>
      <c r="E852" s="326"/>
      <c r="F852" s="327"/>
      <c r="G852" s="327"/>
      <c r="H852" s="20"/>
    </row>
    <row r="853" spans="2:8" x14ac:dyDescent="0.25">
      <c r="B853" s="20"/>
      <c r="C853" s="20"/>
      <c r="D853" s="20"/>
      <c r="E853" s="326"/>
      <c r="F853" s="327"/>
      <c r="G853" s="327"/>
      <c r="H853" s="20"/>
    </row>
    <row r="854" spans="2:8" x14ac:dyDescent="0.25">
      <c r="B854" s="20"/>
      <c r="C854" s="20"/>
      <c r="D854" s="20"/>
      <c r="E854" s="326"/>
      <c r="F854" s="327"/>
      <c r="G854" s="327"/>
      <c r="H854" s="20"/>
    </row>
    <row r="855" spans="2:8" x14ac:dyDescent="0.25">
      <c r="B855" s="20"/>
      <c r="C855" s="20"/>
      <c r="D855" s="20"/>
      <c r="E855" s="326"/>
      <c r="F855" s="327"/>
      <c r="G855" s="327"/>
      <c r="H855" s="20"/>
    </row>
    <row r="856" spans="2:8" x14ac:dyDescent="0.25">
      <c r="B856" s="20"/>
      <c r="C856" s="20"/>
      <c r="D856" s="20"/>
      <c r="E856" s="326"/>
      <c r="F856" s="327"/>
      <c r="G856" s="327"/>
      <c r="H856" s="20"/>
    </row>
    <row r="857" spans="2:8" x14ac:dyDescent="0.25">
      <c r="B857" s="20"/>
      <c r="C857" s="20"/>
      <c r="D857" s="20"/>
      <c r="E857" s="326"/>
      <c r="F857" s="327"/>
      <c r="G857" s="327"/>
      <c r="H857" s="20"/>
    </row>
    <row r="858" spans="2:8" x14ac:dyDescent="0.25">
      <c r="B858" s="20"/>
      <c r="C858" s="20"/>
      <c r="D858" s="20"/>
      <c r="E858" s="326"/>
      <c r="F858" s="327"/>
      <c r="G858" s="327"/>
      <c r="H858" s="20"/>
    </row>
    <row r="859" spans="2:8" x14ac:dyDescent="0.25">
      <c r="B859" s="20"/>
      <c r="C859" s="20"/>
      <c r="D859" s="20"/>
      <c r="E859" s="326"/>
      <c r="F859" s="327"/>
      <c r="G859" s="327"/>
      <c r="H859" s="20"/>
    </row>
    <row r="860" spans="2:8" x14ac:dyDescent="0.25">
      <c r="B860" s="20"/>
      <c r="C860" s="20"/>
      <c r="D860" s="20"/>
      <c r="E860" s="326"/>
      <c r="F860" s="327"/>
      <c r="G860" s="327"/>
      <c r="H860" s="20"/>
    </row>
    <row r="861" spans="2:8" x14ac:dyDescent="0.25">
      <c r="B861" s="20"/>
      <c r="C861" s="20"/>
      <c r="D861" s="20"/>
      <c r="E861" s="326"/>
      <c r="F861" s="327"/>
      <c r="G861" s="327"/>
      <c r="H861" s="20"/>
    </row>
    <row r="862" spans="2:8" x14ac:dyDescent="0.25">
      <c r="B862" s="20"/>
      <c r="C862" s="20"/>
      <c r="D862" s="20"/>
      <c r="E862" s="326"/>
      <c r="F862" s="327"/>
      <c r="G862" s="327"/>
      <c r="H862" s="20"/>
    </row>
    <row r="863" spans="2:8" x14ac:dyDescent="0.25">
      <c r="B863" s="20"/>
      <c r="C863" s="20"/>
      <c r="D863" s="20"/>
      <c r="E863" s="326"/>
      <c r="F863" s="327"/>
      <c r="G863" s="327"/>
      <c r="H863" s="20"/>
    </row>
    <row r="864" spans="2:8" x14ac:dyDescent="0.25">
      <c r="B864" s="20"/>
      <c r="C864" s="20"/>
      <c r="D864" s="20"/>
      <c r="E864" s="326"/>
      <c r="F864" s="327"/>
      <c r="G864" s="327"/>
      <c r="H864" s="20"/>
    </row>
    <row r="865" spans="2:8" x14ac:dyDescent="0.25">
      <c r="B865" s="20"/>
      <c r="C865" s="20"/>
      <c r="D865" s="20"/>
      <c r="E865" s="326"/>
      <c r="F865" s="327"/>
      <c r="G865" s="327"/>
      <c r="H865" s="20"/>
    </row>
    <row r="866" spans="2:8" x14ac:dyDescent="0.25">
      <c r="B866" s="20"/>
      <c r="C866" s="20"/>
      <c r="D866" s="20"/>
      <c r="E866" s="326"/>
      <c r="F866" s="327"/>
      <c r="G866" s="327"/>
      <c r="H866" s="20"/>
    </row>
    <row r="867" spans="2:8" x14ac:dyDescent="0.25">
      <c r="B867" s="20"/>
      <c r="C867" s="20"/>
      <c r="D867" s="20"/>
      <c r="E867" s="326"/>
      <c r="F867" s="327"/>
      <c r="G867" s="327"/>
      <c r="H867" s="20"/>
    </row>
    <row r="868" spans="2:8" x14ac:dyDescent="0.25">
      <c r="B868" s="20"/>
      <c r="C868" s="20"/>
      <c r="D868" s="20"/>
      <c r="E868" s="326"/>
      <c r="F868" s="327"/>
      <c r="G868" s="327"/>
      <c r="H868" s="20"/>
    </row>
    <row r="869" spans="2:8" x14ac:dyDescent="0.25">
      <c r="B869" s="20"/>
      <c r="C869" s="20"/>
      <c r="D869" s="20"/>
      <c r="E869" s="326"/>
      <c r="F869" s="327"/>
      <c r="G869" s="327"/>
      <c r="H869" s="20"/>
    </row>
    <row r="870" spans="2:8" x14ac:dyDescent="0.25">
      <c r="B870" s="20"/>
      <c r="C870" s="20"/>
      <c r="D870" s="20"/>
      <c r="E870" s="326"/>
      <c r="F870" s="327"/>
      <c r="G870" s="327"/>
      <c r="H870" s="20"/>
    </row>
    <row r="871" spans="2:8" x14ac:dyDescent="0.25">
      <c r="B871" s="20"/>
      <c r="C871" s="20"/>
      <c r="D871" s="20"/>
      <c r="E871" s="326"/>
      <c r="F871" s="327"/>
      <c r="G871" s="327"/>
      <c r="H871" s="20"/>
    </row>
    <row r="872" spans="2:8" x14ac:dyDescent="0.25">
      <c r="B872" s="20"/>
      <c r="C872" s="20"/>
      <c r="D872" s="20"/>
      <c r="E872" s="326"/>
      <c r="F872" s="327"/>
      <c r="G872" s="327"/>
      <c r="H872" s="20"/>
    </row>
    <row r="873" spans="2:8" x14ac:dyDescent="0.25">
      <c r="B873" s="20"/>
      <c r="C873" s="20"/>
      <c r="D873" s="20"/>
      <c r="E873" s="326"/>
      <c r="F873" s="327"/>
      <c r="G873" s="327"/>
      <c r="H873" s="20"/>
    </row>
    <row r="874" spans="2:8" x14ac:dyDescent="0.25">
      <c r="B874" s="20"/>
      <c r="C874" s="20"/>
      <c r="D874" s="20"/>
      <c r="E874" s="326"/>
      <c r="F874" s="327"/>
      <c r="G874" s="327"/>
      <c r="H874" s="20"/>
    </row>
    <row r="875" spans="2:8" x14ac:dyDescent="0.25">
      <c r="B875" s="20"/>
      <c r="C875" s="20"/>
      <c r="D875" s="20"/>
      <c r="E875" s="326"/>
      <c r="F875" s="327"/>
      <c r="G875" s="327"/>
      <c r="H875" s="20"/>
    </row>
    <row r="876" spans="2:8" x14ac:dyDescent="0.25">
      <c r="B876" s="20"/>
      <c r="C876" s="20"/>
      <c r="D876" s="20"/>
      <c r="E876" s="326"/>
      <c r="F876" s="327"/>
      <c r="G876" s="327"/>
      <c r="H876" s="20"/>
    </row>
    <row r="877" spans="2:8" x14ac:dyDescent="0.25">
      <c r="B877" s="20"/>
      <c r="C877" s="20"/>
      <c r="D877" s="20"/>
      <c r="E877" s="326"/>
      <c r="F877" s="327"/>
      <c r="G877" s="327"/>
      <c r="H877" s="20"/>
    </row>
    <row r="878" spans="2:8" x14ac:dyDescent="0.25">
      <c r="B878" s="20"/>
      <c r="C878" s="20"/>
      <c r="D878" s="20"/>
      <c r="E878" s="326"/>
      <c r="F878" s="327"/>
      <c r="G878" s="327"/>
      <c r="H878" s="20"/>
    </row>
    <row r="879" spans="2:8" x14ac:dyDescent="0.25">
      <c r="B879" s="20"/>
      <c r="C879" s="20"/>
      <c r="D879" s="20"/>
      <c r="E879" s="326"/>
      <c r="F879" s="327"/>
      <c r="G879" s="327"/>
      <c r="H879" s="20"/>
    </row>
    <row r="880" spans="2:8" x14ac:dyDescent="0.25">
      <c r="B880" s="20"/>
      <c r="C880" s="20"/>
      <c r="D880" s="20"/>
      <c r="E880" s="326"/>
      <c r="F880" s="327"/>
      <c r="G880" s="327"/>
      <c r="H880" s="20"/>
    </row>
    <row r="881" spans="2:8" x14ac:dyDescent="0.25">
      <c r="B881" s="20"/>
      <c r="C881" s="20"/>
      <c r="D881" s="20"/>
      <c r="E881" s="326"/>
      <c r="F881" s="327"/>
      <c r="G881" s="327"/>
      <c r="H881" s="20"/>
    </row>
    <row r="882" spans="2:8" x14ac:dyDescent="0.25">
      <c r="B882" s="20"/>
      <c r="C882" s="20"/>
      <c r="D882" s="20"/>
      <c r="E882" s="326"/>
      <c r="F882" s="327"/>
      <c r="G882" s="327"/>
      <c r="H882" s="20"/>
    </row>
    <row r="883" spans="2:8" x14ac:dyDescent="0.25">
      <c r="B883" s="20"/>
      <c r="C883" s="20"/>
      <c r="D883" s="20"/>
      <c r="E883" s="326"/>
      <c r="F883" s="327"/>
      <c r="G883" s="327"/>
      <c r="H883" s="20"/>
    </row>
    <row r="884" spans="2:8" x14ac:dyDescent="0.25">
      <c r="B884" s="20"/>
      <c r="C884" s="20"/>
      <c r="D884" s="20"/>
      <c r="E884" s="326"/>
      <c r="F884" s="327"/>
      <c r="G884" s="327"/>
      <c r="H884" s="20"/>
    </row>
    <row r="885" spans="2:8" x14ac:dyDescent="0.25">
      <c r="B885" s="20"/>
      <c r="C885" s="20"/>
      <c r="D885" s="20"/>
      <c r="E885" s="326"/>
      <c r="F885" s="327"/>
      <c r="G885" s="327"/>
      <c r="H885" s="20"/>
    </row>
    <row r="886" spans="2:8" x14ac:dyDescent="0.25">
      <c r="B886" s="20"/>
      <c r="C886" s="20"/>
      <c r="D886" s="20"/>
      <c r="E886" s="326"/>
      <c r="F886" s="327"/>
      <c r="G886" s="327"/>
      <c r="H886" s="20"/>
    </row>
    <row r="887" spans="2:8" x14ac:dyDescent="0.25">
      <c r="B887" s="20"/>
      <c r="C887" s="20"/>
      <c r="D887" s="20"/>
      <c r="E887" s="326"/>
      <c r="F887" s="327"/>
      <c r="G887" s="327"/>
      <c r="H887" s="20"/>
    </row>
    <row r="888" spans="2:8" x14ac:dyDescent="0.25">
      <c r="B888" s="20"/>
      <c r="C888" s="20"/>
      <c r="D888" s="20"/>
      <c r="E888" s="326"/>
      <c r="F888" s="327"/>
      <c r="G888" s="327"/>
      <c r="H888" s="20"/>
    </row>
    <row r="889" spans="2:8" x14ac:dyDescent="0.25">
      <c r="B889" s="20"/>
      <c r="C889" s="20"/>
      <c r="D889" s="20"/>
      <c r="E889" s="326"/>
      <c r="F889" s="327"/>
      <c r="G889" s="327"/>
      <c r="H889" s="20"/>
    </row>
    <row r="890" spans="2:8" x14ac:dyDescent="0.25">
      <c r="B890" s="20"/>
      <c r="C890" s="20"/>
      <c r="D890" s="20"/>
      <c r="E890" s="326"/>
      <c r="F890" s="327"/>
      <c r="G890" s="327"/>
      <c r="H890" s="20"/>
    </row>
    <row r="891" spans="2:8" x14ac:dyDescent="0.25">
      <c r="B891" s="20"/>
      <c r="C891" s="20"/>
      <c r="D891" s="20"/>
      <c r="E891" s="326"/>
      <c r="F891" s="327"/>
      <c r="G891" s="327"/>
      <c r="H891" s="20"/>
    </row>
    <row r="892" spans="2:8" x14ac:dyDescent="0.25">
      <c r="B892" s="20"/>
      <c r="C892" s="20"/>
      <c r="D892" s="20"/>
      <c r="E892" s="326"/>
      <c r="F892" s="327"/>
      <c r="G892" s="327"/>
      <c r="H892" s="20"/>
    </row>
    <row r="893" spans="2:8" x14ac:dyDescent="0.25">
      <c r="B893" s="20"/>
      <c r="C893" s="20"/>
      <c r="D893" s="20"/>
      <c r="E893" s="326"/>
      <c r="F893" s="327"/>
      <c r="G893" s="327"/>
      <c r="H893" s="20"/>
    </row>
    <row r="894" spans="2:8" x14ac:dyDescent="0.25">
      <c r="B894" s="20"/>
      <c r="C894" s="20"/>
      <c r="D894" s="20"/>
      <c r="E894" s="326"/>
      <c r="F894" s="327"/>
      <c r="G894" s="327"/>
      <c r="H894" s="20"/>
    </row>
    <row r="895" spans="2:8" x14ac:dyDescent="0.25">
      <c r="B895" s="20"/>
      <c r="C895" s="20"/>
      <c r="D895" s="20"/>
      <c r="E895" s="326"/>
      <c r="F895" s="327"/>
      <c r="G895" s="327"/>
      <c r="H895" s="20"/>
    </row>
    <row r="896" spans="2:8" x14ac:dyDescent="0.25">
      <c r="B896" s="20"/>
      <c r="C896" s="20"/>
      <c r="D896" s="20"/>
      <c r="E896" s="326"/>
      <c r="F896" s="327"/>
      <c r="G896" s="327"/>
      <c r="H896" s="20"/>
    </row>
    <row r="897" spans="2:8" x14ac:dyDescent="0.25">
      <c r="B897" s="20"/>
      <c r="C897" s="20"/>
      <c r="D897" s="20"/>
      <c r="E897" s="326"/>
      <c r="F897" s="327"/>
      <c r="G897" s="327"/>
      <c r="H897" s="20"/>
    </row>
    <row r="898" spans="2:8" x14ac:dyDescent="0.25">
      <c r="B898" s="20"/>
      <c r="C898" s="20"/>
      <c r="D898" s="20"/>
      <c r="E898" s="326"/>
      <c r="F898" s="327"/>
      <c r="G898" s="327"/>
      <c r="H898" s="20"/>
    </row>
    <row r="899" spans="2:8" x14ac:dyDescent="0.25">
      <c r="B899" s="20"/>
      <c r="C899" s="20"/>
      <c r="D899" s="20"/>
      <c r="E899" s="326"/>
      <c r="F899" s="327"/>
      <c r="G899" s="327"/>
      <c r="H899" s="20"/>
    </row>
    <row r="900" spans="2:8" x14ac:dyDescent="0.25">
      <c r="B900" s="20"/>
      <c r="C900" s="20"/>
      <c r="D900" s="20"/>
      <c r="E900" s="326"/>
      <c r="F900" s="327"/>
      <c r="G900" s="327"/>
      <c r="H900" s="20"/>
    </row>
    <row r="901" spans="2:8" x14ac:dyDescent="0.25">
      <c r="B901" s="20"/>
      <c r="C901" s="20"/>
      <c r="D901" s="20"/>
      <c r="E901" s="326"/>
      <c r="F901" s="327"/>
      <c r="G901" s="327"/>
      <c r="H901" s="20"/>
    </row>
    <row r="902" spans="2:8" x14ac:dyDescent="0.25">
      <c r="B902" s="20"/>
      <c r="C902" s="20"/>
      <c r="D902" s="20"/>
      <c r="E902" s="326"/>
      <c r="F902" s="327"/>
      <c r="G902" s="327"/>
      <c r="H902" s="20"/>
    </row>
    <row r="903" spans="2:8" x14ac:dyDescent="0.25">
      <c r="B903" s="20"/>
      <c r="C903" s="20"/>
      <c r="D903" s="20"/>
      <c r="E903" s="326"/>
      <c r="F903" s="327"/>
      <c r="G903" s="327"/>
      <c r="H903" s="20"/>
    </row>
    <row r="904" spans="2:8" x14ac:dyDescent="0.25">
      <c r="B904" s="20"/>
      <c r="C904" s="20"/>
      <c r="D904" s="20"/>
      <c r="E904" s="326"/>
      <c r="F904" s="327"/>
      <c r="G904" s="327"/>
      <c r="H904" s="20"/>
    </row>
    <row r="905" spans="2:8" x14ac:dyDescent="0.25">
      <c r="B905" s="20"/>
      <c r="C905" s="20"/>
      <c r="D905" s="20"/>
      <c r="E905" s="326"/>
      <c r="F905" s="327"/>
      <c r="G905" s="327"/>
      <c r="H905" s="20"/>
    </row>
    <row r="906" spans="2:8" x14ac:dyDescent="0.25">
      <c r="B906" s="20"/>
      <c r="C906" s="20"/>
      <c r="D906" s="20"/>
      <c r="E906" s="326"/>
      <c r="F906" s="327"/>
      <c r="G906" s="327"/>
      <c r="H906" s="20"/>
    </row>
    <row r="907" spans="2:8" x14ac:dyDescent="0.25">
      <c r="B907" s="20"/>
      <c r="C907" s="20"/>
      <c r="D907" s="20"/>
      <c r="E907" s="326"/>
      <c r="F907" s="327"/>
      <c r="G907" s="327"/>
      <c r="H907" s="20"/>
    </row>
    <row r="908" spans="2:8" x14ac:dyDescent="0.25">
      <c r="B908" s="20"/>
      <c r="C908" s="20"/>
      <c r="D908" s="20"/>
      <c r="E908" s="326"/>
      <c r="F908" s="327"/>
      <c r="G908" s="327"/>
      <c r="H908" s="20"/>
    </row>
    <row r="909" spans="2:8" x14ac:dyDescent="0.25">
      <c r="B909" s="20"/>
      <c r="C909" s="20"/>
      <c r="D909" s="20"/>
      <c r="E909" s="326"/>
      <c r="F909" s="327"/>
      <c r="G909" s="327"/>
      <c r="H909" s="20"/>
    </row>
    <row r="910" spans="2:8" x14ac:dyDescent="0.25">
      <c r="B910" s="20"/>
      <c r="C910" s="20"/>
      <c r="D910" s="20"/>
      <c r="E910" s="326"/>
      <c r="F910" s="327"/>
      <c r="G910" s="327"/>
      <c r="H910" s="20"/>
    </row>
    <row r="911" spans="2:8" x14ac:dyDescent="0.25">
      <c r="B911" s="20"/>
      <c r="C911" s="20"/>
      <c r="D911" s="20"/>
      <c r="E911" s="326"/>
      <c r="F911" s="327"/>
      <c r="G911" s="327"/>
      <c r="H911" s="20"/>
    </row>
    <row r="912" spans="2:8" x14ac:dyDescent="0.25">
      <c r="B912" s="20"/>
      <c r="C912" s="20"/>
      <c r="D912" s="20"/>
      <c r="E912" s="326"/>
      <c r="F912" s="327"/>
      <c r="G912" s="327"/>
      <c r="H912" s="20"/>
    </row>
    <row r="913" spans="2:8" x14ac:dyDescent="0.25">
      <c r="B913" s="20"/>
      <c r="C913" s="20"/>
      <c r="D913" s="20"/>
      <c r="E913" s="326"/>
      <c r="F913" s="327"/>
      <c r="G913" s="327"/>
      <c r="H913" s="20"/>
    </row>
    <row r="914" spans="2:8" x14ac:dyDescent="0.25">
      <c r="B914" s="20"/>
      <c r="C914" s="20"/>
      <c r="D914" s="20"/>
      <c r="E914" s="326"/>
      <c r="F914" s="327"/>
      <c r="G914" s="327"/>
      <c r="H914" s="20"/>
    </row>
    <row r="915" spans="2:8" x14ac:dyDescent="0.25">
      <c r="B915" s="20"/>
      <c r="C915" s="20"/>
      <c r="D915" s="20"/>
      <c r="E915" s="326"/>
      <c r="F915" s="327"/>
      <c r="G915" s="327"/>
      <c r="H915" s="20"/>
    </row>
    <row r="916" spans="2:8" x14ac:dyDescent="0.25">
      <c r="B916" s="20"/>
      <c r="C916" s="20"/>
      <c r="D916" s="20"/>
      <c r="E916" s="326"/>
      <c r="F916" s="327"/>
      <c r="G916" s="327"/>
      <c r="H916" s="20"/>
    </row>
    <row r="917" spans="2:8" x14ac:dyDescent="0.25">
      <c r="B917" s="20"/>
      <c r="C917" s="20"/>
      <c r="D917" s="20"/>
      <c r="E917" s="326"/>
      <c r="F917" s="327"/>
      <c r="G917" s="327"/>
      <c r="H917" s="20"/>
    </row>
    <row r="918" spans="2:8" x14ac:dyDescent="0.25">
      <c r="B918" s="20"/>
      <c r="C918" s="20"/>
      <c r="D918" s="20"/>
      <c r="E918" s="326"/>
      <c r="F918" s="327"/>
      <c r="G918" s="327"/>
      <c r="H918" s="20"/>
    </row>
    <row r="919" spans="2:8" x14ac:dyDescent="0.25">
      <c r="B919" s="20"/>
      <c r="C919" s="20"/>
      <c r="D919" s="20"/>
      <c r="E919" s="326"/>
      <c r="F919" s="327"/>
      <c r="G919" s="327"/>
      <c r="H919" s="20"/>
    </row>
    <row r="920" spans="2:8" x14ac:dyDescent="0.25">
      <c r="B920" s="20"/>
      <c r="C920" s="20"/>
      <c r="D920" s="20"/>
      <c r="E920" s="326"/>
      <c r="F920" s="327"/>
      <c r="G920" s="327"/>
      <c r="H920" s="20"/>
    </row>
    <row r="921" spans="2:8" x14ac:dyDescent="0.25">
      <c r="B921" s="20"/>
      <c r="C921" s="20"/>
      <c r="D921" s="20"/>
      <c r="E921" s="326"/>
      <c r="F921" s="327"/>
      <c r="G921" s="327"/>
      <c r="H921" s="20"/>
    </row>
    <row r="922" spans="2:8" x14ac:dyDescent="0.25">
      <c r="B922" s="20"/>
      <c r="C922" s="20"/>
      <c r="D922" s="20"/>
      <c r="E922" s="326"/>
      <c r="F922" s="327"/>
      <c r="G922" s="327"/>
      <c r="H922" s="20"/>
    </row>
    <row r="923" spans="2:8" x14ac:dyDescent="0.25">
      <c r="B923" s="20"/>
      <c r="C923" s="20"/>
      <c r="D923" s="20"/>
      <c r="E923" s="326"/>
      <c r="F923" s="327"/>
      <c r="G923" s="327"/>
      <c r="H923" s="20"/>
    </row>
    <row r="924" spans="2:8" x14ac:dyDescent="0.25">
      <c r="B924" s="20"/>
      <c r="C924" s="20"/>
      <c r="D924" s="20"/>
      <c r="E924" s="326"/>
      <c r="F924" s="327"/>
      <c r="G924" s="327"/>
      <c r="H924" s="20"/>
    </row>
    <row r="925" spans="2:8" x14ac:dyDescent="0.25">
      <c r="B925" s="20"/>
      <c r="C925" s="20"/>
      <c r="D925" s="20"/>
      <c r="E925" s="326"/>
      <c r="F925" s="327"/>
      <c r="G925" s="327"/>
      <c r="H925" s="20"/>
    </row>
    <row r="926" spans="2:8" x14ac:dyDescent="0.25">
      <c r="B926" s="20"/>
      <c r="C926" s="20"/>
      <c r="D926" s="20"/>
      <c r="E926" s="326"/>
      <c r="F926" s="327"/>
      <c r="G926" s="327"/>
      <c r="H926" s="20"/>
    </row>
    <row r="927" spans="2:8" x14ac:dyDescent="0.25">
      <c r="B927" s="20"/>
      <c r="C927" s="20"/>
      <c r="D927" s="20"/>
      <c r="E927" s="326"/>
      <c r="F927" s="327"/>
      <c r="G927" s="327"/>
      <c r="H927" s="20"/>
    </row>
    <row r="928" spans="2:8" x14ac:dyDescent="0.25">
      <c r="B928" s="20"/>
      <c r="C928" s="20"/>
      <c r="D928" s="20"/>
      <c r="E928" s="326"/>
      <c r="F928" s="327"/>
      <c r="G928" s="327"/>
      <c r="H928" s="20"/>
    </row>
    <row r="929" spans="2:8" x14ac:dyDescent="0.25">
      <c r="B929" s="20"/>
      <c r="C929" s="20"/>
      <c r="D929" s="20"/>
      <c r="E929" s="326"/>
      <c r="F929" s="327"/>
      <c r="G929" s="327"/>
      <c r="H929" s="20"/>
    </row>
    <row r="930" spans="2:8" x14ac:dyDescent="0.25">
      <c r="B930" s="20"/>
      <c r="C930" s="20"/>
      <c r="D930" s="20"/>
      <c r="E930" s="326"/>
      <c r="F930" s="327"/>
      <c r="G930" s="327"/>
      <c r="H930" s="20"/>
    </row>
    <row r="931" spans="2:8" x14ac:dyDescent="0.25">
      <c r="B931" s="20"/>
      <c r="C931" s="20"/>
      <c r="D931" s="20"/>
      <c r="E931" s="326"/>
      <c r="F931" s="327"/>
      <c r="G931" s="327"/>
      <c r="H931" s="20"/>
    </row>
    <row r="932" spans="2:8" x14ac:dyDescent="0.25">
      <c r="B932" s="20"/>
      <c r="C932" s="20"/>
      <c r="D932" s="20"/>
      <c r="E932" s="326"/>
      <c r="F932" s="327"/>
      <c r="G932" s="327"/>
      <c r="H932" s="20"/>
    </row>
    <row r="933" spans="2:8" x14ac:dyDescent="0.25">
      <c r="B933" s="20"/>
      <c r="C933" s="20"/>
      <c r="D933" s="20"/>
      <c r="E933" s="326"/>
      <c r="F933" s="327"/>
      <c r="G933" s="327"/>
      <c r="H933" s="20"/>
    </row>
    <row r="934" spans="2:8" x14ac:dyDescent="0.25">
      <c r="B934" s="20"/>
      <c r="C934" s="20"/>
      <c r="D934" s="20"/>
      <c r="E934" s="326"/>
      <c r="F934" s="327"/>
      <c r="G934" s="327"/>
      <c r="H934" s="20"/>
    </row>
    <row r="935" spans="2:8" x14ac:dyDescent="0.25">
      <c r="B935" s="20"/>
      <c r="C935" s="20"/>
      <c r="D935" s="20"/>
      <c r="E935" s="326"/>
      <c r="F935" s="327"/>
      <c r="G935" s="327"/>
      <c r="H935" s="20"/>
    </row>
    <row r="936" spans="2:8" x14ac:dyDescent="0.25">
      <c r="B936" s="20"/>
      <c r="C936" s="20"/>
      <c r="D936" s="20"/>
      <c r="E936" s="326"/>
      <c r="F936" s="327"/>
      <c r="G936" s="327"/>
      <c r="H936" s="20"/>
    </row>
    <row r="937" spans="2:8" x14ac:dyDescent="0.25">
      <c r="B937" s="20"/>
      <c r="C937" s="20"/>
      <c r="D937" s="20"/>
      <c r="E937" s="326"/>
      <c r="F937" s="327"/>
      <c r="G937" s="327"/>
      <c r="H937" s="20"/>
    </row>
    <row r="938" spans="2:8" x14ac:dyDescent="0.25">
      <c r="B938" s="20"/>
      <c r="C938" s="20"/>
      <c r="D938" s="20"/>
      <c r="E938" s="326"/>
      <c r="F938" s="327"/>
      <c r="G938" s="327"/>
      <c r="H938" s="20"/>
    </row>
    <row r="939" spans="2:8" x14ac:dyDescent="0.25">
      <c r="B939" s="20"/>
      <c r="C939" s="20"/>
      <c r="D939" s="20"/>
      <c r="E939" s="326"/>
      <c r="F939" s="327"/>
      <c r="G939" s="327"/>
      <c r="H939" s="20"/>
    </row>
    <row r="940" spans="2:8" x14ac:dyDescent="0.25">
      <c r="B940" s="20"/>
      <c r="C940" s="20"/>
      <c r="D940" s="20"/>
      <c r="E940" s="326"/>
      <c r="F940" s="327"/>
      <c r="G940" s="327"/>
      <c r="H940" s="20"/>
    </row>
    <row r="941" spans="2:8" x14ac:dyDescent="0.25">
      <c r="B941" s="20"/>
      <c r="C941" s="20"/>
      <c r="D941" s="20"/>
      <c r="E941" s="326"/>
      <c r="F941" s="327"/>
      <c r="G941" s="327"/>
      <c r="H941" s="20"/>
    </row>
    <row r="942" spans="2:8" x14ac:dyDescent="0.25">
      <c r="B942" s="20"/>
      <c r="C942" s="20"/>
      <c r="D942" s="20"/>
      <c r="E942" s="326"/>
      <c r="F942" s="327"/>
      <c r="G942" s="327"/>
      <c r="H942" s="20"/>
    </row>
    <row r="943" spans="2:8" x14ac:dyDescent="0.25">
      <c r="B943" s="20"/>
      <c r="C943" s="20"/>
      <c r="D943" s="20"/>
      <c r="E943" s="326"/>
      <c r="F943" s="327"/>
      <c r="G943" s="327"/>
      <c r="H943" s="20"/>
    </row>
    <row r="944" spans="2:8" x14ac:dyDescent="0.25">
      <c r="B944" s="20"/>
      <c r="C944" s="20"/>
      <c r="D944" s="20"/>
      <c r="E944" s="326"/>
      <c r="F944" s="327"/>
      <c r="G944" s="327"/>
      <c r="H944" s="20"/>
    </row>
    <row r="945" spans="2:8" x14ac:dyDescent="0.25">
      <c r="B945" s="20"/>
      <c r="C945" s="20"/>
      <c r="D945" s="20"/>
      <c r="E945" s="326"/>
      <c r="F945" s="327"/>
      <c r="G945" s="327"/>
      <c r="H945" s="20"/>
    </row>
    <row r="946" spans="2:8" x14ac:dyDescent="0.25">
      <c r="B946" s="20"/>
      <c r="C946" s="20"/>
      <c r="D946" s="20"/>
      <c r="E946" s="326"/>
      <c r="F946" s="327"/>
      <c r="G946" s="327"/>
      <c r="H946" s="20"/>
    </row>
    <row r="947" spans="2:8" x14ac:dyDescent="0.25">
      <c r="B947" s="20"/>
      <c r="C947" s="20"/>
      <c r="D947" s="20"/>
      <c r="E947" s="326"/>
      <c r="F947" s="327"/>
      <c r="G947" s="327"/>
      <c r="H947" s="20"/>
    </row>
    <row r="948" spans="2:8" x14ac:dyDescent="0.25">
      <c r="B948" s="20"/>
      <c r="C948" s="20"/>
      <c r="D948" s="20"/>
      <c r="E948" s="326"/>
      <c r="F948" s="327"/>
      <c r="G948" s="327"/>
      <c r="H948" s="20"/>
    </row>
    <row r="949" spans="2:8" x14ac:dyDescent="0.25">
      <c r="B949" s="20"/>
      <c r="C949" s="20"/>
      <c r="D949" s="20"/>
      <c r="E949" s="326"/>
      <c r="F949" s="327"/>
      <c r="G949" s="327"/>
      <c r="H949" s="20"/>
    </row>
    <row r="950" spans="2:8" x14ac:dyDescent="0.25">
      <c r="B950" s="20"/>
      <c r="C950" s="20"/>
      <c r="D950" s="20"/>
      <c r="E950" s="326"/>
      <c r="F950" s="327"/>
      <c r="G950" s="327"/>
      <c r="H950" s="20"/>
    </row>
    <row r="951" spans="2:8" x14ac:dyDescent="0.25">
      <c r="B951" s="20"/>
      <c r="C951" s="20"/>
      <c r="D951" s="20"/>
      <c r="E951" s="326"/>
      <c r="F951" s="327"/>
      <c r="G951" s="327"/>
      <c r="H951" s="20"/>
    </row>
    <row r="952" spans="2:8" x14ac:dyDescent="0.25">
      <c r="B952" s="20"/>
      <c r="C952" s="20"/>
      <c r="D952" s="20"/>
      <c r="E952" s="326"/>
      <c r="F952" s="327"/>
      <c r="G952" s="327"/>
      <c r="H952" s="20"/>
    </row>
    <row r="953" spans="2:8" x14ac:dyDescent="0.25">
      <c r="B953" s="20"/>
      <c r="C953" s="20"/>
      <c r="D953" s="20"/>
      <c r="E953" s="326"/>
      <c r="F953" s="327"/>
      <c r="G953" s="327"/>
      <c r="H953" s="20"/>
    </row>
    <row r="954" spans="2:8" x14ac:dyDescent="0.25">
      <c r="B954" s="20"/>
      <c r="C954" s="20"/>
      <c r="D954" s="20"/>
      <c r="E954" s="326"/>
      <c r="F954" s="327"/>
      <c r="G954" s="327"/>
      <c r="H954" s="20"/>
    </row>
    <row r="955" spans="2:8" x14ac:dyDescent="0.25">
      <c r="B955" s="20"/>
      <c r="C955" s="20"/>
      <c r="D955" s="20"/>
      <c r="E955" s="326"/>
      <c r="F955" s="327"/>
      <c r="G955" s="327"/>
      <c r="H955" s="20"/>
    </row>
    <row r="956" spans="2:8" x14ac:dyDescent="0.25">
      <c r="B956" s="20"/>
      <c r="C956" s="20"/>
      <c r="D956" s="20"/>
      <c r="E956" s="326"/>
      <c r="F956" s="327"/>
      <c r="G956" s="327"/>
      <c r="H956" s="20"/>
    </row>
    <row r="957" spans="2:8" x14ac:dyDescent="0.25">
      <c r="B957" s="20"/>
      <c r="C957" s="20"/>
      <c r="D957" s="20"/>
      <c r="E957" s="326"/>
      <c r="F957" s="327"/>
      <c r="G957" s="327"/>
      <c r="H957" s="20"/>
    </row>
    <row r="958" spans="2:8" x14ac:dyDescent="0.25">
      <c r="B958" s="20"/>
      <c r="C958" s="20"/>
      <c r="D958" s="20"/>
      <c r="E958" s="326"/>
      <c r="F958" s="327"/>
      <c r="G958" s="327"/>
      <c r="H958" s="20"/>
    </row>
    <row r="959" spans="2:8" x14ac:dyDescent="0.25">
      <c r="B959" s="20"/>
      <c r="C959" s="20"/>
      <c r="D959" s="20"/>
      <c r="E959" s="326"/>
      <c r="F959" s="327"/>
      <c r="G959" s="327"/>
      <c r="H959" s="20"/>
    </row>
    <row r="960" spans="2:8" x14ac:dyDescent="0.25">
      <c r="B960" s="20"/>
      <c r="C960" s="20"/>
      <c r="D960" s="20"/>
      <c r="E960" s="326"/>
      <c r="F960" s="327"/>
      <c r="G960" s="327"/>
      <c r="H960" s="20"/>
    </row>
    <row r="961" spans="2:8" x14ac:dyDescent="0.25">
      <c r="B961" s="20"/>
      <c r="C961" s="20"/>
      <c r="D961" s="20"/>
      <c r="E961" s="326"/>
      <c r="F961" s="327"/>
      <c r="G961" s="327"/>
      <c r="H961" s="20"/>
    </row>
    <row r="962" spans="2:8" x14ac:dyDescent="0.25">
      <c r="B962" s="20"/>
      <c r="C962" s="20"/>
      <c r="D962" s="20"/>
      <c r="E962" s="326"/>
      <c r="F962" s="327"/>
      <c r="G962" s="327"/>
      <c r="H962" s="20"/>
    </row>
    <row r="963" spans="2:8" x14ac:dyDescent="0.25">
      <c r="B963" s="20"/>
      <c r="C963" s="20"/>
      <c r="D963" s="20"/>
      <c r="E963" s="326"/>
      <c r="F963" s="327"/>
      <c r="G963" s="327"/>
      <c r="H963" s="20"/>
    </row>
    <row r="964" spans="2:8" x14ac:dyDescent="0.25">
      <c r="B964" s="20"/>
      <c r="C964" s="20"/>
      <c r="D964" s="20"/>
      <c r="E964" s="326"/>
      <c r="F964" s="327"/>
      <c r="G964" s="327"/>
      <c r="H964" s="20"/>
    </row>
    <row r="965" spans="2:8" x14ac:dyDescent="0.25">
      <c r="B965" s="20"/>
      <c r="C965" s="20"/>
      <c r="D965" s="20"/>
      <c r="E965" s="326"/>
      <c r="F965" s="327"/>
      <c r="G965" s="327"/>
      <c r="H965" s="20"/>
    </row>
    <row r="966" spans="2:8" x14ac:dyDescent="0.25">
      <c r="B966" s="20"/>
      <c r="C966" s="20"/>
      <c r="D966" s="20"/>
      <c r="E966" s="326"/>
      <c r="F966" s="327"/>
      <c r="G966" s="327"/>
      <c r="H966" s="20"/>
    </row>
    <row r="967" spans="2:8" x14ac:dyDescent="0.25">
      <c r="B967" s="20"/>
      <c r="C967" s="20"/>
      <c r="D967" s="20"/>
      <c r="E967" s="326"/>
      <c r="F967" s="327"/>
      <c r="G967" s="327"/>
      <c r="H967" s="20"/>
    </row>
    <row r="968" spans="2:8" x14ac:dyDescent="0.25">
      <c r="B968" s="20"/>
      <c r="C968" s="20"/>
      <c r="D968" s="20"/>
      <c r="E968" s="326"/>
      <c r="F968" s="327"/>
      <c r="G968" s="327"/>
      <c r="H968" s="20"/>
    </row>
    <row r="969" spans="2:8" x14ac:dyDescent="0.25">
      <c r="B969" s="20"/>
      <c r="C969" s="20"/>
      <c r="D969" s="20"/>
      <c r="E969" s="326"/>
      <c r="F969" s="327"/>
      <c r="G969" s="327"/>
      <c r="H969" s="20"/>
    </row>
    <row r="970" spans="2:8" x14ac:dyDescent="0.25">
      <c r="B970" s="20"/>
      <c r="C970" s="20"/>
      <c r="D970" s="20"/>
      <c r="E970" s="326"/>
      <c r="F970" s="327"/>
      <c r="G970" s="327"/>
      <c r="H970" s="20"/>
    </row>
    <row r="971" spans="2:8" x14ac:dyDescent="0.25">
      <c r="B971" s="20"/>
      <c r="C971" s="20"/>
      <c r="D971" s="20"/>
      <c r="E971" s="326"/>
      <c r="F971" s="327"/>
      <c r="G971" s="327"/>
      <c r="H971" s="20"/>
    </row>
    <row r="972" spans="2:8" x14ac:dyDescent="0.25">
      <c r="B972" s="20"/>
      <c r="C972" s="20"/>
      <c r="D972" s="20"/>
      <c r="E972" s="326"/>
      <c r="F972" s="327"/>
      <c r="G972" s="327"/>
      <c r="H972" s="20"/>
    </row>
    <row r="973" spans="2:8" x14ac:dyDescent="0.25">
      <c r="B973" s="20"/>
      <c r="C973" s="20"/>
      <c r="D973" s="20"/>
      <c r="E973" s="326"/>
      <c r="F973" s="327"/>
      <c r="G973" s="327"/>
      <c r="H973" s="20"/>
    </row>
    <row r="974" spans="2:8" x14ac:dyDescent="0.25">
      <c r="B974" s="20"/>
      <c r="C974" s="20"/>
      <c r="D974" s="20"/>
      <c r="E974" s="326"/>
      <c r="F974" s="327"/>
      <c r="G974" s="327"/>
      <c r="H974" s="20"/>
    </row>
    <row r="975" spans="2:8" x14ac:dyDescent="0.25">
      <c r="B975" s="20"/>
      <c r="C975" s="20"/>
      <c r="D975" s="20"/>
      <c r="E975" s="326"/>
      <c r="F975" s="327"/>
      <c r="G975" s="327"/>
      <c r="H975" s="20"/>
    </row>
    <row r="976" spans="2:8" x14ac:dyDescent="0.25">
      <c r="B976" s="20"/>
      <c r="C976" s="20"/>
      <c r="D976" s="20"/>
      <c r="E976" s="326"/>
      <c r="F976" s="327"/>
      <c r="G976" s="327"/>
      <c r="H976" s="20"/>
    </row>
    <row r="977" spans="2:8" x14ac:dyDescent="0.25">
      <c r="B977" s="20"/>
      <c r="C977" s="20"/>
      <c r="D977" s="20"/>
      <c r="E977" s="326"/>
      <c r="F977" s="327"/>
      <c r="G977" s="327"/>
      <c r="H977" s="20"/>
    </row>
    <row r="978" spans="2:8" x14ac:dyDescent="0.25">
      <c r="B978" s="20"/>
      <c r="C978" s="20"/>
      <c r="D978" s="20"/>
      <c r="E978" s="326"/>
      <c r="F978" s="327"/>
      <c r="G978" s="327"/>
      <c r="H978" s="20"/>
    </row>
    <row r="979" spans="2:8" x14ac:dyDescent="0.25">
      <c r="B979" s="20"/>
      <c r="C979" s="20"/>
      <c r="D979" s="20"/>
      <c r="E979" s="326"/>
      <c r="F979" s="327"/>
      <c r="G979" s="327"/>
      <c r="H979" s="20"/>
    </row>
    <row r="980" spans="2:8" x14ac:dyDescent="0.25">
      <c r="B980" s="20"/>
      <c r="C980" s="20"/>
      <c r="D980" s="20"/>
      <c r="E980" s="326"/>
      <c r="F980" s="327"/>
      <c r="G980" s="327"/>
      <c r="H980" s="20"/>
    </row>
    <row r="981" spans="2:8" x14ac:dyDescent="0.25">
      <c r="B981" s="20"/>
      <c r="C981" s="20"/>
      <c r="D981" s="20"/>
      <c r="E981" s="326"/>
      <c r="F981" s="327"/>
      <c r="G981" s="327"/>
      <c r="H981" s="20"/>
    </row>
    <row r="982" spans="2:8" x14ac:dyDescent="0.25">
      <c r="B982" s="20"/>
      <c r="C982" s="20"/>
      <c r="D982" s="20"/>
      <c r="E982" s="326"/>
      <c r="F982" s="327"/>
      <c r="G982" s="327"/>
      <c r="H982" s="20"/>
    </row>
    <row r="983" spans="2:8" x14ac:dyDescent="0.25">
      <c r="B983" s="20"/>
      <c r="C983" s="20"/>
      <c r="D983" s="20"/>
      <c r="E983" s="326"/>
      <c r="F983" s="327"/>
      <c r="G983" s="327"/>
      <c r="H983" s="20"/>
    </row>
    <row r="984" spans="2:8" x14ac:dyDescent="0.25">
      <c r="B984" s="20"/>
      <c r="C984" s="20"/>
      <c r="D984" s="20"/>
      <c r="E984" s="326"/>
      <c r="F984" s="327"/>
      <c r="G984" s="327"/>
      <c r="H984" s="20"/>
    </row>
    <row r="985" spans="2:8" x14ac:dyDescent="0.25">
      <c r="B985" s="20"/>
      <c r="C985" s="20"/>
      <c r="D985" s="20"/>
      <c r="E985" s="326"/>
      <c r="F985" s="327"/>
      <c r="G985" s="327"/>
      <c r="H985" s="20"/>
    </row>
    <row r="986" spans="2:8" x14ac:dyDescent="0.25">
      <c r="B986" s="20"/>
      <c r="C986" s="20"/>
      <c r="D986" s="20"/>
      <c r="E986" s="326"/>
      <c r="F986" s="327"/>
      <c r="G986" s="327"/>
      <c r="H986" s="20"/>
    </row>
    <row r="987" spans="2:8" x14ac:dyDescent="0.25">
      <c r="B987" s="20"/>
      <c r="C987" s="20"/>
      <c r="D987" s="20"/>
      <c r="E987" s="326"/>
      <c r="F987" s="327"/>
      <c r="G987" s="327"/>
      <c r="H987" s="20"/>
    </row>
    <row r="988" spans="2:8" x14ac:dyDescent="0.25">
      <c r="B988" s="20"/>
      <c r="C988" s="20"/>
      <c r="D988" s="20"/>
      <c r="E988" s="326"/>
      <c r="F988" s="327"/>
      <c r="G988" s="327"/>
      <c r="H988" s="20"/>
    </row>
    <row r="989" spans="2:8" x14ac:dyDescent="0.25">
      <c r="B989" s="20"/>
      <c r="C989" s="20"/>
      <c r="D989" s="20"/>
      <c r="E989" s="326"/>
      <c r="F989" s="327"/>
      <c r="G989" s="327"/>
      <c r="H989" s="20"/>
    </row>
    <row r="990" spans="2:8" x14ac:dyDescent="0.25">
      <c r="B990" s="20"/>
      <c r="C990" s="20"/>
      <c r="D990" s="20"/>
      <c r="E990" s="326"/>
      <c r="F990" s="327"/>
      <c r="G990" s="327"/>
      <c r="H990" s="20"/>
    </row>
    <row r="991" spans="2:8" x14ac:dyDescent="0.25">
      <c r="B991" s="20"/>
      <c r="C991" s="20"/>
      <c r="D991" s="20"/>
      <c r="E991" s="326"/>
      <c r="F991" s="327"/>
      <c r="G991" s="327"/>
      <c r="H991" s="20"/>
    </row>
    <row r="992" spans="2:8" x14ac:dyDescent="0.25">
      <c r="B992" s="20"/>
      <c r="C992" s="20"/>
      <c r="D992" s="20"/>
      <c r="E992" s="326"/>
      <c r="F992" s="327"/>
      <c r="G992" s="327"/>
      <c r="H992" s="20"/>
    </row>
    <row r="993" spans="2:8" x14ac:dyDescent="0.25">
      <c r="B993" s="20"/>
      <c r="C993" s="20"/>
      <c r="D993" s="20"/>
      <c r="E993" s="326"/>
      <c r="F993" s="327"/>
      <c r="G993" s="327"/>
      <c r="H993" s="20"/>
    </row>
    <row r="994" spans="2:8" x14ac:dyDescent="0.25">
      <c r="B994" s="20"/>
      <c r="C994" s="20"/>
      <c r="D994" s="20"/>
      <c r="E994" s="326"/>
      <c r="F994" s="327"/>
      <c r="G994" s="327"/>
      <c r="H994" s="20"/>
    </row>
    <row r="995" spans="2:8" x14ac:dyDescent="0.25">
      <c r="B995" s="20"/>
      <c r="C995" s="20"/>
      <c r="D995" s="20"/>
      <c r="E995" s="326"/>
      <c r="F995" s="327"/>
      <c r="G995" s="327"/>
      <c r="H995" s="20"/>
    </row>
    <row r="996" spans="2:8" x14ac:dyDescent="0.25">
      <c r="B996" s="20"/>
      <c r="C996" s="20"/>
      <c r="D996" s="20"/>
      <c r="E996" s="326"/>
      <c r="F996" s="327"/>
      <c r="G996" s="327"/>
      <c r="H996" s="20"/>
    </row>
    <row r="997" spans="2:8" x14ac:dyDescent="0.25">
      <c r="B997" s="20"/>
      <c r="C997" s="20"/>
      <c r="D997" s="20"/>
      <c r="E997" s="326"/>
      <c r="F997" s="327"/>
      <c r="G997" s="327"/>
      <c r="H997" s="20"/>
    </row>
    <row r="998" spans="2:8" x14ac:dyDescent="0.25">
      <c r="B998" s="20"/>
      <c r="C998" s="20"/>
      <c r="D998" s="20"/>
      <c r="E998" s="326"/>
      <c r="F998" s="327"/>
      <c r="G998" s="327"/>
      <c r="H998" s="20"/>
    </row>
    <row r="999" spans="2:8" x14ac:dyDescent="0.25">
      <c r="B999" s="20"/>
      <c r="C999" s="20"/>
      <c r="D999" s="20"/>
      <c r="E999" s="326"/>
      <c r="F999" s="327"/>
      <c r="G999" s="327"/>
      <c r="H999" s="20"/>
    </row>
    <row r="1000" spans="2:8" x14ac:dyDescent="0.25">
      <c r="B1000" s="20"/>
      <c r="C1000" s="20"/>
      <c r="D1000" s="20"/>
      <c r="E1000" s="326"/>
      <c r="F1000" s="327"/>
      <c r="G1000" s="327"/>
      <c r="H1000" s="20"/>
    </row>
    <row r="1001" spans="2:8" x14ac:dyDescent="0.25">
      <c r="B1001" s="20"/>
      <c r="C1001" s="20"/>
      <c r="D1001" s="20"/>
      <c r="E1001" s="326"/>
      <c r="F1001" s="327"/>
      <c r="G1001" s="327"/>
      <c r="H1001" s="20"/>
    </row>
    <row r="1002" spans="2:8" x14ac:dyDescent="0.25">
      <c r="B1002" s="20"/>
      <c r="C1002" s="20"/>
      <c r="D1002" s="20"/>
      <c r="E1002" s="326"/>
      <c r="F1002" s="327"/>
      <c r="G1002" s="327"/>
      <c r="H1002" s="20"/>
    </row>
    <row r="1003" spans="2:8" x14ac:dyDescent="0.25">
      <c r="B1003" s="20"/>
      <c r="C1003" s="20"/>
      <c r="D1003" s="20"/>
      <c r="E1003" s="326"/>
      <c r="F1003" s="327"/>
      <c r="G1003" s="327"/>
      <c r="H1003" s="20"/>
    </row>
    <row r="1004" spans="2:8" x14ac:dyDescent="0.25">
      <c r="B1004" s="20"/>
      <c r="C1004" s="20"/>
      <c r="D1004" s="20"/>
      <c r="E1004" s="326"/>
      <c r="F1004" s="327"/>
      <c r="G1004" s="327"/>
      <c r="H1004" s="20"/>
    </row>
    <row r="1005" spans="2:8" x14ac:dyDescent="0.25">
      <c r="B1005" s="20"/>
      <c r="C1005" s="20"/>
      <c r="D1005" s="20"/>
      <c r="E1005" s="326"/>
      <c r="F1005" s="327"/>
      <c r="G1005" s="327"/>
      <c r="H1005" s="20"/>
    </row>
    <row r="1006" spans="2:8" x14ac:dyDescent="0.25">
      <c r="B1006" s="20"/>
      <c r="C1006" s="20"/>
      <c r="D1006" s="20"/>
      <c r="E1006" s="326"/>
      <c r="F1006" s="327"/>
      <c r="G1006" s="327"/>
      <c r="H1006" s="20"/>
    </row>
    <row r="1007" spans="2:8" x14ac:dyDescent="0.25">
      <c r="B1007" s="20"/>
      <c r="C1007" s="20"/>
      <c r="D1007" s="20"/>
      <c r="E1007" s="326"/>
      <c r="F1007" s="327"/>
      <c r="G1007" s="327"/>
      <c r="H1007" s="20"/>
    </row>
    <row r="1008" spans="2:8" x14ac:dyDescent="0.25">
      <c r="B1008" s="20"/>
      <c r="C1008" s="20"/>
      <c r="D1008" s="20"/>
      <c r="E1008" s="326"/>
      <c r="F1008" s="327"/>
      <c r="G1008" s="327"/>
      <c r="H1008" s="20"/>
    </row>
    <row r="1009" spans="2:8" x14ac:dyDescent="0.25">
      <c r="B1009" s="20"/>
      <c r="C1009" s="20"/>
      <c r="D1009" s="20"/>
      <c r="E1009" s="326"/>
      <c r="F1009" s="327"/>
      <c r="G1009" s="327"/>
      <c r="H1009" s="20"/>
    </row>
    <row r="1010" spans="2:8" x14ac:dyDescent="0.25">
      <c r="B1010" s="20"/>
      <c r="C1010" s="20"/>
      <c r="D1010" s="20"/>
      <c r="E1010" s="326"/>
      <c r="F1010" s="327"/>
      <c r="G1010" s="327"/>
      <c r="H1010" s="20"/>
    </row>
    <row r="1011" spans="2:8" x14ac:dyDescent="0.25">
      <c r="B1011" s="20"/>
      <c r="C1011" s="20"/>
      <c r="D1011" s="20"/>
      <c r="E1011" s="326"/>
      <c r="F1011" s="327"/>
      <c r="G1011" s="327"/>
      <c r="H1011" s="20"/>
    </row>
    <row r="1012" spans="2:8" x14ac:dyDescent="0.25">
      <c r="B1012" s="20"/>
      <c r="C1012" s="20"/>
      <c r="D1012" s="20"/>
      <c r="E1012" s="326"/>
      <c r="F1012" s="327"/>
      <c r="G1012" s="327"/>
      <c r="H1012" s="20"/>
    </row>
    <row r="1013" spans="2:8" x14ac:dyDescent="0.25">
      <c r="B1013" s="20"/>
      <c r="C1013" s="20"/>
      <c r="D1013" s="20"/>
      <c r="E1013" s="326"/>
      <c r="F1013" s="327"/>
      <c r="G1013" s="327"/>
      <c r="H1013" s="20"/>
    </row>
    <row r="1014" spans="2:8" x14ac:dyDescent="0.25">
      <c r="B1014" s="20"/>
      <c r="C1014" s="20"/>
      <c r="D1014" s="20"/>
      <c r="E1014" s="326"/>
      <c r="F1014" s="327"/>
      <c r="G1014" s="327"/>
      <c r="H1014" s="20"/>
    </row>
    <row r="1015" spans="2:8" x14ac:dyDescent="0.25">
      <c r="B1015" s="20"/>
      <c r="C1015" s="20"/>
      <c r="D1015" s="20"/>
      <c r="E1015" s="326"/>
      <c r="F1015" s="327"/>
      <c r="G1015" s="327"/>
      <c r="H1015" s="20"/>
    </row>
    <row r="1016" spans="2:8" x14ac:dyDescent="0.25">
      <c r="B1016" s="20"/>
      <c r="C1016" s="20"/>
      <c r="D1016" s="20"/>
      <c r="E1016" s="326"/>
      <c r="F1016" s="327"/>
      <c r="G1016" s="327"/>
      <c r="H1016" s="20"/>
    </row>
    <row r="1017" spans="2:8" x14ac:dyDescent="0.25">
      <c r="B1017" s="20"/>
      <c r="C1017" s="20"/>
      <c r="D1017" s="20"/>
      <c r="E1017" s="326"/>
      <c r="F1017" s="327"/>
      <c r="G1017" s="327"/>
      <c r="H1017" s="20"/>
    </row>
    <row r="1018" spans="2:8" x14ac:dyDescent="0.25">
      <c r="B1018" s="20"/>
      <c r="C1018" s="20"/>
      <c r="D1018" s="20"/>
      <c r="E1018" s="326"/>
      <c r="F1018" s="327"/>
      <c r="G1018" s="327"/>
      <c r="H1018" s="20"/>
    </row>
    <row r="1019" spans="2:8" x14ac:dyDescent="0.25">
      <c r="B1019" s="20"/>
      <c r="C1019" s="20"/>
      <c r="D1019" s="20"/>
      <c r="E1019" s="326"/>
      <c r="F1019" s="327"/>
      <c r="G1019" s="327"/>
      <c r="H1019" s="20"/>
    </row>
    <row r="1020" spans="2:8" x14ac:dyDescent="0.25">
      <c r="B1020" s="20"/>
      <c r="C1020" s="20"/>
      <c r="D1020" s="20"/>
      <c r="E1020" s="326"/>
      <c r="F1020" s="327"/>
      <c r="G1020" s="327"/>
      <c r="H1020" s="20"/>
    </row>
    <row r="1021" spans="2:8" x14ac:dyDescent="0.25">
      <c r="B1021" s="20"/>
      <c r="C1021" s="20"/>
      <c r="D1021" s="20"/>
      <c r="E1021" s="326"/>
      <c r="F1021" s="327"/>
      <c r="G1021" s="327"/>
      <c r="H1021" s="20"/>
    </row>
    <row r="1022" spans="2:8" x14ac:dyDescent="0.25">
      <c r="B1022" s="20"/>
      <c r="C1022" s="20"/>
      <c r="D1022" s="20"/>
      <c r="E1022" s="326"/>
      <c r="F1022" s="327"/>
      <c r="G1022" s="327"/>
      <c r="H1022" s="20"/>
    </row>
    <row r="1023" spans="2:8" x14ac:dyDescent="0.25">
      <c r="B1023" s="20"/>
      <c r="C1023" s="20"/>
      <c r="D1023" s="20"/>
      <c r="E1023" s="326"/>
      <c r="F1023" s="327"/>
      <c r="G1023" s="327"/>
      <c r="H1023" s="20"/>
    </row>
    <row r="1024" spans="2:8" x14ac:dyDescent="0.25">
      <c r="B1024" s="20"/>
      <c r="C1024" s="20"/>
      <c r="D1024" s="20"/>
      <c r="E1024" s="326"/>
      <c r="F1024" s="327"/>
      <c r="G1024" s="327"/>
      <c r="H1024" s="20"/>
    </row>
    <row r="1025" spans="2:8" x14ac:dyDescent="0.25">
      <c r="B1025" s="20"/>
      <c r="C1025" s="20"/>
      <c r="D1025" s="20"/>
      <c r="E1025" s="326"/>
      <c r="F1025" s="327"/>
      <c r="G1025" s="327"/>
      <c r="H1025" s="20"/>
    </row>
    <row r="1026" spans="2:8" x14ac:dyDescent="0.25">
      <c r="B1026" s="20"/>
      <c r="C1026" s="20"/>
      <c r="D1026" s="20"/>
      <c r="E1026" s="326"/>
      <c r="F1026" s="327"/>
      <c r="G1026" s="327"/>
      <c r="H1026" s="20"/>
    </row>
    <row r="1027" spans="2:8" x14ac:dyDescent="0.25">
      <c r="B1027" s="20"/>
      <c r="C1027" s="20"/>
      <c r="D1027" s="20"/>
      <c r="E1027" s="326"/>
      <c r="F1027" s="327"/>
      <c r="G1027" s="327"/>
      <c r="H1027" s="20"/>
    </row>
    <row r="1028" spans="2:8" x14ac:dyDescent="0.25">
      <c r="B1028" s="20"/>
      <c r="C1028" s="20"/>
      <c r="D1028" s="20"/>
      <c r="E1028" s="326"/>
      <c r="F1028" s="327"/>
      <c r="G1028" s="327"/>
      <c r="H1028" s="20"/>
    </row>
    <row r="1029" spans="2:8" x14ac:dyDescent="0.25">
      <c r="B1029" s="20"/>
      <c r="C1029" s="20"/>
      <c r="D1029" s="20"/>
      <c r="E1029" s="326"/>
      <c r="F1029" s="327"/>
      <c r="G1029" s="327"/>
      <c r="H1029" s="20"/>
    </row>
    <row r="1030" spans="2:8" x14ac:dyDescent="0.25">
      <c r="B1030" s="20"/>
      <c r="C1030" s="20"/>
      <c r="D1030" s="20"/>
      <c r="E1030" s="326"/>
      <c r="F1030" s="327"/>
      <c r="G1030" s="327"/>
      <c r="H1030" s="20"/>
    </row>
    <row r="1031" spans="2:8" x14ac:dyDescent="0.25">
      <c r="B1031" s="20"/>
      <c r="C1031" s="20"/>
      <c r="D1031" s="20"/>
      <c r="E1031" s="326"/>
      <c r="F1031" s="327"/>
      <c r="G1031" s="327"/>
      <c r="H1031" s="20"/>
    </row>
    <row r="1032" spans="2:8" x14ac:dyDescent="0.25">
      <c r="B1032" s="20"/>
      <c r="C1032" s="20"/>
      <c r="D1032" s="20"/>
      <c r="E1032" s="326"/>
      <c r="F1032" s="327"/>
      <c r="G1032" s="327"/>
      <c r="H1032" s="20"/>
    </row>
    <row r="1033" spans="2:8" x14ac:dyDescent="0.25">
      <c r="B1033" s="20"/>
      <c r="C1033" s="20"/>
      <c r="D1033" s="20"/>
      <c r="E1033" s="326"/>
      <c r="F1033" s="327"/>
      <c r="G1033" s="327"/>
      <c r="H1033" s="20"/>
    </row>
    <row r="1034" spans="2:8" x14ac:dyDescent="0.25">
      <c r="B1034" s="20"/>
      <c r="C1034" s="20"/>
      <c r="D1034" s="20"/>
      <c r="E1034" s="326"/>
      <c r="F1034" s="327"/>
      <c r="G1034" s="327"/>
      <c r="H1034" s="20"/>
    </row>
    <row r="1035" spans="2:8" x14ac:dyDescent="0.25">
      <c r="B1035" s="20"/>
      <c r="C1035" s="20"/>
      <c r="D1035" s="20"/>
      <c r="E1035" s="326"/>
      <c r="F1035" s="327"/>
      <c r="G1035" s="327"/>
      <c r="H1035" s="20"/>
    </row>
    <row r="1036" spans="2:8" x14ac:dyDescent="0.25">
      <c r="B1036" s="20"/>
      <c r="C1036" s="20"/>
      <c r="D1036" s="20"/>
      <c r="E1036" s="326"/>
      <c r="F1036" s="327"/>
      <c r="G1036" s="327"/>
      <c r="H1036" s="20"/>
    </row>
    <row r="1037" spans="2:8" x14ac:dyDescent="0.25">
      <c r="B1037" s="20"/>
      <c r="C1037" s="20"/>
      <c r="D1037" s="20"/>
      <c r="E1037" s="326"/>
      <c r="F1037" s="327"/>
      <c r="G1037" s="327"/>
      <c r="H1037" s="20"/>
    </row>
    <row r="1038" spans="2:8" x14ac:dyDescent="0.25">
      <c r="B1038" s="20"/>
      <c r="C1038" s="20"/>
      <c r="D1038" s="20"/>
      <c r="E1038" s="326"/>
      <c r="F1038" s="327"/>
      <c r="G1038" s="327"/>
      <c r="H1038" s="20"/>
    </row>
    <row r="1039" spans="2:8" x14ac:dyDescent="0.25">
      <c r="B1039" s="20"/>
      <c r="C1039" s="20"/>
      <c r="D1039" s="20"/>
      <c r="E1039" s="326"/>
      <c r="F1039" s="327"/>
      <c r="G1039" s="327"/>
      <c r="H1039" s="20"/>
    </row>
    <row r="1040" spans="2:8" x14ac:dyDescent="0.25">
      <c r="B1040" s="20"/>
      <c r="C1040" s="20"/>
      <c r="D1040" s="20"/>
      <c r="E1040" s="326"/>
      <c r="F1040" s="327"/>
      <c r="G1040" s="327"/>
      <c r="H1040" s="20"/>
    </row>
    <row r="1041" spans="2:8" x14ac:dyDescent="0.25">
      <c r="B1041" s="20"/>
      <c r="C1041" s="20"/>
      <c r="D1041" s="20"/>
      <c r="E1041" s="326"/>
      <c r="F1041" s="327"/>
      <c r="G1041" s="327"/>
      <c r="H1041" s="20"/>
    </row>
    <row r="1042" spans="2:8" x14ac:dyDescent="0.25">
      <c r="B1042" s="20"/>
      <c r="C1042" s="20"/>
      <c r="D1042" s="20"/>
      <c r="E1042" s="326"/>
      <c r="F1042" s="327"/>
      <c r="G1042" s="327"/>
      <c r="H1042" s="20"/>
    </row>
    <row r="1043" spans="2:8" x14ac:dyDescent="0.25">
      <c r="B1043" s="20"/>
      <c r="C1043" s="20"/>
      <c r="D1043" s="20"/>
      <c r="E1043" s="326"/>
      <c r="F1043" s="327"/>
      <c r="G1043" s="327"/>
      <c r="H1043" s="20"/>
    </row>
    <row r="1044" spans="2:8" x14ac:dyDescent="0.25">
      <c r="B1044" s="20"/>
      <c r="C1044" s="20"/>
      <c r="D1044" s="20"/>
      <c r="E1044" s="326"/>
      <c r="F1044" s="327"/>
      <c r="G1044" s="327"/>
      <c r="H1044" s="20"/>
    </row>
    <row r="1045" spans="2:8" x14ac:dyDescent="0.25">
      <c r="B1045" s="20"/>
      <c r="C1045" s="20"/>
      <c r="D1045" s="20"/>
      <c r="E1045" s="326"/>
      <c r="F1045" s="327"/>
      <c r="G1045" s="327"/>
      <c r="H1045" s="20"/>
    </row>
    <row r="1046" spans="2:8" x14ac:dyDescent="0.25">
      <c r="B1046" s="20"/>
      <c r="C1046" s="20"/>
      <c r="D1046" s="20"/>
      <c r="E1046" s="326"/>
      <c r="F1046" s="327"/>
      <c r="G1046" s="327"/>
      <c r="H1046" s="20"/>
    </row>
    <row r="1047" spans="2:8" x14ac:dyDescent="0.25">
      <c r="B1047" s="20"/>
      <c r="C1047" s="20"/>
      <c r="D1047" s="20"/>
      <c r="E1047" s="326"/>
      <c r="F1047" s="327"/>
      <c r="G1047" s="327"/>
      <c r="H1047" s="20"/>
    </row>
    <row r="1048" spans="2:8" x14ac:dyDescent="0.25">
      <c r="B1048" s="20"/>
      <c r="C1048" s="20"/>
      <c r="D1048" s="20"/>
      <c r="E1048" s="326"/>
      <c r="F1048" s="327"/>
      <c r="G1048" s="327"/>
      <c r="H1048" s="20"/>
    </row>
    <row r="1049" spans="2:8" x14ac:dyDescent="0.25">
      <c r="B1049" s="20"/>
      <c r="C1049" s="20"/>
      <c r="D1049" s="20"/>
      <c r="E1049" s="326"/>
      <c r="F1049" s="20"/>
      <c r="G1049" s="20"/>
      <c r="H1049" s="20"/>
    </row>
    <row r="1050" spans="2:8" x14ac:dyDescent="0.25">
      <c r="E1050" s="20"/>
      <c r="F1050" s="20"/>
      <c r="G1050" s="20"/>
      <c r="H1050" s="20"/>
    </row>
  </sheetData>
  <sheetProtection algorithmName="SHA-512" hashValue="gUNweHxg2MONXGpkLCuFOsohWk0V2dsCgd0b3vZjTvNBvnwor0RgGNw2emVstWlv1k+1/xGrfEqQ2t637b3gOw==" saltValue="g0NDVARPjH/BLLZwersCWg==" spinCount="100000"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Spinner 1">
              <controlPr defaultSize="0" autoPict="0">
                <anchor moveWithCells="1" sizeWithCells="1">
                  <from>
                    <xdr:col>2</xdr:col>
                    <xdr:colOff>1200150</xdr:colOff>
                    <xdr:row>14</xdr:row>
                    <xdr:rowOff>57150</xdr:rowOff>
                  </from>
                  <to>
                    <xdr:col>2</xdr:col>
                    <xdr:colOff>1543050</xdr:colOff>
                    <xdr:row>14</xdr:row>
                    <xdr:rowOff>238125</xdr:rowOff>
                  </to>
                </anchor>
              </controlPr>
            </control>
          </mc:Choice>
        </mc:AlternateContent>
        <mc:AlternateContent xmlns:mc="http://schemas.openxmlformats.org/markup-compatibility/2006">
          <mc:Choice Requires="x14">
            <control shapeId="36866" r:id="rId5" name="Spinner 2">
              <controlPr defaultSize="0" autoPict="0">
                <anchor moveWithCells="1" sizeWithCells="1">
                  <from>
                    <xdr:col>2</xdr:col>
                    <xdr:colOff>1200150</xdr:colOff>
                    <xdr:row>16</xdr:row>
                    <xdr:rowOff>57150</xdr:rowOff>
                  </from>
                  <to>
                    <xdr:col>2</xdr:col>
                    <xdr:colOff>1543050</xdr:colOff>
                    <xdr:row>16</xdr:row>
                    <xdr:rowOff>238125</xdr:rowOff>
                  </to>
                </anchor>
              </controlPr>
            </control>
          </mc:Choice>
        </mc:AlternateContent>
        <mc:AlternateContent xmlns:mc="http://schemas.openxmlformats.org/markup-compatibility/2006">
          <mc:Choice Requires="x14">
            <control shapeId="36867" r:id="rId6" name="Spinner 3">
              <controlPr defaultSize="0" autoPict="0">
                <anchor moveWithCells="1" sizeWithCells="1">
                  <from>
                    <xdr:col>2</xdr:col>
                    <xdr:colOff>1019175</xdr:colOff>
                    <xdr:row>20</xdr:row>
                    <xdr:rowOff>0</xdr:rowOff>
                  </from>
                  <to>
                    <xdr:col>2</xdr:col>
                    <xdr:colOff>1362075</xdr:colOff>
                    <xdr:row>20</xdr:row>
                    <xdr:rowOff>0</xdr:rowOff>
                  </to>
                </anchor>
              </controlPr>
            </control>
          </mc:Choice>
        </mc:AlternateContent>
        <mc:AlternateContent xmlns:mc="http://schemas.openxmlformats.org/markup-compatibility/2006">
          <mc:Choice Requires="x14">
            <control shapeId="36868" r:id="rId7" name="Spinner 4">
              <controlPr defaultSize="0" autoPict="0">
                <anchor moveWithCells="1" sizeWithCells="1">
                  <from>
                    <xdr:col>2</xdr:col>
                    <xdr:colOff>1200150</xdr:colOff>
                    <xdr:row>20</xdr:row>
                    <xdr:rowOff>57150</xdr:rowOff>
                  </from>
                  <to>
                    <xdr:col>2</xdr:col>
                    <xdr:colOff>1543050</xdr:colOff>
                    <xdr:row>20</xdr:row>
                    <xdr:rowOff>238125</xdr:rowOff>
                  </to>
                </anchor>
              </controlPr>
            </control>
          </mc:Choice>
        </mc:AlternateContent>
        <mc:AlternateContent xmlns:mc="http://schemas.openxmlformats.org/markup-compatibility/2006">
          <mc:Choice Requires="x14">
            <control shapeId="36869" r:id="rId8" name="Spinner 5">
              <controlPr defaultSize="0" autoPict="0">
                <anchor moveWithCells="1" sizeWithCells="1">
                  <from>
                    <xdr:col>2</xdr:col>
                    <xdr:colOff>1200150</xdr:colOff>
                    <xdr:row>22</xdr:row>
                    <xdr:rowOff>57150</xdr:rowOff>
                  </from>
                  <to>
                    <xdr:col>2</xdr:col>
                    <xdr:colOff>1543050</xdr:colOff>
                    <xdr:row>22</xdr:row>
                    <xdr:rowOff>238125</xdr:rowOff>
                  </to>
                </anchor>
              </controlPr>
            </control>
          </mc:Choice>
        </mc:AlternateContent>
        <mc:AlternateContent xmlns:mc="http://schemas.openxmlformats.org/markup-compatibility/2006">
          <mc:Choice Requires="x14">
            <control shapeId="36870" r:id="rId9" name="Spinner 6">
              <controlPr defaultSize="0" autoPict="0">
                <anchor moveWithCells="1" sizeWithCells="1">
                  <from>
                    <xdr:col>2</xdr:col>
                    <xdr:colOff>1019175</xdr:colOff>
                    <xdr:row>20</xdr:row>
                    <xdr:rowOff>0</xdr:rowOff>
                  </from>
                  <to>
                    <xdr:col>2</xdr:col>
                    <xdr:colOff>1362075</xdr:colOff>
                    <xdr:row>20</xdr:row>
                    <xdr:rowOff>0</xdr:rowOff>
                  </to>
                </anchor>
              </controlPr>
            </control>
          </mc:Choice>
        </mc:AlternateContent>
        <mc:AlternateContent xmlns:mc="http://schemas.openxmlformats.org/markup-compatibility/2006">
          <mc:Choice Requires="x14">
            <control shapeId="36871" r:id="rId10" name="Spinner 7">
              <controlPr defaultSize="0" autoPict="0">
                <anchor moveWithCells="1" sizeWithCells="1">
                  <from>
                    <xdr:col>2</xdr:col>
                    <xdr:colOff>1028700</xdr:colOff>
                    <xdr:row>20</xdr:row>
                    <xdr:rowOff>0</xdr:rowOff>
                  </from>
                  <to>
                    <xdr:col>3</xdr:col>
                    <xdr:colOff>0</xdr:colOff>
                    <xdr:row>20</xdr:row>
                    <xdr:rowOff>0</xdr:rowOff>
                  </to>
                </anchor>
              </controlPr>
            </control>
          </mc:Choice>
        </mc:AlternateContent>
        <mc:AlternateContent xmlns:mc="http://schemas.openxmlformats.org/markup-compatibility/2006">
          <mc:Choice Requires="x14">
            <control shapeId="36904" r:id="rId11" name="Spinner 40">
              <controlPr defaultSize="0" autoPict="0">
                <anchor moveWithCells="1" sizeWithCells="1">
                  <from>
                    <xdr:col>2</xdr:col>
                    <xdr:colOff>1200150</xdr:colOff>
                    <xdr:row>18</xdr:row>
                    <xdr:rowOff>57150</xdr:rowOff>
                  </from>
                  <to>
                    <xdr:col>2</xdr:col>
                    <xdr:colOff>1543050</xdr:colOff>
                    <xdr:row>18</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W187"/>
  <sheetViews>
    <sheetView topLeftCell="A10" zoomScale="70" zoomScaleNormal="70" workbookViewId="0">
      <selection activeCell="B26" sqref="B26"/>
    </sheetView>
  </sheetViews>
  <sheetFormatPr defaultColWidth="16.7109375" defaultRowHeight="15" x14ac:dyDescent="0.25"/>
  <cols>
    <col min="1" max="1" width="3.140625" style="18" customWidth="1"/>
    <col min="2" max="2" width="90.7109375" style="18" customWidth="1"/>
    <col min="3" max="3" width="25.7109375" style="18" customWidth="1"/>
    <col min="4" max="4" width="46" style="18" customWidth="1"/>
    <col min="5" max="16384" width="16.7109375" style="18"/>
  </cols>
  <sheetData>
    <row r="1" spans="1:9" x14ac:dyDescent="0.25">
      <c r="A1" s="559"/>
    </row>
    <row r="2" spans="1:9" x14ac:dyDescent="0.25">
      <c r="A2" s="559"/>
    </row>
    <row r="3" spans="1:9" x14ac:dyDescent="0.25">
      <c r="A3" s="559"/>
      <c r="I3" s="559"/>
    </row>
    <row r="4" spans="1:9" x14ac:dyDescent="0.25">
      <c r="A4" s="559"/>
      <c r="I4" s="559"/>
    </row>
    <row r="5" spans="1:9" x14ac:dyDescent="0.25">
      <c r="A5" s="559"/>
      <c r="I5" s="559"/>
    </row>
    <row r="6" spans="1:9" x14ac:dyDescent="0.25">
      <c r="A6" s="559"/>
      <c r="I6" s="559"/>
    </row>
    <row r="7" spans="1:9" x14ac:dyDescent="0.25">
      <c r="A7" s="559"/>
      <c r="I7" s="559"/>
    </row>
    <row r="8" spans="1:9" x14ac:dyDescent="0.25">
      <c r="A8" s="559"/>
      <c r="I8" s="559"/>
    </row>
    <row r="9" spans="1:9" x14ac:dyDescent="0.25">
      <c r="A9" s="559"/>
      <c r="I9" s="559"/>
    </row>
    <row r="10" spans="1:9" x14ac:dyDescent="0.25">
      <c r="A10" s="559"/>
      <c r="I10" s="559"/>
    </row>
    <row r="11" spans="1:9" x14ac:dyDescent="0.25">
      <c r="A11" s="559"/>
      <c r="I11" s="559"/>
    </row>
    <row r="12" spans="1:9" x14ac:dyDescent="0.25">
      <c r="A12" s="559"/>
      <c r="I12" s="559"/>
    </row>
    <row r="13" spans="1:9" ht="20.100000000000001" customHeight="1" x14ac:dyDescent="0.25">
      <c r="A13" s="559"/>
      <c r="B13" s="670" t="s">
        <v>1049</v>
      </c>
      <c r="C13" s="669"/>
      <c r="I13" s="559"/>
    </row>
    <row r="14" spans="1:9" ht="20.100000000000001" customHeight="1" x14ac:dyDescent="0.25">
      <c r="A14" s="559"/>
      <c r="B14" s="203" t="s">
        <v>744</v>
      </c>
      <c r="C14" s="171">
        <f>'Baseline farm'!D17</f>
        <v>0</v>
      </c>
      <c r="I14" s="559"/>
    </row>
    <row r="15" spans="1:9" ht="20.100000000000001" customHeight="1" x14ac:dyDescent="0.25">
      <c r="A15" s="559"/>
      <c r="B15" s="203" t="s">
        <v>465</v>
      </c>
      <c r="C15" s="171">
        <f>'Baseline farm'!D19</f>
        <v>0</v>
      </c>
      <c r="I15" s="559"/>
    </row>
    <row r="16" spans="1:9" ht="20.100000000000001" customHeight="1" x14ac:dyDescent="0.25">
      <c r="A16" s="559"/>
      <c r="B16" s="203" t="s">
        <v>496</v>
      </c>
      <c r="C16" s="8" t="e">
        <f>'Baseline farm'!H28</f>
        <v>#DIV/0!</v>
      </c>
      <c r="I16" s="559"/>
    </row>
    <row r="17" spans="1:257" ht="20.100000000000001" customHeight="1" x14ac:dyDescent="0.25">
      <c r="A17" s="559"/>
      <c r="B17" s="203" t="s">
        <v>515</v>
      </c>
      <c r="C17" s="7">
        <f>'Baseline farm'!D28</f>
        <v>0</v>
      </c>
      <c r="I17" s="559"/>
    </row>
    <row r="18" spans="1:257" ht="20.100000000000001" customHeight="1" x14ac:dyDescent="0.25">
      <c r="A18" s="559"/>
      <c r="B18" s="203" t="s">
        <v>697</v>
      </c>
      <c r="C18" s="171" t="e">
        <f>'Baseline farm'!F36</f>
        <v>#DIV/0!</v>
      </c>
      <c r="I18" s="559"/>
    </row>
    <row r="19" spans="1:257" ht="20.100000000000001" customHeight="1" x14ac:dyDescent="0.25">
      <c r="A19" s="559"/>
      <c r="B19" s="203" t="s">
        <v>1105</v>
      </c>
      <c r="C19" s="8" t="e">
        <f>'Baseline farm'!D214</f>
        <v>#DIV/0!</v>
      </c>
      <c r="I19" s="559"/>
    </row>
    <row r="20" spans="1:257" ht="20.100000000000001" customHeight="1" x14ac:dyDescent="0.25">
      <c r="A20" s="559"/>
      <c r="B20" s="203" t="s">
        <v>1106</v>
      </c>
      <c r="C20" s="8" t="e">
        <f>'Baseline farm'!C73</f>
        <v>#N/A</v>
      </c>
      <c r="I20" s="559"/>
    </row>
    <row r="21" spans="1:257" ht="20.100000000000001" customHeight="1" x14ac:dyDescent="0.25">
      <c r="A21" s="559"/>
      <c r="B21" s="671" t="s">
        <v>1050</v>
      </c>
      <c r="C21" s="204"/>
      <c r="I21" s="559"/>
    </row>
    <row r="22" spans="1:257" ht="20.100000000000001" customHeight="1" x14ac:dyDescent="0.25">
      <c r="A22" s="559"/>
      <c r="B22" s="205" t="s">
        <v>1110</v>
      </c>
      <c r="C22" s="870">
        <f>C65/100</f>
        <v>2.5</v>
      </c>
      <c r="I22" s="559"/>
    </row>
    <row r="23" spans="1:257" ht="5.0999999999999996" customHeight="1" x14ac:dyDescent="0.25">
      <c r="A23" s="559"/>
      <c r="B23" s="205"/>
      <c r="C23" s="310"/>
      <c r="I23" s="559"/>
    </row>
    <row r="24" spans="1:257" ht="20.100000000000001" customHeight="1" x14ac:dyDescent="0.25">
      <c r="A24" s="559"/>
      <c r="B24" s="205" t="s">
        <v>772</v>
      </c>
      <c r="C24" s="846">
        <f>C66/1</f>
        <v>100</v>
      </c>
      <c r="I24" s="559"/>
    </row>
    <row r="25" spans="1:257" ht="5.0999999999999996" customHeight="1" x14ac:dyDescent="0.25">
      <c r="A25" s="559"/>
      <c r="B25" s="205"/>
      <c r="C25" s="310"/>
      <c r="I25" s="559"/>
    </row>
    <row r="26" spans="1:257" ht="20.100000000000001" customHeight="1" x14ac:dyDescent="0.25">
      <c r="A26" s="559"/>
      <c r="B26" s="325" t="s">
        <v>773</v>
      </c>
      <c r="C26" s="872">
        <f>C67/1</f>
        <v>0</v>
      </c>
      <c r="I26" s="559"/>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row>
    <row r="27" spans="1:257" s="559" customFormat="1" ht="5.0999999999999996" customHeight="1" x14ac:dyDescent="0.25">
      <c r="B27" s="205"/>
      <c r="C27" s="342"/>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row>
    <row r="28" spans="1:257" s="559" customFormat="1" ht="20.100000000000001" customHeight="1" x14ac:dyDescent="0.25">
      <c r="B28" s="205" t="s">
        <v>1104</v>
      </c>
      <c r="C28" s="846">
        <f>C68/1</f>
        <v>20</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row>
    <row r="29" spans="1:257" s="559" customFormat="1" ht="5.0999999999999996" customHeight="1" x14ac:dyDescent="0.25">
      <c r="B29" s="205"/>
      <c r="C29" s="342"/>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row>
    <row r="30" spans="1:257" ht="20.100000000000001" customHeight="1" x14ac:dyDescent="0.25">
      <c r="A30" s="559"/>
      <c r="B30" s="205" t="s">
        <v>741</v>
      </c>
      <c r="C30" s="854">
        <f>C71/0.1</f>
        <v>165000</v>
      </c>
      <c r="I30" s="559"/>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row>
    <row r="31" spans="1:257" ht="5.0999999999999996" customHeight="1" x14ac:dyDescent="0.25">
      <c r="A31" s="559"/>
      <c r="B31" s="205"/>
      <c r="C31" s="350"/>
      <c r="I31" s="559"/>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row>
    <row r="32" spans="1:257" s="559" customFormat="1" ht="20.100000000000001" customHeight="1" x14ac:dyDescent="0.25">
      <c r="B32" s="205" t="s">
        <v>740</v>
      </c>
      <c r="C32" s="846">
        <f>C72/1</f>
        <v>10</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row>
    <row r="33" spans="1:257" s="559" customFormat="1" ht="5.0999999999999996" customHeight="1" x14ac:dyDescent="0.25">
      <c r="B33" s="205"/>
      <c r="C33" s="343"/>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row>
    <row r="34" spans="1:257" ht="20.100000000000001" customHeight="1" x14ac:dyDescent="0.25">
      <c r="A34" s="559"/>
      <c r="B34" s="205" t="s">
        <v>88</v>
      </c>
      <c r="C34" s="845">
        <f>C69/100</f>
        <v>0.4</v>
      </c>
      <c r="I34" s="559"/>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row>
    <row r="35" spans="1:257" s="559" customFormat="1" ht="5.0999999999999996" customHeight="1" x14ac:dyDescent="0.25">
      <c r="B35" s="205"/>
      <c r="C35" s="206"/>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row>
    <row r="36" spans="1:257" ht="20.100000000000001" customHeight="1" x14ac:dyDescent="0.25">
      <c r="A36" s="559"/>
      <c r="B36" s="205" t="s">
        <v>72</v>
      </c>
      <c r="C36" s="845">
        <f>C70/100</f>
        <v>6</v>
      </c>
      <c r="I36" s="559"/>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row>
    <row r="37" spans="1:257" ht="5.0999999999999996" customHeight="1" x14ac:dyDescent="0.25">
      <c r="A37" s="559"/>
      <c r="B37" s="205"/>
      <c r="C37" s="206"/>
      <c r="I37" s="559"/>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row>
    <row r="38" spans="1:257" ht="20.100000000000001" customHeight="1" x14ac:dyDescent="0.25">
      <c r="A38" s="559"/>
      <c r="B38" s="672" t="s">
        <v>1051</v>
      </c>
      <c r="C38" s="673"/>
      <c r="I38" s="559"/>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row>
    <row r="39" spans="1:257" ht="20.100000000000001" customHeight="1" x14ac:dyDescent="0.25">
      <c r="A39" s="559"/>
      <c r="B39" s="207" t="s">
        <v>742</v>
      </c>
      <c r="C39" s="869">
        <f>C71/C32*10</f>
        <v>16500</v>
      </c>
      <c r="I39" s="559"/>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row>
    <row r="40" spans="1:257" ht="20.100000000000001" customHeight="1" x14ac:dyDescent="0.25">
      <c r="A40" s="559"/>
      <c r="B40" s="208" t="s">
        <v>1052</v>
      </c>
      <c r="C40" s="11"/>
      <c r="I40" s="559"/>
    </row>
    <row r="41" spans="1:257" ht="20.100000000000001" customHeight="1" x14ac:dyDescent="0.25">
      <c r="A41" s="559"/>
      <c r="B41" s="523" t="s">
        <v>89</v>
      </c>
      <c r="C41" s="524">
        <v>0</v>
      </c>
      <c r="I41" s="559"/>
    </row>
    <row r="42" spans="1:257" ht="20.100000000000001" customHeight="1" x14ac:dyDescent="0.25">
      <c r="A42" s="559"/>
      <c r="B42" s="523" t="s">
        <v>494</v>
      </c>
      <c r="C42" s="524" t="e">
        <f>C166</f>
        <v>#DIV/0!</v>
      </c>
      <c r="I42" s="559"/>
    </row>
    <row r="43" spans="1:257" ht="20.100000000000001" customHeight="1" x14ac:dyDescent="0.25">
      <c r="A43" s="559"/>
      <c r="B43" s="523" t="s">
        <v>495</v>
      </c>
      <c r="C43" s="524">
        <v>0</v>
      </c>
      <c r="I43" s="559"/>
    </row>
    <row r="44" spans="1:257" ht="20.100000000000001" customHeight="1" x14ac:dyDescent="0.25">
      <c r="A44" s="559"/>
      <c r="B44" s="523" t="s">
        <v>217</v>
      </c>
      <c r="C44" s="524">
        <v>0</v>
      </c>
      <c r="I44" s="559"/>
    </row>
    <row r="45" spans="1:257" ht="20.100000000000001" customHeight="1" x14ac:dyDescent="0.25">
      <c r="A45" s="559"/>
      <c r="B45" s="523" t="s">
        <v>218</v>
      </c>
      <c r="C45" s="524" t="e">
        <f>SUM(C42:C44)</f>
        <v>#DIV/0!</v>
      </c>
      <c r="I45" s="559"/>
    </row>
    <row r="46" spans="1:257" ht="20.100000000000001" customHeight="1" x14ac:dyDescent="0.25">
      <c r="A46" s="559"/>
      <c r="B46" s="525" t="s">
        <v>16</v>
      </c>
      <c r="C46" s="526" t="e">
        <f>C42*C36</f>
        <v>#DIV/0!</v>
      </c>
      <c r="I46" s="559"/>
    </row>
    <row r="47" spans="1:257" ht="20.100000000000001" customHeight="1" x14ac:dyDescent="0.25">
      <c r="A47" s="559"/>
      <c r="B47" s="525" t="s">
        <v>19</v>
      </c>
      <c r="C47" s="526">
        <f>C39</f>
        <v>16500</v>
      </c>
      <c r="I47" s="559"/>
    </row>
    <row r="48" spans="1:257" ht="20.100000000000001" customHeight="1" x14ac:dyDescent="0.25">
      <c r="A48" s="559"/>
      <c r="B48" s="525" t="s">
        <v>20</v>
      </c>
      <c r="C48" s="527" t="e">
        <f>IF(C46&gt;1,C46-C47,C47*-1)</f>
        <v>#DIV/0!</v>
      </c>
      <c r="I48" s="559"/>
    </row>
    <row r="49" spans="1:9" ht="20.100000000000001" customHeight="1" x14ac:dyDescent="0.25">
      <c r="A49" s="559"/>
      <c r="B49" s="525" t="s">
        <v>95</v>
      </c>
      <c r="C49" s="526">
        <v>0</v>
      </c>
      <c r="I49" s="559"/>
    </row>
    <row r="50" spans="1:9" ht="20.100000000000001" customHeight="1" x14ac:dyDescent="0.25">
      <c r="A50" s="559"/>
      <c r="B50" s="525" t="s">
        <v>18</v>
      </c>
      <c r="C50" s="526" t="e">
        <f>IF(C46&gt;1,C46-C47+C49,C49-C47)</f>
        <v>#DIV/0!</v>
      </c>
      <c r="I50" s="559"/>
    </row>
    <row r="51" spans="1:9" ht="20.100000000000001" customHeight="1" x14ac:dyDescent="0.25">
      <c r="A51" s="559"/>
      <c r="B51" s="525" t="s">
        <v>111</v>
      </c>
      <c r="C51" s="528" t="e">
        <f>C81</f>
        <v>#DIV/0!</v>
      </c>
      <c r="I51" s="559"/>
    </row>
    <row r="52" spans="1:9" ht="20.100000000000001" customHeight="1" x14ac:dyDescent="0.25">
      <c r="A52" s="559"/>
      <c r="B52" s="529" t="s">
        <v>802</v>
      </c>
      <c r="C52" s="530" t="e">
        <f>C175</f>
        <v>#DIV/0!</v>
      </c>
      <c r="I52" s="559"/>
    </row>
    <row r="53" spans="1:9" ht="20.100000000000001" customHeight="1" x14ac:dyDescent="0.25">
      <c r="A53" s="559"/>
      <c r="B53" s="525" t="s">
        <v>234</v>
      </c>
      <c r="C53" s="531" t="e">
        <f>C187</f>
        <v>#DIV/0!</v>
      </c>
      <c r="I53" s="559"/>
    </row>
    <row r="54" spans="1:9" ht="20.100000000000001" customHeight="1" x14ac:dyDescent="0.25">
      <c r="A54" s="559"/>
      <c r="B54" s="532" t="s">
        <v>235</v>
      </c>
      <c r="C54" s="533" t="e">
        <f>C53+C49-C47</f>
        <v>#DIV/0!</v>
      </c>
      <c r="I54" s="559"/>
    </row>
    <row r="55" spans="1:9" x14ac:dyDescent="0.25">
      <c r="A55" s="559"/>
      <c r="B55" s="559"/>
      <c r="C55" s="559"/>
      <c r="D55" s="559"/>
      <c r="E55" s="559"/>
      <c r="F55" s="559"/>
      <c r="G55" s="559"/>
      <c r="H55" s="559"/>
      <c r="I55" s="559"/>
    </row>
    <row r="56" spans="1:9" x14ac:dyDescent="0.25">
      <c r="B56" s="24"/>
      <c r="C56" s="25"/>
    </row>
    <row r="57" spans="1:9" x14ac:dyDescent="0.25">
      <c r="B57" s="24"/>
      <c r="C57" s="25"/>
    </row>
    <row r="58" spans="1:9" x14ac:dyDescent="0.25">
      <c r="B58" s="24"/>
      <c r="C58" s="25"/>
    </row>
    <row r="59" spans="1:9" x14ac:dyDescent="0.25">
      <c r="B59" s="24"/>
      <c r="C59" s="25"/>
      <c r="D59" s="328" t="s">
        <v>1108</v>
      </c>
    </row>
    <row r="60" spans="1:9" x14ac:dyDescent="0.25">
      <c r="B60" s="24"/>
      <c r="C60" s="25"/>
      <c r="D60" s="328" t="s">
        <v>1109</v>
      </c>
    </row>
    <row r="61" spans="1:9" x14ac:dyDescent="0.25">
      <c r="B61" s="24"/>
      <c r="C61" s="25"/>
    </row>
    <row r="62" spans="1:9" ht="23.25" x14ac:dyDescent="0.35">
      <c r="B62" s="26"/>
      <c r="C62" s="25"/>
    </row>
    <row r="63" spans="1:9" ht="23.25" x14ac:dyDescent="0.35">
      <c r="B63" s="26"/>
      <c r="C63" s="25"/>
    </row>
    <row r="64" spans="1:9" x14ac:dyDescent="0.25">
      <c r="B64" s="27" t="s">
        <v>166</v>
      </c>
      <c r="C64" s="28"/>
      <c r="D64" s="29"/>
    </row>
    <row r="65" spans="2:4" x14ac:dyDescent="0.25">
      <c r="B65" s="24" t="s">
        <v>774</v>
      </c>
      <c r="C65" s="30">
        <v>250</v>
      </c>
      <c r="D65" s="29"/>
    </row>
    <row r="66" spans="2:4" x14ac:dyDescent="0.25">
      <c r="B66" s="24" t="s">
        <v>764</v>
      </c>
      <c r="C66" s="30">
        <v>100</v>
      </c>
      <c r="D66" s="29"/>
    </row>
    <row r="67" spans="2:4" x14ac:dyDescent="0.25">
      <c r="B67" s="24" t="s">
        <v>775</v>
      </c>
      <c r="C67" s="30">
        <v>0</v>
      </c>
      <c r="D67" s="29"/>
    </row>
    <row r="68" spans="2:4" x14ac:dyDescent="0.25">
      <c r="B68" s="24" t="s">
        <v>789</v>
      </c>
      <c r="C68" s="30">
        <v>20</v>
      </c>
      <c r="D68" s="29"/>
    </row>
    <row r="69" spans="2:4" x14ac:dyDescent="0.25">
      <c r="B69" s="24" t="s">
        <v>117</v>
      </c>
      <c r="C69" s="31">
        <v>40</v>
      </c>
      <c r="D69" s="29"/>
    </row>
    <row r="70" spans="2:4" x14ac:dyDescent="0.25">
      <c r="B70" s="24" t="s">
        <v>118</v>
      </c>
      <c r="C70" s="31">
        <v>600</v>
      </c>
      <c r="D70" s="29"/>
    </row>
    <row r="71" spans="2:4" x14ac:dyDescent="0.25">
      <c r="B71" s="24" t="s">
        <v>765</v>
      </c>
      <c r="C71" s="31">
        <v>16500</v>
      </c>
      <c r="D71" s="29"/>
    </row>
    <row r="72" spans="2:4" x14ac:dyDescent="0.25">
      <c r="B72" s="24" t="s">
        <v>766</v>
      </c>
      <c r="C72" s="31">
        <v>10</v>
      </c>
      <c r="D72" s="29"/>
    </row>
    <row r="73" spans="2:4" x14ac:dyDescent="0.25">
      <c r="B73" s="24"/>
      <c r="C73" s="31"/>
      <c r="D73" s="29"/>
    </row>
    <row r="74" spans="2:4" ht="15.75" x14ac:dyDescent="0.25">
      <c r="B74" s="27" t="s">
        <v>152</v>
      </c>
      <c r="C74" s="200" t="s">
        <v>702</v>
      </c>
      <c r="D74" s="201" t="s">
        <v>703</v>
      </c>
    </row>
    <row r="75" spans="2:4" x14ac:dyDescent="0.25">
      <c r="B75" s="24" t="s">
        <v>119</v>
      </c>
      <c r="C75" s="32" t="e">
        <f>C46</f>
        <v>#DIV/0!</v>
      </c>
      <c r="D75" s="33" t="e">
        <f>C53</f>
        <v>#DIV/0!</v>
      </c>
    </row>
    <row r="76" spans="2:4" x14ac:dyDescent="0.25">
      <c r="B76" s="24" t="s">
        <v>120</v>
      </c>
      <c r="C76" s="32">
        <f>C47</f>
        <v>16500</v>
      </c>
      <c r="D76" s="33">
        <f>C76</f>
        <v>16500</v>
      </c>
    </row>
    <row r="77" spans="2:4" x14ac:dyDescent="0.25">
      <c r="B77" s="24" t="s">
        <v>121</v>
      </c>
      <c r="C77" s="32">
        <f>C49</f>
        <v>0</v>
      </c>
      <c r="D77" s="33">
        <f>C77</f>
        <v>0</v>
      </c>
    </row>
    <row r="78" spans="2:4" x14ac:dyDescent="0.25">
      <c r="B78" s="24" t="s">
        <v>24</v>
      </c>
      <c r="C78" s="32" t="e">
        <f>C50</f>
        <v>#DIV/0!</v>
      </c>
      <c r="D78" s="34" t="e">
        <f>C54</f>
        <v>#DIV/0!</v>
      </c>
    </row>
    <row r="79" spans="2:4" x14ac:dyDescent="0.25">
      <c r="B79" s="24"/>
      <c r="C79" s="32"/>
      <c r="D79" s="34"/>
    </row>
    <row r="80" spans="2:4" x14ac:dyDescent="0.25">
      <c r="B80" s="24"/>
      <c r="C80" s="32"/>
      <c r="D80" s="34"/>
    </row>
    <row r="81" spans="2:4" x14ac:dyDescent="0.25">
      <c r="B81" s="24" t="s">
        <v>112</v>
      </c>
      <c r="C81" s="35" t="e">
        <f>C78/C82</f>
        <v>#DIV/0!</v>
      </c>
      <c r="D81" s="29"/>
    </row>
    <row r="82" spans="2:4" x14ac:dyDescent="0.25">
      <c r="B82" s="24" t="s">
        <v>109</v>
      </c>
      <c r="C82" s="36" t="e">
        <f>C14*C16*365*C34</f>
        <v>#DIV/0!</v>
      </c>
      <c r="D82" s="29"/>
    </row>
    <row r="83" spans="2:4" x14ac:dyDescent="0.25">
      <c r="B83" s="29"/>
      <c r="C83" s="37"/>
      <c r="D83" s="29"/>
    </row>
    <row r="84" spans="2:4" x14ac:dyDescent="0.25">
      <c r="B84" s="27" t="s">
        <v>784</v>
      </c>
      <c r="C84" s="37"/>
      <c r="D84" s="29"/>
    </row>
    <row r="85" spans="2:4" x14ac:dyDescent="0.25">
      <c r="B85" s="24" t="s">
        <v>0</v>
      </c>
      <c r="C85" s="38"/>
      <c r="D85" s="29"/>
    </row>
    <row r="86" spans="2:4" x14ac:dyDescent="0.25">
      <c r="B86" s="24" t="s">
        <v>776</v>
      </c>
      <c r="D86" s="29"/>
    </row>
    <row r="87" spans="2:4" x14ac:dyDescent="0.25">
      <c r="B87" s="39" t="s">
        <v>778</v>
      </c>
      <c r="C87" s="162" t="e">
        <f>C19</f>
        <v>#DIV/0!</v>
      </c>
      <c r="D87" s="178"/>
    </row>
    <row r="88" spans="2:4" x14ac:dyDescent="0.25">
      <c r="C88" s="38"/>
      <c r="D88" s="29"/>
    </row>
    <row r="89" spans="2:4" x14ac:dyDescent="0.25">
      <c r="B89" s="18" t="s">
        <v>777</v>
      </c>
      <c r="D89" s="29"/>
    </row>
    <row r="90" spans="2:4" x14ac:dyDescent="0.25">
      <c r="B90" s="163" t="s">
        <v>779</v>
      </c>
      <c r="C90" s="38"/>
    </row>
    <row r="91" spans="2:4" x14ac:dyDescent="0.25">
      <c r="B91" s="18" t="s">
        <v>1107</v>
      </c>
      <c r="C91" s="37" t="e">
        <f>C87*C20%*C14*365</f>
        <v>#DIV/0!</v>
      </c>
      <c r="D91" s="29"/>
    </row>
    <row r="92" spans="2:4" x14ac:dyDescent="0.25">
      <c r="C92" s="38"/>
      <c r="D92" s="29"/>
    </row>
    <row r="93" spans="2:4" x14ac:dyDescent="0.25">
      <c r="C93" s="38"/>
      <c r="D93" s="29"/>
    </row>
    <row r="94" spans="2:4" x14ac:dyDescent="0.25">
      <c r="B94" s="18" t="s">
        <v>782</v>
      </c>
      <c r="C94" s="38"/>
      <c r="D94" s="29"/>
    </row>
    <row r="95" spans="2:4" x14ac:dyDescent="0.25">
      <c r="B95" s="18" t="s">
        <v>780</v>
      </c>
      <c r="C95" s="38" t="e">
        <f>C91*0.24*0.9</f>
        <v>#DIV/0!</v>
      </c>
      <c r="D95" s="29"/>
    </row>
    <row r="96" spans="2:4" x14ac:dyDescent="0.25">
      <c r="D96" s="29"/>
    </row>
    <row r="97" spans="2:4" x14ac:dyDescent="0.25">
      <c r="B97" s="18" t="s">
        <v>783</v>
      </c>
      <c r="C97" s="38"/>
      <c r="D97" s="29"/>
    </row>
    <row r="98" spans="2:4" x14ac:dyDescent="0.25">
      <c r="B98" s="18" t="s">
        <v>781</v>
      </c>
      <c r="C98" s="38" t="e">
        <f>6.784*10^-4*21*C95</f>
        <v>#DIV/0!</v>
      </c>
      <c r="D98" s="29"/>
    </row>
    <row r="99" spans="2:4" x14ac:dyDescent="0.25">
      <c r="C99" s="38"/>
      <c r="D99" s="29"/>
    </row>
    <row r="100" spans="2:4" x14ac:dyDescent="0.25">
      <c r="C100" s="38"/>
      <c r="D100" s="29"/>
    </row>
    <row r="101" spans="2:4" x14ac:dyDescent="0.25">
      <c r="B101" s="328" t="s">
        <v>171</v>
      </c>
      <c r="C101" s="38"/>
      <c r="D101" s="29"/>
    </row>
    <row r="102" spans="2:4" x14ac:dyDescent="0.25">
      <c r="B102" s="18" t="s">
        <v>785</v>
      </c>
      <c r="C102" s="38"/>
      <c r="D102" s="29"/>
    </row>
    <row r="103" spans="2:4" x14ac:dyDescent="0.25">
      <c r="B103" s="18" t="s">
        <v>786</v>
      </c>
      <c r="C103" s="38" t="s">
        <v>800</v>
      </c>
      <c r="D103" s="29"/>
    </row>
    <row r="104" spans="2:4" x14ac:dyDescent="0.25">
      <c r="C104" s="38"/>
      <c r="D104" s="29"/>
    </row>
    <row r="105" spans="2:4" x14ac:dyDescent="0.25">
      <c r="B105" s="18" t="s">
        <v>787</v>
      </c>
      <c r="C105" s="38">
        <f>6.784*10^-4 * 21</f>
        <v>1.4246399999999999E-2</v>
      </c>
      <c r="D105" s="29"/>
    </row>
    <row r="106" spans="2:4" x14ac:dyDescent="0.25">
      <c r="C106" s="38"/>
      <c r="D106" s="29"/>
    </row>
    <row r="107" spans="2:4" x14ac:dyDescent="0.25">
      <c r="B107" s="18" t="s">
        <v>793</v>
      </c>
      <c r="C107" s="38"/>
      <c r="D107" s="29"/>
    </row>
    <row r="108" spans="2:4" x14ac:dyDescent="0.25">
      <c r="C108" s="38"/>
      <c r="D108" s="29"/>
    </row>
    <row r="109" spans="2:4" x14ac:dyDescent="0.25">
      <c r="B109" s="18" t="s">
        <v>791</v>
      </c>
      <c r="C109" s="38">
        <f>C112*0.98</f>
        <v>13.719999999999999</v>
      </c>
      <c r="D109" s="29"/>
    </row>
    <row r="110" spans="2:4" x14ac:dyDescent="0.25">
      <c r="B110" s="18" t="s">
        <v>792</v>
      </c>
      <c r="C110" s="38"/>
      <c r="D110" s="29"/>
    </row>
    <row r="111" spans="2:4" x14ac:dyDescent="0.25">
      <c r="C111" s="38"/>
      <c r="D111" s="29"/>
    </row>
    <row r="112" spans="2:4" x14ac:dyDescent="0.25">
      <c r="B112" s="18" t="s">
        <v>788</v>
      </c>
      <c r="C112" s="38">
        <f>C28*0.7</f>
        <v>14</v>
      </c>
      <c r="D112" s="29"/>
    </row>
    <row r="113" spans="2:4" x14ac:dyDescent="0.25">
      <c r="B113" s="18" t="s">
        <v>790</v>
      </c>
      <c r="C113" s="38"/>
      <c r="D113" s="29"/>
    </row>
    <row r="114" spans="2:4" x14ac:dyDescent="0.25">
      <c r="C114" s="38"/>
      <c r="D114" s="29"/>
    </row>
    <row r="115" spans="2:4" x14ac:dyDescent="0.25">
      <c r="B115" s="18" t="s">
        <v>794</v>
      </c>
      <c r="C115" s="38"/>
      <c r="D115" s="29"/>
    </row>
    <row r="116" spans="2:4" x14ac:dyDescent="0.25">
      <c r="C116" s="38"/>
      <c r="D116" s="29"/>
    </row>
    <row r="117" spans="2:4" x14ac:dyDescent="0.25">
      <c r="B117" s="18" t="s">
        <v>795</v>
      </c>
      <c r="C117" s="38">
        <f>C109*C120*C123/1000</f>
        <v>1.5517320000000003E-5</v>
      </c>
      <c r="D117" s="29"/>
    </row>
    <row r="118" spans="2:4" x14ac:dyDescent="0.25">
      <c r="C118" s="38"/>
      <c r="D118" s="29"/>
    </row>
    <row r="119" spans="2:4" x14ac:dyDescent="0.25">
      <c r="B119" s="18" t="s">
        <v>796</v>
      </c>
      <c r="C119" s="38"/>
      <c r="D119" s="29"/>
    </row>
    <row r="120" spans="2:4" x14ac:dyDescent="0.25">
      <c r="B120" s="18" t="s">
        <v>799</v>
      </c>
      <c r="C120" s="38">
        <f>37.7*10^-3</f>
        <v>3.7700000000000004E-2</v>
      </c>
      <c r="D120" s="29"/>
    </row>
    <row r="121" spans="2:4" x14ac:dyDescent="0.25">
      <c r="C121" s="38"/>
      <c r="D121" s="29"/>
    </row>
    <row r="122" spans="2:4" x14ac:dyDescent="0.25">
      <c r="B122" s="18" t="s">
        <v>797</v>
      </c>
      <c r="C122" s="38"/>
      <c r="D122" s="29"/>
    </row>
    <row r="123" spans="2:4" x14ac:dyDescent="0.25">
      <c r="B123" s="18" t="s">
        <v>798</v>
      </c>
      <c r="C123" s="38">
        <v>0.03</v>
      </c>
      <c r="D123" s="29"/>
    </row>
    <row r="124" spans="2:4" x14ac:dyDescent="0.25">
      <c r="C124" s="38"/>
      <c r="D124" s="29"/>
    </row>
    <row r="125" spans="2:4" x14ac:dyDescent="0.25">
      <c r="C125" s="38"/>
      <c r="D125" s="29"/>
    </row>
    <row r="126" spans="2:4" x14ac:dyDescent="0.25">
      <c r="C126" s="38"/>
      <c r="D126" s="29"/>
    </row>
    <row r="127" spans="2:4" x14ac:dyDescent="0.25">
      <c r="C127" s="38"/>
      <c r="D127" s="29"/>
    </row>
    <row r="128" spans="2:4" x14ac:dyDescent="0.25">
      <c r="C128" s="38"/>
      <c r="D128" s="29"/>
    </row>
    <row r="129" spans="3:4" x14ac:dyDescent="0.25">
      <c r="C129" s="38"/>
      <c r="D129" s="29"/>
    </row>
    <row r="130" spans="3:4" x14ac:dyDescent="0.25">
      <c r="C130" s="38"/>
      <c r="D130" s="29"/>
    </row>
    <row r="131" spans="3:4" x14ac:dyDescent="0.25">
      <c r="C131" s="38"/>
      <c r="D131" s="29"/>
    </row>
    <row r="132" spans="3:4" x14ac:dyDescent="0.25">
      <c r="C132" s="38"/>
      <c r="D132" s="29"/>
    </row>
    <row r="133" spans="3:4" x14ac:dyDescent="0.25">
      <c r="C133" s="38"/>
      <c r="D133" s="29"/>
    </row>
    <row r="134" spans="3:4" x14ac:dyDescent="0.25">
      <c r="C134" s="38"/>
      <c r="D134" s="29"/>
    </row>
    <row r="135" spans="3:4" x14ac:dyDescent="0.25">
      <c r="C135" s="38"/>
      <c r="D135" s="29"/>
    </row>
    <row r="136" spans="3:4" x14ac:dyDescent="0.25">
      <c r="C136" s="38"/>
      <c r="D136" s="29"/>
    </row>
    <row r="137" spans="3:4" x14ac:dyDescent="0.25">
      <c r="C137" s="38"/>
      <c r="D137" s="29"/>
    </row>
    <row r="138" spans="3:4" x14ac:dyDescent="0.25">
      <c r="C138" s="38"/>
      <c r="D138" s="29"/>
    </row>
    <row r="139" spans="3:4" x14ac:dyDescent="0.25">
      <c r="C139" s="38"/>
      <c r="D139" s="29"/>
    </row>
    <row r="140" spans="3:4" x14ac:dyDescent="0.25">
      <c r="C140" s="38"/>
      <c r="D140" s="29"/>
    </row>
    <row r="141" spans="3:4" x14ac:dyDescent="0.25">
      <c r="C141" s="38"/>
      <c r="D141" s="29"/>
    </row>
    <row r="142" spans="3:4" x14ac:dyDescent="0.25">
      <c r="C142" s="38"/>
      <c r="D142" s="29"/>
    </row>
    <row r="143" spans="3:4" x14ac:dyDescent="0.25">
      <c r="C143" s="38"/>
      <c r="D143" s="29"/>
    </row>
    <row r="144" spans="3:4" x14ac:dyDescent="0.25">
      <c r="C144" s="38"/>
      <c r="D144" s="29"/>
    </row>
    <row r="145" spans="2:5" x14ac:dyDescent="0.25">
      <c r="C145" s="38"/>
      <c r="D145" s="29"/>
    </row>
    <row r="146" spans="2:5" x14ac:dyDescent="0.25">
      <c r="C146" s="38"/>
      <c r="D146" s="29"/>
    </row>
    <row r="147" spans="2:5" x14ac:dyDescent="0.25">
      <c r="C147" s="38"/>
      <c r="D147" s="29"/>
    </row>
    <row r="148" spans="2:5" x14ac:dyDescent="0.25">
      <c r="C148" s="38"/>
      <c r="D148" s="29"/>
    </row>
    <row r="149" spans="2:5" x14ac:dyDescent="0.25">
      <c r="C149" s="38"/>
      <c r="D149" s="29"/>
    </row>
    <row r="150" spans="2:5" x14ac:dyDescent="0.25">
      <c r="C150" s="38"/>
      <c r="D150" s="29"/>
    </row>
    <row r="151" spans="2:5" x14ac:dyDescent="0.25">
      <c r="C151" s="38"/>
      <c r="D151" s="29"/>
    </row>
    <row r="152" spans="2:5" x14ac:dyDescent="0.25">
      <c r="B152" s="24" t="s">
        <v>243</v>
      </c>
      <c r="C152" s="331" t="s">
        <v>242</v>
      </c>
      <c r="D152" s="29"/>
    </row>
    <row r="153" spans="2:5" x14ac:dyDescent="0.25">
      <c r="B153" s="24"/>
      <c r="C153" s="38" t="e">
        <f>(C87*0.24*0.9*0.662) * C24/100</f>
        <v>#DIV/0!</v>
      </c>
      <c r="D153" s="29"/>
    </row>
    <row r="154" spans="2:5" x14ac:dyDescent="0.25">
      <c r="B154" s="24"/>
      <c r="C154" s="39"/>
      <c r="D154" s="29"/>
    </row>
    <row r="155" spans="2:5" x14ac:dyDescent="0.25">
      <c r="B155" s="24" t="s">
        <v>244</v>
      </c>
      <c r="C155" s="38">
        <v>21</v>
      </c>
      <c r="D155" s="29"/>
    </row>
    <row r="156" spans="2:5" x14ac:dyDescent="0.25">
      <c r="B156" s="24" t="s">
        <v>246</v>
      </c>
      <c r="C156" s="40" t="e">
        <f>C153*C14*365*10^-6*C155</f>
        <v>#DIV/0!</v>
      </c>
      <c r="D156" s="29"/>
      <c r="E156" s="212"/>
    </row>
    <row r="157" spans="2:5" x14ac:dyDescent="0.25">
      <c r="B157" s="24" t="s">
        <v>247</v>
      </c>
      <c r="C157" s="38" t="e">
        <f>C156*10^3</f>
        <v>#DIV/0!</v>
      </c>
      <c r="D157" s="29"/>
    </row>
    <row r="158" spans="2:5" x14ac:dyDescent="0.25">
      <c r="B158" s="24"/>
      <c r="C158" s="39"/>
      <c r="D158" s="29"/>
    </row>
    <row r="159" spans="2:5" x14ac:dyDescent="0.25">
      <c r="B159" s="27" t="s">
        <v>171</v>
      </c>
      <c r="C159" s="37"/>
      <c r="D159" s="29"/>
    </row>
    <row r="160" spans="2:5" x14ac:dyDescent="0.25">
      <c r="B160" s="24"/>
      <c r="C160" s="38"/>
      <c r="D160" s="29"/>
    </row>
    <row r="161" spans="2:9" x14ac:dyDescent="0.25">
      <c r="B161" s="24" t="s">
        <v>243</v>
      </c>
      <c r="C161" s="38" t="e">
        <f>C153</f>
        <v>#DIV/0!</v>
      </c>
      <c r="D161" s="29"/>
    </row>
    <row r="162" spans="2:9" x14ac:dyDescent="0.25">
      <c r="B162" s="24"/>
      <c r="C162" s="40"/>
      <c r="D162" s="29"/>
    </row>
    <row r="163" spans="2:9" x14ac:dyDescent="0.25">
      <c r="B163" s="24" t="s">
        <v>244</v>
      </c>
      <c r="C163" s="38">
        <v>1</v>
      </c>
      <c r="D163" s="29"/>
    </row>
    <row r="164" spans="2:9" x14ac:dyDescent="0.25">
      <c r="B164" s="24" t="s">
        <v>246</v>
      </c>
      <c r="C164" s="40" t="e">
        <f>C161*C14*365*10^-6*C163</f>
        <v>#DIV/0!</v>
      </c>
      <c r="D164" s="29"/>
    </row>
    <row r="165" spans="2:9" x14ac:dyDescent="0.25">
      <c r="B165" s="24" t="s">
        <v>247</v>
      </c>
      <c r="C165" s="38" t="e">
        <f>C164*10^3</f>
        <v>#DIV/0!</v>
      </c>
      <c r="D165" s="29"/>
    </row>
    <row r="166" spans="2:9" x14ac:dyDescent="0.25">
      <c r="B166" s="24" t="s">
        <v>245</v>
      </c>
      <c r="C166" s="42" t="e">
        <f>(C157-C165)</f>
        <v>#DIV/0!</v>
      </c>
      <c r="D166" s="29"/>
    </row>
    <row r="167" spans="2:9" x14ac:dyDescent="0.25">
      <c r="B167" s="24"/>
      <c r="C167" s="39"/>
      <c r="D167" s="29"/>
    </row>
    <row r="168" spans="2:9" x14ac:dyDescent="0.25">
      <c r="B168" s="27" t="s">
        <v>177</v>
      </c>
      <c r="C168" s="29"/>
      <c r="D168" s="29"/>
      <c r="E168" s="29"/>
      <c r="F168" s="29"/>
      <c r="G168" s="29"/>
      <c r="H168" s="29"/>
      <c r="I168" s="29"/>
    </row>
    <row r="169" spans="2:9" x14ac:dyDescent="0.25">
      <c r="B169" s="24" t="s">
        <v>77</v>
      </c>
      <c r="C169" s="37" t="e">
        <f>C16*365*C14</f>
        <v>#DIV/0!</v>
      </c>
      <c r="D169" s="29"/>
      <c r="E169" s="29"/>
      <c r="F169" s="29"/>
      <c r="G169" s="29"/>
      <c r="H169" s="29"/>
      <c r="I169" s="29"/>
    </row>
    <row r="170" spans="2:9" x14ac:dyDescent="0.25">
      <c r="B170" s="24" t="s">
        <v>248</v>
      </c>
      <c r="C170" s="31" t="e">
        <f>C157</f>
        <v>#DIV/0!</v>
      </c>
      <c r="D170" s="29"/>
      <c r="E170" s="29"/>
      <c r="F170" s="29"/>
      <c r="G170" s="29"/>
      <c r="H170" s="29"/>
      <c r="I170" s="29"/>
    </row>
    <row r="171" spans="2:9" x14ac:dyDescent="0.25">
      <c r="B171" s="24" t="s">
        <v>79</v>
      </c>
      <c r="C171" s="37" t="e">
        <f>(C170*1000)/C169</f>
        <v>#DIV/0!</v>
      </c>
      <c r="D171" s="29"/>
      <c r="E171" s="29"/>
      <c r="F171" s="29"/>
      <c r="G171" s="29"/>
      <c r="H171" s="29"/>
      <c r="I171" s="29"/>
    </row>
    <row r="172" spans="2:9" x14ac:dyDescent="0.25">
      <c r="B172" s="24" t="s">
        <v>78</v>
      </c>
      <c r="C172" s="37" t="e">
        <f>C169</f>
        <v>#DIV/0!</v>
      </c>
      <c r="D172" s="29"/>
      <c r="E172" s="29"/>
      <c r="F172" s="29"/>
      <c r="G172" s="29"/>
      <c r="H172" s="29"/>
      <c r="I172" s="29"/>
    </row>
    <row r="173" spans="2:9" x14ac:dyDescent="0.25">
      <c r="B173" s="24" t="s">
        <v>248</v>
      </c>
      <c r="C173" s="37" t="e">
        <f>C165</f>
        <v>#DIV/0!</v>
      </c>
      <c r="D173" s="29"/>
      <c r="E173" s="29"/>
      <c r="F173" s="29"/>
      <c r="G173" s="29"/>
      <c r="H173" s="29"/>
      <c r="I173" s="29"/>
    </row>
    <row r="174" spans="2:9" x14ac:dyDescent="0.25">
      <c r="B174" s="24" t="s">
        <v>80</v>
      </c>
      <c r="C174" s="37" t="e">
        <f>(C173*1000)/C172</f>
        <v>#DIV/0!</v>
      </c>
      <c r="D174" s="29"/>
      <c r="E174" s="29"/>
      <c r="F174" s="29"/>
      <c r="G174" s="29"/>
      <c r="H174" s="29"/>
      <c r="I174" s="29"/>
    </row>
    <row r="175" spans="2:9" x14ac:dyDescent="0.25">
      <c r="B175" s="24" t="s">
        <v>81</v>
      </c>
      <c r="C175" s="37" t="e">
        <f>C171-C174</f>
        <v>#DIV/0!</v>
      </c>
      <c r="D175" s="29"/>
      <c r="E175" s="29"/>
      <c r="F175" s="29"/>
      <c r="G175" s="29"/>
      <c r="H175" s="29"/>
      <c r="I175" s="29"/>
    </row>
    <row r="176" spans="2:9" x14ac:dyDescent="0.25">
      <c r="B176" s="29"/>
      <c r="C176" s="37"/>
      <c r="D176" s="29"/>
    </row>
    <row r="177" spans="2:4" x14ac:dyDescent="0.25">
      <c r="B177" s="24" t="s">
        <v>162</v>
      </c>
      <c r="C177" s="215" t="e">
        <f>C175/C171</f>
        <v>#DIV/0!</v>
      </c>
      <c r="D177" s="29" t="s">
        <v>164</v>
      </c>
    </row>
    <row r="178" spans="2:4" x14ac:dyDescent="0.25">
      <c r="B178" s="24" t="s">
        <v>163</v>
      </c>
      <c r="C178" s="215" t="e">
        <f>C177</f>
        <v>#DIV/0!</v>
      </c>
      <c r="D178" s="29" t="s">
        <v>165</v>
      </c>
    </row>
    <row r="180" spans="2:4" s="29" customFormat="1" ht="12.75" x14ac:dyDescent="0.2">
      <c r="B180" s="27" t="s">
        <v>219</v>
      </c>
    </row>
    <row r="181" spans="2:4" s="29" customFormat="1" ht="12.75" x14ac:dyDescent="0.2">
      <c r="B181" s="29" t="s">
        <v>220</v>
      </c>
      <c r="C181" s="51">
        <f>365</f>
        <v>365</v>
      </c>
    </row>
    <row r="182" spans="2:4" s="29" customFormat="1" ht="12.75" x14ac:dyDescent="0.2">
      <c r="B182" s="29" t="s">
        <v>221</v>
      </c>
      <c r="C182" s="37">
        <f>C14</f>
        <v>0</v>
      </c>
    </row>
    <row r="183" spans="2:4" s="29" customFormat="1" ht="12.75" x14ac:dyDescent="0.2">
      <c r="B183" s="29" t="s">
        <v>222</v>
      </c>
      <c r="C183" s="49" t="e">
        <f>C16</f>
        <v>#DIV/0!</v>
      </c>
      <c r="D183" s="29" t="s">
        <v>223</v>
      </c>
    </row>
    <row r="184" spans="2:4" s="29" customFormat="1" ht="12.75" x14ac:dyDescent="0.2">
      <c r="B184" s="29" t="s">
        <v>224</v>
      </c>
      <c r="C184" s="49" t="e">
        <f>C175</f>
        <v>#DIV/0!</v>
      </c>
    </row>
    <row r="185" spans="2:4" s="29" customFormat="1" ht="12.75" x14ac:dyDescent="0.2">
      <c r="B185" s="29" t="s">
        <v>225</v>
      </c>
      <c r="C185" s="37" t="e">
        <f>(C181*C182*C183*C184)/1000</f>
        <v>#DIV/0!</v>
      </c>
      <c r="D185" s="52"/>
    </row>
    <row r="186" spans="2:4" s="29" customFormat="1" ht="12.75" x14ac:dyDescent="0.2">
      <c r="B186" s="29" t="s">
        <v>226</v>
      </c>
      <c r="C186" s="53">
        <f>C36</f>
        <v>6</v>
      </c>
    </row>
    <row r="187" spans="2:4" s="29" customFormat="1" ht="12.75" x14ac:dyDescent="0.2">
      <c r="B187" s="29" t="s">
        <v>228</v>
      </c>
      <c r="C187" s="54" t="e">
        <f>C186*C185</f>
        <v>#DIV/0!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8609" r:id="rId3" name="Spinner 1">
              <controlPr defaultSize="0" autoPict="0">
                <anchor moveWithCells="1" sizeWithCells="1">
                  <from>
                    <xdr:col>2</xdr:col>
                    <xdr:colOff>1238250</xdr:colOff>
                    <xdr:row>23</xdr:row>
                    <xdr:rowOff>57150</xdr:rowOff>
                  </from>
                  <to>
                    <xdr:col>2</xdr:col>
                    <xdr:colOff>1581150</xdr:colOff>
                    <xdr:row>24</xdr:row>
                    <xdr:rowOff>19050</xdr:rowOff>
                  </to>
                </anchor>
              </controlPr>
            </control>
          </mc:Choice>
        </mc:AlternateContent>
        <mc:AlternateContent xmlns:mc="http://schemas.openxmlformats.org/markup-compatibility/2006">
          <mc:Choice Requires="x14">
            <control shapeId="68610" r:id="rId4" name="Spinner 2">
              <controlPr defaultSize="0" autoPict="0">
                <anchor moveWithCells="1" sizeWithCells="1">
                  <from>
                    <xdr:col>2</xdr:col>
                    <xdr:colOff>1238250</xdr:colOff>
                    <xdr:row>29</xdr:row>
                    <xdr:rowOff>57150</xdr:rowOff>
                  </from>
                  <to>
                    <xdr:col>2</xdr:col>
                    <xdr:colOff>1581150</xdr:colOff>
                    <xdr:row>30</xdr:row>
                    <xdr:rowOff>0</xdr:rowOff>
                  </to>
                </anchor>
              </controlPr>
            </control>
          </mc:Choice>
        </mc:AlternateContent>
        <mc:AlternateContent xmlns:mc="http://schemas.openxmlformats.org/markup-compatibility/2006">
          <mc:Choice Requires="x14">
            <control shapeId="68611" r:id="rId5" name="Spinner 3">
              <controlPr defaultSize="0" autoPict="0">
                <anchor moveWithCells="1" sizeWithCells="1">
                  <from>
                    <xdr:col>2</xdr:col>
                    <xdr:colOff>1019175</xdr:colOff>
                    <xdr:row>32</xdr:row>
                    <xdr:rowOff>0</xdr:rowOff>
                  </from>
                  <to>
                    <xdr:col>2</xdr:col>
                    <xdr:colOff>1362075</xdr:colOff>
                    <xdr:row>32</xdr:row>
                    <xdr:rowOff>0</xdr:rowOff>
                  </to>
                </anchor>
              </controlPr>
            </control>
          </mc:Choice>
        </mc:AlternateContent>
        <mc:AlternateContent xmlns:mc="http://schemas.openxmlformats.org/markup-compatibility/2006">
          <mc:Choice Requires="x14">
            <control shapeId="68612" r:id="rId6" name="Spinner 4">
              <controlPr defaultSize="0" autoPict="0">
                <anchor moveWithCells="1" sizeWithCells="1">
                  <from>
                    <xdr:col>2</xdr:col>
                    <xdr:colOff>1238250</xdr:colOff>
                    <xdr:row>33</xdr:row>
                    <xdr:rowOff>38100</xdr:rowOff>
                  </from>
                  <to>
                    <xdr:col>2</xdr:col>
                    <xdr:colOff>1581150</xdr:colOff>
                    <xdr:row>33</xdr:row>
                    <xdr:rowOff>238125</xdr:rowOff>
                  </to>
                </anchor>
              </controlPr>
            </control>
          </mc:Choice>
        </mc:AlternateContent>
        <mc:AlternateContent xmlns:mc="http://schemas.openxmlformats.org/markup-compatibility/2006">
          <mc:Choice Requires="x14">
            <control shapeId="68613" r:id="rId7" name="Spinner 5">
              <controlPr defaultSize="0" autoPict="0">
                <anchor moveWithCells="1" sizeWithCells="1">
                  <from>
                    <xdr:col>2</xdr:col>
                    <xdr:colOff>1238250</xdr:colOff>
                    <xdr:row>35</xdr:row>
                    <xdr:rowOff>38100</xdr:rowOff>
                  </from>
                  <to>
                    <xdr:col>2</xdr:col>
                    <xdr:colOff>1581150</xdr:colOff>
                    <xdr:row>35</xdr:row>
                    <xdr:rowOff>238125</xdr:rowOff>
                  </to>
                </anchor>
              </controlPr>
            </control>
          </mc:Choice>
        </mc:AlternateContent>
        <mc:AlternateContent xmlns:mc="http://schemas.openxmlformats.org/markup-compatibility/2006">
          <mc:Choice Requires="x14">
            <control shapeId="68614" r:id="rId8" name="Spinner 6">
              <controlPr defaultSize="0" autoPict="0">
                <anchor moveWithCells="1" sizeWithCells="1">
                  <from>
                    <xdr:col>2</xdr:col>
                    <xdr:colOff>1019175</xdr:colOff>
                    <xdr:row>32</xdr:row>
                    <xdr:rowOff>0</xdr:rowOff>
                  </from>
                  <to>
                    <xdr:col>2</xdr:col>
                    <xdr:colOff>1362075</xdr:colOff>
                    <xdr:row>32</xdr:row>
                    <xdr:rowOff>0</xdr:rowOff>
                  </to>
                </anchor>
              </controlPr>
            </control>
          </mc:Choice>
        </mc:AlternateContent>
        <mc:AlternateContent xmlns:mc="http://schemas.openxmlformats.org/markup-compatibility/2006">
          <mc:Choice Requires="x14">
            <control shapeId="68615" r:id="rId9" name="Spinner 7">
              <controlPr defaultSize="0" autoPict="0">
                <anchor moveWithCells="1" sizeWithCells="1">
                  <from>
                    <xdr:col>2</xdr:col>
                    <xdr:colOff>1238250</xdr:colOff>
                    <xdr:row>31</xdr:row>
                    <xdr:rowOff>95250</xdr:rowOff>
                  </from>
                  <to>
                    <xdr:col>2</xdr:col>
                    <xdr:colOff>1581150</xdr:colOff>
                    <xdr:row>32</xdr:row>
                    <xdr:rowOff>38100</xdr:rowOff>
                  </to>
                </anchor>
              </controlPr>
            </control>
          </mc:Choice>
        </mc:AlternateContent>
        <mc:AlternateContent xmlns:mc="http://schemas.openxmlformats.org/markup-compatibility/2006">
          <mc:Choice Requires="x14">
            <control shapeId="68616" r:id="rId10" name="Spinner 8">
              <controlPr defaultSize="0" autoPict="0">
                <anchor moveWithCells="1" sizeWithCells="1">
                  <from>
                    <xdr:col>2</xdr:col>
                    <xdr:colOff>1238250</xdr:colOff>
                    <xdr:row>21</xdr:row>
                    <xdr:rowOff>57150</xdr:rowOff>
                  </from>
                  <to>
                    <xdr:col>2</xdr:col>
                    <xdr:colOff>1581150</xdr:colOff>
                    <xdr:row>22</xdr:row>
                    <xdr:rowOff>0</xdr:rowOff>
                  </to>
                </anchor>
              </controlPr>
            </control>
          </mc:Choice>
        </mc:AlternateContent>
        <mc:AlternateContent xmlns:mc="http://schemas.openxmlformats.org/markup-compatibility/2006">
          <mc:Choice Requires="x14">
            <control shapeId="68617" r:id="rId11" name="Spinner 9">
              <controlPr defaultSize="0" autoPict="0">
                <anchor moveWithCells="1" sizeWithCells="1">
                  <from>
                    <xdr:col>2</xdr:col>
                    <xdr:colOff>1238250</xdr:colOff>
                    <xdr:row>25</xdr:row>
                    <xdr:rowOff>28575</xdr:rowOff>
                  </from>
                  <to>
                    <xdr:col>2</xdr:col>
                    <xdr:colOff>1581150</xdr:colOff>
                    <xdr:row>25</xdr:row>
                    <xdr:rowOff>228600</xdr:rowOff>
                  </to>
                </anchor>
              </controlPr>
            </control>
          </mc:Choice>
        </mc:AlternateContent>
        <mc:AlternateContent xmlns:mc="http://schemas.openxmlformats.org/markup-compatibility/2006">
          <mc:Choice Requires="x14">
            <control shapeId="68618" r:id="rId12" name="Spinner 10">
              <controlPr defaultSize="0" autoPict="0">
                <anchor moveWithCells="1" sizeWithCells="1">
                  <from>
                    <xdr:col>2</xdr:col>
                    <xdr:colOff>1238250</xdr:colOff>
                    <xdr:row>27</xdr:row>
                    <xdr:rowOff>19050</xdr:rowOff>
                  </from>
                  <to>
                    <xdr:col>2</xdr:col>
                    <xdr:colOff>1581150</xdr:colOff>
                    <xdr:row>27</xdr:row>
                    <xdr:rowOff>219075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76"/>
  <sheetViews>
    <sheetView workbookViewId="0">
      <selection activeCell="Q1" sqref="Q1:U1"/>
    </sheetView>
  </sheetViews>
  <sheetFormatPr defaultRowHeight="15" x14ac:dyDescent="0.25"/>
  <cols>
    <col min="1" max="1" width="32.28515625" style="608" customWidth="1"/>
    <col min="2" max="4" width="8.85546875" style="608"/>
    <col min="5" max="5" width="12.5703125" style="608" bestFit="1" customWidth="1"/>
    <col min="6" max="6" width="11.5703125" style="608" customWidth="1"/>
    <col min="7" max="7" width="8.85546875" style="608" customWidth="1"/>
    <col min="8" max="11" width="8.85546875" style="608"/>
    <col min="12" max="12" width="8.85546875" style="608" customWidth="1"/>
    <col min="13" max="13" width="11.28515625" style="608" customWidth="1"/>
    <col min="14" max="14" width="18.28515625" style="608" customWidth="1"/>
    <col min="15" max="15" width="22.7109375" style="608" bestFit="1" customWidth="1"/>
    <col min="16" max="16" width="23.140625" style="608" bestFit="1" customWidth="1"/>
    <col min="17" max="17" width="19.5703125" style="608" customWidth="1"/>
    <col min="18" max="22" width="8.85546875" style="608"/>
    <col min="23" max="23" width="18.28515625" style="608" customWidth="1"/>
    <col min="24" max="24" width="22.7109375" style="608" bestFit="1" customWidth="1"/>
    <col min="25" max="25" width="23.140625" style="608" bestFit="1" customWidth="1"/>
    <col min="26" max="26" width="15.7109375" style="608" bestFit="1" customWidth="1"/>
    <col min="27" max="40" width="8.85546875" style="608"/>
    <col min="41" max="250" width="8.85546875" style="500"/>
    <col min="251" max="251" width="32.28515625" style="500" customWidth="1"/>
    <col min="252" max="257" width="8.85546875" style="500"/>
    <col min="258" max="258" width="12.5703125" style="500" bestFit="1" customWidth="1"/>
    <col min="259" max="259" width="11.5703125" style="500" customWidth="1"/>
    <col min="260" max="260" width="8.85546875" style="500" customWidth="1"/>
    <col min="261" max="506" width="8.85546875" style="500"/>
    <col min="507" max="507" width="32.28515625" style="500" customWidth="1"/>
    <col min="508" max="513" width="8.85546875" style="500"/>
    <col min="514" max="514" width="12.5703125" style="500" bestFit="1" customWidth="1"/>
    <col min="515" max="515" width="11.5703125" style="500" customWidth="1"/>
    <col min="516" max="516" width="8.85546875" style="500" customWidth="1"/>
    <col min="517" max="762" width="8.85546875" style="500"/>
    <col min="763" max="763" width="32.28515625" style="500" customWidth="1"/>
    <col min="764" max="769" width="8.85546875" style="500"/>
    <col min="770" max="770" width="12.5703125" style="500" bestFit="1" customWidth="1"/>
    <col min="771" max="771" width="11.5703125" style="500" customWidth="1"/>
    <col min="772" max="772" width="8.85546875" style="500" customWidth="1"/>
    <col min="773" max="1018" width="8.85546875" style="500"/>
    <col min="1019" max="1019" width="32.28515625" style="500" customWidth="1"/>
    <col min="1020" max="1025" width="8.85546875" style="500"/>
    <col min="1026" max="1026" width="12.5703125" style="500" bestFit="1" customWidth="1"/>
    <col min="1027" max="1027" width="11.5703125" style="500" customWidth="1"/>
    <col min="1028" max="1028" width="8.85546875" style="500" customWidth="1"/>
    <col min="1029" max="1274" width="8.85546875" style="500"/>
    <col min="1275" max="1275" width="32.28515625" style="500" customWidth="1"/>
    <col min="1276" max="1281" width="8.85546875" style="500"/>
    <col min="1282" max="1282" width="12.5703125" style="500" bestFit="1" customWidth="1"/>
    <col min="1283" max="1283" width="11.5703125" style="500" customWidth="1"/>
    <col min="1284" max="1284" width="8.85546875" style="500" customWidth="1"/>
    <col min="1285" max="1530" width="8.85546875" style="500"/>
    <col min="1531" max="1531" width="32.28515625" style="500" customWidth="1"/>
    <col min="1532" max="1537" width="8.85546875" style="500"/>
    <col min="1538" max="1538" width="12.5703125" style="500" bestFit="1" customWidth="1"/>
    <col min="1539" max="1539" width="11.5703125" style="500" customWidth="1"/>
    <col min="1540" max="1540" width="8.85546875" style="500" customWidth="1"/>
    <col min="1541" max="1786" width="8.85546875" style="500"/>
    <col min="1787" max="1787" width="32.28515625" style="500" customWidth="1"/>
    <col min="1788" max="1793" width="8.85546875" style="500"/>
    <col min="1794" max="1794" width="12.5703125" style="500" bestFit="1" customWidth="1"/>
    <col min="1795" max="1795" width="11.5703125" style="500" customWidth="1"/>
    <col min="1796" max="1796" width="8.85546875" style="500" customWidth="1"/>
    <col min="1797" max="2042" width="8.85546875" style="500"/>
    <col min="2043" max="2043" width="32.28515625" style="500" customWidth="1"/>
    <col min="2044" max="2049" width="8.85546875" style="500"/>
    <col min="2050" max="2050" width="12.5703125" style="500" bestFit="1" customWidth="1"/>
    <col min="2051" max="2051" width="11.5703125" style="500" customWidth="1"/>
    <col min="2052" max="2052" width="8.85546875" style="500" customWidth="1"/>
    <col min="2053" max="2298" width="8.85546875" style="500"/>
    <col min="2299" max="2299" width="32.28515625" style="500" customWidth="1"/>
    <col min="2300" max="2305" width="8.85546875" style="500"/>
    <col min="2306" max="2306" width="12.5703125" style="500" bestFit="1" customWidth="1"/>
    <col min="2307" max="2307" width="11.5703125" style="500" customWidth="1"/>
    <col min="2308" max="2308" width="8.85546875" style="500" customWidth="1"/>
    <col min="2309" max="2554" width="8.85546875" style="500"/>
    <col min="2555" max="2555" width="32.28515625" style="500" customWidth="1"/>
    <col min="2556" max="2561" width="8.85546875" style="500"/>
    <col min="2562" max="2562" width="12.5703125" style="500" bestFit="1" customWidth="1"/>
    <col min="2563" max="2563" width="11.5703125" style="500" customWidth="1"/>
    <col min="2564" max="2564" width="8.85546875" style="500" customWidth="1"/>
    <col min="2565" max="2810" width="8.85546875" style="500"/>
    <col min="2811" max="2811" width="32.28515625" style="500" customWidth="1"/>
    <col min="2812" max="2817" width="8.85546875" style="500"/>
    <col min="2818" max="2818" width="12.5703125" style="500" bestFit="1" customWidth="1"/>
    <col min="2819" max="2819" width="11.5703125" style="500" customWidth="1"/>
    <col min="2820" max="2820" width="8.85546875" style="500" customWidth="1"/>
    <col min="2821" max="3066" width="8.85546875" style="500"/>
    <col min="3067" max="3067" width="32.28515625" style="500" customWidth="1"/>
    <col min="3068" max="3073" width="8.85546875" style="500"/>
    <col min="3074" max="3074" width="12.5703125" style="500" bestFit="1" customWidth="1"/>
    <col min="3075" max="3075" width="11.5703125" style="500" customWidth="1"/>
    <col min="3076" max="3076" width="8.85546875" style="500" customWidth="1"/>
    <col min="3077" max="3322" width="8.85546875" style="500"/>
    <col min="3323" max="3323" width="32.28515625" style="500" customWidth="1"/>
    <col min="3324" max="3329" width="8.85546875" style="500"/>
    <col min="3330" max="3330" width="12.5703125" style="500" bestFit="1" customWidth="1"/>
    <col min="3331" max="3331" width="11.5703125" style="500" customWidth="1"/>
    <col min="3332" max="3332" width="8.85546875" style="500" customWidth="1"/>
    <col min="3333" max="3578" width="8.85546875" style="500"/>
    <col min="3579" max="3579" width="32.28515625" style="500" customWidth="1"/>
    <col min="3580" max="3585" width="8.85546875" style="500"/>
    <col min="3586" max="3586" width="12.5703125" style="500" bestFit="1" customWidth="1"/>
    <col min="3587" max="3587" width="11.5703125" style="500" customWidth="1"/>
    <col min="3588" max="3588" width="8.85546875" style="500" customWidth="1"/>
    <col min="3589" max="3834" width="8.85546875" style="500"/>
    <col min="3835" max="3835" width="32.28515625" style="500" customWidth="1"/>
    <col min="3836" max="3841" width="8.85546875" style="500"/>
    <col min="3842" max="3842" width="12.5703125" style="500" bestFit="1" customWidth="1"/>
    <col min="3843" max="3843" width="11.5703125" style="500" customWidth="1"/>
    <col min="3844" max="3844" width="8.85546875" style="500" customWidth="1"/>
    <col min="3845" max="4090" width="8.85546875" style="500"/>
    <col min="4091" max="4091" width="32.28515625" style="500" customWidth="1"/>
    <col min="4092" max="4097" width="8.85546875" style="500"/>
    <col min="4098" max="4098" width="12.5703125" style="500" bestFit="1" customWidth="1"/>
    <col min="4099" max="4099" width="11.5703125" style="500" customWidth="1"/>
    <col min="4100" max="4100" width="8.85546875" style="500" customWidth="1"/>
    <col min="4101" max="4346" width="8.85546875" style="500"/>
    <col min="4347" max="4347" width="32.28515625" style="500" customWidth="1"/>
    <col min="4348" max="4353" width="8.85546875" style="500"/>
    <col min="4354" max="4354" width="12.5703125" style="500" bestFit="1" customWidth="1"/>
    <col min="4355" max="4355" width="11.5703125" style="500" customWidth="1"/>
    <col min="4356" max="4356" width="8.85546875" style="500" customWidth="1"/>
    <col min="4357" max="4602" width="8.85546875" style="500"/>
    <col min="4603" max="4603" width="32.28515625" style="500" customWidth="1"/>
    <col min="4604" max="4609" width="8.85546875" style="500"/>
    <col min="4610" max="4610" width="12.5703125" style="500" bestFit="1" customWidth="1"/>
    <col min="4611" max="4611" width="11.5703125" style="500" customWidth="1"/>
    <col min="4612" max="4612" width="8.85546875" style="500" customWidth="1"/>
    <col min="4613" max="4858" width="8.85546875" style="500"/>
    <col min="4859" max="4859" width="32.28515625" style="500" customWidth="1"/>
    <col min="4860" max="4865" width="8.85546875" style="500"/>
    <col min="4866" max="4866" width="12.5703125" style="500" bestFit="1" customWidth="1"/>
    <col min="4867" max="4867" width="11.5703125" style="500" customWidth="1"/>
    <col min="4868" max="4868" width="8.85546875" style="500" customWidth="1"/>
    <col min="4869" max="5114" width="8.85546875" style="500"/>
    <col min="5115" max="5115" width="32.28515625" style="500" customWidth="1"/>
    <col min="5116" max="5121" width="8.85546875" style="500"/>
    <col min="5122" max="5122" width="12.5703125" style="500" bestFit="1" customWidth="1"/>
    <col min="5123" max="5123" width="11.5703125" style="500" customWidth="1"/>
    <col min="5124" max="5124" width="8.85546875" style="500" customWidth="1"/>
    <col min="5125" max="5370" width="8.85546875" style="500"/>
    <col min="5371" max="5371" width="32.28515625" style="500" customWidth="1"/>
    <col min="5372" max="5377" width="8.85546875" style="500"/>
    <col min="5378" max="5378" width="12.5703125" style="500" bestFit="1" customWidth="1"/>
    <col min="5379" max="5379" width="11.5703125" style="500" customWidth="1"/>
    <col min="5380" max="5380" width="8.85546875" style="500" customWidth="1"/>
    <col min="5381" max="5626" width="8.85546875" style="500"/>
    <col min="5627" max="5627" width="32.28515625" style="500" customWidth="1"/>
    <col min="5628" max="5633" width="8.85546875" style="500"/>
    <col min="5634" max="5634" width="12.5703125" style="500" bestFit="1" customWidth="1"/>
    <col min="5635" max="5635" width="11.5703125" style="500" customWidth="1"/>
    <col min="5636" max="5636" width="8.85546875" style="500" customWidth="1"/>
    <col min="5637" max="5882" width="8.85546875" style="500"/>
    <col min="5883" max="5883" width="32.28515625" style="500" customWidth="1"/>
    <col min="5884" max="5889" width="8.85546875" style="500"/>
    <col min="5890" max="5890" width="12.5703125" style="500" bestFit="1" customWidth="1"/>
    <col min="5891" max="5891" width="11.5703125" style="500" customWidth="1"/>
    <col min="5892" max="5892" width="8.85546875" style="500" customWidth="1"/>
    <col min="5893" max="6138" width="8.85546875" style="500"/>
    <col min="6139" max="6139" width="32.28515625" style="500" customWidth="1"/>
    <col min="6140" max="6145" width="8.85546875" style="500"/>
    <col min="6146" max="6146" width="12.5703125" style="500" bestFit="1" customWidth="1"/>
    <col min="6147" max="6147" width="11.5703125" style="500" customWidth="1"/>
    <col min="6148" max="6148" width="8.85546875" style="500" customWidth="1"/>
    <col min="6149" max="6394" width="8.85546875" style="500"/>
    <col min="6395" max="6395" width="32.28515625" style="500" customWidth="1"/>
    <col min="6396" max="6401" width="8.85546875" style="500"/>
    <col min="6402" max="6402" width="12.5703125" style="500" bestFit="1" customWidth="1"/>
    <col min="6403" max="6403" width="11.5703125" style="500" customWidth="1"/>
    <col min="6404" max="6404" width="8.85546875" style="500" customWidth="1"/>
    <col min="6405" max="6650" width="8.85546875" style="500"/>
    <col min="6651" max="6651" width="32.28515625" style="500" customWidth="1"/>
    <col min="6652" max="6657" width="8.85546875" style="500"/>
    <col min="6658" max="6658" width="12.5703125" style="500" bestFit="1" customWidth="1"/>
    <col min="6659" max="6659" width="11.5703125" style="500" customWidth="1"/>
    <col min="6660" max="6660" width="8.85546875" style="500" customWidth="1"/>
    <col min="6661" max="6906" width="8.85546875" style="500"/>
    <col min="6907" max="6907" width="32.28515625" style="500" customWidth="1"/>
    <col min="6908" max="6913" width="8.85546875" style="500"/>
    <col min="6914" max="6914" width="12.5703125" style="500" bestFit="1" customWidth="1"/>
    <col min="6915" max="6915" width="11.5703125" style="500" customWidth="1"/>
    <col min="6916" max="6916" width="8.85546875" style="500" customWidth="1"/>
    <col min="6917" max="7162" width="8.85546875" style="500"/>
    <col min="7163" max="7163" width="32.28515625" style="500" customWidth="1"/>
    <col min="7164" max="7169" width="8.85546875" style="500"/>
    <col min="7170" max="7170" width="12.5703125" style="500" bestFit="1" customWidth="1"/>
    <col min="7171" max="7171" width="11.5703125" style="500" customWidth="1"/>
    <col min="7172" max="7172" width="8.85546875" style="500" customWidth="1"/>
    <col min="7173" max="7418" width="8.85546875" style="500"/>
    <col min="7419" max="7419" width="32.28515625" style="500" customWidth="1"/>
    <col min="7420" max="7425" width="8.85546875" style="500"/>
    <col min="7426" max="7426" width="12.5703125" style="500" bestFit="1" customWidth="1"/>
    <col min="7427" max="7427" width="11.5703125" style="500" customWidth="1"/>
    <col min="7428" max="7428" width="8.85546875" style="500" customWidth="1"/>
    <col min="7429" max="7674" width="8.85546875" style="500"/>
    <col min="7675" max="7675" width="32.28515625" style="500" customWidth="1"/>
    <col min="7676" max="7681" width="8.85546875" style="500"/>
    <col min="7682" max="7682" width="12.5703125" style="500" bestFit="1" customWidth="1"/>
    <col min="7683" max="7683" width="11.5703125" style="500" customWidth="1"/>
    <col min="7684" max="7684" width="8.85546875" style="500" customWidth="1"/>
    <col min="7685" max="7930" width="8.85546875" style="500"/>
    <col min="7931" max="7931" width="32.28515625" style="500" customWidth="1"/>
    <col min="7932" max="7937" width="8.85546875" style="500"/>
    <col min="7938" max="7938" width="12.5703125" style="500" bestFit="1" customWidth="1"/>
    <col min="7939" max="7939" width="11.5703125" style="500" customWidth="1"/>
    <col min="7940" max="7940" width="8.85546875" style="500" customWidth="1"/>
    <col min="7941" max="8186" width="8.85546875" style="500"/>
    <col min="8187" max="8187" width="32.28515625" style="500" customWidth="1"/>
    <col min="8188" max="8193" width="8.85546875" style="500"/>
    <col min="8194" max="8194" width="12.5703125" style="500" bestFit="1" customWidth="1"/>
    <col min="8195" max="8195" width="11.5703125" style="500" customWidth="1"/>
    <col min="8196" max="8196" width="8.85546875" style="500" customWidth="1"/>
    <col min="8197" max="8442" width="8.85546875" style="500"/>
    <col min="8443" max="8443" width="32.28515625" style="500" customWidth="1"/>
    <col min="8444" max="8449" width="8.85546875" style="500"/>
    <col min="8450" max="8450" width="12.5703125" style="500" bestFit="1" customWidth="1"/>
    <col min="8451" max="8451" width="11.5703125" style="500" customWidth="1"/>
    <col min="8452" max="8452" width="8.85546875" style="500" customWidth="1"/>
    <col min="8453" max="8698" width="8.85546875" style="500"/>
    <col min="8699" max="8699" width="32.28515625" style="500" customWidth="1"/>
    <col min="8700" max="8705" width="8.85546875" style="500"/>
    <col min="8706" max="8706" width="12.5703125" style="500" bestFit="1" customWidth="1"/>
    <col min="8707" max="8707" width="11.5703125" style="500" customWidth="1"/>
    <col min="8708" max="8708" width="8.85546875" style="500" customWidth="1"/>
    <col min="8709" max="8954" width="8.85546875" style="500"/>
    <col min="8955" max="8955" width="32.28515625" style="500" customWidth="1"/>
    <col min="8956" max="8961" width="8.85546875" style="500"/>
    <col min="8962" max="8962" width="12.5703125" style="500" bestFit="1" customWidth="1"/>
    <col min="8963" max="8963" width="11.5703125" style="500" customWidth="1"/>
    <col min="8964" max="8964" width="8.85546875" style="500" customWidth="1"/>
    <col min="8965" max="9210" width="8.85546875" style="500"/>
    <col min="9211" max="9211" width="32.28515625" style="500" customWidth="1"/>
    <col min="9212" max="9217" width="8.85546875" style="500"/>
    <col min="9218" max="9218" width="12.5703125" style="500" bestFit="1" customWidth="1"/>
    <col min="9219" max="9219" width="11.5703125" style="500" customWidth="1"/>
    <col min="9220" max="9220" width="8.85546875" style="500" customWidth="1"/>
    <col min="9221" max="9466" width="8.85546875" style="500"/>
    <col min="9467" max="9467" width="32.28515625" style="500" customWidth="1"/>
    <col min="9468" max="9473" width="8.85546875" style="500"/>
    <col min="9474" max="9474" width="12.5703125" style="500" bestFit="1" customWidth="1"/>
    <col min="9475" max="9475" width="11.5703125" style="500" customWidth="1"/>
    <col min="9476" max="9476" width="8.85546875" style="500" customWidth="1"/>
    <col min="9477" max="9722" width="8.85546875" style="500"/>
    <col min="9723" max="9723" width="32.28515625" style="500" customWidth="1"/>
    <col min="9724" max="9729" width="8.85546875" style="500"/>
    <col min="9730" max="9730" width="12.5703125" style="500" bestFit="1" customWidth="1"/>
    <col min="9731" max="9731" width="11.5703125" style="500" customWidth="1"/>
    <col min="9732" max="9732" width="8.85546875" style="500" customWidth="1"/>
    <col min="9733" max="9978" width="8.85546875" style="500"/>
    <col min="9979" max="9979" width="32.28515625" style="500" customWidth="1"/>
    <col min="9980" max="9985" width="8.85546875" style="500"/>
    <col min="9986" max="9986" width="12.5703125" style="500" bestFit="1" customWidth="1"/>
    <col min="9987" max="9987" width="11.5703125" style="500" customWidth="1"/>
    <col min="9988" max="9988" width="8.85546875" style="500" customWidth="1"/>
    <col min="9989" max="10234" width="8.85546875" style="500"/>
    <col min="10235" max="10235" width="32.28515625" style="500" customWidth="1"/>
    <col min="10236" max="10241" width="8.85546875" style="500"/>
    <col min="10242" max="10242" width="12.5703125" style="500" bestFit="1" customWidth="1"/>
    <col min="10243" max="10243" width="11.5703125" style="500" customWidth="1"/>
    <col min="10244" max="10244" width="8.85546875" style="500" customWidth="1"/>
    <col min="10245" max="10490" width="8.85546875" style="500"/>
    <col min="10491" max="10491" width="32.28515625" style="500" customWidth="1"/>
    <col min="10492" max="10497" width="8.85546875" style="500"/>
    <col min="10498" max="10498" width="12.5703125" style="500" bestFit="1" customWidth="1"/>
    <col min="10499" max="10499" width="11.5703125" style="500" customWidth="1"/>
    <col min="10500" max="10500" width="8.85546875" style="500" customWidth="1"/>
    <col min="10501" max="10746" width="8.85546875" style="500"/>
    <col min="10747" max="10747" width="32.28515625" style="500" customWidth="1"/>
    <col min="10748" max="10753" width="8.85546875" style="500"/>
    <col min="10754" max="10754" width="12.5703125" style="500" bestFit="1" customWidth="1"/>
    <col min="10755" max="10755" width="11.5703125" style="500" customWidth="1"/>
    <col min="10756" max="10756" width="8.85546875" style="500" customWidth="1"/>
    <col min="10757" max="11002" width="8.85546875" style="500"/>
    <col min="11003" max="11003" width="32.28515625" style="500" customWidth="1"/>
    <col min="11004" max="11009" width="8.85546875" style="500"/>
    <col min="11010" max="11010" width="12.5703125" style="500" bestFit="1" customWidth="1"/>
    <col min="11011" max="11011" width="11.5703125" style="500" customWidth="1"/>
    <col min="11012" max="11012" width="8.85546875" style="500" customWidth="1"/>
    <col min="11013" max="11258" width="8.85546875" style="500"/>
    <col min="11259" max="11259" width="32.28515625" style="500" customWidth="1"/>
    <col min="11260" max="11265" width="8.85546875" style="500"/>
    <col min="11266" max="11266" width="12.5703125" style="500" bestFit="1" customWidth="1"/>
    <col min="11267" max="11267" width="11.5703125" style="500" customWidth="1"/>
    <col min="11268" max="11268" width="8.85546875" style="500" customWidth="1"/>
    <col min="11269" max="11514" width="8.85546875" style="500"/>
    <col min="11515" max="11515" width="32.28515625" style="500" customWidth="1"/>
    <col min="11516" max="11521" width="8.85546875" style="500"/>
    <col min="11522" max="11522" width="12.5703125" style="500" bestFit="1" customWidth="1"/>
    <col min="11523" max="11523" width="11.5703125" style="500" customWidth="1"/>
    <col min="11524" max="11524" width="8.85546875" style="500" customWidth="1"/>
    <col min="11525" max="11770" width="8.85546875" style="500"/>
    <col min="11771" max="11771" width="32.28515625" style="500" customWidth="1"/>
    <col min="11772" max="11777" width="8.85546875" style="500"/>
    <col min="11778" max="11778" width="12.5703125" style="500" bestFit="1" customWidth="1"/>
    <col min="11779" max="11779" width="11.5703125" style="500" customWidth="1"/>
    <col min="11780" max="11780" width="8.85546875" style="500" customWidth="1"/>
    <col min="11781" max="12026" width="8.85546875" style="500"/>
    <col min="12027" max="12027" width="32.28515625" style="500" customWidth="1"/>
    <col min="12028" max="12033" width="8.85546875" style="500"/>
    <col min="12034" max="12034" width="12.5703125" style="500" bestFit="1" customWidth="1"/>
    <col min="12035" max="12035" width="11.5703125" style="500" customWidth="1"/>
    <col min="12036" max="12036" width="8.85546875" style="500" customWidth="1"/>
    <col min="12037" max="12282" width="8.85546875" style="500"/>
    <col min="12283" max="12283" width="32.28515625" style="500" customWidth="1"/>
    <col min="12284" max="12289" width="8.85546875" style="500"/>
    <col min="12290" max="12290" width="12.5703125" style="500" bestFit="1" customWidth="1"/>
    <col min="12291" max="12291" width="11.5703125" style="500" customWidth="1"/>
    <col min="12292" max="12292" width="8.85546875" style="500" customWidth="1"/>
    <col min="12293" max="12538" width="8.85546875" style="500"/>
    <col min="12539" max="12539" width="32.28515625" style="500" customWidth="1"/>
    <col min="12540" max="12545" width="8.85546875" style="500"/>
    <col min="12546" max="12546" width="12.5703125" style="500" bestFit="1" customWidth="1"/>
    <col min="12547" max="12547" width="11.5703125" style="500" customWidth="1"/>
    <col min="12548" max="12548" width="8.85546875" style="500" customWidth="1"/>
    <col min="12549" max="12794" width="8.85546875" style="500"/>
    <col min="12795" max="12795" width="32.28515625" style="500" customWidth="1"/>
    <col min="12796" max="12801" width="8.85546875" style="500"/>
    <col min="12802" max="12802" width="12.5703125" style="500" bestFit="1" customWidth="1"/>
    <col min="12803" max="12803" width="11.5703125" style="500" customWidth="1"/>
    <col min="12804" max="12804" width="8.85546875" style="500" customWidth="1"/>
    <col min="12805" max="13050" width="8.85546875" style="500"/>
    <col min="13051" max="13051" width="32.28515625" style="500" customWidth="1"/>
    <col min="13052" max="13057" width="8.85546875" style="500"/>
    <col min="13058" max="13058" width="12.5703125" style="500" bestFit="1" customWidth="1"/>
    <col min="13059" max="13059" width="11.5703125" style="500" customWidth="1"/>
    <col min="13060" max="13060" width="8.85546875" style="500" customWidth="1"/>
    <col min="13061" max="13306" width="8.85546875" style="500"/>
    <col min="13307" max="13307" width="32.28515625" style="500" customWidth="1"/>
    <col min="13308" max="13313" width="8.85546875" style="500"/>
    <col min="13314" max="13314" width="12.5703125" style="500" bestFit="1" customWidth="1"/>
    <col min="13315" max="13315" width="11.5703125" style="500" customWidth="1"/>
    <col min="13316" max="13316" width="8.85546875" style="500" customWidth="1"/>
    <col min="13317" max="13562" width="8.85546875" style="500"/>
    <col min="13563" max="13563" width="32.28515625" style="500" customWidth="1"/>
    <col min="13564" max="13569" width="8.85546875" style="500"/>
    <col min="13570" max="13570" width="12.5703125" style="500" bestFit="1" customWidth="1"/>
    <col min="13571" max="13571" width="11.5703125" style="500" customWidth="1"/>
    <col min="13572" max="13572" width="8.85546875" style="500" customWidth="1"/>
    <col min="13573" max="13818" width="8.85546875" style="500"/>
    <col min="13819" max="13819" width="32.28515625" style="500" customWidth="1"/>
    <col min="13820" max="13825" width="8.85546875" style="500"/>
    <col min="13826" max="13826" width="12.5703125" style="500" bestFit="1" customWidth="1"/>
    <col min="13827" max="13827" width="11.5703125" style="500" customWidth="1"/>
    <col min="13828" max="13828" width="8.85546875" style="500" customWidth="1"/>
    <col min="13829" max="14074" width="8.85546875" style="500"/>
    <col min="14075" max="14075" width="32.28515625" style="500" customWidth="1"/>
    <col min="14076" max="14081" width="8.85546875" style="500"/>
    <col min="14082" max="14082" width="12.5703125" style="500" bestFit="1" customWidth="1"/>
    <col min="14083" max="14083" width="11.5703125" style="500" customWidth="1"/>
    <col min="14084" max="14084" width="8.85546875" style="500" customWidth="1"/>
    <col min="14085" max="14330" width="8.85546875" style="500"/>
    <col min="14331" max="14331" width="32.28515625" style="500" customWidth="1"/>
    <col min="14332" max="14337" width="8.85546875" style="500"/>
    <col min="14338" max="14338" width="12.5703125" style="500" bestFit="1" customWidth="1"/>
    <col min="14339" max="14339" width="11.5703125" style="500" customWidth="1"/>
    <col min="14340" max="14340" width="8.85546875" style="500" customWidth="1"/>
    <col min="14341" max="14586" width="8.85546875" style="500"/>
    <col min="14587" max="14587" width="32.28515625" style="500" customWidth="1"/>
    <col min="14588" max="14593" width="8.85546875" style="500"/>
    <col min="14594" max="14594" width="12.5703125" style="500" bestFit="1" customWidth="1"/>
    <col min="14595" max="14595" width="11.5703125" style="500" customWidth="1"/>
    <col min="14596" max="14596" width="8.85546875" style="500" customWidth="1"/>
    <col min="14597" max="14842" width="8.85546875" style="500"/>
    <col min="14843" max="14843" width="32.28515625" style="500" customWidth="1"/>
    <col min="14844" max="14849" width="8.85546875" style="500"/>
    <col min="14850" max="14850" width="12.5703125" style="500" bestFit="1" customWidth="1"/>
    <col min="14851" max="14851" width="11.5703125" style="500" customWidth="1"/>
    <col min="14852" max="14852" width="8.85546875" style="500" customWidth="1"/>
    <col min="14853" max="15098" width="8.85546875" style="500"/>
    <col min="15099" max="15099" width="32.28515625" style="500" customWidth="1"/>
    <col min="15100" max="15105" width="8.85546875" style="500"/>
    <col min="15106" max="15106" width="12.5703125" style="500" bestFit="1" customWidth="1"/>
    <col min="15107" max="15107" width="11.5703125" style="500" customWidth="1"/>
    <col min="15108" max="15108" width="8.85546875" style="500" customWidth="1"/>
    <col min="15109" max="15354" width="8.85546875" style="500"/>
    <col min="15355" max="15355" width="32.28515625" style="500" customWidth="1"/>
    <col min="15356" max="15361" width="8.85546875" style="500"/>
    <col min="15362" max="15362" width="12.5703125" style="500" bestFit="1" customWidth="1"/>
    <col min="15363" max="15363" width="11.5703125" style="500" customWidth="1"/>
    <col min="15364" max="15364" width="8.85546875" style="500" customWidth="1"/>
    <col min="15365" max="15610" width="8.85546875" style="500"/>
    <col min="15611" max="15611" width="32.28515625" style="500" customWidth="1"/>
    <col min="15612" max="15617" width="8.85546875" style="500"/>
    <col min="15618" max="15618" width="12.5703125" style="500" bestFit="1" customWidth="1"/>
    <col min="15619" max="15619" width="11.5703125" style="500" customWidth="1"/>
    <col min="15620" max="15620" width="8.85546875" style="500" customWidth="1"/>
    <col min="15621" max="15866" width="8.85546875" style="500"/>
    <col min="15867" max="15867" width="32.28515625" style="500" customWidth="1"/>
    <col min="15868" max="15873" width="8.85546875" style="500"/>
    <col min="15874" max="15874" width="12.5703125" style="500" bestFit="1" customWidth="1"/>
    <col min="15875" max="15875" width="11.5703125" style="500" customWidth="1"/>
    <col min="15876" max="15876" width="8.85546875" style="500" customWidth="1"/>
    <col min="15877" max="16122" width="8.85546875" style="500"/>
    <col min="16123" max="16123" width="32.28515625" style="500" customWidth="1"/>
    <col min="16124" max="16129" width="8.85546875" style="500"/>
    <col min="16130" max="16130" width="12.5703125" style="500" bestFit="1" customWidth="1"/>
    <col min="16131" max="16131" width="11.5703125" style="500" customWidth="1"/>
    <col min="16132" max="16132" width="8.85546875" style="500" customWidth="1"/>
    <col min="16133" max="16384" width="8.85546875" style="500"/>
  </cols>
  <sheetData>
    <row r="1" spans="1:21" ht="30" customHeight="1" x14ac:dyDescent="0.25">
      <c r="A1" s="2240" t="s">
        <v>1219</v>
      </c>
      <c r="B1" s="2240"/>
      <c r="C1" s="2240"/>
      <c r="D1" s="2240"/>
      <c r="E1" s="1007"/>
      <c r="Q1" s="2241" t="s">
        <v>1347</v>
      </c>
      <c r="R1" s="2241"/>
      <c r="S1" s="2241"/>
      <c r="T1" s="2241"/>
      <c r="U1" s="2241"/>
    </row>
    <row r="2" spans="1:21" ht="17.45" customHeight="1" x14ac:dyDescent="0.3">
      <c r="A2" s="558"/>
      <c r="B2" s="558"/>
      <c r="C2" s="558"/>
      <c r="D2" s="558"/>
      <c r="L2" s="970" t="s">
        <v>1230</v>
      </c>
      <c r="Q2" s="1024"/>
      <c r="R2" s="1024"/>
      <c r="S2" s="1024"/>
    </row>
    <row r="3" spans="1:21" ht="13.9" customHeight="1" x14ac:dyDescent="0.3">
      <c r="A3" s="970" t="s">
        <v>1353</v>
      </c>
      <c r="B3" s="558"/>
      <c r="C3" s="558"/>
      <c r="D3" s="558"/>
      <c r="Q3" s="1024"/>
      <c r="R3" s="1024"/>
      <c r="S3" s="1024"/>
    </row>
    <row r="4" spans="1:21" x14ac:dyDescent="0.25">
      <c r="L4" s="608" t="s">
        <v>1234</v>
      </c>
    </row>
    <row r="5" spans="1:21" x14ac:dyDescent="0.25">
      <c r="A5" s="1023" t="s">
        <v>1352</v>
      </c>
      <c r="L5" s="608" t="s">
        <v>1235</v>
      </c>
      <c r="N5" s="971"/>
      <c r="O5" s="971"/>
    </row>
    <row r="6" spans="1:21" ht="14.45" customHeight="1" x14ac:dyDescent="0.25">
      <c r="A6" s="558"/>
      <c r="N6" s="971"/>
      <c r="O6" s="971"/>
      <c r="T6" s="1007"/>
    </row>
    <row r="7" spans="1:21" ht="14.45" customHeight="1" x14ac:dyDescent="0.25">
      <c r="A7" s="1025"/>
      <c r="B7" s="2232" t="s">
        <v>1163</v>
      </c>
      <c r="C7" s="2233"/>
      <c r="D7" s="2234"/>
      <c r="E7" s="2238" t="s">
        <v>1164</v>
      </c>
      <c r="F7" s="2233"/>
      <c r="G7" s="2234"/>
      <c r="H7" s="2238" t="s">
        <v>1165</v>
      </c>
      <c r="I7" s="2233"/>
      <c r="J7" s="2234"/>
      <c r="L7" s="608" t="s">
        <v>1231</v>
      </c>
      <c r="N7" s="971"/>
      <c r="O7" s="971"/>
    </row>
    <row r="8" spans="1:21" ht="14.45" customHeight="1" x14ac:dyDescent="0.25">
      <c r="A8" s="1026"/>
      <c r="B8" s="2235"/>
      <c r="C8" s="2236"/>
      <c r="D8" s="2237"/>
      <c r="E8" s="2239"/>
      <c r="F8" s="2236"/>
      <c r="G8" s="2237"/>
      <c r="H8" s="2239"/>
      <c r="I8" s="2236"/>
      <c r="J8" s="2237"/>
      <c r="N8" s="971"/>
      <c r="O8" s="971"/>
    </row>
    <row r="9" spans="1:21" ht="18.75" x14ac:dyDescent="0.3">
      <c r="A9" s="968" t="s">
        <v>1168</v>
      </c>
      <c r="B9" s="1971" t="s">
        <v>1166</v>
      </c>
      <c r="C9" s="2230" t="s">
        <v>1167</v>
      </c>
      <c r="D9" s="2231"/>
      <c r="E9" s="1973" t="s">
        <v>1166</v>
      </c>
      <c r="F9" s="2230" t="s">
        <v>1167</v>
      </c>
      <c r="G9" s="2231"/>
      <c r="H9" s="1973" t="s">
        <v>1166</v>
      </c>
      <c r="I9" s="2230" t="s">
        <v>1167</v>
      </c>
      <c r="J9" s="2231"/>
      <c r="L9" s="608" t="s">
        <v>1236</v>
      </c>
      <c r="N9" s="971"/>
      <c r="O9" s="971"/>
      <c r="R9" s="2"/>
    </row>
    <row r="10" spans="1:21" x14ac:dyDescent="0.25">
      <c r="A10" s="969" t="s">
        <v>1169</v>
      </c>
      <c r="B10" s="1967">
        <v>88.7</v>
      </c>
      <c r="C10" s="1967">
        <v>81.2</v>
      </c>
      <c r="D10" s="1968">
        <v>97</v>
      </c>
      <c r="E10" s="1963">
        <v>79.520573566084792</v>
      </c>
      <c r="F10" s="1963">
        <v>55.599750623441395</v>
      </c>
      <c r="G10" s="1963">
        <v>87.278678304239406</v>
      </c>
      <c r="H10" s="1967">
        <v>10.8</v>
      </c>
      <c r="I10" s="1967">
        <v>6.3</v>
      </c>
      <c r="J10" s="1964">
        <v>19</v>
      </c>
      <c r="O10" s="971"/>
    </row>
    <row r="11" spans="1:21" x14ac:dyDescent="0.25">
      <c r="A11" s="969" t="s">
        <v>1170</v>
      </c>
      <c r="B11" s="1969">
        <v>28.2</v>
      </c>
      <c r="C11" s="1969">
        <v>13.9</v>
      </c>
      <c r="D11" s="1969">
        <v>60.6</v>
      </c>
      <c r="E11" s="1965">
        <v>69.822942643391528</v>
      </c>
      <c r="F11" s="1965">
        <v>53.660224438902752</v>
      </c>
      <c r="G11" s="1965">
        <v>90.511221945137152</v>
      </c>
      <c r="H11" s="1969">
        <v>21.6</v>
      </c>
      <c r="I11" s="1969">
        <v>9.8000000000000007</v>
      </c>
      <c r="J11" s="1966">
        <v>28.8</v>
      </c>
      <c r="L11" s="965" t="s">
        <v>1232</v>
      </c>
      <c r="M11" s="965"/>
      <c r="N11" s="978">
        <v>10.5</v>
      </c>
      <c r="O11" s="1027" t="s">
        <v>1345</v>
      </c>
    </row>
    <row r="12" spans="1:21" x14ac:dyDescent="0.25">
      <c r="A12" s="969" t="s">
        <v>1171</v>
      </c>
      <c r="B12" s="1970">
        <v>90.5</v>
      </c>
      <c r="C12" s="1970">
        <v>87.4</v>
      </c>
      <c r="D12" s="1970">
        <v>93.5</v>
      </c>
      <c r="E12" s="1966">
        <v>78.227556109725683</v>
      </c>
      <c r="F12" s="1966">
        <v>63.357855361596009</v>
      </c>
      <c r="G12" s="1966">
        <v>99</v>
      </c>
      <c r="H12" s="1970">
        <v>37.5</v>
      </c>
      <c r="I12" s="1970">
        <v>27.4</v>
      </c>
      <c r="J12" s="1966">
        <v>42.1</v>
      </c>
      <c r="L12" s="965"/>
      <c r="M12" s="965"/>
      <c r="N12" s="966"/>
      <c r="O12" s="966"/>
    </row>
    <row r="13" spans="1:21" x14ac:dyDescent="0.25">
      <c r="A13" s="969" t="s">
        <v>1172</v>
      </c>
      <c r="B13" s="1970">
        <v>10</v>
      </c>
      <c r="C13" s="1970">
        <v>8</v>
      </c>
      <c r="D13" s="1970">
        <v>15.5</v>
      </c>
      <c r="E13" s="1966">
        <v>82.106608478802983</v>
      </c>
      <c r="F13" s="1966">
        <v>56.892768079800504</v>
      </c>
      <c r="G13" s="1966">
        <v>91.804239401496261</v>
      </c>
      <c r="H13" s="1970">
        <v>9.8000000000000007</v>
      </c>
      <c r="I13" s="1970">
        <v>6.5</v>
      </c>
      <c r="J13" s="1966">
        <v>15.3</v>
      </c>
      <c r="L13" s="965" t="s">
        <v>1233</v>
      </c>
      <c r="M13" s="965"/>
      <c r="N13" s="967">
        <f>IF(N11="","",IF(N11=0,"",(N11+1.037)/0.1604))</f>
        <v>71.926433915211973</v>
      </c>
      <c r="O13" s="966" t="s">
        <v>259</v>
      </c>
    </row>
    <row r="14" spans="1:21" x14ac:dyDescent="0.25">
      <c r="A14" s="969" t="s">
        <v>1173</v>
      </c>
      <c r="B14" s="1970">
        <v>14.3</v>
      </c>
      <c r="C14" s="1970">
        <v>10.6</v>
      </c>
      <c r="D14" s="1970">
        <v>17.3</v>
      </c>
      <c r="E14" s="1966">
        <v>83.399625935162106</v>
      </c>
      <c r="F14" s="1966">
        <v>62.064837905236914</v>
      </c>
      <c r="G14" s="1966">
        <v>93.743765586034911</v>
      </c>
      <c r="H14" s="1970">
        <v>8.6</v>
      </c>
      <c r="I14" s="1970">
        <v>6</v>
      </c>
      <c r="J14" s="1966">
        <v>11.9</v>
      </c>
      <c r="N14" s="971"/>
      <c r="O14" s="1028"/>
    </row>
    <row r="15" spans="1:21" x14ac:dyDescent="0.25">
      <c r="A15" s="969" t="s">
        <v>1174</v>
      </c>
      <c r="B15" s="1970">
        <v>89.8</v>
      </c>
      <c r="C15" s="1970">
        <v>87.5</v>
      </c>
      <c r="D15" s="1970">
        <v>95.3</v>
      </c>
      <c r="E15" s="1966">
        <v>71.762468827930164</v>
      </c>
      <c r="F15" s="1966">
        <v>62.064837905236914</v>
      </c>
      <c r="G15" s="1966">
        <v>82.106608478802983</v>
      </c>
      <c r="H15" s="1970">
        <v>43.5</v>
      </c>
      <c r="I15" s="1970">
        <v>39.5</v>
      </c>
      <c r="J15" s="1966">
        <v>48</v>
      </c>
      <c r="N15" s="971"/>
      <c r="O15" s="971"/>
    </row>
    <row r="16" spans="1:21" x14ac:dyDescent="0.25">
      <c r="A16" s="969" t="s">
        <v>1175</v>
      </c>
      <c r="B16" s="1970">
        <v>55.1</v>
      </c>
      <c r="C16" s="1970">
        <v>19.600000000000001</v>
      </c>
      <c r="D16" s="1970">
        <v>93.9</v>
      </c>
      <c r="E16" s="1966">
        <v>40.730049875311721</v>
      </c>
      <c r="F16" s="1966">
        <v>14.869700748129674</v>
      </c>
      <c r="G16" s="1966">
        <v>78.227556109725683</v>
      </c>
      <c r="H16" s="1970">
        <v>12.1</v>
      </c>
      <c r="I16" s="1970">
        <v>5.4</v>
      </c>
      <c r="J16" s="1966">
        <v>17.2</v>
      </c>
      <c r="N16" s="971"/>
      <c r="O16" s="971"/>
    </row>
    <row r="17" spans="1:18" ht="18.75" x14ac:dyDescent="0.3">
      <c r="A17" s="969" t="s">
        <v>1176</v>
      </c>
      <c r="B17" s="1970">
        <v>91.6</v>
      </c>
      <c r="C17" s="1970">
        <v>86.1</v>
      </c>
      <c r="D17" s="1970">
        <v>95.5</v>
      </c>
      <c r="E17" s="1966">
        <v>81.460099750623442</v>
      </c>
      <c r="F17" s="1966">
        <v>72.408977556109718</v>
      </c>
      <c r="G17" s="1966">
        <v>96.32980049875313</v>
      </c>
      <c r="H17" s="1970">
        <v>32</v>
      </c>
      <c r="I17" s="1970">
        <v>21.3</v>
      </c>
      <c r="J17" s="1966">
        <v>43.2</v>
      </c>
      <c r="L17" s="970" t="s">
        <v>1310</v>
      </c>
    </row>
    <row r="18" spans="1:18" x14ac:dyDescent="0.25">
      <c r="A18" s="969" t="s">
        <v>1177</v>
      </c>
      <c r="B18" s="1970">
        <v>84.2</v>
      </c>
      <c r="C18" s="1970">
        <v>60.3</v>
      </c>
      <c r="D18" s="1970">
        <v>96.4</v>
      </c>
      <c r="E18" s="1966">
        <v>89.218204488778056</v>
      </c>
      <c r="F18" s="1966">
        <v>79.520573566084792</v>
      </c>
      <c r="G18" s="1966">
        <v>96.32980049875313</v>
      </c>
      <c r="H18" s="1970">
        <v>10</v>
      </c>
      <c r="I18" s="1970">
        <v>7.3</v>
      </c>
      <c r="J18" s="1966">
        <v>21.9</v>
      </c>
    </row>
    <row r="19" spans="1:18" x14ac:dyDescent="0.25">
      <c r="A19" s="969" t="s">
        <v>1178</v>
      </c>
      <c r="B19" s="1970"/>
      <c r="C19" s="1970"/>
      <c r="D19" s="1970"/>
      <c r="E19" s="1966">
        <v>66.599999999999994</v>
      </c>
      <c r="F19" s="1970"/>
      <c r="G19" s="1970"/>
      <c r="H19" s="1970">
        <v>4</v>
      </c>
      <c r="I19" s="1970">
        <v>3</v>
      </c>
      <c r="J19" s="1966">
        <v>5</v>
      </c>
      <c r="L19" s="608" t="s">
        <v>1700</v>
      </c>
    </row>
    <row r="20" spans="1:18" x14ac:dyDescent="0.25">
      <c r="A20" s="969" t="s">
        <v>1179</v>
      </c>
      <c r="B20" s="1970">
        <v>91.1</v>
      </c>
      <c r="C20" s="1970">
        <v>80</v>
      </c>
      <c r="D20" s="1970">
        <v>93.3</v>
      </c>
      <c r="E20" s="1966">
        <v>66.590399002493768</v>
      </c>
      <c r="F20" s="1966">
        <v>38.144014962593516</v>
      </c>
      <c r="G20" s="1966">
        <v>91.804239401496261</v>
      </c>
      <c r="H20" s="1970">
        <v>9</v>
      </c>
      <c r="I20" s="1970">
        <v>4</v>
      </c>
      <c r="J20" s="1966">
        <v>15.4</v>
      </c>
      <c r="L20" s="608" t="s">
        <v>1701</v>
      </c>
    </row>
    <row r="21" spans="1:18" x14ac:dyDescent="0.25">
      <c r="A21" s="969" t="s">
        <v>1180</v>
      </c>
      <c r="B21" s="1970">
        <v>90.4</v>
      </c>
      <c r="C21" s="1970">
        <v>89.9</v>
      </c>
      <c r="D21" s="1970">
        <v>90.8</v>
      </c>
      <c r="E21" s="1966">
        <v>89.864713216957611</v>
      </c>
      <c r="F21" s="1966">
        <v>60.125311720698257</v>
      </c>
      <c r="G21" s="1966">
        <v>97.622817955112211</v>
      </c>
      <c r="H21" s="1970">
        <v>15.5</v>
      </c>
      <c r="I21" s="1970">
        <v>12.9</v>
      </c>
      <c r="J21" s="1966">
        <v>19.600000000000001</v>
      </c>
    </row>
    <row r="22" spans="1:18" x14ac:dyDescent="0.25">
      <c r="A22" s="969" t="s">
        <v>1181</v>
      </c>
      <c r="B22" s="1970">
        <v>89.6</v>
      </c>
      <c r="C22" s="1970">
        <v>86.2</v>
      </c>
      <c r="D22" s="1970">
        <v>94.4</v>
      </c>
      <c r="E22" s="1966">
        <v>85.985660847880297</v>
      </c>
      <c r="F22" s="1966">
        <v>80.813591022443887</v>
      </c>
      <c r="G22" s="1966">
        <v>93.097256857855356</v>
      </c>
      <c r="H22" s="1970">
        <v>10.6</v>
      </c>
      <c r="I22" s="1970">
        <v>9.6</v>
      </c>
      <c r="J22" s="1966">
        <v>13.2</v>
      </c>
      <c r="L22" s="608" t="s">
        <v>1349</v>
      </c>
    </row>
    <row r="23" spans="1:18" x14ac:dyDescent="0.25">
      <c r="A23" s="969" t="s">
        <v>1182</v>
      </c>
      <c r="B23" s="1970">
        <v>85.4</v>
      </c>
      <c r="C23" s="1970">
        <v>11.9</v>
      </c>
      <c r="D23" s="1970">
        <v>93.7</v>
      </c>
      <c r="E23" s="1966">
        <v>96.32980049875313</v>
      </c>
      <c r="F23" s="1966">
        <v>85.985660847880297</v>
      </c>
      <c r="G23" s="1966">
        <v>99</v>
      </c>
      <c r="H23" s="1970">
        <v>43.5</v>
      </c>
      <c r="I23" s="1970">
        <v>29.3</v>
      </c>
      <c r="J23" s="1966">
        <v>53.7</v>
      </c>
    </row>
    <row r="24" spans="1:18" x14ac:dyDescent="0.25">
      <c r="A24" s="969" t="s">
        <v>1183</v>
      </c>
      <c r="B24" s="1970">
        <v>90.8</v>
      </c>
      <c r="C24" s="1970">
        <v>86.4</v>
      </c>
      <c r="D24" s="1970">
        <v>92</v>
      </c>
      <c r="E24" s="1966">
        <v>64.004364089775564</v>
      </c>
      <c r="F24" s="1966">
        <v>54.306733167082292</v>
      </c>
      <c r="G24" s="1966">
        <v>90.511221945137152</v>
      </c>
      <c r="H24" s="1970">
        <v>34.1</v>
      </c>
      <c r="I24" s="1970">
        <v>20.399999999999999</v>
      </c>
      <c r="J24" s="1966">
        <v>39.1</v>
      </c>
      <c r="L24" s="608" t="s">
        <v>1354</v>
      </c>
      <c r="R24" s="1007"/>
    </row>
    <row r="25" spans="1:18" x14ac:dyDescent="0.25">
      <c r="A25" s="969" t="s">
        <v>1184</v>
      </c>
      <c r="B25" s="1970">
        <v>27.3</v>
      </c>
      <c r="C25" s="1970">
        <v>16.600000000000001</v>
      </c>
      <c r="D25" s="1970">
        <v>30.2</v>
      </c>
      <c r="E25" s="1966">
        <v>49.781172069825438</v>
      </c>
      <c r="F25" s="1966">
        <v>26.506857855361595</v>
      </c>
      <c r="G25" s="1966">
        <v>60.125311720698257</v>
      </c>
      <c r="H25" s="1970">
        <v>19.399999999999999</v>
      </c>
      <c r="I25" s="1970">
        <v>5</v>
      </c>
      <c r="J25" s="1966">
        <v>22.6</v>
      </c>
      <c r="L25" s="608" t="s">
        <v>1348</v>
      </c>
    </row>
    <row r="26" spans="1:18" x14ac:dyDescent="0.25">
      <c r="A26" s="969" t="s">
        <v>1185</v>
      </c>
      <c r="B26" s="1970">
        <v>89.4</v>
      </c>
      <c r="C26" s="1970">
        <v>80.3</v>
      </c>
      <c r="D26" s="1970">
        <v>96.9</v>
      </c>
      <c r="E26" s="1966">
        <v>84.046134663341647</v>
      </c>
      <c r="F26" s="1966">
        <v>74.995012468827937</v>
      </c>
      <c r="G26" s="1966">
        <v>87.278678304239406</v>
      </c>
      <c r="H26" s="1970">
        <v>11.4</v>
      </c>
      <c r="I26" s="1970">
        <v>6.6</v>
      </c>
      <c r="J26" s="1966">
        <v>18.8</v>
      </c>
    </row>
    <row r="27" spans="1:18" x14ac:dyDescent="0.25">
      <c r="A27" s="969" t="s">
        <v>1186</v>
      </c>
      <c r="B27" s="1970">
        <v>29.1</v>
      </c>
      <c r="C27" s="1970">
        <v>8.5</v>
      </c>
      <c r="D27" s="1970">
        <v>87.7</v>
      </c>
      <c r="E27" s="1966">
        <v>86.632169576059852</v>
      </c>
      <c r="F27" s="1966">
        <v>69.176433915211973</v>
      </c>
      <c r="G27" s="1966">
        <v>93.743765586034911</v>
      </c>
      <c r="H27" s="1970">
        <v>15.9</v>
      </c>
      <c r="I27" s="1970">
        <v>7.2</v>
      </c>
      <c r="J27" s="1966">
        <v>29.6</v>
      </c>
    </row>
    <row r="28" spans="1:18" x14ac:dyDescent="0.25">
      <c r="A28" s="969" t="s">
        <v>1187</v>
      </c>
      <c r="B28" s="1970">
        <v>23.7</v>
      </c>
      <c r="C28" s="1970">
        <v>4.7</v>
      </c>
      <c r="D28" s="1970">
        <v>87.4</v>
      </c>
      <c r="E28" s="1966">
        <v>89.864713216957611</v>
      </c>
      <c r="F28" s="1966">
        <v>75.641521197007478</v>
      </c>
      <c r="G28" s="1966">
        <v>95.683291770573575</v>
      </c>
      <c r="H28" s="1970">
        <v>14.8</v>
      </c>
      <c r="I28" s="1970">
        <v>4.5999999999999996</v>
      </c>
      <c r="J28" s="1966">
        <v>26.7</v>
      </c>
      <c r="L28" s="1016" t="s">
        <v>1325</v>
      </c>
    </row>
    <row r="29" spans="1:18" x14ac:dyDescent="0.25">
      <c r="A29" s="969" t="s">
        <v>1188</v>
      </c>
      <c r="B29" s="1970">
        <v>89.4</v>
      </c>
      <c r="C29" s="1970">
        <v>80.2</v>
      </c>
      <c r="D29" s="1970">
        <v>92.9</v>
      </c>
      <c r="E29" s="1966">
        <v>84.692643391521187</v>
      </c>
      <c r="F29" s="1966">
        <v>67.883416458852864</v>
      </c>
      <c r="G29" s="1966">
        <v>91.157730673316706</v>
      </c>
      <c r="H29" s="1970">
        <v>12.9</v>
      </c>
      <c r="I29" s="1970">
        <v>7.4</v>
      </c>
      <c r="J29" s="1966">
        <v>22.7</v>
      </c>
      <c r="L29" s="1011"/>
      <c r="M29" s="1012"/>
      <c r="N29" s="1009" t="s">
        <v>1321</v>
      </c>
      <c r="O29" s="1009" t="s">
        <v>1311</v>
      </c>
      <c r="P29" s="1009" t="s">
        <v>1312</v>
      </c>
      <c r="Q29" s="1009" t="s">
        <v>1313</v>
      </c>
    </row>
    <row r="30" spans="1:18" x14ac:dyDescent="0.25">
      <c r="A30" s="969" t="s">
        <v>1189</v>
      </c>
      <c r="B30" s="1970">
        <v>34</v>
      </c>
      <c r="C30" s="1970">
        <v>15.1</v>
      </c>
      <c r="D30" s="1970">
        <v>89.6</v>
      </c>
      <c r="E30" s="1966">
        <v>77.581047381546142</v>
      </c>
      <c r="F30" s="1966">
        <v>70.469451371571083</v>
      </c>
      <c r="G30" s="1966">
        <v>85.339152119700742</v>
      </c>
      <c r="H30" s="1970">
        <v>17.899999999999999</v>
      </c>
      <c r="I30" s="1970">
        <v>8.4</v>
      </c>
      <c r="J30" s="1966">
        <v>29.8</v>
      </c>
      <c r="L30" s="1013" t="s">
        <v>1314</v>
      </c>
      <c r="M30" s="1014"/>
      <c r="N30" s="1008" t="s">
        <v>1322</v>
      </c>
      <c r="O30" s="1009">
        <v>1</v>
      </c>
      <c r="P30" s="1009">
        <v>80</v>
      </c>
      <c r="Q30" s="1009">
        <v>13</v>
      </c>
    </row>
    <row r="31" spans="1:18" x14ac:dyDescent="0.25">
      <c r="A31" s="969" t="s">
        <v>1190</v>
      </c>
      <c r="B31" s="1970">
        <v>7.5</v>
      </c>
      <c r="C31" s="1970">
        <v>2.1</v>
      </c>
      <c r="D31" s="1970">
        <v>27.4</v>
      </c>
      <c r="E31" s="1966">
        <v>87.925187032418961</v>
      </c>
      <c r="F31" s="1966">
        <v>79.520573566084792</v>
      </c>
      <c r="G31" s="1966">
        <v>91.157730673316706</v>
      </c>
      <c r="H31" s="1970">
        <v>30.1</v>
      </c>
      <c r="I31" s="1970">
        <v>18.600000000000001</v>
      </c>
      <c r="J31" s="1966">
        <v>40.299999999999997</v>
      </c>
      <c r="L31" s="1013" t="s">
        <v>1315</v>
      </c>
      <c r="M31" s="1014"/>
      <c r="N31" s="1008" t="s">
        <v>1323</v>
      </c>
      <c r="O31" s="1009">
        <v>2</v>
      </c>
      <c r="P31" s="1009">
        <v>85</v>
      </c>
      <c r="Q31" s="1009">
        <v>32</v>
      </c>
    </row>
    <row r="32" spans="1:18" x14ac:dyDescent="0.25">
      <c r="A32" s="1025"/>
      <c r="B32" s="2232" t="s">
        <v>1163</v>
      </c>
      <c r="C32" s="2233"/>
      <c r="D32" s="2234"/>
      <c r="E32" s="2238" t="s">
        <v>1164</v>
      </c>
      <c r="F32" s="2233"/>
      <c r="G32" s="2234"/>
      <c r="H32" s="2238" t="s">
        <v>1165</v>
      </c>
      <c r="I32" s="2233"/>
      <c r="J32" s="2234"/>
      <c r="L32" s="1013" t="s">
        <v>1316</v>
      </c>
      <c r="M32" s="1014"/>
      <c r="N32" s="1008" t="s">
        <v>1324</v>
      </c>
      <c r="O32" s="1009">
        <v>2.5</v>
      </c>
      <c r="P32" s="1009">
        <v>80</v>
      </c>
      <c r="Q32" s="1009">
        <v>11</v>
      </c>
    </row>
    <row r="33" spans="1:17" x14ac:dyDescent="0.25">
      <c r="A33" s="1026"/>
      <c r="B33" s="2235"/>
      <c r="C33" s="2236"/>
      <c r="D33" s="2237"/>
      <c r="E33" s="2239"/>
      <c r="F33" s="2236"/>
      <c r="G33" s="2237"/>
      <c r="H33" s="2239"/>
      <c r="I33" s="2236"/>
      <c r="J33" s="2237"/>
      <c r="L33" s="1013" t="s">
        <v>1317</v>
      </c>
      <c r="M33" s="1014"/>
      <c r="N33" s="1008"/>
      <c r="O33" s="1009"/>
      <c r="P33" s="1009"/>
      <c r="Q33" s="1009"/>
    </row>
    <row r="34" spans="1:17" x14ac:dyDescent="0.25">
      <c r="A34" s="968" t="s">
        <v>1191</v>
      </c>
      <c r="B34" s="1972" t="s">
        <v>1166</v>
      </c>
      <c r="C34" s="2230" t="s">
        <v>1167</v>
      </c>
      <c r="D34" s="2231"/>
      <c r="E34" s="1973" t="s">
        <v>1166</v>
      </c>
      <c r="F34" s="2230" t="s">
        <v>1167</v>
      </c>
      <c r="G34" s="2231"/>
      <c r="H34" s="1973" t="s">
        <v>1166</v>
      </c>
      <c r="I34" s="2230" t="s">
        <v>1167</v>
      </c>
      <c r="J34" s="2231"/>
      <c r="L34" s="1013" t="s">
        <v>1318</v>
      </c>
      <c r="M34" s="1014"/>
      <c r="N34" s="1008"/>
      <c r="O34" s="1009"/>
      <c r="P34" s="1009"/>
      <c r="Q34" s="1009"/>
    </row>
    <row r="35" spans="1:17" x14ac:dyDescent="0.25">
      <c r="A35" s="969" t="s">
        <v>1192</v>
      </c>
      <c r="B35" s="1970">
        <v>39</v>
      </c>
      <c r="C35" s="1970">
        <v>20.9</v>
      </c>
      <c r="D35" s="1966">
        <v>64.3</v>
      </c>
      <c r="E35" s="1970">
        <v>58.832294264339147</v>
      </c>
      <c r="F35" s="1970">
        <v>35.557980049875312</v>
      </c>
      <c r="G35" s="1970">
        <v>74.348503740648383</v>
      </c>
      <c r="H35" s="1970">
        <v>10.7</v>
      </c>
      <c r="I35" s="1970">
        <v>5.5</v>
      </c>
      <c r="J35" s="1966">
        <v>22.9</v>
      </c>
      <c r="L35" s="1013" t="s">
        <v>1319</v>
      </c>
      <c r="M35" s="1014"/>
      <c r="N35" s="1008"/>
      <c r="O35" s="1009"/>
      <c r="P35" s="1009"/>
      <c r="Q35" s="1009"/>
    </row>
    <row r="36" spans="1:17" x14ac:dyDescent="0.25">
      <c r="A36" s="969" t="s">
        <v>1193</v>
      </c>
      <c r="B36" s="1970">
        <v>87</v>
      </c>
      <c r="C36" s="1970">
        <v>66.099999999999994</v>
      </c>
      <c r="D36" s="1966">
        <v>93.7</v>
      </c>
      <c r="E36" s="1970">
        <v>56.892768079800504</v>
      </c>
      <c r="F36" s="1970">
        <v>27.153366583541146</v>
      </c>
      <c r="G36" s="1970">
        <v>72.408977556109718</v>
      </c>
      <c r="H36" s="1970">
        <v>8.1999999999999993</v>
      </c>
      <c r="I36" s="1970">
        <v>1.2</v>
      </c>
      <c r="J36" s="1966">
        <v>14.6</v>
      </c>
      <c r="L36" s="1013" t="s">
        <v>1320</v>
      </c>
      <c r="M36" s="1014"/>
      <c r="N36" s="1008"/>
      <c r="O36" s="1010">
        <f>SUM(O30:O35)</f>
        <v>5.5</v>
      </c>
      <c r="P36" s="1010">
        <f>SUMPRODUCT(O30:O35,P30:P35)/O36</f>
        <v>81.818181818181813</v>
      </c>
      <c r="Q36" s="1010">
        <f>SUMPRODUCT(O30:O35,Q30:Q35)/O36</f>
        <v>19</v>
      </c>
    </row>
    <row r="37" spans="1:17" x14ac:dyDescent="0.25">
      <c r="A37" s="969" t="s">
        <v>1194</v>
      </c>
      <c r="B37" s="1970">
        <v>89.3</v>
      </c>
      <c r="C37" s="1970">
        <v>73.400000000000006</v>
      </c>
      <c r="D37" s="1966">
        <v>93.6</v>
      </c>
      <c r="E37" s="1970">
        <v>42.023067331670823</v>
      </c>
      <c r="F37" s="1970">
        <v>14.223192019950126</v>
      </c>
      <c r="G37" s="1970">
        <v>54.95324189526184</v>
      </c>
      <c r="H37" s="1970">
        <v>2.8</v>
      </c>
      <c r="I37" s="1970">
        <v>0.2</v>
      </c>
      <c r="J37" s="1966">
        <v>28.8</v>
      </c>
    </row>
    <row r="38" spans="1:17" x14ac:dyDescent="0.25">
      <c r="A38" s="969" t="s">
        <v>1195</v>
      </c>
      <c r="B38" s="1970">
        <v>41.9</v>
      </c>
      <c r="C38" s="1970">
        <v>20.9</v>
      </c>
      <c r="D38" s="1966">
        <v>79.5</v>
      </c>
      <c r="E38" s="1970">
        <v>62.064837905236914</v>
      </c>
      <c r="F38" s="1970">
        <v>52.367206982543642</v>
      </c>
      <c r="G38" s="1970">
        <v>68.529925187032418</v>
      </c>
      <c r="H38" s="1970">
        <v>19.3</v>
      </c>
      <c r="I38" s="1970">
        <v>12.4</v>
      </c>
      <c r="J38" s="1966">
        <v>27.2</v>
      </c>
      <c r="L38" s="1016" t="s">
        <v>1346</v>
      </c>
    </row>
    <row r="39" spans="1:17" x14ac:dyDescent="0.25">
      <c r="A39" s="969" t="s">
        <v>1196</v>
      </c>
      <c r="B39" s="1970">
        <v>86.6</v>
      </c>
      <c r="C39" s="1970">
        <v>61.3</v>
      </c>
      <c r="D39" s="1966">
        <v>93.2</v>
      </c>
      <c r="E39" s="1970">
        <v>57.539276807980059</v>
      </c>
      <c r="F39" s="1970">
        <v>40.083541147132166</v>
      </c>
      <c r="G39" s="1970">
        <v>72.408977556109718</v>
      </c>
      <c r="H39" s="1970">
        <v>17.600000000000001</v>
      </c>
      <c r="I39" s="1970">
        <v>6.3</v>
      </c>
      <c r="J39" s="1966">
        <v>26.1</v>
      </c>
      <c r="L39" s="1011"/>
      <c r="M39" s="1012"/>
      <c r="N39" s="1009" t="s">
        <v>1321</v>
      </c>
      <c r="O39" s="1009" t="s">
        <v>1311</v>
      </c>
      <c r="P39" s="1009" t="s">
        <v>1312</v>
      </c>
      <c r="Q39" s="1009" t="s">
        <v>1313</v>
      </c>
    </row>
    <row r="40" spans="1:17" x14ac:dyDescent="0.25">
      <c r="A40" s="969" t="s">
        <v>1197</v>
      </c>
      <c r="B40" s="1970">
        <v>43.2</v>
      </c>
      <c r="C40" s="1970">
        <v>17.100000000000001</v>
      </c>
      <c r="D40" s="1966">
        <v>89.3</v>
      </c>
      <c r="E40" s="1970">
        <v>60.125311720698257</v>
      </c>
      <c r="F40" s="1970">
        <v>31.032418952618457</v>
      </c>
      <c r="G40" s="1970">
        <v>77.581047381546142</v>
      </c>
      <c r="H40" s="1970">
        <v>13.2</v>
      </c>
      <c r="I40" s="1970">
        <v>5.0999999999999996</v>
      </c>
      <c r="J40" s="1966">
        <v>26.6</v>
      </c>
      <c r="L40" s="1013" t="s">
        <v>1314</v>
      </c>
      <c r="M40" s="1015"/>
      <c r="N40" s="1029"/>
      <c r="O40" s="1030"/>
      <c r="P40" s="1030"/>
      <c r="Q40" s="1030"/>
    </row>
    <row r="41" spans="1:17" x14ac:dyDescent="0.25">
      <c r="A41" s="969" t="s">
        <v>1198</v>
      </c>
      <c r="B41" s="1970">
        <v>86.3</v>
      </c>
      <c r="C41" s="1970">
        <v>51.9</v>
      </c>
      <c r="D41" s="1966">
        <v>94</v>
      </c>
      <c r="E41" s="1970">
        <v>51.720698254364088</v>
      </c>
      <c r="F41" s="1970">
        <v>31.678927680798004</v>
      </c>
      <c r="G41" s="1970">
        <v>67.883416458852864</v>
      </c>
      <c r="H41" s="1970">
        <v>8</v>
      </c>
      <c r="I41" s="1970">
        <v>0.7</v>
      </c>
      <c r="J41" s="1966">
        <v>17.7</v>
      </c>
      <c r="L41" s="1013" t="s">
        <v>1315</v>
      </c>
      <c r="M41" s="1015"/>
      <c r="N41" s="1029"/>
      <c r="O41" s="1030"/>
      <c r="P41" s="1030"/>
      <c r="Q41" s="1030"/>
    </row>
    <row r="42" spans="1:17" x14ac:dyDescent="0.25">
      <c r="A42" s="969" t="s">
        <v>1199</v>
      </c>
      <c r="B42" s="1970">
        <v>42.1</v>
      </c>
      <c r="C42" s="1970">
        <v>13.7</v>
      </c>
      <c r="D42" s="1966">
        <v>68.3</v>
      </c>
      <c r="E42" s="1970">
        <v>60.771820448877811</v>
      </c>
      <c r="F42" s="1970">
        <v>38.144014962593516</v>
      </c>
      <c r="G42" s="1970">
        <v>73.701995012468828</v>
      </c>
      <c r="H42" s="1970">
        <v>16</v>
      </c>
      <c r="I42" s="1970">
        <v>7.3</v>
      </c>
      <c r="J42" s="1966">
        <v>28.6</v>
      </c>
      <c r="L42" s="1013" t="s">
        <v>1316</v>
      </c>
      <c r="M42" s="1015"/>
      <c r="N42" s="1029"/>
      <c r="O42" s="1030"/>
      <c r="P42" s="1030"/>
      <c r="Q42" s="1030"/>
    </row>
    <row r="43" spans="1:17" x14ac:dyDescent="0.25">
      <c r="A43" s="969" t="s">
        <v>1200</v>
      </c>
      <c r="B43" s="1970">
        <v>86.4</v>
      </c>
      <c r="C43" s="1970">
        <v>45.2</v>
      </c>
      <c r="D43" s="1966">
        <v>95.9</v>
      </c>
      <c r="E43" s="1970">
        <v>56.892768079800504</v>
      </c>
      <c r="F43" s="1970">
        <v>33.618453865336654</v>
      </c>
      <c r="G43" s="1970">
        <v>73.701995012468828</v>
      </c>
      <c r="H43" s="1970">
        <v>14.5</v>
      </c>
      <c r="I43" s="1970">
        <v>4.0999999999999996</v>
      </c>
      <c r="J43" s="1966">
        <v>25.4</v>
      </c>
      <c r="L43" s="1013" t="s">
        <v>1317</v>
      </c>
      <c r="M43" s="1015"/>
      <c r="N43" s="1029"/>
      <c r="O43" s="1030"/>
      <c r="P43" s="1030"/>
      <c r="Q43" s="1030"/>
    </row>
    <row r="44" spans="1:17" x14ac:dyDescent="0.25">
      <c r="A44" s="969" t="s">
        <v>1201</v>
      </c>
      <c r="B44" s="1970">
        <v>49.5</v>
      </c>
      <c r="C44" s="1970">
        <v>15.8</v>
      </c>
      <c r="D44" s="1966">
        <v>87.7</v>
      </c>
      <c r="E44" s="1970">
        <v>60.771820448877811</v>
      </c>
      <c r="F44" s="1970">
        <v>31.032418952618457</v>
      </c>
      <c r="G44" s="1970">
        <v>70.469451371571083</v>
      </c>
      <c r="H44" s="1970">
        <v>20</v>
      </c>
      <c r="I44" s="1970">
        <v>5.3</v>
      </c>
      <c r="J44" s="1966">
        <v>32.1</v>
      </c>
      <c r="L44" s="1013" t="s">
        <v>1318</v>
      </c>
      <c r="M44" s="1015"/>
      <c r="N44" s="1029"/>
      <c r="O44" s="1030"/>
      <c r="P44" s="1030"/>
      <c r="Q44" s="1030"/>
    </row>
    <row r="45" spans="1:17" x14ac:dyDescent="0.25">
      <c r="A45" s="969" t="s">
        <v>1202</v>
      </c>
      <c r="B45" s="1970">
        <v>87.8</v>
      </c>
      <c r="C45" s="1970">
        <v>36</v>
      </c>
      <c r="D45" s="1966">
        <v>96.1</v>
      </c>
      <c r="E45" s="1970">
        <v>60.125311720698257</v>
      </c>
      <c r="F45" s="1970">
        <v>34.264962593516209</v>
      </c>
      <c r="G45" s="1970">
        <v>73.055486284289287</v>
      </c>
      <c r="H45" s="1970">
        <v>18.899999999999999</v>
      </c>
      <c r="I45" s="1970">
        <v>5.7</v>
      </c>
      <c r="J45" s="1966">
        <v>29.7</v>
      </c>
      <c r="L45" s="1013" t="s">
        <v>1319</v>
      </c>
      <c r="M45" s="1015"/>
      <c r="N45" s="1029"/>
      <c r="O45" s="1030"/>
      <c r="P45" s="1030"/>
      <c r="Q45" s="1030"/>
    </row>
    <row r="46" spans="1:17" x14ac:dyDescent="0.25">
      <c r="A46" s="969" t="s">
        <v>1203</v>
      </c>
      <c r="B46" s="1970">
        <v>86.1</v>
      </c>
      <c r="C46" s="1970">
        <v>68.2</v>
      </c>
      <c r="D46" s="1966">
        <v>93.4</v>
      </c>
      <c r="E46" s="1970">
        <v>36.850997506234414</v>
      </c>
      <c r="F46" s="1970">
        <v>27.799875311720697</v>
      </c>
      <c r="G46" s="1970">
        <v>43.962593516209481</v>
      </c>
      <c r="H46" s="1970">
        <v>8.9</v>
      </c>
      <c r="I46" s="1970">
        <v>5.9</v>
      </c>
      <c r="J46" s="1966">
        <v>14.1</v>
      </c>
      <c r="L46" s="1013" t="s">
        <v>1338</v>
      </c>
      <c r="M46" s="1015"/>
      <c r="N46" s="1017"/>
      <c r="O46" s="1018">
        <f>SUM(O40:O45)</f>
        <v>0</v>
      </c>
      <c r="P46" s="1018">
        <f>IF(ISERROR(SUMPRODUCT(O40:O45,P40:P45)/O46),0,(SUMPRODUCT(O40:O45,P40:P45)/O46))</f>
        <v>0</v>
      </c>
      <c r="Q46" s="1018">
        <f>IF(ISERROR(SUMPRODUCT(O40:O45,Q40:Q45)/O46),0,(SUMPRODUCT(O40:O45,Q40:Q45)/O46))</f>
        <v>0</v>
      </c>
    </row>
    <row r="47" spans="1:17" x14ac:dyDescent="0.25">
      <c r="A47" s="969" t="s">
        <v>1204</v>
      </c>
      <c r="B47" s="1970">
        <v>30.9</v>
      </c>
      <c r="C47" s="1970">
        <v>9.1999999999999993</v>
      </c>
      <c r="D47" s="1966">
        <v>84.5</v>
      </c>
      <c r="E47" s="1970">
        <v>68.529925187032418</v>
      </c>
      <c r="F47" s="1970">
        <v>32.325436408977559</v>
      </c>
      <c r="G47" s="1970">
        <v>84.046134663341647</v>
      </c>
      <c r="H47" s="1970">
        <v>7.7</v>
      </c>
      <c r="I47" s="1970">
        <v>3.4</v>
      </c>
      <c r="J47" s="1966">
        <v>17.100000000000001</v>
      </c>
    </row>
    <row r="48" spans="1:17" x14ac:dyDescent="0.25">
      <c r="A48" s="969" t="s">
        <v>1205</v>
      </c>
      <c r="B48" s="1970">
        <v>40.9</v>
      </c>
      <c r="C48" s="1970">
        <v>18.100000000000001</v>
      </c>
      <c r="D48" s="1966">
        <v>82.2</v>
      </c>
      <c r="E48" s="1970">
        <v>56.246259351620942</v>
      </c>
      <c r="F48" s="1970">
        <v>38.144014962593516</v>
      </c>
      <c r="G48" s="1970">
        <v>72.408977556109718</v>
      </c>
      <c r="H48" s="1970">
        <v>9.8000000000000007</v>
      </c>
      <c r="I48" s="1970">
        <v>3.8</v>
      </c>
      <c r="J48" s="1966">
        <v>19.399999999999999</v>
      </c>
      <c r="L48" s="1011"/>
      <c r="M48" s="1012"/>
      <c r="N48" s="1009" t="s">
        <v>1321</v>
      </c>
      <c r="O48" s="1009" t="s">
        <v>1311</v>
      </c>
      <c r="P48" s="1009" t="s">
        <v>1312</v>
      </c>
      <c r="Q48" s="1009" t="s">
        <v>1313</v>
      </c>
    </row>
    <row r="49" spans="1:17" x14ac:dyDescent="0.25">
      <c r="A49" s="969" t="s">
        <v>1206</v>
      </c>
      <c r="B49" s="1970">
        <v>88.9</v>
      </c>
      <c r="C49" s="1970">
        <v>40.200000000000003</v>
      </c>
      <c r="D49" s="1966">
        <v>96.4</v>
      </c>
      <c r="E49" s="1970">
        <v>54.306733167082292</v>
      </c>
      <c r="F49" s="1970">
        <v>29.092892768079796</v>
      </c>
      <c r="G49" s="1970">
        <v>73.055486284289287</v>
      </c>
      <c r="H49" s="1970">
        <v>6.9</v>
      </c>
      <c r="I49" s="1970">
        <v>1.1000000000000001</v>
      </c>
      <c r="J49" s="1966">
        <v>16.3</v>
      </c>
      <c r="L49" s="1013" t="s">
        <v>1326</v>
      </c>
      <c r="M49" s="1014"/>
      <c r="N49" s="1029"/>
      <c r="O49" s="1030"/>
      <c r="P49" s="1030"/>
      <c r="Q49" s="1030"/>
    </row>
    <row r="50" spans="1:17" x14ac:dyDescent="0.25">
      <c r="A50" s="969" t="s">
        <v>1207</v>
      </c>
      <c r="B50" s="1970">
        <v>89.4</v>
      </c>
      <c r="C50" s="1970">
        <v>80.2</v>
      </c>
      <c r="D50" s="1966">
        <v>93.8</v>
      </c>
      <c r="E50" s="1970">
        <v>40.083541147132166</v>
      </c>
      <c r="F50" s="1970">
        <v>27.799875311720697</v>
      </c>
      <c r="G50" s="1970">
        <v>64.650872817955118</v>
      </c>
      <c r="H50" s="1970">
        <v>2.8</v>
      </c>
      <c r="I50" s="1970">
        <v>0.1</v>
      </c>
      <c r="J50" s="1966">
        <v>11.9</v>
      </c>
      <c r="L50" s="1013" t="s">
        <v>1327</v>
      </c>
      <c r="M50" s="1015"/>
      <c r="N50" s="1029"/>
      <c r="O50" s="1030"/>
      <c r="P50" s="1030"/>
      <c r="Q50" s="1030"/>
    </row>
    <row r="51" spans="1:17" x14ac:dyDescent="0.25">
      <c r="A51" s="969" t="s">
        <v>927</v>
      </c>
      <c r="B51" s="1970">
        <v>43.1</v>
      </c>
      <c r="C51" s="1970">
        <v>10.9</v>
      </c>
      <c r="D51" s="1966">
        <v>87.6</v>
      </c>
      <c r="E51" s="1970">
        <v>60.771820448877811</v>
      </c>
      <c r="F51" s="1970">
        <v>14.223192019950126</v>
      </c>
      <c r="G51" s="1970">
        <v>76.288029925187033</v>
      </c>
      <c r="H51" s="1970">
        <v>14.1</v>
      </c>
      <c r="I51" s="1970">
        <v>3.2</v>
      </c>
      <c r="J51" s="1966">
        <v>27.3</v>
      </c>
      <c r="L51" s="1013" t="s">
        <v>1328</v>
      </c>
      <c r="M51" s="1015"/>
      <c r="N51" s="1029"/>
      <c r="O51" s="1030"/>
      <c r="P51" s="1030"/>
      <c r="Q51" s="1030"/>
    </row>
    <row r="52" spans="1:17" x14ac:dyDescent="0.25">
      <c r="A52" s="969" t="s">
        <v>924</v>
      </c>
      <c r="B52" s="1970">
        <v>86.2</v>
      </c>
      <c r="C52" s="1970">
        <v>48.6</v>
      </c>
      <c r="D52" s="1966">
        <v>95.5</v>
      </c>
      <c r="E52" s="1970">
        <v>54.306733167082292</v>
      </c>
      <c r="F52" s="1970">
        <v>34.264962593516209</v>
      </c>
      <c r="G52" s="1970">
        <v>72.408977556109718</v>
      </c>
      <c r="H52" s="1970">
        <v>10.8</v>
      </c>
      <c r="I52" s="1970">
        <v>1.7</v>
      </c>
      <c r="J52" s="1966">
        <v>30</v>
      </c>
      <c r="L52" s="1013" t="s">
        <v>1329</v>
      </c>
      <c r="M52" s="1015"/>
      <c r="N52" s="1029"/>
      <c r="O52" s="1030"/>
      <c r="P52" s="1030"/>
      <c r="Q52" s="1030"/>
    </row>
    <row r="53" spans="1:17" x14ac:dyDescent="0.25">
      <c r="A53" s="969" t="s">
        <v>1208</v>
      </c>
      <c r="B53" s="1970">
        <v>42.9</v>
      </c>
      <c r="C53" s="1970">
        <v>23.7</v>
      </c>
      <c r="D53" s="1966">
        <v>81.900000000000006</v>
      </c>
      <c r="E53" s="1970">
        <v>64.004364089775564</v>
      </c>
      <c r="F53" s="1970">
        <v>53.01371571072319</v>
      </c>
      <c r="G53" s="1970">
        <v>72.408977556109718</v>
      </c>
      <c r="H53" s="1970">
        <v>17.600000000000001</v>
      </c>
      <c r="I53" s="1970">
        <v>8</v>
      </c>
      <c r="J53" s="1966">
        <v>23.4</v>
      </c>
      <c r="L53" s="1013" t="s">
        <v>1330</v>
      </c>
      <c r="M53" s="1015"/>
      <c r="N53" s="1029"/>
      <c r="O53" s="1030"/>
      <c r="P53" s="1030"/>
      <c r="Q53" s="1030"/>
    </row>
    <row r="54" spans="1:17" ht="14.45" customHeight="1" x14ac:dyDescent="0.25">
      <c r="A54" s="969" t="s">
        <v>1209</v>
      </c>
      <c r="B54" s="1970">
        <v>85.6</v>
      </c>
      <c r="C54" s="1970">
        <v>67.8</v>
      </c>
      <c r="D54" s="1966">
        <v>93.5</v>
      </c>
      <c r="E54" s="1970">
        <v>62.064837905236914</v>
      </c>
      <c r="F54" s="1970">
        <v>45.255610972568576</v>
      </c>
      <c r="G54" s="1970">
        <v>75.641521197007478</v>
      </c>
      <c r="H54" s="1970">
        <v>16.2</v>
      </c>
      <c r="I54" s="1970">
        <v>5.3</v>
      </c>
      <c r="J54" s="1966">
        <v>23.3</v>
      </c>
      <c r="L54" s="1013" t="s">
        <v>1331</v>
      </c>
      <c r="M54" s="1015"/>
      <c r="N54" s="1029"/>
      <c r="O54" s="1030"/>
      <c r="P54" s="1030"/>
      <c r="Q54" s="1030"/>
    </row>
    <row r="55" spans="1:17" x14ac:dyDescent="0.25">
      <c r="A55" s="969" t="s">
        <v>1210</v>
      </c>
      <c r="B55" s="1970">
        <v>85.2</v>
      </c>
      <c r="C55" s="1970">
        <v>52.2</v>
      </c>
      <c r="D55" s="1966">
        <v>93.5</v>
      </c>
      <c r="E55" s="1970">
        <v>43.316084788029926</v>
      </c>
      <c r="F55" s="1970">
        <v>34.264962593516209</v>
      </c>
      <c r="G55" s="1970">
        <v>57.539276807980059</v>
      </c>
      <c r="H55" s="1970">
        <v>4</v>
      </c>
      <c r="I55" s="1970">
        <v>1.9</v>
      </c>
      <c r="J55" s="1966">
        <v>5</v>
      </c>
      <c r="L55" s="1013" t="s">
        <v>1338</v>
      </c>
      <c r="M55" s="1015"/>
      <c r="N55" s="1017"/>
      <c r="O55" s="1018">
        <f>SUM(O49:O54)</f>
        <v>0</v>
      </c>
      <c r="P55" s="1018">
        <f>IF(ISERROR(SUMPRODUCT(O49:O54,P49:P54)/O55),0,(SUMPRODUCT(O49:O54,P49:P54)/O55))</f>
        <v>0</v>
      </c>
      <c r="Q55" s="1018">
        <f>IF(ISERROR(SUMPRODUCT(O49:O54,Q49:Q54)/O55),0,(SUMPRODUCT(O49:O54,Q49:Q54)/O55))</f>
        <v>0</v>
      </c>
    </row>
    <row r="56" spans="1:17" x14ac:dyDescent="0.25">
      <c r="A56" s="969" t="s">
        <v>1211</v>
      </c>
      <c r="B56" s="1970">
        <v>37.1</v>
      </c>
      <c r="C56" s="1970">
        <v>20.6</v>
      </c>
      <c r="D56" s="1966">
        <v>59.9</v>
      </c>
      <c r="E56" s="1970">
        <v>61.418329177057359</v>
      </c>
      <c r="F56" s="1970">
        <v>33.618453865336654</v>
      </c>
      <c r="G56" s="1970">
        <v>67.883416458852864</v>
      </c>
      <c r="H56" s="1970">
        <v>18.8</v>
      </c>
      <c r="I56" s="1970">
        <v>12.6</v>
      </c>
      <c r="J56" s="1966">
        <v>26.9</v>
      </c>
    </row>
    <row r="57" spans="1:17" x14ac:dyDescent="0.25">
      <c r="A57" s="969" t="s">
        <v>1212</v>
      </c>
      <c r="B57" s="1970">
        <v>86.8</v>
      </c>
      <c r="C57" s="1970">
        <v>71.7</v>
      </c>
      <c r="D57" s="1966">
        <v>93.9</v>
      </c>
      <c r="E57" s="1970">
        <v>56.892768079800504</v>
      </c>
      <c r="F57" s="1970">
        <v>42.023067331670823</v>
      </c>
      <c r="G57" s="1970">
        <v>68.529925187032418</v>
      </c>
      <c r="H57" s="1970">
        <v>17.2</v>
      </c>
      <c r="I57" s="1970">
        <v>7.7</v>
      </c>
      <c r="J57" s="1966">
        <v>25.7</v>
      </c>
      <c r="L57" s="1011"/>
      <c r="M57" s="1012"/>
      <c r="N57" s="1009" t="s">
        <v>1321</v>
      </c>
      <c r="O57" s="1009" t="s">
        <v>1311</v>
      </c>
      <c r="P57" s="1009" t="s">
        <v>1312</v>
      </c>
      <c r="Q57" s="1009" t="s">
        <v>1313</v>
      </c>
    </row>
    <row r="58" spans="1:17" x14ac:dyDescent="0.25">
      <c r="A58" s="969" t="s">
        <v>1213</v>
      </c>
      <c r="B58" s="1970">
        <v>42.9</v>
      </c>
      <c r="C58" s="1970">
        <v>20.100000000000001</v>
      </c>
      <c r="D58" s="1966">
        <v>71</v>
      </c>
      <c r="E58" s="1970">
        <v>58.832294264339147</v>
      </c>
      <c r="F58" s="1970">
        <v>45.902119700748131</v>
      </c>
      <c r="G58" s="1970">
        <v>72.408977556109718</v>
      </c>
      <c r="H58" s="1970">
        <v>10.8</v>
      </c>
      <c r="I58" s="1970">
        <v>4</v>
      </c>
      <c r="J58" s="1966">
        <v>24</v>
      </c>
      <c r="L58" s="1013" t="s">
        <v>1332</v>
      </c>
      <c r="M58" s="1014"/>
      <c r="N58" s="1029"/>
      <c r="O58" s="1030"/>
      <c r="P58" s="1030"/>
      <c r="Q58" s="1030"/>
    </row>
    <row r="59" spans="1:17" x14ac:dyDescent="0.25">
      <c r="A59" s="969" t="s">
        <v>1214</v>
      </c>
      <c r="B59" s="1970">
        <v>86.6</v>
      </c>
      <c r="C59" s="1970">
        <v>54.3</v>
      </c>
      <c r="D59" s="1966">
        <v>93.9</v>
      </c>
      <c r="E59" s="1970">
        <v>55.599750623441395</v>
      </c>
      <c r="F59" s="1970">
        <v>31.032418952618457</v>
      </c>
      <c r="G59" s="1970">
        <v>69.176433915211973</v>
      </c>
      <c r="H59" s="1970">
        <v>7.3</v>
      </c>
      <c r="I59" s="1970">
        <v>1.3</v>
      </c>
      <c r="J59" s="1966">
        <v>16.2</v>
      </c>
      <c r="L59" s="1013" t="s">
        <v>1333</v>
      </c>
      <c r="M59" s="1014"/>
      <c r="N59" s="1029"/>
      <c r="O59" s="1030"/>
      <c r="P59" s="1030"/>
      <c r="Q59" s="1030"/>
    </row>
    <row r="60" spans="1:17" x14ac:dyDescent="0.25">
      <c r="A60" s="969" t="s">
        <v>1215</v>
      </c>
      <c r="B60" s="1970">
        <v>89.8</v>
      </c>
      <c r="C60" s="1970">
        <v>62.7</v>
      </c>
      <c r="D60" s="1966">
        <v>95.7</v>
      </c>
      <c r="E60" s="1970">
        <v>40.083541147132166</v>
      </c>
      <c r="F60" s="1970">
        <v>26.506857855361595</v>
      </c>
      <c r="G60" s="1970">
        <v>58.185785536159592</v>
      </c>
      <c r="H60" s="1970">
        <v>2.8</v>
      </c>
      <c r="I60" s="1970">
        <v>0.7</v>
      </c>
      <c r="J60" s="1966">
        <v>6.7</v>
      </c>
      <c r="L60" s="1013" t="s">
        <v>1334</v>
      </c>
      <c r="M60" s="1014"/>
      <c r="N60" s="1029"/>
      <c r="O60" s="1030"/>
      <c r="P60" s="1030"/>
      <c r="Q60" s="1030"/>
    </row>
    <row r="61" spans="1:17" x14ac:dyDescent="0.25">
      <c r="A61" s="969" t="s">
        <v>1216</v>
      </c>
      <c r="B61" s="1970">
        <v>44.9</v>
      </c>
      <c r="C61" s="1970">
        <v>27.5</v>
      </c>
      <c r="D61" s="1966">
        <v>69.099999999999994</v>
      </c>
      <c r="E61" s="1970">
        <v>56.892768079800504</v>
      </c>
      <c r="F61" s="1970">
        <v>29.739401496259347</v>
      </c>
      <c r="G61" s="1970">
        <v>69.176433915211973</v>
      </c>
      <c r="H61" s="1970">
        <v>10</v>
      </c>
      <c r="I61" s="1970">
        <v>6.5</v>
      </c>
      <c r="J61" s="1966">
        <v>16</v>
      </c>
      <c r="L61" s="1013" t="s">
        <v>1335</v>
      </c>
      <c r="M61" s="1014"/>
      <c r="N61" s="1029"/>
      <c r="O61" s="1030"/>
      <c r="P61" s="1030"/>
      <c r="Q61" s="1030"/>
    </row>
    <row r="62" spans="1:17" x14ac:dyDescent="0.25">
      <c r="A62" s="969" t="s">
        <v>1217</v>
      </c>
      <c r="B62" s="1970">
        <v>87.9</v>
      </c>
      <c r="C62" s="1970">
        <v>46.8</v>
      </c>
      <c r="D62" s="1966">
        <v>95.1</v>
      </c>
      <c r="E62" s="1970">
        <v>56.246259351620942</v>
      </c>
      <c r="F62" s="1970">
        <v>31.678927680798004</v>
      </c>
      <c r="G62" s="1970">
        <v>71.115960099750623</v>
      </c>
      <c r="H62" s="1970">
        <v>8.1999999999999993</v>
      </c>
      <c r="I62" s="1970">
        <v>0.1</v>
      </c>
      <c r="J62" s="1966">
        <v>17.399999999999999</v>
      </c>
      <c r="L62" s="1013" t="s">
        <v>1336</v>
      </c>
      <c r="M62" s="1014"/>
      <c r="N62" s="1029"/>
      <c r="O62" s="1030"/>
      <c r="P62" s="1030"/>
      <c r="Q62" s="1030"/>
    </row>
    <row r="63" spans="1:17" x14ac:dyDescent="0.25">
      <c r="L63" s="1013" t="s">
        <v>1337</v>
      </c>
      <c r="M63" s="1014"/>
      <c r="N63" s="1029"/>
      <c r="O63" s="1030"/>
      <c r="P63" s="1030"/>
      <c r="Q63" s="1030"/>
    </row>
    <row r="64" spans="1:17" x14ac:dyDescent="0.25">
      <c r="A64" s="608" t="s">
        <v>1218</v>
      </c>
      <c r="L64" s="1013" t="s">
        <v>1338</v>
      </c>
      <c r="M64" s="1015"/>
      <c r="N64" s="1017"/>
      <c r="O64" s="1018">
        <f>SUM(O58:O63)</f>
        <v>0</v>
      </c>
      <c r="P64" s="1018">
        <f>IF(ISERROR(SUMPRODUCT(O58:O63,P58:P63)/O64),0,(SUMPRODUCT(O58:O63,P58:P63)/O64))</f>
        <v>0</v>
      </c>
      <c r="Q64" s="1018">
        <f>IF(ISERROR(SUMPRODUCT(O58:O63,Q58:Q63)/O64),0,(SUMPRODUCT(O58:O63,Q58:Q63)/O64))</f>
        <v>0</v>
      </c>
    </row>
    <row r="66" spans="1:17" x14ac:dyDescent="0.25">
      <c r="L66" s="1011"/>
      <c r="M66" s="1012"/>
      <c r="N66" s="1009" t="s">
        <v>1321</v>
      </c>
      <c r="O66" s="1009" t="s">
        <v>1311</v>
      </c>
      <c r="P66" s="1009" t="s">
        <v>1312</v>
      </c>
      <c r="Q66" s="1009" t="s">
        <v>1313</v>
      </c>
    </row>
    <row r="67" spans="1:17" x14ac:dyDescent="0.25">
      <c r="L67" s="1013" t="s">
        <v>1339</v>
      </c>
      <c r="M67" s="1014"/>
      <c r="N67" s="1029"/>
      <c r="O67" s="1030"/>
      <c r="P67" s="1030"/>
      <c r="Q67" s="1030"/>
    </row>
    <row r="68" spans="1:17" x14ac:dyDescent="0.25">
      <c r="L68" s="1013" t="s">
        <v>1340</v>
      </c>
      <c r="M68" s="1014"/>
      <c r="N68" s="1029"/>
      <c r="O68" s="1030"/>
      <c r="P68" s="1030"/>
      <c r="Q68" s="1030"/>
    </row>
    <row r="69" spans="1:17" x14ac:dyDescent="0.25">
      <c r="L69" s="1013" t="s">
        <v>1341</v>
      </c>
      <c r="M69" s="1014"/>
      <c r="N69" s="1029"/>
      <c r="O69" s="1030"/>
      <c r="P69" s="1030"/>
      <c r="Q69" s="1030"/>
    </row>
    <row r="70" spans="1:17" x14ac:dyDescent="0.25">
      <c r="L70" s="1013" t="s">
        <v>1342</v>
      </c>
      <c r="M70" s="1014"/>
      <c r="N70" s="1029"/>
      <c r="O70" s="1030"/>
      <c r="P70" s="1030"/>
      <c r="Q70" s="1030"/>
    </row>
    <row r="71" spans="1:17" x14ac:dyDescent="0.25">
      <c r="L71" s="1013" t="s">
        <v>1343</v>
      </c>
      <c r="M71" s="1014"/>
      <c r="N71" s="1029"/>
      <c r="O71" s="1030"/>
      <c r="P71" s="1030"/>
      <c r="Q71" s="1030"/>
    </row>
    <row r="72" spans="1:17" x14ac:dyDescent="0.25">
      <c r="L72" s="1013" t="s">
        <v>1344</v>
      </c>
      <c r="M72" s="1014"/>
      <c r="N72" s="1029"/>
      <c r="O72" s="1030"/>
      <c r="P72" s="1030"/>
      <c r="Q72" s="1030"/>
    </row>
    <row r="73" spans="1:17" x14ac:dyDescent="0.25">
      <c r="L73" s="1013" t="s">
        <v>1338</v>
      </c>
      <c r="M73" s="1014"/>
      <c r="N73" s="1017"/>
      <c r="O73" s="1018">
        <f>SUM(O67:O72)</f>
        <v>0</v>
      </c>
      <c r="P73" s="1018">
        <f>IF(ISERROR(SUMPRODUCT(O67:O72,P67:P72)/O73),0,(SUMPRODUCT(O67:O72,P67:P72)/O73))</f>
        <v>0</v>
      </c>
      <c r="Q73" s="1018">
        <f>IF(ISERROR(SUMPRODUCT(O67:O72,Q67:Q72)/O73),0,(SUMPRODUCT(O67:O72,Q67:Q72)/O73))</f>
        <v>0</v>
      </c>
    </row>
    <row r="74" spans="1:17" x14ac:dyDescent="0.25">
      <c r="A74" s="1472"/>
      <c r="B74" s="1472"/>
      <c r="C74" s="1472"/>
      <c r="D74" s="1472"/>
      <c r="E74" s="1472"/>
      <c r="F74" s="1472"/>
      <c r="G74" s="1472"/>
      <c r="H74" s="1472"/>
      <c r="I74" s="1472"/>
      <c r="J74" s="1472"/>
    </row>
    <row r="75" spans="1:17" x14ac:dyDescent="0.25">
      <c r="A75" s="1472"/>
      <c r="B75" s="1472"/>
      <c r="C75" s="1472"/>
      <c r="D75" s="1472"/>
      <c r="E75" s="1472"/>
      <c r="F75" s="1472"/>
      <c r="G75" s="1472"/>
      <c r="H75" s="1472"/>
      <c r="I75" s="1472"/>
      <c r="J75" s="1472"/>
    </row>
    <row r="76" spans="1:17" x14ac:dyDescent="0.25">
      <c r="A76" s="1472"/>
      <c r="B76" s="1472"/>
      <c r="C76" s="1472"/>
      <c r="D76" s="1472"/>
      <c r="E76" s="1472"/>
      <c r="F76" s="1472"/>
      <c r="G76" s="1472"/>
      <c r="H76" s="1472"/>
      <c r="I76" s="1472"/>
      <c r="J76" s="1472"/>
    </row>
  </sheetData>
  <sheetProtection algorithmName="SHA-512" hashValue="9htzzeH4P9UGPGCpQEEfqcypIyx1raZz9S/Ymzd9ohXIRhf4XzIt3WOCDUONWKoX9uqN+TAXRFWaEKVoAIRpBQ==" saltValue="pHXPx+plJqbxiUvR3Yv/Mw==" spinCount="100000" sheet="1" objects="1" scenarios="1"/>
  <mergeCells count="14">
    <mergeCell ref="A1:D1"/>
    <mergeCell ref="Q1:U1"/>
    <mergeCell ref="C9:D9"/>
    <mergeCell ref="F9:G9"/>
    <mergeCell ref="I9:J9"/>
    <mergeCell ref="C34:D34"/>
    <mergeCell ref="F34:G34"/>
    <mergeCell ref="I34:J34"/>
    <mergeCell ref="B7:D8"/>
    <mergeCell ref="E7:G8"/>
    <mergeCell ref="H7:J8"/>
    <mergeCell ref="B32:D33"/>
    <mergeCell ref="E32:G33"/>
    <mergeCell ref="H32:J33"/>
  </mergeCells>
  <hyperlinks>
    <hyperlink ref="Q1:S3" location="'Baseline farm'!A1" display="Click here to return to the baseline farm" xr:uid="{00000000-0004-0000-1500-000000000000}"/>
    <hyperlink ref="A1:D1" location="'Baseline farm'!A28" display="Click here to return to baseline farm " xr:uid="{00000000-0004-0000-1500-000001000000}"/>
    <hyperlink ref="Q1:U1" location="'Baseline farm'!A28" display="Click here to return to the baseline farm" xr:uid="{00000000-0004-0000-1500-000002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52"/>
  <sheetViews>
    <sheetView workbookViewId="0">
      <selection activeCell="D2" sqref="D2:H2"/>
    </sheetView>
  </sheetViews>
  <sheetFormatPr defaultColWidth="8.85546875" defaultRowHeight="15" x14ac:dyDescent="0.25"/>
  <cols>
    <col min="1" max="1" width="3.7109375" style="558" customWidth="1"/>
    <col min="2" max="2" width="13.28515625" style="558" customWidth="1"/>
    <col min="3" max="3" width="26.28515625" style="558" customWidth="1"/>
    <col min="4" max="11" width="8.85546875" style="558"/>
    <col min="12" max="12" width="22.28515625" style="558" customWidth="1"/>
    <col min="13" max="16384" width="8.85546875" style="558"/>
  </cols>
  <sheetData>
    <row r="1" spans="1:17" x14ac:dyDescent="0.25">
      <c r="A1" s="786"/>
    </row>
    <row r="2" spans="1:17" ht="23.25" x14ac:dyDescent="0.35">
      <c r="B2" s="979" t="s">
        <v>1255</v>
      </c>
      <c r="D2" s="2252" t="s">
        <v>1303</v>
      </c>
      <c r="E2" s="2253"/>
      <c r="F2" s="2253"/>
      <c r="G2" s="2253"/>
      <c r="H2" s="2254"/>
    </row>
    <row r="4" spans="1:17" x14ac:dyDescent="0.25">
      <c r="B4" s="558" t="s">
        <v>1285</v>
      </c>
      <c r="D4"/>
      <c r="K4" s="862" t="s">
        <v>1286</v>
      </c>
    </row>
    <row r="5" spans="1:17" ht="45.6" customHeight="1" x14ac:dyDescent="0.25">
      <c r="B5" s="2255" t="s">
        <v>1300</v>
      </c>
      <c r="C5" s="2255"/>
      <c r="D5" s="2255"/>
      <c r="E5" s="2255"/>
      <c r="F5" s="2255"/>
      <c r="G5" s="2255"/>
      <c r="H5" s="2255"/>
      <c r="I5" s="2255"/>
      <c r="K5" s="2242" t="s">
        <v>1284</v>
      </c>
      <c r="L5" s="2242" t="s">
        <v>1256</v>
      </c>
      <c r="M5" s="2244" t="s">
        <v>1361</v>
      </c>
      <c r="N5" s="2245"/>
      <c r="O5" s="2245"/>
      <c r="P5" s="2246"/>
      <c r="Q5" s="2242" t="s">
        <v>1360</v>
      </c>
    </row>
    <row r="6" spans="1:17" ht="13.15" customHeight="1" x14ac:dyDescent="0.25">
      <c r="K6" s="2243"/>
      <c r="L6" s="2243"/>
      <c r="M6" s="1063" t="s">
        <v>1257</v>
      </c>
      <c r="N6" s="1063" t="s">
        <v>1258</v>
      </c>
      <c r="O6" s="1063" t="s">
        <v>1259</v>
      </c>
      <c r="P6" s="1063" t="s">
        <v>1260</v>
      </c>
      <c r="Q6" s="2243"/>
    </row>
    <row r="7" spans="1:17" x14ac:dyDescent="0.25">
      <c r="B7" s="558" t="s">
        <v>1301</v>
      </c>
      <c r="K7" s="984" t="s">
        <v>1257</v>
      </c>
      <c r="L7" s="990" t="s">
        <v>1262</v>
      </c>
      <c r="M7" s="1064">
        <v>46</v>
      </c>
      <c r="N7" s="1064">
        <v>0</v>
      </c>
      <c r="O7" s="1064">
        <v>0</v>
      </c>
      <c r="P7" s="1065">
        <v>0</v>
      </c>
      <c r="Q7" s="1031">
        <v>15</v>
      </c>
    </row>
    <row r="8" spans="1:17" x14ac:dyDescent="0.25">
      <c r="B8" s="558" t="s">
        <v>1302</v>
      </c>
      <c r="K8" s="1032" t="s">
        <v>1258</v>
      </c>
      <c r="L8" s="992" t="s">
        <v>1279</v>
      </c>
      <c r="M8" s="1066">
        <v>0</v>
      </c>
      <c r="N8" s="1066">
        <v>8.8000000000000007</v>
      </c>
      <c r="O8" s="1066">
        <v>0</v>
      </c>
      <c r="P8" s="1067">
        <v>11</v>
      </c>
      <c r="Q8" s="1033">
        <v>2</v>
      </c>
    </row>
    <row r="9" spans="1:17" x14ac:dyDescent="0.25">
      <c r="K9" s="1032" t="s">
        <v>1287</v>
      </c>
      <c r="L9" s="1034" t="s">
        <v>1291</v>
      </c>
      <c r="M9" s="1068">
        <v>20</v>
      </c>
      <c r="N9" s="1068">
        <v>0</v>
      </c>
      <c r="O9" s="1068">
        <v>16</v>
      </c>
      <c r="P9" s="1068">
        <v>10</v>
      </c>
      <c r="Q9" s="1033">
        <v>4</v>
      </c>
    </row>
    <row r="10" spans="1:17" x14ac:dyDescent="0.25">
      <c r="B10" s="2242" t="s">
        <v>1284</v>
      </c>
      <c r="C10" s="2242" t="s">
        <v>1256</v>
      </c>
      <c r="D10" s="2244" t="s">
        <v>1361</v>
      </c>
      <c r="E10" s="2245"/>
      <c r="F10" s="2245"/>
      <c r="G10" s="2246"/>
      <c r="H10" s="2242" t="s">
        <v>1360</v>
      </c>
      <c r="K10" s="1035"/>
      <c r="L10" s="992" t="s">
        <v>1359</v>
      </c>
      <c r="M10" s="1069">
        <f>SUMPRODUCT(M7:M9,$Q$7:$Q$9)/100</f>
        <v>7.7</v>
      </c>
      <c r="N10" s="1069">
        <f>SUMPRODUCT(N7:N9,$Q$7:$Q$9)/100</f>
        <v>0.17600000000000002</v>
      </c>
      <c r="O10" s="1069">
        <f>SUMPRODUCT(O7:O9,$Q$7:$Q$9)/100</f>
        <v>0.64</v>
      </c>
      <c r="P10" s="1069">
        <f>SUMPRODUCT(P7:P9,$Q$7:$Q$9)/100</f>
        <v>0.62</v>
      </c>
      <c r="Q10" s="1036">
        <f>SUM(Q7:Q9)</f>
        <v>21</v>
      </c>
    </row>
    <row r="11" spans="1:17" x14ac:dyDescent="0.25">
      <c r="B11" s="2243"/>
      <c r="C11" s="2243"/>
      <c r="D11" s="1063" t="s">
        <v>1257</v>
      </c>
      <c r="E11" s="1063" t="s">
        <v>1258</v>
      </c>
      <c r="F11" s="1063" t="s">
        <v>1259</v>
      </c>
      <c r="G11" s="1063" t="s">
        <v>1260</v>
      </c>
      <c r="H11" s="2243"/>
    </row>
    <row r="12" spans="1:17" x14ac:dyDescent="0.25">
      <c r="B12" s="984" t="s">
        <v>1257</v>
      </c>
      <c r="C12" s="990" t="s">
        <v>1262</v>
      </c>
      <c r="D12" s="1052">
        <v>46</v>
      </c>
      <c r="E12" s="1052">
        <v>0</v>
      </c>
      <c r="F12" s="1052">
        <v>0</v>
      </c>
      <c r="G12" s="1053">
        <v>0</v>
      </c>
      <c r="H12" s="986"/>
      <c r="K12" s="558" t="s">
        <v>1293</v>
      </c>
    </row>
    <row r="13" spans="1:17" x14ac:dyDescent="0.25">
      <c r="B13" s="984" t="s">
        <v>1299</v>
      </c>
      <c r="C13" s="991" t="s">
        <v>1297</v>
      </c>
      <c r="D13" s="1054">
        <v>18</v>
      </c>
      <c r="E13" s="1054">
        <v>20</v>
      </c>
      <c r="F13" s="1054">
        <v>0</v>
      </c>
      <c r="G13" s="1055">
        <v>1.6</v>
      </c>
      <c r="H13" s="986"/>
      <c r="K13" s="558" t="s">
        <v>1702</v>
      </c>
    </row>
    <row r="14" spans="1:17" x14ac:dyDescent="0.25">
      <c r="B14" s="983"/>
      <c r="C14" s="990" t="s">
        <v>1298</v>
      </c>
      <c r="D14" s="1052">
        <v>10</v>
      </c>
      <c r="E14" s="1052">
        <v>21.4</v>
      </c>
      <c r="F14" s="1052">
        <v>0</v>
      </c>
      <c r="G14" s="1053">
        <v>1.5</v>
      </c>
      <c r="H14" s="987"/>
      <c r="K14" s="558" t="s">
        <v>1292</v>
      </c>
    </row>
    <row r="15" spans="1:17" x14ac:dyDescent="0.25">
      <c r="B15" s="993" t="s">
        <v>1258</v>
      </c>
      <c r="C15" s="991" t="s">
        <v>1295</v>
      </c>
      <c r="D15" s="1054">
        <v>0</v>
      </c>
      <c r="E15" s="1054">
        <v>9</v>
      </c>
      <c r="F15" s="1054">
        <v>0</v>
      </c>
      <c r="G15" s="1055">
        <v>11</v>
      </c>
      <c r="H15" s="986"/>
    </row>
    <row r="16" spans="1:17" x14ac:dyDescent="0.25">
      <c r="B16" s="985"/>
      <c r="C16" s="990" t="s">
        <v>1280</v>
      </c>
      <c r="D16" s="1052">
        <v>0</v>
      </c>
      <c r="E16" s="1052">
        <v>16.2</v>
      </c>
      <c r="F16" s="1052">
        <v>0</v>
      </c>
      <c r="G16" s="1053">
        <v>4.0999999999999996</v>
      </c>
      <c r="H16" s="987"/>
    </row>
    <row r="17" spans="2:12" x14ac:dyDescent="0.25">
      <c r="B17" s="985"/>
      <c r="C17" s="990" t="s">
        <v>1296</v>
      </c>
      <c r="D17" s="1052">
        <v>0</v>
      </c>
      <c r="E17" s="1052">
        <v>20</v>
      </c>
      <c r="F17" s="1052">
        <v>0</v>
      </c>
      <c r="G17" s="1053">
        <v>0.8</v>
      </c>
      <c r="H17" s="987"/>
    </row>
    <row r="18" spans="2:12" ht="17.25" x14ac:dyDescent="0.3">
      <c r="B18" s="985"/>
      <c r="C18" s="990" t="s">
        <v>1264</v>
      </c>
      <c r="D18" s="1052">
        <v>0</v>
      </c>
      <c r="E18" s="1052">
        <v>18</v>
      </c>
      <c r="F18" s="1052">
        <v>0</v>
      </c>
      <c r="G18" s="1053">
        <v>9.6999999999999993</v>
      </c>
      <c r="H18" s="987"/>
      <c r="K18" s="1001"/>
      <c r="L18" s="998"/>
    </row>
    <row r="19" spans="2:12" x14ac:dyDescent="0.25">
      <c r="B19" s="985"/>
      <c r="C19" s="990" t="s">
        <v>1277</v>
      </c>
      <c r="D19" s="1056">
        <v>0</v>
      </c>
      <c r="E19" s="1056">
        <v>14</v>
      </c>
      <c r="F19" s="1056">
        <v>0</v>
      </c>
      <c r="G19" s="1057">
        <v>0</v>
      </c>
      <c r="H19" s="987"/>
    </row>
    <row r="20" spans="2:12" x14ac:dyDescent="0.25">
      <c r="B20" s="985"/>
      <c r="C20" s="990" t="s">
        <v>1273</v>
      </c>
      <c r="D20" s="1052">
        <v>0</v>
      </c>
      <c r="E20" s="1052">
        <v>20</v>
      </c>
      <c r="F20" s="1052">
        <v>0</v>
      </c>
      <c r="G20" s="1053">
        <v>1.5</v>
      </c>
      <c r="H20" s="987"/>
    </row>
    <row r="21" spans="2:12" x14ac:dyDescent="0.25">
      <c r="B21" s="993" t="s">
        <v>1259</v>
      </c>
      <c r="C21" s="991" t="s">
        <v>1294</v>
      </c>
      <c r="D21" s="1054">
        <v>0</v>
      </c>
      <c r="E21" s="1054">
        <v>0</v>
      </c>
      <c r="F21" s="1054">
        <v>50</v>
      </c>
      <c r="G21" s="1055">
        <v>0</v>
      </c>
      <c r="H21" s="986"/>
    </row>
    <row r="22" spans="2:12" x14ac:dyDescent="0.25">
      <c r="B22" s="985"/>
      <c r="C22" s="990" t="s">
        <v>1263</v>
      </c>
      <c r="D22" s="1052">
        <v>0</v>
      </c>
      <c r="E22" s="1052">
        <v>0</v>
      </c>
      <c r="F22" s="1052">
        <v>50</v>
      </c>
      <c r="G22" s="1053">
        <v>0</v>
      </c>
      <c r="H22" s="987"/>
    </row>
    <row r="23" spans="2:12" x14ac:dyDescent="0.25">
      <c r="B23" s="993" t="s">
        <v>1281</v>
      </c>
      <c r="C23" s="991" t="s">
        <v>1266</v>
      </c>
      <c r="D23" s="1054">
        <v>0</v>
      </c>
      <c r="E23" s="1054">
        <v>8.9</v>
      </c>
      <c r="F23" s="1054">
        <v>17.5</v>
      </c>
      <c r="G23" s="1055">
        <v>11</v>
      </c>
      <c r="H23" s="986"/>
    </row>
    <row r="24" spans="2:12" x14ac:dyDescent="0.25">
      <c r="B24" s="985"/>
      <c r="C24" s="990" t="s">
        <v>1267</v>
      </c>
      <c r="D24" s="1052">
        <v>0</v>
      </c>
      <c r="E24" s="1052">
        <v>9.8000000000000007</v>
      </c>
      <c r="F24" s="1052">
        <v>14.5</v>
      </c>
      <c r="G24" s="1053">
        <v>12.2</v>
      </c>
      <c r="H24" s="987"/>
    </row>
    <row r="25" spans="2:12" x14ac:dyDescent="0.25">
      <c r="B25" s="993" t="s">
        <v>1282</v>
      </c>
      <c r="C25" s="991" t="s">
        <v>1261</v>
      </c>
      <c r="D25" s="1054">
        <v>0</v>
      </c>
      <c r="E25" s="1054">
        <v>14.3</v>
      </c>
      <c r="F25" s="1054">
        <v>0</v>
      </c>
      <c r="G25" s="1055">
        <v>17.100000000000001</v>
      </c>
      <c r="H25" s="986"/>
    </row>
    <row r="26" spans="2:12" x14ac:dyDescent="0.25">
      <c r="B26" s="985"/>
      <c r="C26" s="990" t="s">
        <v>1274</v>
      </c>
      <c r="D26" s="1052">
        <v>0</v>
      </c>
      <c r="E26" s="1052">
        <v>18</v>
      </c>
      <c r="F26" s="1052">
        <v>0</v>
      </c>
      <c r="G26" s="1053">
        <v>10</v>
      </c>
      <c r="H26" s="987"/>
    </row>
    <row r="27" spans="2:12" x14ac:dyDescent="0.25">
      <c r="B27" s="985"/>
      <c r="C27" s="990" t="s">
        <v>1275</v>
      </c>
      <c r="D27" s="1052">
        <v>0</v>
      </c>
      <c r="E27" s="1052">
        <v>16</v>
      </c>
      <c r="F27" s="1052">
        <v>0</v>
      </c>
      <c r="G27" s="1053">
        <v>20</v>
      </c>
      <c r="H27" s="987"/>
    </row>
    <row r="28" spans="2:12" x14ac:dyDescent="0.25">
      <c r="B28" s="985"/>
      <c r="C28" s="990" t="s">
        <v>1276</v>
      </c>
      <c r="D28" s="1052">
        <v>0</v>
      </c>
      <c r="E28" s="1052">
        <v>13</v>
      </c>
      <c r="F28" s="1052">
        <v>0</v>
      </c>
      <c r="G28" s="1053">
        <v>7</v>
      </c>
      <c r="H28" s="987"/>
    </row>
    <row r="29" spans="2:12" x14ac:dyDescent="0.25">
      <c r="B29" s="993" t="s">
        <v>1283</v>
      </c>
      <c r="C29" s="991" t="s">
        <v>1268</v>
      </c>
      <c r="D29" s="1054">
        <v>0</v>
      </c>
      <c r="E29" s="1054">
        <v>4.4000000000000004</v>
      </c>
      <c r="F29" s="1054">
        <v>25</v>
      </c>
      <c r="G29" s="1055">
        <v>5.5</v>
      </c>
      <c r="H29" s="986"/>
    </row>
    <row r="30" spans="2:12" x14ac:dyDescent="0.25">
      <c r="B30" s="985"/>
      <c r="C30" s="990" t="s">
        <v>1269</v>
      </c>
      <c r="D30" s="1052">
        <v>0</v>
      </c>
      <c r="E30" s="1052">
        <v>5.9</v>
      </c>
      <c r="F30" s="1052">
        <v>16.600000000000001</v>
      </c>
      <c r="G30" s="1053">
        <v>7.3</v>
      </c>
      <c r="H30" s="987"/>
    </row>
    <row r="31" spans="2:12" x14ac:dyDescent="0.25">
      <c r="B31" s="985"/>
      <c r="C31" s="990" t="s">
        <v>1270</v>
      </c>
      <c r="D31" s="1052">
        <v>0</v>
      </c>
      <c r="E31" s="1052">
        <v>6.6</v>
      </c>
      <c r="F31" s="1052">
        <v>12.7</v>
      </c>
      <c r="G31" s="1053">
        <v>8.1999999999999993</v>
      </c>
      <c r="H31" s="987"/>
    </row>
    <row r="32" spans="2:12" x14ac:dyDescent="0.25">
      <c r="B32" s="985"/>
      <c r="C32" s="990" t="s">
        <v>1271</v>
      </c>
      <c r="D32" s="1052">
        <v>0</v>
      </c>
      <c r="E32" s="1052">
        <v>7</v>
      </c>
      <c r="F32" s="1052">
        <v>10</v>
      </c>
      <c r="G32" s="1053">
        <v>8.8000000000000007</v>
      </c>
      <c r="H32" s="987"/>
    </row>
    <row r="33" spans="2:8" x14ac:dyDescent="0.25">
      <c r="B33" s="985"/>
      <c r="C33" s="990" t="s">
        <v>1272</v>
      </c>
      <c r="D33" s="1052">
        <v>0</v>
      </c>
      <c r="E33" s="1052">
        <v>7.3</v>
      </c>
      <c r="F33" s="1052">
        <v>8.3000000000000007</v>
      </c>
      <c r="G33" s="1053">
        <v>9.1999999999999993</v>
      </c>
      <c r="H33" s="987"/>
    </row>
    <row r="34" spans="2:8" ht="14.45" customHeight="1" x14ac:dyDescent="0.25">
      <c r="B34" s="2247" t="s">
        <v>1355</v>
      </c>
      <c r="C34" s="991" t="s">
        <v>1278</v>
      </c>
      <c r="D34" s="1058">
        <v>3.5</v>
      </c>
      <c r="E34" s="1058">
        <v>2.4</v>
      </c>
      <c r="F34" s="1058">
        <v>1.6</v>
      </c>
      <c r="G34" s="1059">
        <v>1</v>
      </c>
      <c r="H34" s="986"/>
    </row>
    <row r="35" spans="2:8" x14ac:dyDescent="0.25">
      <c r="B35" s="2248"/>
      <c r="C35" s="990" t="s">
        <v>1265</v>
      </c>
      <c r="D35" s="1052">
        <v>24</v>
      </c>
      <c r="E35" s="1052">
        <v>4</v>
      </c>
      <c r="F35" s="1052">
        <v>13</v>
      </c>
      <c r="G35" s="1053">
        <v>5</v>
      </c>
      <c r="H35" s="987"/>
    </row>
    <row r="36" spans="2:8" x14ac:dyDescent="0.25">
      <c r="B36" s="2249"/>
      <c r="C36" s="997" t="s">
        <v>1356</v>
      </c>
      <c r="D36" s="1060">
        <v>2.6</v>
      </c>
      <c r="E36" s="1061">
        <v>1.8</v>
      </c>
      <c r="F36" s="1061">
        <v>1</v>
      </c>
      <c r="G36" s="1062">
        <v>0.6</v>
      </c>
      <c r="H36" s="995"/>
    </row>
    <row r="37" spans="2:8" x14ac:dyDescent="0.25">
      <c r="B37" s="993" t="s">
        <v>1288</v>
      </c>
      <c r="C37" s="980"/>
      <c r="D37" s="981"/>
      <c r="E37" s="981"/>
      <c r="F37" s="981"/>
      <c r="G37" s="981"/>
      <c r="H37" s="987"/>
    </row>
    <row r="38" spans="2:8" x14ac:dyDescent="0.25">
      <c r="B38" s="2256" t="s">
        <v>1289</v>
      </c>
      <c r="C38" s="980"/>
      <c r="D38" s="981"/>
      <c r="E38" s="981"/>
      <c r="F38" s="981"/>
      <c r="G38" s="981"/>
      <c r="H38" s="987"/>
    </row>
    <row r="39" spans="2:8" x14ac:dyDescent="0.25">
      <c r="B39" s="2256"/>
      <c r="C39" s="980"/>
      <c r="D39" s="981"/>
      <c r="E39" s="981"/>
      <c r="F39" s="981"/>
      <c r="G39" s="981"/>
      <c r="H39" s="987"/>
    </row>
    <row r="40" spans="2:8" x14ac:dyDescent="0.25">
      <c r="B40" s="2256"/>
      <c r="C40" s="980"/>
      <c r="D40" s="981"/>
      <c r="E40" s="981"/>
      <c r="F40" s="981"/>
      <c r="G40" s="981"/>
      <c r="H40" s="987"/>
    </row>
    <row r="41" spans="2:8" ht="14.45" customHeight="1" x14ac:dyDescent="0.25">
      <c r="B41" s="2256" t="s">
        <v>1290</v>
      </c>
      <c r="C41" s="980"/>
      <c r="D41" s="981"/>
      <c r="E41" s="981"/>
      <c r="F41" s="981"/>
      <c r="G41" s="981"/>
      <c r="H41" s="987"/>
    </row>
    <row r="42" spans="2:8" x14ac:dyDescent="0.25">
      <c r="B42" s="2256"/>
      <c r="C42" s="980"/>
      <c r="D42" s="981"/>
      <c r="E42" s="981"/>
      <c r="F42" s="981"/>
      <c r="G42" s="981"/>
      <c r="H42" s="987"/>
    </row>
    <row r="43" spans="2:8" x14ac:dyDescent="0.25">
      <c r="B43" s="2256"/>
      <c r="C43" s="980"/>
      <c r="D43" s="981"/>
      <c r="E43" s="981"/>
      <c r="F43" s="981"/>
      <c r="G43" s="981"/>
      <c r="H43" s="987"/>
    </row>
    <row r="44" spans="2:8" ht="14.45" customHeight="1" x14ac:dyDescent="0.25">
      <c r="B44" s="2256"/>
      <c r="C44" s="980"/>
      <c r="D44" s="981"/>
      <c r="E44" s="981"/>
      <c r="F44" s="981"/>
      <c r="G44" s="981"/>
      <c r="H44" s="987"/>
    </row>
    <row r="45" spans="2:8" x14ac:dyDescent="0.25">
      <c r="B45" s="2256"/>
      <c r="C45" s="980"/>
      <c r="D45" s="981"/>
      <c r="E45" s="981"/>
      <c r="F45" s="981"/>
      <c r="G45" s="981"/>
      <c r="H45" s="987"/>
    </row>
    <row r="46" spans="2:8" x14ac:dyDescent="0.25">
      <c r="B46" s="996"/>
      <c r="C46" s="980"/>
      <c r="D46" s="981"/>
      <c r="E46" s="981"/>
      <c r="F46" s="981"/>
      <c r="G46" s="981"/>
      <c r="H46" s="987"/>
    </row>
    <row r="47" spans="2:8" x14ac:dyDescent="0.25">
      <c r="B47" s="2250" t="s">
        <v>931</v>
      </c>
      <c r="C47" s="2251"/>
      <c r="D47" s="1048">
        <v>0</v>
      </c>
      <c r="E47" s="1048">
        <v>0</v>
      </c>
      <c r="F47" s="1048">
        <v>0</v>
      </c>
      <c r="G47" s="1051">
        <v>0</v>
      </c>
      <c r="H47" s="988"/>
    </row>
    <row r="48" spans="2:8" x14ac:dyDescent="0.25">
      <c r="B48" s="1045"/>
      <c r="C48" s="1047"/>
      <c r="D48" s="1049" t="s">
        <v>1257</v>
      </c>
      <c r="E48" s="1049" t="s">
        <v>1258</v>
      </c>
      <c r="F48" s="1049" t="s">
        <v>1259</v>
      </c>
      <c r="G48" s="1049" t="s">
        <v>1260</v>
      </c>
      <c r="H48" s="988"/>
    </row>
    <row r="49" spans="2:8" x14ac:dyDescent="0.25">
      <c r="B49" s="989"/>
      <c r="C49" s="982" t="s">
        <v>1359</v>
      </c>
      <c r="D49" s="1050">
        <f>SUMPRODUCT(D12:D47,$H$12:$H$47)/100</f>
        <v>0</v>
      </c>
      <c r="E49" s="1050">
        <f>SUMPRODUCT(E12:E47,$H$12:$H$47)/100</f>
        <v>0</v>
      </c>
      <c r="F49" s="1050">
        <f>SUMPRODUCT(F12:F47,$H$12:$H$47)/100</f>
        <v>0</v>
      </c>
      <c r="G49" s="1050">
        <f>SUMPRODUCT(G12:G47,$H$12:$H$47)/100</f>
        <v>0</v>
      </c>
      <c r="H49" s="1076">
        <f>SUM(H12:H47)</f>
        <v>0</v>
      </c>
    </row>
    <row r="51" spans="2:8" x14ac:dyDescent="0.25">
      <c r="B51" s="558" t="s">
        <v>1357</v>
      </c>
    </row>
    <row r="52" spans="2:8" x14ac:dyDescent="0.25">
      <c r="B52" s="558" t="s">
        <v>1358</v>
      </c>
    </row>
  </sheetData>
  <sheetProtection algorithmName="SHA-512" hashValue="5EtABg7GHljxXmCBZ2vRJnUlODohltLsbqZ12tj1ybScLx3hLwDUnFDiAsjiVyyqbzjqC9uFyb8jJK9BOxZbEA==" saltValue="TTNK0UT0GqSeGYfjPKFj7w==" spinCount="100000" sheet="1" objects="1" scenarios="1"/>
  <mergeCells count="14">
    <mergeCell ref="B10:B11"/>
    <mergeCell ref="C10:C11"/>
    <mergeCell ref="B34:B36"/>
    <mergeCell ref="B47:C47"/>
    <mergeCell ref="D2:H2"/>
    <mergeCell ref="B5:I5"/>
    <mergeCell ref="B38:B40"/>
    <mergeCell ref="B41:B45"/>
    <mergeCell ref="Q5:Q6"/>
    <mergeCell ref="H10:H11"/>
    <mergeCell ref="D10:G10"/>
    <mergeCell ref="M5:P5"/>
    <mergeCell ref="L5:L6"/>
    <mergeCell ref="K5:K6"/>
  </mergeCells>
  <hyperlinks>
    <hyperlink ref="D2:G2" location="'Baseline farm'!B40" display="Click here to return to the baseline farm " xr:uid="{00000000-0004-0000-16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6"/>
  <sheetViews>
    <sheetView workbookViewId="0">
      <selection activeCell="B2" sqref="B2"/>
    </sheetView>
  </sheetViews>
  <sheetFormatPr defaultColWidth="8.85546875" defaultRowHeight="15" x14ac:dyDescent="0.25"/>
  <cols>
    <col min="1" max="1" width="26.5703125" style="500" customWidth="1"/>
    <col min="2" max="6" width="8.85546875" style="500"/>
    <col min="7" max="7" width="21.28515625" style="500" customWidth="1"/>
    <col min="8" max="10" width="8.85546875" style="500"/>
    <col min="11" max="11" width="22.7109375" style="500" bestFit="1" customWidth="1"/>
    <col min="12" max="14" width="8.85546875" style="1765"/>
    <col min="15" max="23" width="8.85546875" style="500"/>
    <col min="24" max="25" width="10" style="500" bestFit="1" customWidth="1"/>
    <col min="26" max="16384" width="8.85546875" style="500"/>
  </cols>
  <sheetData>
    <row r="1" spans="1:53" x14ac:dyDescent="0.25">
      <c r="A1" s="500" t="s">
        <v>1114</v>
      </c>
      <c r="B1" s="500" t="s">
        <v>1115</v>
      </c>
      <c r="C1" s="500" t="s">
        <v>1127</v>
      </c>
      <c r="D1" s="500" t="s">
        <v>1383</v>
      </c>
      <c r="F1" s="500" t="s">
        <v>1116</v>
      </c>
      <c r="H1" s="500" t="s">
        <v>492</v>
      </c>
      <c r="I1" s="500" t="s">
        <v>493</v>
      </c>
      <c r="K1" s="1765" t="s">
        <v>1114</v>
      </c>
      <c r="L1" s="1765" t="s">
        <v>1653</v>
      </c>
      <c r="M1" s="1765" t="s">
        <v>1654</v>
      </c>
      <c r="O1" s="500" t="s">
        <v>1156</v>
      </c>
      <c r="P1" s="500" t="s">
        <v>1157</v>
      </c>
      <c r="T1" s="500" t="s">
        <v>1038</v>
      </c>
      <c r="W1" s="500" t="s">
        <v>1039</v>
      </c>
      <c r="AA1" s="500" t="s">
        <v>1040</v>
      </c>
      <c r="AE1" s="500" t="s">
        <v>1046</v>
      </c>
      <c r="AI1" s="500" t="s">
        <v>1059</v>
      </c>
      <c r="AM1" s="500" t="s">
        <v>1060</v>
      </c>
      <c r="AQ1" s="500" t="s">
        <v>1061</v>
      </c>
      <c r="AU1" s="500" t="s">
        <v>1063</v>
      </c>
      <c r="AY1" s="500" t="s">
        <v>1064</v>
      </c>
    </row>
    <row r="2" spans="1:53" ht="15.75" x14ac:dyDescent="0.25">
      <c r="A2" s="500" t="s">
        <v>942</v>
      </c>
      <c r="B2" s="878" t="e">
        <f>'Baseline farm'!V169</f>
        <v>#DIV/0!</v>
      </c>
      <c r="C2" s="1289">
        <f>'Example baseline farm'!K101</f>
        <v>0.56568295751952258</v>
      </c>
      <c r="D2" s="878">
        <v>0.57334034380046617</v>
      </c>
      <c r="F2" s="880" t="s">
        <v>1117</v>
      </c>
      <c r="G2" s="881" t="s">
        <v>457</v>
      </c>
      <c r="H2" s="876" t="e">
        <f>IF('Baseline farm'!$D$24="kg milksolids per herd per annum",'Baseline farm'!J100*1000/'Baseline farm'!$P$171,'Baseline farm'!J100*1000/'Baseline farm'!$P$176)</f>
        <v>#DIV/0!</v>
      </c>
      <c r="I2" s="876" t="e">
        <f>IF('Strategy farm'!$D$25="kg milksolids per herd per annum",'Strategy farm'!J101*1000/'Strategy farm'!$P$227,'Strategy farm'!J101*1000/'Strategy farm'!$P$232)</f>
        <v>#DIV/0!</v>
      </c>
      <c r="J2" s="878"/>
      <c r="K2" s="1765" t="s">
        <v>942</v>
      </c>
      <c r="L2" s="1841" t="e">
        <f>'Baseline farm'!K100</f>
        <v>#DIV/0!</v>
      </c>
      <c r="M2" s="1841" t="e">
        <f>'Old NGGI methodology'!K102</f>
        <v>#DIV/0!</v>
      </c>
      <c r="P2" s="200" t="s">
        <v>1056</v>
      </c>
      <c r="Q2" s="201" t="s">
        <v>1057</v>
      </c>
      <c r="T2" s="200" t="s">
        <v>1056</v>
      </c>
      <c r="U2" s="201" t="s">
        <v>1057</v>
      </c>
      <c r="X2" s="200" t="s">
        <v>1056</v>
      </c>
      <c r="Y2" s="201" t="s">
        <v>1057</v>
      </c>
      <c r="AB2" s="200" t="s">
        <v>1056</v>
      </c>
      <c r="AC2" s="201" t="s">
        <v>1057</v>
      </c>
      <c r="AF2" s="200" t="s">
        <v>1056</v>
      </c>
      <c r="AG2" s="201" t="s">
        <v>1057</v>
      </c>
      <c r="AJ2" s="200" t="s">
        <v>1056</v>
      </c>
      <c r="AK2" s="201" t="s">
        <v>1057</v>
      </c>
      <c r="AN2" s="200" t="s">
        <v>1056</v>
      </c>
      <c r="AO2" s="201" t="s">
        <v>1057</v>
      </c>
      <c r="AR2" s="200" t="s">
        <v>1056</v>
      </c>
      <c r="AS2" s="201" t="s">
        <v>1057</v>
      </c>
      <c r="AV2" s="200" t="s">
        <v>1056</v>
      </c>
      <c r="AW2" s="201" t="s">
        <v>1057</v>
      </c>
      <c r="AZ2" s="200" t="s">
        <v>1056</v>
      </c>
      <c r="BA2" s="201" t="s">
        <v>1057</v>
      </c>
    </row>
    <row r="3" spans="1:53" ht="15.75" x14ac:dyDescent="0.25">
      <c r="A3" s="500" t="s">
        <v>943</v>
      </c>
      <c r="B3" s="878" t="e">
        <f>'Baseline farm'!V170</f>
        <v>#DIV/0!</v>
      </c>
      <c r="C3" s="1289">
        <f>'Example baseline farm'!K102</f>
        <v>7.0341585218480954E-2</v>
      </c>
      <c r="D3" s="878">
        <v>9.5959159653752735E-2</v>
      </c>
      <c r="F3" s="882"/>
      <c r="G3" s="882" t="s">
        <v>458</v>
      </c>
      <c r="H3" s="876" t="e">
        <f>IF('Baseline farm'!$D$24="kg milksolids per herd per annum",'Baseline farm'!J101*1000/'Baseline farm'!$P$171,'Baseline farm'!J101*1000/'Baseline farm'!$P$176)</f>
        <v>#DIV/0!</v>
      </c>
      <c r="I3" s="876" t="e">
        <f>IF('Strategy farm'!$D$25="kg milksolids per herd per annum",'Strategy farm'!J102*1000/'Strategy farm'!$P$227,'Strategy farm'!J102*1000/'Strategy farm'!$P$232)</f>
        <v>#DIV/0!</v>
      </c>
      <c r="J3" s="878"/>
      <c r="K3" s="1765" t="s">
        <v>943</v>
      </c>
      <c r="L3" s="1841" t="e">
        <f>'Baseline farm'!K101</f>
        <v>#DIV/0!</v>
      </c>
      <c r="M3" s="1841" t="e">
        <f>'Old NGGI methodology'!K103</f>
        <v>#DIV/0!</v>
      </c>
      <c r="O3" s="24" t="s">
        <v>1094</v>
      </c>
      <c r="P3" s="879">
        <f>'Strategy farm'!F215</f>
        <v>0</v>
      </c>
      <c r="Q3" s="879">
        <f>'Strategy farm'!F220</f>
        <v>0</v>
      </c>
      <c r="S3" s="24" t="s">
        <v>1094</v>
      </c>
      <c r="T3" s="879" t="e">
        <f>'Reduce CH4 breeding_management'!C66</f>
        <v>#DIV/0!</v>
      </c>
      <c r="U3" s="879" t="e">
        <f>'Reduce CH4 breeding_management'!D66</f>
        <v>#DIV/0!</v>
      </c>
      <c r="W3" s="24" t="s">
        <v>1094</v>
      </c>
      <c r="X3" s="879" t="e">
        <f>'Replacing Sup with dietary fats'!C94</f>
        <v>#DIV/0!</v>
      </c>
      <c r="Y3" s="879" t="e">
        <f>'Replacing Sup with dietary fats'!D94</f>
        <v>#DIV/0!</v>
      </c>
      <c r="AA3" s="24" t="s">
        <v>1094</v>
      </c>
      <c r="AB3" s="879" t="e">
        <f>'Supplementing with dietary fats'!C85</f>
        <v>#DIV/0!</v>
      </c>
      <c r="AC3" s="879" t="e">
        <f>'Supplementing with dietary fats'!D85</f>
        <v>#DIV/0!</v>
      </c>
      <c r="AE3" s="24" t="s">
        <v>1094</v>
      </c>
      <c r="AF3" s="879" t="e">
        <f>'Improved diet DDM by Supplement'!C80</f>
        <v>#DIV/0!</v>
      </c>
      <c r="AG3" s="879" t="e">
        <f>'Improved diet DDM by Supplement'!D80</f>
        <v>#DIV/0!</v>
      </c>
      <c r="AI3" s="24" t="s">
        <v>1094</v>
      </c>
      <c r="AJ3" s="879" t="e">
        <f>'Improved diet DMD by management'!C79</f>
        <v>#DIV/0!</v>
      </c>
      <c r="AK3" s="879" t="e">
        <f>'Improved diet DMD by management'!D79</f>
        <v>#DIV/0!</v>
      </c>
      <c r="AM3" s="24" t="s">
        <v>1094</v>
      </c>
      <c r="AN3" s="879" t="e">
        <f>' N inhibitor applied to feed'!C72</f>
        <v>#DIV/0!</v>
      </c>
      <c r="AO3" s="879" t="e">
        <f>' N inhibitor applied to feed'!D72</f>
        <v>#DIV/0!</v>
      </c>
      <c r="AQ3" s="24" t="s">
        <v>1094</v>
      </c>
      <c r="AR3" s="879">
        <f>'N fertiliser inhibitor coated'!C90</f>
        <v>-14.68665</v>
      </c>
      <c r="AS3" s="879" t="e">
        <f>'N fertiliser inhibitor coated'!D90</f>
        <v>#DIV/0!</v>
      </c>
      <c r="AU3" s="24" t="s">
        <v>1094</v>
      </c>
      <c r="AV3" s="879" t="e">
        <f>'Extended lactation'!C77</f>
        <v>#N/A</v>
      </c>
      <c r="AW3" s="879" t="e">
        <f>'Extended lactation'!D77</f>
        <v>#N/A</v>
      </c>
      <c r="AY3" s="24" t="s">
        <v>1094</v>
      </c>
      <c r="AZ3" s="879" t="e">
        <f>'Extended longevity'!C61</f>
        <v>#N/A</v>
      </c>
      <c r="BA3" s="879" t="e">
        <f>'Extended longevity'!D61</f>
        <v>#N/A</v>
      </c>
    </row>
    <row r="4" spans="1:53" ht="15.75" x14ac:dyDescent="0.25">
      <c r="A4" s="500" t="s">
        <v>1506</v>
      </c>
      <c r="B4" s="878" t="e">
        <f>'Baseline farm'!K102+'Baseline farm'!K103</f>
        <v>#DIV/0!</v>
      </c>
      <c r="C4" s="1289">
        <f>SUM('Example baseline farm'!K103:K104)</f>
        <v>5.0304981025063943E-2</v>
      </c>
      <c r="D4" s="878">
        <v>6.0928726099306663E-2</v>
      </c>
      <c r="F4" s="880" t="s">
        <v>1118</v>
      </c>
      <c r="G4" s="882" t="s">
        <v>678</v>
      </c>
      <c r="H4" s="876" t="e">
        <f>IF('Baseline farm'!$D$24="kg milksolids per herd per annum",'Baseline farm'!J102*1000/'Baseline farm'!$P$171,'Baseline farm'!J102*1000/'Baseline farm'!$P$176)</f>
        <v>#DIV/0!</v>
      </c>
      <c r="I4" s="876" t="e">
        <f>IF('Strategy farm'!$D$25="kg milksolids per herd per annum",'Strategy farm'!J103*1000/'Strategy farm'!$P$227,'Strategy farm'!J103*1000/'Strategy farm'!$P$232)</f>
        <v>#DIV/0!</v>
      </c>
      <c r="J4" s="878"/>
      <c r="K4" s="1765" t="s">
        <v>1665</v>
      </c>
      <c r="L4" s="1841" t="e">
        <f>'Baseline farm'!K102+'Baseline farm'!K103</f>
        <v>#DIV/0!</v>
      </c>
      <c r="M4" s="1841" t="e">
        <f>'Old NGGI methodology'!K104+'Old NGGI methodology'!K105+'Old NGGI methodology'!K106</f>
        <v>#DIV/0!</v>
      </c>
      <c r="O4" s="24" t="s">
        <v>1055</v>
      </c>
      <c r="P4" s="879">
        <f>'Strategy farm'!F216</f>
        <v>0</v>
      </c>
      <c r="Q4" s="879">
        <f>'Strategy farm'!F216</f>
        <v>0</v>
      </c>
      <c r="S4" s="24" t="s">
        <v>1055</v>
      </c>
      <c r="T4" s="879">
        <f>'Reduce CH4 breeding_management'!C67</f>
        <v>0</v>
      </c>
      <c r="U4" s="879">
        <f>'Reduce CH4 breeding_management'!D67</f>
        <v>0</v>
      </c>
      <c r="W4" s="24" t="s">
        <v>1055</v>
      </c>
      <c r="X4" s="879" t="e">
        <f>'Replacing Sup with dietary fats'!C95</f>
        <v>#DIV/0!</v>
      </c>
      <c r="Y4" s="879" t="e">
        <f>'Replacing Sup with dietary fats'!D95</f>
        <v>#DIV/0!</v>
      </c>
      <c r="AA4" s="24" t="s">
        <v>1055</v>
      </c>
      <c r="AB4" s="879">
        <f>'Supplementing with dietary fats'!C86</f>
        <v>0</v>
      </c>
      <c r="AC4" s="879">
        <f>'Supplementing with dietary fats'!D86</f>
        <v>0</v>
      </c>
      <c r="AE4" s="24" t="s">
        <v>1055</v>
      </c>
      <c r="AF4" s="879">
        <f>'Improved diet DDM by Supplement'!C81</f>
        <v>0</v>
      </c>
      <c r="AG4" s="879">
        <f>'Improved diet DDM by Supplement'!D81</f>
        <v>0</v>
      </c>
      <c r="AI4" s="24" t="s">
        <v>1055</v>
      </c>
      <c r="AJ4" s="879">
        <f>'Improved diet DMD by management'!C80</f>
        <v>0</v>
      </c>
      <c r="AK4" s="879">
        <f>'Improved diet DMD by management'!D80</f>
        <v>0</v>
      </c>
      <c r="AM4" s="24" t="s">
        <v>1055</v>
      </c>
      <c r="AN4" s="879">
        <f>' N inhibitor applied to feed'!C73</f>
        <v>0</v>
      </c>
      <c r="AO4" s="879">
        <f>' N inhibitor applied to feed'!D73</f>
        <v>0</v>
      </c>
      <c r="AQ4" s="24" t="s">
        <v>1055</v>
      </c>
      <c r="AR4" s="879">
        <f>'N fertiliser inhibitor coated'!C91</f>
        <v>0</v>
      </c>
      <c r="AS4" s="879">
        <f>'N fertiliser inhibitor coated'!D91</f>
        <v>0</v>
      </c>
      <c r="AU4" s="24" t="s">
        <v>1055</v>
      </c>
      <c r="AV4" s="879">
        <f>'Extended lactation'!C78</f>
        <v>0</v>
      </c>
      <c r="AW4" s="879">
        <f>'Extended lactation'!D78</f>
        <v>0</v>
      </c>
      <c r="AY4" s="24" t="s">
        <v>1055</v>
      </c>
      <c r="AZ4" s="879">
        <f>'Extended longevity'!C62</f>
        <v>0</v>
      </c>
      <c r="BA4" s="879">
        <f>'Extended longevity'!D62</f>
        <v>0</v>
      </c>
    </row>
    <row r="5" spans="1:53" ht="15.75" x14ac:dyDescent="0.25">
      <c r="A5" s="500" t="s">
        <v>945</v>
      </c>
      <c r="B5" s="878" t="e">
        <f>'Baseline farm'!V172</f>
        <v>#DIV/0!</v>
      </c>
      <c r="C5" s="1289">
        <f>'Example baseline farm'!K106</f>
        <v>3.1660213994397356E-2</v>
      </c>
      <c r="D5" s="878">
        <v>1.6507359813005371E-2</v>
      </c>
      <c r="F5" s="882"/>
      <c r="G5" s="882" t="s">
        <v>1523</v>
      </c>
      <c r="H5" s="876" t="e">
        <f>IF('Baseline farm'!$D$24="kg milksolids per herd per annum",'Baseline farm'!J103*1000/'Baseline farm'!$P$171,'Baseline farm'!J103*1000/'Baseline farm'!$P$176)</f>
        <v>#DIV/0!</v>
      </c>
      <c r="I5" s="876" t="e">
        <f>IF('Strategy farm'!$D$25="kg milksolids per herd per annum",'Strategy farm'!J104*1000/'Strategy farm'!$P$227,'Strategy farm'!J104*1000/'Strategy farm'!$P$232)</f>
        <v>#DIV/0!</v>
      </c>
      <c r="J5" s="878"/>
      <c r="K5" s="1765" t="s">
        <v>1666</v>
      </c>
      <c r="L5" s="1841" t="e">
        <f>'Baseline farm'!K105</f>
        <v>#DIV/0!</v>
      </c>
      <c r="M5" s="1841" t="e">
        <f>'Old NGGI methodology'!K108</f>
        <v>#DIV/0!</v>
      </c>
      <c r="O5" s="24" t="s">
        <v>121</v>
      </c>
      <c r="P5" s="879">
        <f>'Strategy farm'!F218</f>
        <v>0</v>
      </c>
      <c r="Q5" s="879">
        <f>'Strategy farm'!F218</f>
        <v>0</v>
      </c>
      <c r="S5" s="24" t="s">
        <v>121</v>
      </c>
      <c r="T5" s="879" t="e">
        <f>'Reduce CH4 breeding_management'!C68</f>
        <v>#DIV/0!</v>
      </c>
      <c r="U5" s="879" t="e">
        <f>'Reduce CH4 breeding_management'!D68</f>
        <v>#DIV/0!</v>
      </c>
      <c r="W5" s="24" t="s">
        <v>121</v>
      </c>
      <c r="X5" s="879" t="e">
        <f>'Replacing Sup with dietary fats'!C96</f>
        <v>#DIV/0!</v>
      </c>
      <c r="Y5" s="879" t="e">
        <f>'Replacing Sup with dietary fats'!D96</f>
        <v>#DIV/0!</v>
      </c>
      <c r="AA5" s="24" t="s">
        <v>121</v>
      </c>
      <c r="AB5" s="879" t="e">
        <f>'Supplementing with dietary fats'!C87</f>
        <v>#DIV/0!</v>
      </c>
      <c r="AC5" s="879" t="e">
        <f>'Supplementing with dietary fats'!D87</f>
        <v>#DIV/0!</v>
      </c>
      <c r="AE5" s="24" t="s">
        <v>121</v>
      </c>
      <c r="AF5" s="879" t="e">
        <f>'Improved diet DDM by Supplement'!C82</f>
        <v>#DIV/0!</v>
      </c>
      <c r="AG5" s="879" t="e">
        <f>'Improved diet DDM by Supplement'!D82</f>
        <v>#DIV/0!</v>
      </c>
      <c r="AI5" s="24" t="s">
        <v>121</v>
      </c>
      <c r="AJ5" s="879" t="e">
        <f>'Improved diet DMD by management'!C81</f>
        <v>#DIV/0!</v>
      </c>
      <c r="AK5" s="879" t="e">
        <f>'Improved diet DMD by management'!D81</f>
        <v>#DIV/0!</v>
      </c>
      <c r="AM5" s="24" t="s">
        <v>121</v>
      </c>
      <c r="AN5" s="879">
        <f>' N inhibitor applied to feed'!C74</f>
        <v>0</v>
      </c>
      <c r="AO5" s="879">
        <f>' N inhibitor applied to feed'!D74</f>
        <v>0</v>
      </c>
      <c r="AQ5" s="24" t="s">
        <v>121</v>
      </c>
      <c r="AR5" s="879">
        <f>'N fertiliser inhibitor coated'!C92</f>
        <v>3950.3072062439987</v>
      </c>
      <c r="AS5" s="879">
        <f>'N fertiliser inhibitor coated'!D92</f>
        <v>3950.3072062439987</v>
      </c>
      <c r="AU5" s="24" t="s">
        <v>121</v>
      </c>
      <c r="AV5" s="879">
        <f>'Extended lactation'!C79</f>
        <v>0</v>
      </c>
      <c r="AW5" s="879">
        <f>'Extended lactation'!D79</f>
        <v>0</v>
      </c>
      <c r="AY5" s="24" t="s">
        <v>1388</v>
      </c>
      <c r="AZ5" s="879">
        <f>'Extended longevity'!C63</f>
        <v>-192000</v>
      </c>
      <c r="BA5" s="879">
        <f>'Extended longevity'!D63</f>
        <v>-192000</v>
      </c>
    </row>
    <row r="6" spans="1:53" ht="15.75" x14ac:dyDescent="0.25">
      <c r="A6" s="500" t="s">
        <v>1507</v>
      </c>
      <c r="B6" s="878" t="e">
        <f>'Baseline farm'!V173</f>
        <v>#DIV/0!</v>
      </c>
      <c r="C6" s="1289">
        <f>'Example baseline farm'!K105</f>
        <v>3.6704245419483368E-2</v>
      </c>
      <c r="D6" s="878">
        <v>4.2267295591961219E-2</v>
      </c>
      <c r="F6" s="882"/>
      <c r="G6" s="882" t="s">
        <v>461</v>
      </c>
      <c r="H6" s="876" t="e">
        <f>IF('Baseline farm'!$D$24="kg milksolids per herd per annum",'Baseline farm'!J104*1000/'Baseline farm'!$P$171,'Baseline farm'!J104*1000/'Baseline farm'!$P$176)</f>
        <v>#DIV/0!</v>
      </c>
      <c r="I6" s="876" t="e">
        <f>IF('Strategy farm'!$D$25="kg milksolids per herd per annum",'Strategy farm'!J105*1000/'Strategy farm'!$P$227,'Strategy farm'!J105*1000/'Strategy farm'!$P$232)</f>
        <v>#DIV/0!</v>
      </c>
      <c r="J6" s="878"/>
      <c r="K6" s="1765" t="s">
        <v>1667</v>
      </c>
      <c r="L6" s="1841" t="e">
        <f>'Baseline farm'!K104</f>
        <v>#DIV/0!</v>
      </c>
      <c r="M6" s="1841" t="e">
        <f>'Old NGGI methodology'!K107</f>
        <v>#DIV/0!</v>
      </c>
      <c r="O6" s="24" t="s">
        <v>24</v>
      </c>
      <c r="P6" s="879">
        <f>'Strategy farm'!F219</f>
        <v>0</v>
      </c>
      <c r="Q6" s="879">
        <f>'Strategy farm'!F221</f>
        <v>0</v>
      </c>
      <c r="S6" s="24" t="s">
        <v>24</v>
      </c>
      <c r="T6" s="879" t="e">
        <f>'Reduce CH4 breeding_management'!C69</f>
        <v>#DIV/0!</v>
      </c>
      <c r="U6" s="879" t="e">
        <f>'Reduce CH4 breeding_management'!D69</f>
        <v>#DIV/0!</v>
      </c>
      <c r="W6" s="24" t="s">
        <v>24</v>
      </c>
      <c r="X6" s="879" t="e">
        <f>'Replacing Sup with dietary fats'!C97</f>
        <v>#DIV/0!</v>
      </c>
      <c r="Y6" s="879" t="e">
        <f>'Replacing Sup with dietary fats'!D97</f>
        <v>#DIV/0!</v>
      </c>
      <c r="AA6" s="24" t="s">
        <v>24</v>
      </c>
      <c r="AB6" s="879" t="e">
        <f>'Supplementing with dietary fats'!C88</f>
        <v>#DIV/0!</v>
      </c>
      <c r="AC6" s="879" t="e">
        <f>'Supplementing with dietary fats'!D88</f>
        <v>#DIV/0!</v>
      </c>
      <c r="AE6" s="24" t="s">
        <v>24</v>
      </c>
      <c r="AF6" s="879" t="e">
        <f>'Improved diet DDM by Supplement'!C83</f>
        <v>#DIV/0!</v>
      </c>
      <c r="AG6" s="879" t="e">
        <f>'Improved diet DDM by Supplement'!D83</f>
        <v>#DIV/0!</v>
      </c>
      <c r="AI6" s="24" t="s">
        <v>24</v>
      </c>
      <c r="AJ6" s="879" t="e">
        <f>'Improved diet DMD by management'!C82</f>
        <v>#DIV/0!</v>
      </c>
      <c r="AK6" s="879" t="e">
        <f>'Improved diet DMD by management'!D82</f>
        <v>#DIV/0!</v>
      </c>
      <c r="AM6" s="24" t="s">
        <v>24</v>
      </c>
      <c r="AN6" s="879" t="e">
        <f>' N inhibitor applied to feed'!C75</f>
        <v>#DIV/0!</v>
      </c>
      <c r="AO6" s="879" t="e">
        <f>' N inhibitor applied to feed'!D75</f>
        <v>#DIV/0!</v>
      </c>
      <c r="AQ6" s="24" t="s">
        <v>24</v>
      </c>
      <c r="AR6" s="879">
        <f>'N fertiliser inhibitor coated'!C93</f>
        <v>3950.3072062439987</v>
      </c>
      <c r="AS6" s="879" t="e">
        <f>'N fertiliser inhibitor coated'!D93</f>
        <v>#DIV/0!</v>
      </c>
      <c r="AU6" s="24" t="s">
        <v>24</v>
      </c>
      <c r="AV6" s="879" t="e">
        <f>'Extended lactation'!C80</f>
        <v>#N/A</v>
      </c>
      <c r="AW6" s="879" t="e">
        <f>'Extended lactation'!D80</f>
        <v>#N/A</v>
      </c>
      <c r="AY6" s="24" t="s">
        <v>24</v>
      </c>
      <c r="AZ6" s="879" t="e">
        <f>'Extended longevity'!C64</f>
        <v>#N/A</v>
      </c>
      <c r="BA6" s="879" t="e">
        <f>'Extended longevity'!D64</f>
        <v>#N/A</v>
      </c>
    </row>
    <row r="7" spans="1:53" ht="15.75" x14ac:dyDescent="0.25">
      <c r="A7" s="500" t="s">
        <v>947</v>
      </c>
      <c r="B7" s="878" t="e">
        <f>'Baseline farm'!V174</f>
        <v>#DIV/0!</v>
      </c>
      <c r="C7" s="1289">
        <f>'Example baseline farm'!K107</f>
        <v>2.0974891771288251E-2</v>
      </c>
      <c r="D7" s="878">
        <v>1.0936125876116061E-2</v>
      </c>
      <c r="F7" s="882"/>
      <c r="G7" s="882" t="s">
        <v>462</v>
      </c>
      <c r="H7" s="876" t="e">
        <f>IF('Baseline farm'!$D$24="kg milksolids per herd per annum",'Baseline farm'!J105*1000/'Baseline farm'!$P$171,'Baseline farm'!J105*1000/'Baseline farm'!$P$176)</f>
        <v>#DIV/0!</v>
      </c>
      <c r="I7" s="876" t="e">
        <f>IF('Strategy farm'!$D$25="kg milksolids per herd per annum",'Strategy farm'!J106*1000/'Strategy farm'!$P$227,'Strategy farm'!J106*1000/'Strategy farm'!$P$232)</f>
        <v>#DIV/0!</v>
      </c>
      <c r="J7" s="878"/>
      <c r="K7" s="1765" t="s">
        <v>1668</v>
      </c>
      <c r="L7" s="1841" t="e">
        <f>'Baseline farm'!K106</f>
        <v>#DIV/0!</v>
      </c>
      <c r="M7" s="1841" t="e">
        <f>'Old NGGI methodology'!K109</f>
        <v>#DIV/0!</v>
      </c>
    </row>
    <row r="8" spans="1:53" ht="15.75" x14ac:dyDescent="0.25">
      <c r="A8" s="500" t="s">
        <v>948</v>
      </c>
      <c r="B8" s="878" t="e">
        <f>'Baseline farm'!V175</f>
        <v>#N/A</v>
      </c>
      <c r="C8" s="1289">
        <f>SUM('Example baseline farm'!K108:K109)</f>
        <v>8.7380733755968651E-2</v>
      </c>
      <c r="D8" s="878">
        <v>8.6539348818506071E-2</v>
      </c>
      <c r="F8" s="882"/>
      <c r="G8" s="882" t="s">
        <v>460</v>
      </c>
      <c r="H8" s="876" t="e">
        <f>IF('Baseline farm'!$D$24="kg milksolids per herd per annum",'Baseline farm'!J106*1000/'Baseline farm'!$P$171,'Baseline farm'!J106*1000/'Baseline farm'!$P$176)</f>
        <v>#DIV/0!</v>
      </c>
      <c r="I8" s="876" t="e">
        <f>IF('Strategy farm'!$D$25="kg milksolids per herd per annum",'Strategy farm'!J107*1000/'Strategy farm'!$P$227,'Strategy farm'!J107*1000/'Strategy farm'!$P$232)</f>
        <v>#DIV/0!</v>
      </c>
      <c r="J8" s="878"/>
      <c r="K8" s="1765" t="s">
        <v>948</v>
      </c>
      <c r="L8" s="1841" t="e">
        <f>'Baseline farm'!K107+'Baseline farm'!K108</f>
        <v>#N/A</v>
      </c>
      <c r="M8" s="1841" t="e">
        <f>'Old NGGI methodology'!K110+'Old NGGI methodology'!K111</f>
        <v>#N/A</v>
      </c>
    </row>
    <row r="9" spans="1:53" ht="15.75" x14ac:dyDescent="0.25">
      <c r="A9" s="500" t="s">
        <v>937</v>
      </c>
      <c r="B9" s="878" t="e">
        <f>'Baseline farm'!V176</f>
        <v>#DIV/0!</v>
      </c>
      <c r="C9" s="1289">
        <f>SUM('Example baseline farm'!K110:K112)</f>
        <v>0.13695039129579495</v>
      </c>
      <c r="D9" s="878">
        <v>0.11352164034688558</v>
      </c>
      <c r="F9" s="880" t="s">
        <v>893</v>
      </c>
      <c r="G9" s="882" t="s">
        <v>889</v>
      </c>
      <c r="H9" s="876" t="e">
        <f>IF('Baseline farm'!$D$24="kg milksolids per herd per annum",'Baseline farm'!J107*1000/'Baseline farm'!$P$171,'Baseline farm'!J107*1000/'Baseline farm'!$P$176)</f>
        <v>#N/A</v>
      </c>
      <c r="I9" s="876" t="e">
        <f>IF('Strategy farm'!$D$25="kg milksolids per herd per annum",'Strategy farm'!J108*1000/'Strategy farm'!$P$227,'Strategy farm'!J108*1000/'Strategy farm'!$P$232)</f>
        <v>#N/A</v>
      </c>
      <c r="J9" s="878"/>
      <c r="K9" s="1765" t="s">
        <v>937</v>
      </c>
      <c r="L9" s="1841" t="e">
        <f>SUM('Baseline farm'!K109:K111)</f>
        <v>#DIV/0!</v>
      </c>
      <c r="M9" s="1841" t="e">
        <f>SUM('Old NGGI methodology'!K112:K114)</f>
        <v>#DIV/0!</v>
      </c>
    </row>
    <row r="10" spans="1:53" ht="15.75" x14ac:dyDescent="0.25">
      <c r="B10" s="1289" t="e">
        <f>SUM(B2:B9)</f>
        <v>#DIV/0!</v>
      </c>
      <c r="C10" s="1289">
        <f>SUM(C2:C9)</f>
        <v>1.0000000000000002</v>
      </c>
      <c r="D10" s="1841">
        <f>SUM(D2:D9)</f>
        <v>0.99999999999999978</v>
      </c>
      <c r="F10" s="880"/>
      <c r="G10" s="882" t="s">
        <v>890</v>
      </c>
      <c r="H10" s="876" t="e">
        <f>IF('Baseline farm'!$D$24="kg milksolids per herd per annum",'Baseline farm'!J108*1000/'Baseline farm'!$P$171,'Baseline farm'!J108*1000/'Baseline farm'!$P$176)</f>
        <v>#DIV/0!</v>
      </c>
      <c r="I10" s="876" t="e">
        <f>IF('Strategy farm'!$D$25="kg milksolids per herd per annum",'Strategy farm'!J109*1000/'Strategy farm'!$P$227,'Strategy farm'!J109*1000/'Strategy farm'!$P$232)</f>
        <v>#DIV/0!</v>
      </c>
      <c r="J10" s="878"/>
      <c r="L10" s="1841" t="e">
        <f>SUM(L2:L9)</f>
        <v>#DIV/0!</v>
      </c>
      <c r="M10" s="1841" t="e">
        <f>SUM(M2:M9)</f>
        <v>#DIV/0!</v>
      </c>
    </row>
    <row r="11" spans="1:53" ht="15.75" x14ac:dyDescent="0.25">
      <c r="B11" s="1289"/>
      <c r="C11" s="1289"/>
      <c r="D11" s="1289"/>
      <c r="F11" s="151" t="s">
        <v>937</v>
      </c>
      <c r="G11" s="877" t="s">
        <v>938</v>
      </c>
      <c r="H11" s="876" t="e">
        <f>IF('Baseline farm'!$D$24="kg milksolids per herd per annum",'Baseline farm'!J109*1000/'Baseline farm'!$P$171,'Baseline farm'!J109*1000/'Baseline farm'!$P$176)</f>
        <v>#DIV/0!</v>
      </c>
      <c r="I11" s="876" t="e">
        <f>IF('Strategy farm'!$D$25="kg milksolids per herd per annum",'Strategy farm'!J110*1000/'Strategy farm'!$P$227,'Strategy farm'!J110*1000/'Strategy farm'!$P$232)</f>
        <v>#DIV/0!</v>
      </c>
      <c r="J11" s="878"/>
    </row>
    <row r="12" spans="1:53" ht="15.75" x14ac:dyDescent="0.25">
      <c r="F12" s="151"/>
      <c r="G12" s="877" t="s">
        <v>939</v>
      </c>
      <c r="H12" s="876" t="e">
        <f>IF('Baseline farm'!$D$24="kg milksolids per herd per annum",'Baseline farm'!J110*1000/'Baseline farm'!$P$171,'Baseline farm'!J110*1000/'Baseline farm'!$P$176)</f>
        <v>#DIV/0!</v>
      </c>
      <c r="I12" s="876" t="e">
        <f>IF('Strategy farm'!$D$25="kg milksolids per herd per annum",'Strategy farm'!J111*1000/'Strategy farm'!$P$227,'Strategy farm'!J111*1000/'Strategy farm'!$P$232)</f>
        <v>#DIV/0!</v>
      </c>
      <c r="J12" s="878"/>
    </row>
    <row r="13" spans="1:53" ht="15.75" x14ac:dyDescent="0.25">
      <c r="F13" s="151"/>
      <c r="G13" s="877" t="s">
        <v>921</v>
      </c>
      <c r="H13" s="876" t="e">
        <f>IF('Baseline farm'!$D$24="kg milksolids per herd per annum",'Baseline farm'!J111*1000/'Baseline farm'!$P$171,'Baseline farm'!J111*1000/'Baseline farm'!$P$176)</f>
        <v>#DIV/0!</v>
      </c>
      <c r="I13" s="876" t="e">
        <f>IF('Strategy farm'!$D$25="kg milksolids per herd per annum",'Strategy farm'!J112*1000/'Strategy farm'!$P$227,'Strategy farm'!J112*1000/'Strategy farm'!$P$232)</f>
        <v>#DIV/0!</v>
      </c>
      <c r="J13" s="878"/>
    </row>
    <row r="14" spans="1:53" ht="15.75" x14ac:dyDescent="0.25">
      <c r="F14" s="151" t="s">
        <v>676</v>
      </c>
      <c r="G14" s="877" t="s">
        <v>1121</v>
      </c>
      <c r="H14" s="876" t="e">
        <f>(IF('Baseline farm'!$D$24="kg milksolids per herd per annum",'Baseline farm'!J112*1000/'Baseline farm'!$P$171,'Baseline farm'!J112*1000/'Baseline farm'!$P$176))*-1</f>
        <v>#DIV/0!</v>
      </c>
      <c r="I14" s="876" t="e">
        <f>(IF('Strategy farm'!$D$25="kg milksolids per herd per annum",'Strategy farm'!J113*1000/'Strategy farm'!$P$227,'Strategy farm'!J113*1000/'Strategy farm'!$P$232))*-1</f>
        <v>#DIV/0!</v>
      </c>
      <c r="J14" s="878"/>
    </row>
    <row r="16" spans="1:53" x14ac:dyDescent="0.25">
      <c r="F16" s="500" t="s">
        <v>1119</v>
      </c>
      <c r="H16" s="500" t="str">
        <f>IF('Baseline farm'!D24="kg milksolids per herd per annum","kg CO2e per kg milksolids","kg CO2e per litre of fat and protein corrected milk")</f>
        <v>kg CO2e per litre of fat and protein corrected milk</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594"/>
  <sheetViews>
    <sheetView zoomScale="80" zoomScaleNormal="80" workbookViewId="0"/>
  </sheetViews>
  <sheetFormatPr defaultColWidth="9.140625" defaultRowHeight="15" x14ac:dyDescent="0.25"/>
  <cols>
    <col min="1" max="1" width="3.28515625" style="5" customWidth="1"/>
    <col min="2" max="2" width="42.7109375" style="5" customWidth="1"/>
    <col min="3" max="3" width="40" style="5" customWidth="1"/>
    <col min="4" max="9" width="19.7109375" style="5" customWidth="1"/>
    <col min="10" max="10" width="16.28515625" style="5" customWidth="1"/>
    <col min="11" max="11" width="22.85546875" style="5" customWidth="1"/>
    <col min="12" max="12" width="34.7109375" style="5" customWidth="1"/>
    <col min="13" max="13" width="14" style="5" bestFit="1" customWidth="1"/>
    <col min="14" max="14" width="14.28515625" style="5" bestFit="1" customWidth="1"/>
    <col min="15" max="16" width="10.42578125" style="5" bestFit="1" customWidth="1"/>
    <col min="17" max="17" width="10.85546875" style="5" bestFit="1" customWidth="1"/>
    <col min="18" max="18" width="11.7109375" style="5" bestFit="1" customWidth="1"/>
    <col min="19" max="19" width="41.28515625" style="5" bestFit="1" customWidth="1"/>
    <col min="20" max="20" width="32.140625" style="5" bestFit="1" customWidth="1"/>
    <col min="21" max="21" width="10.7109375" style="5" bestFit="1" customWidth="1"/>
    <col min="22" max="22" width="13.42578125" style="5" bestFit="1" customWidth="1"/>
    <col min="23" max="23" width="9.140625" style="5"/>
    <col min="24" max="24" width="10.7109375" style="5" customWidth="1"/>
    <col min="25" max="25" width="9.140625" style="5"/>
    <col min="26" max="26" width="22.42578125" style="5" bestFit="1" customWidth="1"/>
    <col min="27" max="28" width="9.140625" style="5"/>
    <col min="29" max="29" width="10.140625" style="5" bestFit="1" customWidth="1"/>
    <col min="30" max="30" width="12.28515625" style="5" customWidth="1"/>
    <col min="31" max="33" width="9.140625" style="5"/>
    <col min="34" max="34" width="20.42578125" style="5" bestFit="1" customWidth="1"/>
    <col min="35" max="35" width="22.42578125" style="5" customWidth="1"/>
    <col min="36" max="36" width="10.5703125" style="5" bestFit="1" customWidth="1"/>
    <col min="37" max="37" width="9.140625" style="5"/>
    <col min="38" max="38" width="15" style="5" bestFit="1" customWidth="1"/>
    <col min="39" max="42" width="9.140625" style="5"/>
    <col min="43" max="43" width="29.140625" style="5" customWidth="1"/>
    <col min="44" max="44" width="49.28515625" style="5" bestFit="1" customWidth="1"/>
    <col min="45" max="45" width="9.140625" style="5"/>
    <col min="46" max="46" width="23" style="5" customWidth="1"/>
    <col min="47" max="47" width="9.140625" style="5"/>
    <col min="48" max="48" width="37.7109375" style="5" bestFit="1" customWidth="1"/>
    <col min="49" max="49" width="9.140625" style="5"/>
    <col min="50" max="50" width="37.7109375" style="5" bestFit="1" customWidth="1"/>
    <col min="51" max="52" width="9.140625" style="5"/>
    <col min="53" max="53" width="10.5703125" style="5" customWidth="1"/>
    <col min="54" max="57" width="10.5703125" style="5" bestFit="1" customWidth="1"/>
    <col min="58" max="16384" width="9.140625" style="5"/>
  </cols>
  <sheetData>
    <row r="1" spans="2:10" ht="20.25" x14ac:dyDescent="0.3">
      <c r="J1" s="921"/>
    </row>
    <row r="2" spans="2:10" ht="15" customHeight="1" x14ac:dyDescent="0.25">
      <c r="B2" s="2156" t="s">
        <v>1160</v>
      </c>
      <c r="C2" s="2156"/>
      <c r="D2" s="2156"/>
      <c r="E2" s="2156"/>
      <c r="F2" s="2156"/>
      <c r="G2" s="2156"/>
      <c r="H2" s="2156"/>
      <c r="I2" s="922"/>
    </row>
    <row r="3" spans="2:10" ht="15" customHeight="1" x14ac:dyDescent="0.25">
      <c r="B3" s="2156"/>
      <c r="C3" s="2156"/>
      <c r="D3" s="2156"/>
      <c r="E3" s="2156"/>
      <c r="F3" s="2156"/>
      <c r="G3" s="2156"/>
      <c r="H3" s="2156"/>
      <c r="I3" s="922"/>
    </row>
    <row r="4" spans="2:10" ht="15" customHeight="1" x14ac:dyDescent="0.25">
      <c r="B4" s="2156"/>
      <c r="C4" s="2156"/>
      <c r="D4" s="2156"/>
      <c r="E4" s="2156"/>
      <c r="F4" s="2156"/>
      <c r="G4" s="2156"/>
      <c r="H4" s="2156"/>
      <c r="I4" s="922"/>
    </row>
    <row r="5" spans="2:10" ht="15" customHeight="1" x14ac:dyDescent="0.25">
      <c r="B5" s="2156"/>
      <c r="C5" s="2156"/>
      <c r="D5" s="2156"/>
      <c r="E5" s="2156"/>
      <c r="F5" s="2156"/>
      <c r="G5" s="2156"/>
      <c r="H5" s="2156"/>
      <c r="I5" s="922"/>
    </row>
    <row r="6" spans="2:10" ht="18.75" x14ac:dyDescent="0.3">
      <c r="B6" s="453" t="s">
        <v>1161</v>
      </c>
    </row>
    <row r="7" spans="2:10" ht="18.75" x14ac:dyDescent="0.3">
      <c r="B7" s="453" t="s">
        <v>1035</v>
      </c>
      <c r="C7" s="62"/>
      <c r="E7" s="124"/>
    </row>
    <row r="8" spans="2:10" ht="18.75" x14ac:dyDescent="0.3">
      <c r="B8" s="812"/>
      <c r="C8" s="563"/>
      <c r="D8" s="563"/>
      <c r="E8" s="813"/>
      <c r="F8" s="563"/>
      <c r="G8" s="585"/>
      <c r="H8" s="563"/>
      <c r="I8" s="814"/>
    </row>
    <row r="9" spans="2:10" ht="18.75" x14ac:dyDescent="0.3">
      <c r="B9" s="815" t="s">
        <v>912</v>
      </c>
      <c r="C9" s="603" t="s">
        <v>1074</v>
      </c>
      <c r="D9" s="2157" t="s">
        <v>1022</v>
      </c>
      <c r="E9" s="2157"/>
      <c r="F9" s="2157"/>
      <c r="G9" s="598" t="s">
        <v>913</v>
      </c>
      <c r="H9" s="910" t="s">
        <v>1024</v>
      </c>
      <c r="I9" s="816"/>
    </row>
    <row r="10" spans="2:10" ht="18.75" x14ac:dyDescent="0.3">
      <c r="B10" s="815"/>
      <c r="C10" s="562"/>
      <c r="D10" s="562"/>
      <c r="E10" s="817"/>
      <c r="F10" s="562"/>
      <c r="G10" s="905"/>
      <c r="H10" s="562"/>
      <c r="I10" s="816"/>
    </row>
    <row r="11" spans="2:10" ht="18.75" x14ac:dyDescent="0.3">
      <c r="B11" s="815"/>
      <c r="C11" s="803" t="s">
        <v>914</v>
      </c>
      <c r="D11" s="2106" t="s">
        <v>1023</v>
      </c>
      <c r="E11" s="2106"/>
      <c r="F11" s="2106"/>
      <c r="G11" s="598" t="s">
        <v>1006</v>
      </c>
      <c r="H11" s="923" t="s">
        <v>1007</v>
      </c>
      <c r="I11" s="818"/>
    </row>
    <row r="12" spans="2:10" ht="18.75" x14ac:dyDescent="0.3">
      <c r="B12" s="815"/>
      <c r="C12" s="562"/>
      <c r="D12" s="562"/>
      <c r="E12" s="817"/>
      <c r="F12" s="562"/>
      <c r="G12" s="817"/>
      <c r="H12" s="817"/>
      <c r="I12" s="818"/>
    </row>
    <row r="13" spans="2:10" ht="15.75" x14ac:dyDescent="0.25">
      <c r="B13" s="819"/>
      <c r="C13" s="487" t="s">
        <v>915</v>
      </c>
      <c r="D13" s="910" t="s">
        <v>1008</v>
      </c>
      <c r="E13" s="573"/>
      <c r="F13" s="2125" t="s">
        <v>963</v>
      </c>
      <c r="G13" s="2125"/>
      <c r="H13" s="924" t="s">
        <v>1012</v>
      </c>
      <c r="I13" s="820"/>
    </row>
    <row r="14" spans="2:10" ht="18.75" x14ac:dyDescent="0.3">
      <c r="B14" s="821"/>
      <c r="C14" s="365"/>
      <c r="D14" s="365"/>
      <c r="E14" s="365"/>
      <c r="F14" s="365"/>
      <c r="G14" s="365"/>
      <c r="H14" s="365"/>
      <c r="I14" s="822"/>
    </row>
    <row r="15" spans="2:10" ht="15.75" x14ac:dyDescent="0.25">
      <c r="B15" s="565"/>
      <c r="C15" s="563"/>
      <c r="D15" s="571" t="s">
        <v>249</v>
      </c>
      <c r="E15" s="571" t="s">
        <v>250</v>
      </c>
      <c r="F15" s="571" t="s">
        <v>251</v>
      </c>
      <c r="G15" s="571" t="s">
        <v>1129</v>
      </c>
      <c r="H15" s="571" t="s">
        <v>1128</v>
      </c>
      <c r="I15" s="581"/>
    </row>
    <row r="16" spans="2:10" ht="15.75" x14ac:dyDescent="0.25">
      <c r="B16" s="796" t="s">
        <v>254</v>
      </c>
      <c r="C16" s="562"/>
      <c r="D16" s="925">
        <v>450</v>
      </c>
      <c r="E16" s="925">
        <v>115</v>
      </c>
      <c r="F16" s="925">
        <v>115</v>
      </c>
      <c r="G16" s="925">
        <v>12</v>
      </c>
      <c r="H16" s="925">
        <v>4</v>
      </c>
      <c r="I16" s="1002" t="s">
        <v>255</v>
      </c>
    </row>
    <row r="17" spans="2:33" ht="15.75" x14ac:dyDescent="0.25">
      <c r="B17" s="796"/>
      <c r="C17" s="562"/>
      <c r="D17" s="663"/>
      <c r="E17" s="663"/>
      <c r="F17" s="663"/>
      <c r="G17" s="663"/>
      <c r="H17" s="663"/>
      <c r="I17" s="1002"/>
    </row>
    <row r="18" spans="2:33" ht="15.75" x14ac:dyDescent="0.25">
      <c r="B18" s="796" t="s">
        <v>256</v>
      </c>
      <c r="C18" s="562"/>
      <c r="D18" s="925">
        <v>550</v>
      </c>
      <c r="E18" s="925">
        <v>400</v>
      </c>
      <c r="F18" s="925">
        <v>200</v>
      </c>
      <c r="G18" s="925">
        <v>750</v>
      </c>
      <c r="H18" s="925">
        <v>250</v>
      </c>
      <c r="I18" s="1002" t="s">
        <v>257</v>
      </c>
    </row>
    <row r="19" spans="2:33" ht="15.75" x14ac:dyDescent="0.25">
      <c r="B19" s="796"/>
      <c r="C19" s="363"/>
      <c r="D19" s="663"/>
      <c r="E19" s="663"/>
      <c r="F19" s="663"/>
      <c r="G19" s="663"/>
      <c r="H19" s="663"/>
      <c r="I19" s="1002"/>
    </row>
    <row r="20" spans="2:33" ht="15.75" x14ac:dyDescent="0.25">
      <c r="B20" s="796" t="s">
        <v>895</v>
      </c>
      <c r="C20" s="562"/>
      <c r="D20" s="668"/>
      <c r="E20" s="925">
        <v>0.7</v>
      </c>
      <c r="F20" s="925">
        <v>0.7</v>
      </c>
      <c r="G20" s="663"/>
      <c r="H20" s="926">
        <v>0.75</v>
      </c>
      <c r="I20" s="1002" t="s">
        <v>258</v>
      </c>
    </row>
    <row r="21" spans="2:33" ht="15.75" x14ac:dyDescent="0.25">
      <c r="B21" s="797"/>
      <c r="C21" s="365"/>
      <c r="D21" s="798"/>
      <c r="E21" s="799"/>
      <c r="F21" s="799"/>
      <c r="G21" s="799"/>
      <c r="H21" s="799"/>
      <c r="I21" s="582"/>
    </row>
    <row r="22" spans="2:33" ht="15.75" x14ac:dyDescent="0.25">
      <c r="B22" s="873" t="s">
        <v>820</v>
      </c>
      <c r="C22" s="813"/>
      <c r="D22" s="813"/>
      <c r="E22" s="813"/>
      <c r="F22" s="813"/>
      <c r="G22" s="813"/>
      <c r="H22" s="813"/>
      <c r="I22" s="362"/>
    </row>
    <row r="23" spans="2:33" ht="15.75" x14ac:dyDescent="0.25">
      <c r="B23" s="875"/>
      <c r="C23" s="562" t="s">
        <v>1111</v>
      </c>
      <c r="D23" s="2158" t="s">
        <v>1113</v>
      </c>
      <c r="E23" s="2158"/>
      <c r="F23" s="2159" t="s">
        <v>1304</v>
      </c>
      <c r="G23" s="2159"/>
      <c r="H23" s="927">
        <v>240000</v>
      </c>
      <c r="I23" s="1002" t="str">
        <f>IF(S182="1","litres of milk","kg milksolids")</f>
        <v>kg milksolids</v>
      </c>
    </row>
    <row r="24" spans="2:33" ht="15.75" x14ac:dyDescent="0.25">
      <c r="B24" s="874"/>
      <c r="C24" s="562"/>
      <c r="D24" s="911"/>
      <c r="E24" s="508"/>
      <c r="F24" s="508"/>
      <c r="G24" s="509"/>
      <c r="H24" s="904"/>
      <c r="I24" s="364"/>
    </row>
    <row r="25" spans="2:33" ht="15.75" x14ac:dyDescent="0.25">
      <c r="B25" s="874"/>
      <c r="C25" s="562" t="s">
        <v>1377</v>
      </c>
      <c r="D25" s="908">
        <v>4.3</v>
      </c>
      <c r="E25" s="508" t="s">
        <v>259</v>
      </c>
      <c r="F25" s="2160" t="s">
        <v>1378</v>
      </c>
      <c r="G25" s="2160"/>
      <c r="H25" s="926">
        <v>3.3</v>
      </c>
      <c r="I25" s="1002" t="s">
        <v>259</v>
      </c>
      <c r="Z25" s="62"/>
      <c r="AA25" s="62"/>
      <c r="AB25" s="62"/>
      <c r="AC25" s="62"/>
      <c r="AD25" s="62"/>
      <c r="AE25" s="62"/>
      <c r="AF25" s="62"/>
      <c r="AG25" s="62"/>
    </row>
    <row r="26" spans="2:33" ht="15.75" x14ac:dyDescent="0.25">
      <c r="B26" s="909"/>
      <c r="C26" s="562"/>
      <c r="D26" s="911"/>
      <c r="E26" s="509"/>
      <c r="F26" s="663"/>
      <c r="G26" s="663"/>
      <c r="H26" s="509"/>
      <c r="I26" s="364"/>
      <c r="Z26" s="62"/>
      <c r="AA26" s="62"/>
      <c r="AB26" s="62"/>
      <c r="AC26" s="62"/>
      <c r="AD26" s="62"/>
      <c r="AE26" s="62"/>
      <c r="AF26" s="62"/>
      <c r="AG26" s="62"/>
    </row>
    <row r="27" spans="2:33" ht="15.75" x14ac:dyDescent="0.25">
      <c r="B27" s="909"/>
      <c r="C27" s="562" t="s">
        <v>515</v>
      </c>
      <c r="D27" s="928">
        <v>305</v>
      </c>
      <c r="E27" s="509" t="s">
        <v>1309</v>
      </c>
      <c r="F27" s="2161" t="s">
        <v>829</v>
      </c>
      <c r="G27" s="2161"/>
      <c r="H27" s="977">
        <f>P179</f>
        <v>23.008340523439745</v>
      </c>
      <c r="I27" s="364"/>
      <c r="Z27" s="62"/>
      <c r="AA27" s="62"/>
      <c r="AB27" s="62"/>
      <c r="AC27" s="62"/>
      <c r="AD27" s="62"/>
      <c r="AE27" s="62"/>
      <c r="AF27" s="62"/>
      <c r="AG27" s="62"/>
    </row>
    <row r="28" spans="2:33" ht="15.75" x14ac:dyDescent="0.25">
      <c r="B28" s="661" t="s">
        <v>1135</v>
      </c>
      <c r="C28" s="563"/>
      <c r="D28" s="2162" t="s">
        <v>899</v>
      </c>
      <c r="E28" s="2162"/>
      <c r="F28" s="2163" t="s">
        <v>949</v>
      </c>
      <c r="G28" s="2163"/>
      <c r="H28" s="2163" t="s">
        <v>950</v>
      </c>
      <c r="I28" s="2164"/>
    </row>
    <row r="29" spans="2:33" ht="15.75" x14ac:dyDescent="0.25">
      <c r="B29" s="662"/>
      <c r="C29" s="562" t="s">
        <v>900</v>
      </c>
      <c r="D29" s="2154">
        <v>9</v>
      </c>
      <c r="E29" s="2154"/>
      <c r="F29" s="2154">
        <v>75</v>
      </c>
      <c r="G29" s="2154"/>
      <c r="H29" s="2154">
        <v>20</v>
      </c>
      <c r="I29" s="2155"/>
    </row>
    <row r="30" spans="2:33" ht="15.75" x14ac:dyDescent="0.25">
      <c r="B30" s="801" t="s">
        <v>1072</v>
      </c>
      <c r="C30" s="562" t="s">
        <v>901</v>
      </c>
      <c r="D30" s="2154">
        <v>6</v>
      </c>
      <c r="E30" s="2154"/>
      <c r="F30" s="2154">
        <v>80</v>
      </c>
      <c r="G30" s="2154"/>
      <c r="H30" s="2154">
        <v>12.5</v>
      </c>
      <c r="I30" s="2155"/>
    </row>
    <row r="31" spans="2:33" ht="15.75" x14ac:dyDescent="0.25">
      <c r="B31" s="801" t="s">
        <v>1073</v>
      </c>
      <c r="C31" s="562" t="s">
        <v>902</v>
      </c>
      <c r="D31" s="2154">
        <v>3</v>
      </c>
      <c r="E31" s="2154"/>
      <c r="F31" s="2154">
        <v>70</v>
      </c>
      <c r="G31" s="2154"/>
      <c r="H31" s="2154">
        <v>18</v>
      </c>
      <c r="I31" s="2155"/>
    </row>
    <row r="32" spans="2:33" ht="15.75" x14ac:dyDescent="0.25">
      <c r="B32" s="572" t="str">
        <f>P183 &amp;" kg DM/cow.day"</f>
        <v>18.1 kg DM/cow.day</v>
      </c>
      <c r="C32" s="562" t="s">
        <v>903</v>
      </c>
      <c r="D32" s="2154"/>
      <c r="E32" s="2154"/>
      <c r="F32" s="2154"/>
      <c r="G32" s="2154"/>
      <c r="H32" s="2154"/>
      <c r="I32" s="2155"/>
    </row>
    <row r="33" spans="2:33" ht="15.75" x14ac:dyDescent="0.25">
      <c r="B33" s="662"/>
      <c r="C33" s="562" t="s">
        <v>904</v>
      </c>
      <c r="D33" s="2154"/>
      <c r="E33" s="2154"/>
      <c r="F33" s="2154"/>
      <c r="G33" s="2154"/>
      <c r="H33" s="2154"/>
      <c r="I33" s="2155"/>
    </row>
    <row r="34" spans="2:33" ht="15.75" x14ac:dyDescent="0.25">
      <c r="B34" s="2152" t="s">
        <v>1351</v>
      </c>
      <c r="C34" s="562" t="s">
        <v>905</v>
      </c>
      <c r="D34" s="2154"/>
      <c r="E34" s="2154"/>
      <c r="F34" s="2154"/>
      <c r="G34" s="2154"/>
      <c r="H34" s="2154"/>
      <c r="I34" s="2155"/>
    </row>
    <row r="35" spans="2:33" ht="15.75" x14ac:dyDescent="0.25">
      <c r="B35" s="2153"/>
      <c r="C35" s="557" t="s">
        <v>908</v>
      </c>
      <c r="D35" s="2115">
        <f>SUM(D29:E34)</f>
        <v>18</v>
      </c>
      <c r="E35" s="2115"/>
      <c r="F35" s="2115">
        <f>P181</f>
        <v>75.833333333333329</v>
      </c>
      <c r="G35" s="2115"/>
      <c r="H35" s="2115">
        <f>P182</f>
        <v>17.166666666666668</v>
      </c>
      <c r="I35" s="2116"/>
    </row>
    <row r="36" spans="2:33" ht="15.75" x14ac:dyDescent="0.25">
      <c r="B36" s="662"/>
      <c r="C36" s="803"/>
      <c r="D36" s="911"/>
      <c r="E36" s="911"/>
      <c r="F36" s="911"/>
      <c r="G36" s="911"/>
      <c r="H36" s="911"/>
      <c r="I36" s="929"/>
    </row>
    <row r="37" spans="2:33" ht="15.75" x14ac:dyDescent="0.25">
      <c r="B37" s="1808" t="s">
        <v>1136</v>
      </c>
      <c r="C37" s="808"/>
      <c r="D37" s="908">
        <v>75</v>
      </c>
      <c r="E37" s="1006" t="s">
        <v>259</v>
      </c>
      <c r="F37" s="911"/>
      <c r="G37" s="911"/>
      <c r="H37" s="911"/>
      <c r="I37" s="364"/>
    </row>
    <row r="38" spans="2:33" ht="15.75" x14ac:dyDescent="0.25">
      <c r="B38" s="1808" t="s">
        <v>1137</v>
      </c>
      <c r="C38" s="808"/>
      <c r="D38" s="908">
        <v>20</v>
      </c>
      <c r="E38" s="930" t="s">
        <v>259</v>
      </c>
      <c r="F38" s="930"/>
      <c r="G38" s="930"/>
      <c r="H38" s="930"/>
      <c r="I38" s="364"/>
    </row>
    <row r="39" spans="2:33" ht="15.75" x14ac:dyDescent="0.25">
      <c r="B39" s="797"/>
      <c r="C39" s="802"/>
      <c r="D39" s="824"/>
      <c r="E39" s="824"/>
      <c r="F39" s="824"/>
      <c r="G39" s="824"/>
      <c r="H39" s="824"/>
      <c r="I39" s="364"/>
    </row>
    <row r="40" spans="2:33" ht="15.6" customHeight="1" x14ac:dyDescent="0.25">
      <c r="B40" s="560" t="s">
        <v>921</v>
      </c>
      <c r="C40" s="2166"/>
      <c r="D40" s="2166"/>
      <c r="E40" s="561"/>
      <c r="F40" s="564"/>
      <c r="G40" s="2166"/>
      <c r="H40" s="2166"/>
      <c r="I40" s="2167"/>
      <c r="L40" s="61"/>
      <c r="Z40" s="62"/>
      <c r="AA40" s="62"/>
      <c r="AB40" s="62"/>
      <c r="AC40" s="62"/>
      <c r="AD40" s="62"/>
      <c r="AE40" s="62"/>
      <c r="AF40" s="62"/>
      <c r="AG40" s="62"/>
    </row>
    <row r="41" spans="2:33" ht="15.6" customHeight="1" x14ac:dyDescent="0.25">
      <c r="B41" s="884"/>
      <c r="C41" s="562" t="s">
        <v>922</v>
      </c>
      <c r="D41" s="885"/>
      <c r="E41" s="2157" t="s">
        <v>1036</v>
      </c>
      <c r="F41" s="2157"/>
      <c r="G41" s="885"/>
      <c r="H41" s="2171" t="s">
        <v>1254</v>
      </c>
      <c r="I41" s="2171"/>
      <c r="L41" s="61"/>
      <c r="Z41" s="62"/>
      <c r="AA41" s="62"/>
      <c r="AB41" s="62"/>
      <c r="AC41" s="62"/>
      <c r="AD41" s="62"/>
      <c r="AE41" s="62"/>
      <c r="AF41" s="62"/>
      <c r="AG41" s="62"/>
    </row>
    <row r="42" spans="2:33" ht="15.6" customHeight="1" x14ac:dyDescent="0.25">
      <c r="B42" s="884"/>
      <c r="C42" s="885"/>
      <c r="D42" s="885"/>
      <c r="E42" s="886"/>
      <c r="F42" s="887"/>
      <c r="G42" s="885"/>
      <c r="H42" s="2171"/>
      <c r="I42" s="2171"/>
      <c r="L42" s="61"/>
      <c r="Z42" s="62"/>
      <c r="AA42" s="62"/>
      <c r="AB42" s="62"/>
      <c r="AC42" s="62"/>
      <c r="AD42" s="62"/>
      <c r="AE42" s="62"/>
      <c r="AF42" s="62"/>
      <c r="AG42" s="62"/>
    </row>
    <row r="43" spans="2:33" ht="15.6" customHeight="1" x14ac:dyDescent="0.25">
      <c r="B43" s="884"/>
      <c r="C43" s="574" t="s">
        <v>1221</v>
      </c>
      <c r="D43" s="885"/>
      <c r="E43" s="886"/>
      <c r="F43" s="887"/>
      <c r="G43" s="962" t="s">
        <v>1223</v>
      </c>
      <c r="H43" s="962"/>
      <c r="I43" s="888"/>
      <c r="L43" s="61"/>
      <c r="Z43" s="62"/>
      <c r="AA43" s="62"/>
      <c r="AB43" s="62"/>
      <c r="AC43" s="62"/>
      <c r="AD43" s="62"/>
      <c r="AE43" s="62"/>
      <c r="AF43" s="62"/>
      <c r="AG43" s="62"/>
    </row>
    <row r="44" spans="2:33" ht="15.75" x14ac:dyDescent="0.25">
      <c r="B44" s="569" t="s">
        <v>1123</v>
      </c>
      <c r="C44" s="931"/>
      <c r="D44" s="562" t="s">
        <v>261</v>
      </c>
      <c r="E44" s="890" t="s">
        <v>1130</v>
      </c>
      <c r="F44" s="513"/>
      <c r="G44" s="932">
        <v>50</v>
      </c>
      <c r="H44" s="933" t="str">
        <f>IF($T$171="1","kg per ha per annum","t per annum")</f>
        <v>t per annum</v>
      </c>
      <c r="I44" s="514"/>
      <c r="L44" s="61"/>
      <c r="Z44" s="62"/>
      <c r="AA44" s="62"/>
      <c r="AB44" s="62"/>
      <c r="AC44" s="62"/>
      <c r="AD44" s="62"/>
      <c r="AE44" s="62"/>
      <c r="AF44" s="62"/>
      <c r="AG44" s="62"/>
    </row>
    <row r="45" spans="2:33" ht="15.75" x14ac:dyDescent="0.25">
      <c r="B45" s="569" t="s">
        <v>1124</v>
      </c>
      <c r="C45" s="931"/>
      <c r="D45" s="562" t="s">
        <v>261</v>
      </c>
      <c r="E45" s="890" t="s">
        <v>1131</v>
      </c>
      <c r="F45" s="513"/>
      <c r="G45" s="910">
        <v>5</v>
      </c>
      <c r="H45" s="562" t="str">
        <f>H44</f>
        <v>t per annum</v>
      </c>
      <c r="I45" s="514"/>
      <c r="L45" s="61"/>
      <c r="Z45" s="62"/>
      <c r="AA45" s="62"/>
      <c r="AB45" s="62"/>
      <c r="AC45" s="62"/>
      <c r="AD45" s="62"/>
      <c r="AE45" s="62"/>
      <c r="AF45" s="62"/>
      <c r="AG45" s="62"/>
    </row>
    <row r="46" spans="2:33" ht="15.75" x14ac:dyDescent="0.25">
      <c r="B46" s="566"/>
      <c r="C46" s="562"/>
      <c r="D46" s="562"/>
      <c r="E46" s="562"/>
      <c r="F46" s="562"/>
      <c r="G46" s="562"/>
      <c r="H46" s="562"/>
      <c r="I46" s="364"/>
      <c r="L46" s="61"/>
      <c r="Z46" s="62"/>
      <c r="AA46" s="62"/>
      <c r="AB46" s="62"/>
      <c r="AC46" s="62"/>
      <c r="AD46" s="62"/>
      <c r="AE46" s="62"/>
      <c r="AF46" s="62"/>
      <c r="AG46" s="62"/>
    </row>
    <row r="47" spans="2:33" ht="15.75" x14ac:dyDescent="0.25">
      <c r="B47" s="566"/>
      <c r="C47" s="963" t="s">
        <v>1220</v>
      </c>
      <c r="D47" s="825"/>
      <c r="E47" s="576" t="s">
        <v>1226</v>
      </c>
      <c r="F47" s="576" t="s">
        <v>1227</v>
      </c>
      <c r="G47" s="576" t="s">
        <v>1228</v>
      </c>
      <c r="H47" s="576" t="s">
        <v>1229</v>
      </c>
      <c r="I47" s="818"/>
      <c r="L47" s="61"/>
      <c r="Z47" s="62"/>
      <c r="AA47" s="62"/>
      <c r="AB47" s="62"/>
      <c r="AC47" s="62"/>
      <c r="AD47" s="62"/>
      <c r="AE47" s="62"/>
      <c r="AF47" s="62"/>
      <c r="AG47" s="62"/>
    </row>
    <row r="48" spans="2:33" ht="15.75" x14ac:dyDescent="0.25">
      <c r="B48" s="566" t="s">
        <v>1125</v>
      </c>
      <c r="C48" s="910"/>
      <c r="D48" s="889" t="s">
        <v>1225</v>
      </c>
      <c r="E48" s="932">
        <v>10</v>
      </c>
      <c r="F48" s="932">
        <v>5</v>
      </c>
      <c r="G48" s="932"/>
      <c r="H48" s="932"/>
      <c r="I48" s="826" t="str">
        <f>H44</f>
        <v>t per annum</v>
      </c>
      <c r="L48" s="61"/>
      <c r="Z48" s="62"/>
      <c r="AA48" s="62"/>
      <c r="AB48" s="62"/>
      <c r="AC48" s="62"/>
      <c r="AD48" s="62"/>
      <c r="AE48" s="62"/>
      <c r="AF48" s="62"/>
      <c r="AG48" s="62"/>
    </row>
    <row r="49" spans="2:33" ht="15.75" x14ac:dyDescent="0.25">
      <c r="B49" s="566" t="s">
        <v>1126</v>
      </c>
      <c r="C49" s="910"/>
      <c r="D49" s="889" t="s">
        <v>1225</v>
      </c>
      <c r="E49" s="932">
        <v>2</v>
      </c>
      <c r="F49" s="932">
        <v>0.5</v>
      </c>
      <c r="G49" s="932"/>
      <c r="H49" s="932">
        <v>50</v>
      </c>
      <c r="I49" s="826" t="str">
        <f>H44</f>
        <v>t per annum</v>
      </c>
      <c r="L49" s="61"/>
      <c r="Z49" s="62"/>
      <c r="AA49" s="62"/>
      <c r="AB49" s="62"/>
      <c r="AC49" s="62"/>
      <c r="AD49" s="62"/>
      <c r="AE49" s="62"/>
      <c r="AF49" s="62"/>
      <c r="AG49" s="62"/>
    </row>
    <row r="50" spans="2:33" ht="15.75" x14ac:dyDescent="0.25">
      <c r="B50" s="635"/>
      <c r="C50" s="905"/>
      <c r="D50" s="817"/>
      <c r="E50" s="817"/>
      <c r="F50" s="817"/>
      <c r="G50" s="817"/>
      <c r="H50" s="817"/>
      <c r="I50" s="818"/>
      <c r="L50" s="61"/>
      <c r="Z50" s="62"/>
      <c r="AA50" s="62"/>
      <c r="AB50" s="62"/>
      <c r="AC50" s="62"/>
      <c r="AD50" s="62"/>
      <c r="AE50" s="62"/>
      <c r="AF50" s="62"/>
      <c r="AG50" s="62"/>
    </row>
    <row r="51" spans="2:33" ht="15.75" x14ac:dyDescent="0.25">
      <c r="B51" s="638" t="s">
        <v>948</v>
      </c>
      <c r="C51" s="585"/>
      <c r="D51" s="813"/>
      <c r="E51" s="813"/>
      <c r="F51" s="813"/>
      <c r="G51" s="813"/>
      <c r="H51" s="813"/>
      <c r="I51" s="829"/>
      <c r="L51" s="1000"/>
      <c r="Z51" s="62"/>
      <c r="AA51" s="62"/>
      <c r="AB51" s="62"/>
      <c r="AC51" s="62"/>
      <c r="AD51" s="62"/>
      <c r="AE51" s="62"/>
      <c r="AF51" s="62"/>
      <c r="AG51" s="62"/>
    </row>
    <row r="52" spans="2:33" ht="15.75" x14ac:dyDescent="0.25">
      <c r="B52" s="569" t="s">
        <v>886</v>
      </c>
      <c r="C52" s="934">
        <v>155000</v>
      </c>
      <c r="D52" s="976" t="s">
        <v>639</v>
      </c>
      <c r="E52" s="2129" t="s">
        <v>1029</v>
      </c>
      <c r="F52" s="2129"/>
      <c r="G52" s="2158" t="s">
        <v>670</v>
      </c>
      <c r="H52" s="2158"/>
      <c r="I52" s="570"/>
      <c r="L52" s="61"/>
      <c r="Z52" s="62"/>
      <c r="AA52" s="62"/>
      <c r="AB52" s="62"/>
      <c r="AC52" s="62"/>
      <c r="AD52" s="62"/>
      <c r="AE52" s="62"/>
      <c r="AF52" s="62"/>
      <c r="AG52" s="62"/>
    </row>
    <row r="53" spans="2:33" ht="15.75" x14ac:dyDescent="0.25">
      <c r="B53" s="636" t="s">
        <v>894</v>
      </c>
      <c r="C53" s="935">
        <v>20000</v>
      </c>
      <c r="D53" s="365" t="s">
        <v>1305</v>
      </c>
      <c r="E53" s="936"/>
      <c r="F53" s="936"/>
      <c r="G53" s="827"/>
      <c r="H53" s="827"/>
      <c r="I53" s="373"/>
      <c r="L53" s="61"/>
      <c r="Z53" s="62"/>
      <c r="AA53" s="62"/>
      <c r="AB53" s="62"/>
      <c r="AC53" s="62"/>
      <c r="AD53" s="62"/>
      <c r="AE53" s="62"/>
      <c r="AF53" s="62"/>
      <c r="AG53" s="62"/>
    </row>
    <row r="54" spans="2:33" ht="15.75" x14ac:dyDescent="0.25">
      <c r="B54" s="565" t="s">
        <v>920</v>
      </c>
      <c r="C54" s="563"/>
      <c r="D54" s="563"/>
      <c r="E54" s="563"/>
      <c r="F54" s="563"/>
      <c r="G54" s="562"/>
      <c r="H54" s="562"/>
      <c r="I54" s="368"/>
    </row>
    <row r="55" spans="2:33" ht="15.75" x14ac:dyDescent="0.25">
      <c r="B55" s="546" t="s">
        <v>1222</v>
      </c>
      <c r="C55" s="1074">
        <v>100</v>
      </c>
      <c r="D55" s="573" t="s">
        <v>1306</v>
      </c>
      <c r="E55" s="2168" t="s">
        <v>916</v>
      </c>
      <c r="F55" s="2168"/>
      <c r="G55" s="2169"/>
      <c r="H55" s="2169"/>
      <c r="I55" s="1003" t="s">
        <v>1306</v>
      </c>
    </row>
    <row r="56" spans="2:33" ht="15.75" x14ac:dyDescent="0.25">
      <c r="B56" s="566"/>
      <c r="C56" s="905"/>
      <c r="D56" s="562"/>
      <c r="E56" s="562"/>
      <c r="F56" s="562"/>
      <c r="G56" s="562"/>
      <c r="H56" s="562"/>
      <c r="I56" s="372"/>
    </row>
    <row r="57" spans="2:33" ht="15.75" x14ac:dyDescent="0.25">
      <c r="B57" s="566" t="s">
        <v>917</v>
      </c>
      <c r="C57" s="1074"/>
      <c r="D57" s="573" t="s">
        <v>1306</v>
      </c>
      <c r="E57" s="2168" t="s">
        <v>918</v>
      </c>
      <c r="F57" s="2168"/>
      <c r="G57" s="2169"/>
      <c r="H57" s="2169"/>
      <c r="I57" s="1003" t="s">
        <v>1306</v>
      </c>
    </row>
    <row r="58" spans="2:33" ht="15.75" x14ac:dyDescent="0.25">
      <c r="B58" s="566"/>
      <c r="C58" s="905"/>
      <c r="D58" s="562"/>
      <c r="E58" s="562"/>
      <c r="F58" s="562"/>
      <c r="G58" s="562"/>
      <c r="H58" s="562"/>
      <c r="I58" s="372"/>
    </row>
    <row r="59" spans="2:33" ht="15.75" x14ac:dyDescent="0.25">
      <c r="B59" s="830" t="s">
        <v>919</v>
      </c>
      <c r="C59" s="1074">
        <v>850</v>
      </c>
      <c r="D59" s="573" t="s">
        <v>1306</v>
      </c>
      <c r="E59" s="562" t="s">
        <v>1041</v>
      </c>
      <c r="F59" s="562"/>
      <c r="G59" s="2169"/>
      <c r="H59" s="2169"/>
      <c r="I59" s="1003" t="s">
        <v>1306</v>
      </c>
    </row>
    <row r="60" spans="2:33" ht="15.75" x14ac:dyDescent="0.25">
      <c r="B60" s="831"/>
      <c r="C60" s="365"/>
      <c r="D60" s="365"/>
      <c r="E60" s="365"/>
      <c r="F60" s="365"/>
      <c r="G60" s="365"/>
      <c r="H60" s="365"/>
      <c r="I60" s="373"/>
    </row>
    <row r="61" spans="2:33" ht="15.75" x14ac:dyDescent="0.25">
      <c r="B61" s="544" t="s">
        <v>887</v>
      </c>
      <c r="C61" s="825"/>
      <c r="D61" s="825"/>
      <c r="E61" s="366"/>
      <c r="F61" s="363"/>
      <c r="G61" s="367"/>
      <c r="H61" s="563"/>
      <c r="I61" s="368"/>
    </row>
    <row r="62" spans="2:33" ht="15.75" x14ac:dyDescent="0.25">
      <c r="B62" s="566" t="s">
        <v>1132</v>
      </c>
      <c r="C62" s="2157" t="s">
        <v>1162</v>
      </c>
      <c r="D62" s="2157"/>
      <c r="E62" s="370"/>
      <c r="F62" s="363"/>
      <c r="G62" s="371"/>
      <c r="H62" s="562"/>
      <c r="I62" s="372"/>
    </row>
    <row r="63" spans="2:33" ht="15.75" x14ac:dyDescent="0.25">
      <c r="B63" s="566"/>
      <c r="C63" s="562"/>
      <c r="D63" s="562"/>
      <c r="E63" s="370"/>
      <c r="F63" s="371"/>
      <c r="G63" s="371"/>
      <c r="H63" s="562"/>
      <c r="I63" s="372"/>
    </row>
    <row r="64" spans="2:33" ht="18.75" x14ac:dyDescent="0.35">
      <c r="B64" s="546" t="s">
        <v>967</v>
      </c>
      <c r="C64" s="363"/>
      <c r="D64" s="931"/>
      <c r="E64" s="363" t="s">
        <v>1307</v>
      </c>
      <c r="F64" s="370" t="s">
        <v>1158</v>
      </c>
      <c r="G64" s="371"/>
      <c r="H64" s="910"/>
      <c r="I64" s="372" t="s">
        <v>261</v>
      </c>
      <c r="L64" s="61"/>
      <c r="Z64" s="62"/>
      <c r="AA64" s="62"/>
      <c r="AB64" s="62"/>
      <c r="AC64" s="62"/>
      <c r="AD64" s="62"/>
      <c r="AE64" s="62"/>
      <c r="AF64" s="62"/>
      <c r="AG64" s="62"/>
    </row>
    <row r="65" spans="1:33" ht="15.75" x14ac:dyDescent="0.25">
      <c r="B65" s="369"/>
      <c r="C65" s="832"/>
      <c r="D65" s="562"/>
      <c r="E65" s="363"/>
      <c r="F65" s="370"/>
      <c r="G65" s="371"/>
      <c r="H65" s="562"/>
      <c r="I65" s="372"/>
      <c r="L65" s="61"/>
      <c r="Z65" s="62"/>
      <c r="AA65" s="62"/>
      <c r="AB65" s="62"/>
      <c r="AC65" s="62"/>
      <c r="AD65" s="62"/>
      <c r="AE65" s="62"/>
      <c r="AF65" s="62"/>
      <c r="AG65" s="62"/>
    </row>
    <row r="66" spans="1:33" ht="15.75" x14ac:dyDescent="0.25">
      <c r="B66" s="590" t="s">
        <v>594</v>
      </c>
      <c r="C66" s="2170"/>
      <c r="D66" s="2170"/>
      <c r="E66" s="363"/>
      <c r="F66" s="562" t="s">
        <v>770</v>
      </c>
      <c r="G66" s="371"/>
      <c r="H66" s="910"/>
      <c r="I66" s="372"/>
      <c r="L66" s="61"/>
      <c r="Z66" s="62"/>
      <c r="AA66" s="62"/>
      <c r="AB66" s="62"/>
      <c r="AC66" s="62"/>
      <c r="AD66" s="62"/>
      <c r="AE66" s="62"/>
      <c r="AF66" s="62"/>
      <c r="AG66" s="62"/>
    </row>
    <row r="67" spans="1:33" ht="15.75" x14ac:dyDescent="0.25">
      <c r="B67" s="831"/>
      <c r="C67" s="365"/>
      <c r="D67" s="365"/>
      <c r="E67" s="365"/>
      <c r="F67" s="365"/>
      <c r="G67" s="365"/>
      <c r="H67" s="365"/>
      <c r="I67" s="373"/>
      <c r="L67" s="61"/>
      <c r="Z67" s="62"/>
      <c r="AA67" s="62"/>
      <c r="AB67" s="62"/>
      <c r="AC67" s="62"/>
      <c r="AD67" s="62"/>
      <c r="AE67" s="62"/>
      <c r="AF67" s="62"/>
      <c r="AG67" s="62"/>
    </row>
    <row r="68" spans="1:33" ht="15.75" x14ac:dyDescent="0.25">
      <c r="A68" s="62"/>
      <c r="B68" s="565" t="s">
        <v>954</v>
      </c>
      <c r="C68" s="813"/>
      <c r="D68" s="813"/>
      <c r="E68" s="813"/>
      <c r="F68" s="813"/>
      <c r="G68" s="813"/>
      <c r="H68" s="813"/>
      <c r="I68" s="829"/>
      <c r="J68" s="62"/>
      <c r="M68" s="61"/>
    </row>
    <row r="69" spans="1:33" ht="15.75" x14ac:dyDescent="0.25">
      <c r="A69" s="62"/>
      <c r="B69" s="567"/>
      <c r="C69" s="2134" t="s">
        <v>956</v>
      </c>
      <c r="D69" s="2134"/>
      <c r="E69" s="2134"/>
      <c r="F69" s="2165" t="s">
        <v>957</v>
      </c>
      <c r="G69" s="2165"/>
      <c r="H69" s="1070" t="s">
        <v>1380</v>
      </c>
      <c r="I69" s="836">
        <f>D215</f>
        <v>4.7499343400242759</v>
      </c>
      <c r="J69" s="62"/>
      <c r="M69" s="61"/>
    </row>
    <row r="70" spans="1:33" ht="15.6" customHeight="1" x14ac:dyDescent="0.25">
      <c r="A70" s="62"/>
      <c r="B70" s="2172" t="s">
        <v>1004</v>
      </c>
      <c r="C70" s="817"/>
      <c r="D70" s="817"/>
      <c r="E70" s="817"/>
      <c r="F70" s="817"/>
      <c r="G70" s="817"/>
      <c r="H70" s="817"/>
      <c r="I70" s="818"/>
      <c r="J70" s="62"/>
      <c r="M70" s="61"/>
    </row>
    <row r="71" spans="1:33" ht="15.75" x14ac:dyDescent="0.25">
      <c r="A71" s="62"/>
      <c r="B71" s="2172"/>
      <c r="C71" s="1131" t="s">
        <v>1407</v>
      </c>
      <c r="D71" s="1131" t="s">
        <v>1408</v>
      </c>
      <c r="E71" s="1131" t="s">
        <v>1409</v>
      </c>
      <c r="F71" s="1131" t="s">
        <v>263</v>
      </c>
      <c r="G71" s="1131" t="s">
        <v>1496</v>
      </c>
      <c r="H71" s="574"/>
      <c r="I71" s="586"/>
      <c r="J71" s="62"/>
      <c r="M71" s="61"/>
    </row>
    <row r="72" spans="1:33" ht="15.75" x14ac:dyDescent="0.25">
      <c r="A72" s="62"/>
      <c r="B72" s="566" t="s">
        <v>489</v>
      </c>
      <c r="C72" s="614">
        <f>AJ197</f>
        <v>8.2191780821917799</v>
      </c>
      <c r="D72" s="1791">
        <f>AK197</f>
        <v>0</v>
      </c>
      <c r="E72" s="1497">
        <f>AL197</f>
        <v>0</v>
      </c>
      <c r="F72" s="1791">
        <f>AN197</f>
        <v>2.054794520547945</v>
      </c>
      <c r="G72" s="1152">
        <f>AI197</f>
        <v>89.726027397260282</v>
      </c>
      <c r="H72" s="614"/>
      <c r="I72" s="615"/>
      <c r="J72" s="62"/>
      <c r="M72" s="61"/>
    </row>
    <row r="73" spans="1:33" ht="15.75" x14ac:dyDescent="0.25">
      <c r="A73" s="62"/>
      <c r="B73" s="566" t="s">
        <v>955</v>
      </c>
      <c r="C73" s="1152">
        <f>AJ200</f>
        <v>0</v>
      </c>
      <c r="D73" s="1791">
        <f>AK200</f>
        <v>0</v>
      </c>
      <c r="E73" s="1791">
        <f>AL200</f>
        <v>0</v>
      </c>
      <c r="F73" s="1791">
        <f>AN200</f>
        <v>0</v>
      </c>
      <c r="G73" s="1791">
        <f>AI200</f>
        <v>100</v>
      </c>
      <c r="H73" s="614"/>
      <c r="I73" s="615"/>
      <c r="J73" s="62"/>
      <c r="M73" s="61"/>
    </row>
    <row r="74" spans="1:33" ht="15.75" x14ac:dyDescent="0.25">
      <c r="A74" s="62"/>
      <c r="B74" s="567"/>
      <c r="C74" s="817"/>
      <c r="D74" s="817"/>
      <c r="E74" s="817"/>
      <c r="F74" s="817"/>
      <c r="G74" s="817"/>
      <c r="H74" s="817"/>
      <c r="I74" s="818"/>
      <c r="J74" s="62"/>
      <c r="M74" s="61"/>
    </row>
    <row r="75" spans="1:33" ht="15.6" customHeight="1" x14ac:dyDescent="0.25">
      <c r="A75" s="62"/>
      <c r="B75" s="2173" t="s">
        <v>1042</v>
      </c>
      <c r="C75" s="2174"/>
      <c r="D75" s="2174"/>
      <c r="E75" s="2174"/>
      <c r="F75" s="2174"/>
      <c r="G75" s="2174"/>
      <c r="H75" s="2174"/>
      <c r="I75" s="2175"/>
      <c r="J75" s="62"/>
      <c r="M75" s="61"/>
    </row>
    <row r="76" spans="1:33" ht="15.6" customHeight="1" x14ac:dyDescent="0.25">
      <c r="A76" s="62"/>
      <c r="B76" s="2173"/>
      <c r="C76" s="2174"/>
      <c r="D76" s="2174"/>
      <c r="E76" s="2174"/>
      <c r="F76" s="2174"/>
      <c r="G76" s="2174"/>
      <c r="H76" s="2174"/>
      <c r="I76" s="2175"/>
      <c r="J76" s="62"/>
      <c r="M76" s="61"/>
    </row>
    <row r="77" spans="1:33" ht="15.75" x14ac:dyDescent="0.25">
      <c r="A77" s="62"/>
      <c r="B77" s="2173"/>
      <c r="C77" s="2174"/>
      <c r="D77" s="2174"/>
      <c r="E77" s="2174"/>
      <c r="F77" s="2174"/>
      <c r="G77" s="2174"/>
      <c r="H77" s="2174"/>
      <c r="I77" s="2175"/>
      <c r="J77" s="62"/>
      <c r="M77" s="61"/>
    </row>
    <row r="78" spans="1:33" ht="16.5" x14ac:dyDescent="0.25">
      <c r="A78" s="62"/>
      <c r="B78" s="912"/>
      <c r="C78" s="913"/>
      <c r="D78" s="913"/>
      <c r="E78" s="913"/>
      <c r="F78" s="913"/>
      <c r="G78" s="913"/>
      <c r="H78" s="913"/>
      <c r="I78" s="914"/>
      <c r="J78" s="62"/>
      <c r="M78" s="61"/>
    </row>
    <row r="79" spans="1:33" s="62" customFormat="1" ht="15.75" x14ac:dyDescent="0.25">
      <c r="A79" s="5"/>
      <c r="B79" s="567" t="s">
        <v>489</v>
      </c>
      <c r="C79" s="562"/>
      <c r="D79" s="562"/>
      <c r="E79" s="562"/>
      <c r="F79" s="562"/>
      <c r="G79" s="574" t="s">
        <v>964</v>
      </c>
      <c r="H79" s="574" t="s">
        <v>965</v>
      </c>
      <c r="I79" s="816"/>
      <c r="J79" s="5"/>
      <c r="K79" s="5"/>
      <c r="L79" s="5"/>
      <c r="M79" s="5"/>
      <c r="N79" s="5"/>
      <c r="O79" s="5"/>
      <c r="P79" s="5"/>
      <c r="Q79" s="5"/>
      <c r="R79" s="5"/>
      <c r="S79" s="5"/>
      <c r="T79" s="5"/>
      <c r="U79" s="5"/>
      <c r="V79" s="5"/>
      <c r="W79" s="5"/>
      <c r="X79" s="5"/>
      <c r="Y79" s="5"/>
      <c r="Z79" s="5"/>
      <c r="AA79" s="5"/>
      <c r="AB79" s="5"/>
      <c r="AC79" s="5"/>
      <c r="AD79" s="5"/>
      <c r="AE79" s="5"/>
      <c r="AF79" s="5"/>
      <c r="AG79" s="5"/>
    </row>
    <row r="80" spans="1:33" s="62" customFormat="1" ht="15.75" x14ac:dyDescent="0.25">
      <c r="A80" s="5"/>
      <c r="B80" s="546" t="s">
        <v>1384</v>
      </c>
      <c r="C80" s="562"/>
      <c r="D80" s="562"/>
      <c r="E80" s="562"/>
      <c r="F80" s="833"/>
      <c r="G80" s="910">
        <v>3</v>
      </c>
      <c r="H80" s="975">
        <v>300</v>
      </c>
      <c r="I80" s="816"/>
      <c r="J80" s="5"/>
      <c r="K80" s="5"/>
      <c r="L80" s="5"/>
      <c r="M80" s="5"/>
      <c r="N80" s="5"/>
      <c r="O80" s="5"/>
      <c r="P80" s="5"/>
      <c r="Q80" s="5"/>
      <c r="R80" s="5"/>
      <c r="S80" s="5"/>
      <c r="T80" s="5"/>
      <c r="U80" s="5"/>
      <c r="V80" s="5"/>
      <c r="W80" s="5"/>
      <c r="X80" s="5"/>
      <c r="Y80" s="5"/>
      <c r="Z80" s="5"/>
      <c r="AA80" s="5"/>
      <c r="AB80" s="5"/>
      <c r="AC80" s="5"/>
      <c r="AD80" s="5"/>
      <c r="AE80" s="5"/>
      <c r="AF80" s="5"/>
      <c r="AG80" s="5"/>
    </row>
    <row r="81" spans="1:33" s="62" customFormat="1" ht="15.75" x14ac:dyDescent="0.25">
      <c r="A81" s="5"/>
      <c r="B81" s="546"/>
      <c r="C81" s="562"/>
      <c r="D81" s="562"/>
      <c r="E81" s="562"/>
      <c r="F81" s="562"/>
      <c r="G81" s="562"/>
      <c r="H81" s="825"/>
      <c r="I81" s="816"/>
      <c r="J81" s="5"/>
      <c r="K81" s="5"/>
      <c r="L81" s="5"/>
      <c r="M81" s="5"/>
      <c r="N81" s="5"/>
      <c r="O81" s="5"/>
      <c r="P81" s="5"/>
      <c r="Q81" s="5"/>
      <c r="R81" s="5"/>
      <c r="S81" s="5"/>
      <c r="T81" s="5"/>
      <c r="U81" s="5"/>
      <c r="V81" s="5"/>
      <c r="W81" s="5"/>
      <c r="X81" s="5"/>
      <c r="Y81" s="5"/>
      <c r="Z81" s="5"/>
      <c r="AA81" s="5"/>
      <c r="AB81" s="5"/>
      <c r="AC81" s="5"/>
      <c r="AD81" s="5"/>
      <c r="AE81" s="5"/>
      <c r="AF81" s="5"/>
      <c r="AG81" s="5"/>
    </row>
    <row r="82" spans="1:33" s="62" customFormat="1" ht="15.75" x14ac:dyDescent="0.25">
      <c r="A82" s="5"/>
      <c r="B82" s="1130" t="s">
        <v>1412</v>
      </c>
      <c r="C82" s="905"/>
      <c r="D82" s="905"/>
      <c r="E82" s="905"/>
      <c r="F82" s="363"/>
      <c r="G82" s="910"/>
      <c r="H82" s="976" t="s">
        <v>259</v>
      </c>
      <c r="I82" s="570"/>
      <c r="J82" s="5"/>
      <c r="K82" s="5"/>
      <c r="L82" s="5"/>
      <c r="M82" s="5"/>
      <c r="N82" s="5"/>
      <c r="O82" s="5"/>
      <c r="P82" s="5"/>
      <c r="Q82" s="5"/>
      <c r="R82" s="5"/>
      <c r="S82" s="5"/>
      <c r="T82" s="5"/>
      <c r="U82" s="5"/>
      <c r="V82" s="5"/>
      <c r="W82" s="5"/>
      <c r="X82" s="5"/>
      <c r="Y82" s="5"/>
      <c r="Z82" s="5"/>
      <c r="AA82" s="5"/>
      <c r="AB82" s="5"/>
      <c r="AC82" s="5"/>
      <c r="AD82" s="5"/>
      <c r="AE82" s="5"/>
      <c r="AF82" s="5"/>
      <c r="AG82" s="5"/>
    </row>
    <row r="83" spans="1:33" s="1121" customFormat="1" ht="15.75" x14ac:dyDescent="0.25">
      <c r="A83" s="1120"/>
      <c r="B83" s="1128" t="s">
        <v>1413</v>
      </c>
      <c r="C83" s="1125"/>
      <c r="D83" s="1125"/>
      <c r="E83" s="1125"/>
      <c r="F83" s="1123"/>
      <c r="G83" s="1122"/>
      <c r="H83" s="1127" t="s">
        <v>259</v>
      </c>
      <c r="I83" s="1126"/>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row>
    <row r="84" spans="1:33" s="1121" customFormat="1" ht="15.75" x14ac:dyDescent="0.25">
      <c r="A84" s="1120"/>
      <c r="B84" s="1129" t="s">
        <v>1411</v>
      </c>
      <c r="C84" s="1125"/>
      <c r="D84" s="1125"/>
      <c r="E84" s="1125"/>
      <c r="F84" s="1123"/>
      <c r="G84" s="1103">
        <f>100-SUM(G82:G83)</f>
        <v>100</v>
      </c>
      <c r="H84" s="1127" t="s">
        <v>259</v>
      </c>
      <c r="I84" s="1126"/>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row>
    <row r="85" spans="1:33" s="62" customFormat="1" ht="15.75" x14ac:dyDescent="0.25">
      <c r="A85" s="5"/>
      <c r="B85" s="567"/>
      <c r="C85" s="905"/>
      <c r="D85" s="905"/>
      <c r="E85" s="905"/>
      <c r="F85" s="363"/>
      <c r="G85" s="905"/>
      <c r="H85" s="905"/>
      <c r="I85" s="570"/>
      <c r="J85" s="5"/>
      <c r="K85" s="5"/>
      <c r="L85" s="5"/>
      <c r="M85" s="5"/>
      <c r="N85" s="5"/>
      <c r="O85" s="5"/>
      <c r="P85" s="5"/>
      <c r="Q85" s="5"/>
      <c r="R85" s="5"/>
      <c r="S85" s="5"/>
      <c r="T85" s="5"/>
      <c r="U85" s="5"/>
      <c r="V85" s="5"/>
      <c r="W85" s="5"/>
      <c r="X85" s="5"/>
      <c r="Y85" s="5"/>
      <c r="Z85" s="5"/>
      <c r="AA85" s="5"/>
      <c r="AB85" s="5"/>
      <c r="AC85" s="5"/>
      <c r="AD85" s="5"/>
      <c r="AE85" s="5"/>
      <c r="AF85" s="5"/>
      <c r="AG85" s="5"/>
    </row>
    <row r="86" spans="1:33" s="62" customFormat="1" ht="15.75" x14ac:dyDescent="0.25">
      <c r="A86" s="5"/>
      <c r="B86" s="566" t="s">
        <v>1364</v>
      </c>
      <c r="C86" s="905"/>
      <c r="D86" s="905"/>
      <c r="E86" s="905"/>
      <c r="F86" s="363"/>
      <c r="G86" s="910" t="s">
        <v>970</v>
      </c>
      <c r="H86" s="905"/>
      <c r="I86" s="570"/>
      <c r="J86" s="5"/>
      <c r="K86" s="5"/>
      <c r="L86" s="5"/>
      <c r="M86" s="5"/>
      <c r="N86" s="5"/>
      <c r="O86" s="5"/>
      <c r="P86" s="5"/>
      <c r="Q86" s="5"/>
      <c r="R86" s="5"/>
      <c r="S86" s="5"/>
      <c r="T86" s="5"/>
      <c r="U86" s="5"/>
      <c r="V86" s="5"/>
      <c r="W86" s="5"/>
      <c r="X86" s="5"/>
      <c r="Y86" s="5"/>
      <c r="Z86" s="5"/>
      <c r="AA86" s="5"/>
      <c r="AB86" s="5"/>
      <c r="AC86" s="5"/>
      <c r="AD86" s="5"/>
      <c r="AE86" s="5"/>
      <c r="AF86" s="5"/>
      <c r="AG86" s="5"/>
    </row>
    <row r="87" spans="1:33" s="62" customFormat="1" ht="15.75" x14ac:dyDescent="0.25">
      <c r="A87" s="5"/>
      <c r="B87" s="566"/>
      <c r="C87" s="905"/>
      <c r="D87" s="905"/>
      <c r="E87" s="905"/>
      <c r="F87" s="905"/>
      <c r="G87" s="574" t="s">
        <v>964</v>
      </c>
      <c r="H87" s="598" t="s">
        <v>965</v>
      </c>
      <c r="I87" s="570"/>
      <c r="J87" s="5"/>
      <c r="K87" s="5"/>
      <c r="L87" s="5"/>
      <c r="M87" s="5"/>
      <c r="N87" s="5"/>
      <c r="O87" s="5"/>
      <c r="P87" s="5"/>
      <c r="Q87" s="5"/>
      <c r="R87" s="5"/>
      <c r="S87" s="5"/>
      <c r="T87" s="5"/>
      <c r="U87" s="5"/>
      <c r="V87" s="5"/>
      <c r="W87" s="5"/>
      <c r="X87" s="5"/>
      <c r="Y87" s="5"/>
      <c r="Z87" s="5"/>
      <c r="AA87" s="5"/>
      <c r="AB87" s="5"/>
      <c r="AC87" s="5"/>
      <c r="AD87" s="5"/>
      <c r="AE87" s="5"/>
      <c r="AF87" s="5"/>
      <c r="AG87" s="5"/>
    </row>
    <row r="88" spans="1:33" s="62" customFormat="1" ht="15.75" x14ac:dyDescent="0.25">
      <c r="A88" s="5"/>
      <c r="B88" s="566" t="s">
        <v>1385</v>
      </c>
      <c r="C88" s="905"/>
      <c r="D88" s="905"/>
      <c r="E88" s="905"/>
      <c r="F88" s="905"/>
      <c r="G88" s="910"/>
      <c r="H88" s="910"/>
      <c r="I88" s="570"/>
      <c r="J88" s="5"/>
      <c r="K88" s="5"/>
      <c r="L88" s="5"/>
      <c r="M88" s="5"/>
      <c r="N88" s="5"/>
      <c r="O88" s="5"/>
      <c r="P88" s="5"/>
      <c r="Q88" s="5"/>
      <c r="R88" s="5"/>
      <c r="S88" s="5"/>
      <c r="T88" s="5"/>
      <c r="U88" s="5"/>
      <c r="V88" s="5"/>
      <c r="W88" s="5"/>
      <c r="X88" s="5"/>
      <c r="Y88" s="5"/>
      <c r="Z88" s="5"/>
      <c r="AA88" s="5"/>
      <c r="AB88" s="5"/>
      <c r="AC88" s="5"/>
      <c r="AD88" s="5"/>
      <c r="AE88" s="5"/>
      <c r="AF88" s="5"/>
      <c r="AG88" s="5"/>
    </row>
    <row r="89" spans="1:33" s="62" customFormat="1" ht="15.75" x14ac:dyDescent="0.25">
      <c r="A89" s="5"/>
      <c r="B89" s="566"/>
      <c r="C89" s="905"/>
      <c r="D89" s="905"/>
      <c r="E89" s="905"/>
      <c r="F89" s="905"/>
      <c r="G89" s="905"/>
      <c r="H89" s="905"/>
      <c r="I89" s="570"/>
      <c r="J89" s="5"/>
      <c r="K89" s="5"/>
      <c r="L89" s="5"/>
      <c r="M89" s="5"/>
      <c r="N89" s="5"/>
      <c r="O89" s="5"/>
      <c r="P89" s="5"/>
      <c r="Q89" s="5"/>
      <c r="R89" s="5"/>
      <c r="S89" s="5"/>
      <c r="T89" s="5"/>
      <c r="U89" s="5"/>
      <c r="V89" s="5"/>
      <c r="W89" s="5"/>
      <c r="X89" s="5"/>
      <c r="Y89" s="5"/>
      <c r="Z89" s="5"/>
      <c r="AA89" s="5"/>
      <c r="AB89" s="5"/>
      <c r="AC89" s="5"/>
      <c r="AD89" s="5"/>
      <c r="AE89" s="5"/>
      <c r="AF89" s="5"/>
      <c r="AG89" s="5"/>
    </row>
    <row r="90" spans="1:33" s="62" customFormat="1" ht="15.75" x14ac:dyDescent="0.25">
      <c r="A90" s="5"/>
      <c r="B90" s="566" t="s">
        <v>1362</v>
      </c>
      <c r="C90" s="905"/>
      <c r="D90" s="905"/>
      <c r="E90" s="363"/>
      <c r="F90" s="2157" t="s">
        <v>1414</v>
      </c>
      <c r="G90" s="2157"/>
      <c r="H90" s="574" t="s">
        <v>1031</v>
      </c>
      <c r="I90" s="1292">
        <f>AP197</f>
        <v>7.0205479452054789</v>
      </c>
      <c r="J90" s="5"/>
      <c r="K90" s="5"/>
      <c r="L90" s="5"/>
      <c r="M90" s="5"/>
      <c r="N90" s="5"/>
      <c r="O90" s="5"/>
      <c r="P90" s="5"/>
      <c r="Q90" s="5"/>
      <c r="R90" s="5"/>
      <c r="S90" s="5"/>
      <c r="T90" s="5"/>
      <c r="U90" s="5"/>
      <c r="V90" s="5"/>
      <c r="W90" s="5"/>
      <c r="X90" s="5"/>
      <c r="Y90" s="5"/>
      <c r="Z90" s="5"/>
      <c r="AA90" s="5"/>
      <c r="AB90" s="5"/>
      <c r="AC90" s="5"/>
      <c r="AD90" s="5"/>
      <c r="AE90" s="5"/>
      <c r="AF90" s="5"/>
      <c r="AG90" s="5"/>
    </row>
    <row r="91" spans="1:33" s="62" customFormat="1" ht="15.75" x14ac:dyDescent="0.25">
      <c r="A91" s="5"/>
      <c r="B91" s="567"/>
      <c r="C91" s="905"/>
      <c r="D91" s="905"/>
      <c r="E91" s="905"/>
      <c r="F91" s="905"/>
      <c r="G91" s="905"/>
      <c r="H91" s="905"/>
      <c r="I91" s="1292"/>
      <c r="J91" s="5"/>
      <c r="K91" s="5"/>
      <c r="L91" s="5"/>
      <c r="M91" s="5"/>
      <c r="N91" s="5"/>
      <c r="O91" s="5"/>
      <c r="P91" s="5"/>
      <c r="Q91" s="5"/>
      <c r="R91" s="5"/>
      <c r="S91" s="5"/>
      <c r="T91" s="5"/>
      <c r="U91" s="5"/>
      <c r="V91" s="5"/>
      <c r="W91" s="5"/>
      <c r="X91" s="5"/>
      <c r="Y91" s="5"/>
      <c r="Z91" s="5"/>
      <c r="AA91" s="5"/>
      <c r="AB91" s="5"/>
      <c r="AC91" s="5"/>
      <c r="AD91" s="5"/>
      <c r="AE91" s="5"/>
      <c r="AF91" s="5"/>
      <c r="AG91" s="5"/>
    </row>
    <row r="92" spans="1:33" s="62" customFormat="1" ht="15.75" x14ac:dyDescent="0.25">
      <c r="A92" s="5"/>
      <c r="B92" s="567" t="s">
        <v>971</v>
      </c>
      <c r="C92" s="905"/>
      <c r="D92" s="905"/>
      <c r="E92" s="905"/>
      <c r="F92" s="905"/>
      <c r="G92" s="574" t="s">
        <v>964</v>
      </c>
      <c r="H92" s="574" t="s">
        <v>965</v>
      </c>
      <c r="I92" s="1292"/>
      <c r="J92" s="5"/>
      <c r="K92" s="5"/>
      <c r="L92" s="5"/>
      <c r="M92" s="5"/>
      <c r="N92" s="5"/>
      <c r="O92" s="5"/>
      <c r="P92" s="5"/>
      <c r="Q92" s="5"/>
      <c r="R92" s="5"/>
      <c r="S92" s="5"/>
      <c r="T92" s="5"/>
      <c r="U92" s="5"/>
      <c r="V92" s="5"/>
      <c r="W92" s="5"/>
      <c r="X92" s="5"/>
      <c r="Y92" s="5"/>
      <c r="Z92" s="5"/>
      <c r="AA92" s="5"/>
      <c r="AB92" s="5"/>
      <c r="AC92" s="5"/>
      <c r="AD92" s="5"/>
      <c r="AE92" s="5"/>
      <c r="AF92" s="5"/>
      <c r="AG92" s="5"/>
    </row>
    <row r="93" spans="1:33" ht="15.75" x14ac:dyDescent="0.25">
      <c r="B93" s="566" t="s">
        <v>1102</v>
      </c>
      <c r="C93" s="905"/>
      <c r="D93" s="905"/>
      <c r="E93" s="905"/>
      <c r="F93" s="905"/>
      <c r="G93" s="910"/>
      <c r="H93" s="910"/>
      <c r="I93" s="1292"/>
    </row>
    <row r="94" spans="1:33" x14ac:dyDescent="0.25">
      <c r="B94" s="596"/>
      <c r="C94" s="834"/>
      <c r="D94" s="834"/>
      <c r="E94" s="834"/>
      <c r="F94" s="834"/>
      <c r="G94" s="834"/>
      <c r="H94" s="834"/>
      <c r="I94" s="1294"/>
    </row>
    <row r="95" spans="1:33" ht="15.75" x14ac:dyDescent="0.25">
      <c r="B95" s="566" t="s">
        <v>966</v>
      </c>
      <c r="C95" s="834"/>
      <c r="D95" s="834"/>
      <c r="E95" s="825"/>
      <c r="F95" s="2165" t="s">
        <v>1415</v>
      </c>
      <c r="G95" s="2165"/>
      <c r="H95" s="574" t="s">
        <v>1031</v>
      </c>
      <c r="I95" s="1326">
        <f>AP200</f>
        <v>1</v>
      </c>
    </row>
    <row r="96" spans="1:33" x14ac:dyDescent="0.25">
      <c r="B96" s="837"/>
      <c r="C96" s="838"/>
      <c r="D96" s="838"/>
      <c r="E96" s="838"/>
      <c r="F96" s="838"/>
      <c r="G96" s="838"/>
      <c r="H96" s="838"/>
      <c r="I96" s="839"/>
    </row>
    <row r="98" spans="1:25" ht="15.75" x14ac:dyDescent="0.25">
      <c r="B98" s="840" t="s">
        <v>677</v>
      </c>
    </row>
    <row r="99" spans="1:25" ht="25.15" customHeight="1" x14ac:dyDescent="0.25">
      <c r="B99" s="2112"/>
      <c r="C99" s="2112"/>
      <c r="D99" s="2148" t="str">
        <f>D15</f>
        <v>Milking Cows</v>
      </c>
      <c r="E99" s="2148" t="str">
        <f>E15</f>
        <v xml:space="preserve">Heifers &gt;1 </v>
      </c>
      <c r="F99" s="2148" t="str">
        <f>F15</f>
        <v xml:space="preserve">Heifers &lt;1 </v>
      </c>
      <c r="G99" s="2148" t="str">
        <f>G15</f>
        <v>Mature bulls</v>
      </c>
      <c r="H99" s="2148" t="str">
        <f>H15</f>
        <v>Immature bulls</v>
      </c>
      <c r="I99" s="2148" t="s">
        <v>463</v>
      </c>
      <c r="J99" s="2150" t="s">
        <v>1070</v>
      </c>
      <c r="K99" s="2176" t="s">
        <v>1071</v>
      </c>
    </row>
    <row r="100" spans="1:25" ht="25.15" customHeight="1" x14ac:dyDescent="0.25">
      <c r="B100" s="795"/>
      <c r="C100" s="795"/>
      <c r="D100" s="2149"/>
      <c r="E100" s="2149"/>
      <c r="F100" s="2149"/>
      <c r="G100" s="2149"/>
      <c r="H100" s="2149"/>
      <c r="I100" s="2149"/>
      <c r="J100" s="2151"/>
      <c r="K100" s="2177"/>
    </row>
    <row r="101" spans="1:25" ht="15.75" x14ac:dyDescent="0.25">
      <c r="B101" s="60" t="s">
        <v>891</v>
      </c>
      <c r="C101" s="794" t="s">
        <v>457</v>
      </c>
      <c r="D101" s="1882">
        <f>D203*25*10^3</f>
        <v>1558.0452155638056</v>
      </c>
      <c r="E101" s="1882">
        <f>E203*25*10^3</f>
        <v>170.97066661739058</v>
      </c>
      <c r="F101" s="1882">
        <f>(F203+I203)*25*10^3</f>
        <v>86.047286674378086</v>
      </c>
      <c r="G101" s="1882">
        <f>G203*25*10^3</f>
        <v>22.170684479062491</v>
      </c>
      <c r="H101" s="1882">
        <f>(H203+J203)*25*10^3</f>
        <v>3.5077958214843759</v>
      </c>
      <c r="I101" s="1882"/>
      <c r="J101" s="2007">
        <f t="shared" ref="J101:J105" si="0">SUM(D101:H101)</f>
        <v>1840.7416491561212</v>
      </c>
      <c r="K101" s="972">
        <f t="shared" ref="K101:K112" si="1">J101/($J$114-$J$113)</f>
        <v>0.56568295751952258</v>
      </c>
      <c r="L101" s="937"/>
      <c r="S101" s="61"/>
      <c r="T101" s="61"/>
      <c r="U101" s="62"/>
      <c r="V101" s="62"/>
      <c r="W101" s="62"/>
      <c r="X101" s="62"/>
      <c r="Y101" s="62"/>
    </row>
    <row r="102" spans="1:25" ht="15.75" x14ac:dyDescent="0.25">
      <c r="B102" s="58"/>
      <c r="C102" s="58" t="s">
        <v>458</v>
      </c>
      <c r="D102" s="1882">
        <f>D228*25*10^3</f>
        <v>222.94671813085134</v>
      </c>
      <c r="E102" s="1882">
        <f>E228*25*10^3</f>
        <v>3.5878490738814897</v>
      </c>
      <c r="F102" s="1882">
        <f>(F228+I228)*25*10^3</f>
        <v>1.8188020692448483</v>
      </c>
      <c r="G102" s="1882">
        <f>G228*25*10^3</f>
        <v>0.46525565671176944</v>
      </c>
      <c r="H102" s="1882">
        <f>(H228+J228)*25*10^3</f>
        <v>7.4050477255632019E-2</v>
      </c>
      <c r="I102" s="1882"/>
      <c r="J102" s="2007">
        <f>SUM(D102:H102)</f>
        <v>228.89267540794509</v>
      </c>
      <c r="K102" s="972">
        <f t="shared" si="1"/>
        <v>7.0341585218480954E-2</v>
      </c>
      <c r="L102" s="1856"/>
      <c r="S102" s="61"/>
      <c r="T102" s="61"/>
      <c r="U102" s="62"/>
      <c r="V102" s="62"/>
      <c r="W102" s="62"/>
      <c r="X102" s="62"/>
      <c r="Y102" s="62"/>
    </row>
    <row r="103" spans="1:25" ht="15.75" x14ac:dyDescent="0.25">
      <c r="A103" s="62"/>
      <c r="B103" s="60" t="s">
        <v>892</v>
      </c>
      <c r="C103" s="1279" t="s">
        <v>1505</v>
      </c>
      <c r="D103" s="1882">
        <f>D410*298*10^3</f>
        <v>111.01314477282571</v>
      </c>
      <c r="E103" s="1882">
        <f>E410*298*10^3</f>
        <v>18.907492595951883</v>
      </c>
      <c r="F103" s="1882">
        <f>(F410+I410)*298*10^3</f>
        <v>8.6600866936728345</v>
      </c>
      <c r="G103" s="1882">
        <f>G410*298*10^3</f>
        <v>2.547273671936678</v>
      </c>
      <c r="H103" s="1882">
        <f>(H410+J410)*298*10^3</f>
        <v>0.35201621758702772</v>
      </c>
      <c r="I103" s="1882"/>
      <c r="J103" s="2007">
        <f t="shared" si="0"/>
        <v>141.48001395197412</v>
      </c>
      <c r="K103" s="972">
        <f t="shared" si="1"/>
        <v>4.3478579820773154E-2</v>
      </c>
      <c r="L103" s="1856"/>
      <c r="N103" s="937"/>
    </row>
    <row r="104" spans="1:25" ht="15.75" x14ac:dyDescent="0.25">
      <c r="A104" s="62"/>
      <c r="B104" s="58"/>
      <c r="C104" s="1279" t="s">
        <v>1509</v>
      </c>
      <c r="D104" s="1882">
        <f>(D290+D365)*298*10^3</f>
        <v>22.213221811890797</v>
      </c>
      <c r="E104" s="1882">
        <f>(E290+E365)*298*10^3</f>
        <v>0</v>
      </c>
      <c r="F104" s="1882">
        <f>(F290+F365+I290+I365)*298*10^3</f>
        <v>0</v>
      </c>
      <c r="G104" s="1882">
        <f>(G290+G365)*298*10^3</f>
        <v>0</v>
      </c>
      <c r="H104" s="1882">
        <f>(H290+H365+J290+J365)*298*10^3</f>
        <v>0</v>
      </c>
      <c r="I104" s="1882"/>
      <c r="J104" s="2007">
        <f t="shared" si="0"/>
        <v>22.213221811890797</v>
      </c>
      <c r="K104" s="972">
        <f t="shared" si="1"/>
        <v>6.8264012042907858E-3</v>
      </c>
      <c r="L104" s="1856"/>
      <c r="N104" s="937"/>
      <c r="O104" s="61"/>
      <c r="P104" s="61"/>
      <c r="Q104" s="61"/>
      <c r="R104" s="61"/>
    </row>
    <row r="105" spans="1:25" ht="15.75" x14ac:dyDescent="0.25">
      <c r="A105" s="62"/>
      <c r="B105" s="58"/>
      <c r="C105" s="1279" t="s">
        <v>1436</v>
      </c>
      <c r="D105" s="1882">
        <f>(D304+D313+D447+D481)*298*10^3</f>
        <v>96.20523062443786</v>
      </c>
      <c r="E105" s="1882">
        <f>(E304+E313+E447+E481)*298*10^3</f>
        <v>14.416963104413311</v>
      </c>
      <c r="F105" s="1882">
        <f>(F304+F313+F447+F481+I304+I313+I447+I481)*298*10^3</f>
        <v>6.6033161039255353</v>
      </c>
      <c r="G105" s="1882">
        <f>(G304+G313+G447+G481)*298*10^3</f>
        <v>1.9422961748517165</v>
      </c>
      <c r="H105" s="1882">
        <f>(H304+H313+H447+H481+J304+J313+J447+J481)*298*10^3</f>
        <v>0.26841236591010864</v>
      </c>
      <c r="I105" s="1882"/>
      <c r="J105" s="2007">
        <f t="shared" si="0"/>
        <v>119.43621837353854</v>
      </c>
      <c r="K105" s="972">
        <f t="shared" si="1"/>
        <v>3.6704245419483368E-2</v>
      </c>
      <c r="L105" s="1856"/>
      <c r="N105" s="937"/>
    </row>
    <row r="106" spans="1:25" ht="15.75" x14ac:dyDescent="0.25">
      <c r="A106" s="62"/>
      <c r="B106" s="58"/>
      <c r="C106" s="1279" t="s">
        <v>462</v>
      </c>
      <c r="D106" s="1883"/>
      <c r="E106" s="1882"/>
      <c r="F106" s="1882"/>
      <c r="G106" s="1882"/>
      <c r="H106" s="1882"/>
      <c r="I106" s="1882">
        <f>C343</f>
        <v>103.02285714285715</v>
      </c>
      <c r="J106" s="2007">
        <f>I106</f>
        <v>103.02285714285715</v>
      </c>
      <c r="K106" s="972">
        <f t="shared" si="1"/>
        <v>3.1660213994397356E-2</v>
      </c>
      <c r="L106" s="1856"/>
    </row>
    <row r="107" spans="1:25" ht="15.75" x14ac:dyDescent="0.25">
      <c r="A107" s="62"/>
      <c r="B107" s="60"/>
      <c r="C107" s="1279" t="s">
        <v>460</v>
      </c>
      <c r="D107" s="1883"/>
      <c r="E107" s="1882"/>
      <c r="F107" s="1882"/>
      <c r="G107" s="1882"/>
      <c r="H107" s="1882"/>
      <c r="I107" s="1882">
        <f>(SUM(D442:D443)+SUM(D476:D477))*298*10^3</f>
        <v>68.25264285714286</v>
      </c>
      <c r="J107" s="2007">
        <f>I107</f>
        <v>68.25264285714286</v>
      </c>
      <c r="K107" s="972">
        <f t="shared" si="1"/>
        <v>2.0974891771288251E-2</v>
      </c>
      <c r="L107" s="1856"/>
    </row>
    <row r="108" spans="1:25" s="1261" customFormat="1" ht="15.75" x14ac:dyDescent="0.25">
      <c r="A108" s="1263"/>
      <c r="B108" s="60" t="s">
        <v>893</v>
      </c>
      <c r="C108" s="1285" t="s">
        <v>889</v>
      </c>
      <c r="D108" s="1883"/>
      <c r="E108" s="1882"/>
      <c r="F108" s="1882"/>
      <c r="G108" s="1882"/>
      <c r="H108" s="1882"/>
      <c r="I108" s="1882"/>
      <c r="J108" s="2007">
        <f>C557</f>
        <v>217</v>
      </c>
      <c r="K108" s="1290">
        <f t="shared" si="1"/>
        <v>6.668681715221253E-2</v>
      </c>
      <c r="L108" s="1856"/>
    </row>
    <row r="109" spans="1:25" ht="15.75" x14ac:dyDescent="0.25">
      <c r="A109" s="62"/>
      <c r="B109" s="60"/>
      <c r="C109" s="58" t="s">
        <v>890</v>
      </c>
      <c r="D109" s="1883"/>
      <c r="E109" s="1882"/>
      <c r="F109" s="1882"/>
      <c r="G109" s="1882"/>
      <c r="H109" s="1882"/>
      <c r="I109" s="1882"/>
      <c r="J109" s="2007">
        <f>C550+C551</f>
        <v>67.338345040000007</v>
      </c>
      <c r="K109" s="972">
        <f t="shared" si="1"/>
        <v>2.0693916603756118E-2</v>
      </c>
      <c r="L109" s="1856"/>
    </row>
    <row r="110" spans="1:25" ht="15.75" x14ac:dyDescent="0.25">
      <c r="A110" s="62"/>
      <c r="B110" s="1088" t="s">
        <v>1677</v>
      </c>
      <c r="C110" s="58" t="s">
        <v>938</v>
      </c>
      <c r="D110" s="1883"/>
      <c r="E110" s="1882"/>
      <c r="F110" s="1882"/>
      <c r="G110" s="1882"/>
      <c r="H110" s="1882"/>
      <c r="I110" s="1882"/>
      <c r="J110" s="2007">
        <f>E581</f>
        <v>255</v>
      </c>
      <c r="K110" s="972">
        <f t="shared" si="1"/>
        <v>7.8364692966885682E-2</v>
      </c>
      <c r="L110" s="1856"/>
    </row>
    <row r="111" spans="1:25" ht="15.75" x14ac:dyDescent="0.25">
      <c r="A111" s="62"/>
      <c r="B111" s="60"/>
      <c r="C111" s="58" t="s">
        <v>939</v>
      </c>
      <c r="D111" s="1883"/>
      <c r="E111" s="1882"/>
      <c r="F111" s="1882"/>
      <c r="G111" s="1882"/>
      <c r="H111" s="1882"/>
      <c r="I111" s="1882"/>
      <c r="J111" s="2007">
        <f>E583-E581</f>
        <v>25</v>
      </c>
      <c r="K111" s="972">
        <f t="shared" si="1"/>
        <v>7.6828130359691852E-3</v>
      </c>
      <c r="L111" s="1856"/>
    </row>
    <row r="112" spans="1:25" ht="15.75" x14ac:dyDescent="0.25">
      <c r="A112" s="62"/>
      <c r="B112" s="60"/>
      <c r="C112" s="58" t="s">
        <v>921</v>
      </c>
      <c r="D112" s="1883"/>
      <c r="E112" s="1882"/>
      <c r="F112" s="1882"/>
      <c r="G112" s="1882"/>
      <c r="H112" s="1882"/>
      <c r="I112" s="1882"/>
      <c r="J112" s="2007">
        <f>E590</f>
        <v>165.63882608695653</v>
      </c>
      <c r="K112" s="972">
        <f t="shared" si="1"/>
        <v>5.0902885292940091E-2</v>
      </c>
      <c r="L112" s="1856"/>
    </row>
    <row r="113" spans="2:13" ht="15.75" x14ac:dyDescent="0.25">
      <c r="B113" s="60" t="s">
        <v>676</v>
      </c>
      <c r="C113" s="58" t="s">
        <v>1153</v>
      </c>
      <c r="D113" s="1883"/>
      <c r="E113" s="1882"/>
      <c r="F113" s="1882"/>
      <c r="G113" s="1882"/>
      <c r="H113" s="1882"/>
      <c r="I113" s="1882"/>
      <c r="J113" s="1882">
        <f>IF(H64=0,IF(H64="",0,(G522*H64*-1)),(G522*H64*-1))</f>
        <v>0</v>
      </c>
      <c r="K113" s="319"/>
      <c r="L113" s="1856"/>
    </row>
    <row r="114" spans="2:13" ht="17.25" x14ac:dyDescent="0.3">
      <c r="B114" s="60" t="s">
        <v>1508</v>
      </c>
      <c r="C114" s="58"/>
      <c r="D114" s="2007">
        <f t="shared" ref="D114:I114" si="2">SUM(D101:D113)</f>
        <v>2010.4235309038115</v>
      </c>
      <c r="E114" s="2007">
        <f t="shared" si="2"/>
        <v>207.88297139163726</v>
      </c>
      <c r="F114" s="2007">
        <f t="shared" si="2"/>
        <v>103.12949154122131</v>
      </c>
      <c r="G114" s="2007">
        <f t="shared" si="2"/>
        <v>27.125509982562654</v>
      </c>
      <c r="H114" s="2007">
        <f t="shared" si="2"/>
        <v>4.2022748822371447</v>
      </c>
      <c r="I114" s="2007">
        <f t="shared" si="2"/>
        <v>171.27550000000002</v>
      </c>
      <c r="J114" s="2008">
        <f>SUM(J101:J113)</f>
        <v>3254.0164498284262</v>
      </c>
      <c r="K114" s="1077" t="s">
        <v>1389</v>
      </c>
      <c r="L114" s="1856"/>
      <c r="M114" s="938"/>
    </row>
    <row r="115" spans="2:13" ht="15.75" x14ac:dyDescent="0.25">
      <c r="B115" s="60" t="s">
        <v>1045</v>
      </c>
      <c r="C115" s="58"/>
      <c r="D115" s="1887">
        <f t="shared" ref="D115:I115" si="3">D114/SUM($J$101:$J$112)</f>
        <v>0.61782832444188007</v>
      </c>
      <c r="E115" s="1887">
        <f t="shared" si="3"/>
        <v>6.3885040102547197E-2</v>
      </c>
      <c r="F115" s="1887">
        <f t="shared" si="3"/>
        <v>3.1692984080230753E-2</v>
      </c>
      <c r="G115" s="1887">
        <f t="shared" si="3"/>
        <v>8.336008868053784E-3</v>
      </c>
      <c r="H115" s="1887">
        <f t="shared" si="3"/>
        <v>1.2914116898390963E-3</v>
      </c>
      <c r="I115" s="1887">
        <f t="shared" si="3"/>
        <v>5.2635105765685614E-2</v>
      </c>
      <c r="J115" s="629"/>
      <c r="K115" s="512"/>
      <c r="L115" s="1856"/>
    </row>
    <row r="116" spans="2:13" ht="17.25" x14ac:dyDescent="0.3">
      <c r="B116" s="60" t="s">
        <v>1120</v>
      </c>
      <c r="C116" s="58"/>
      <c r="D116" s="320"/>
      <c r="E116" s="59"/>
      <c r="F116" s="59"/>
      <c r="G116" s="59"/>
      <c r="H116" s="59"/>
      <c r="I116" s="59"/>
      <c r="J116" s="324">
        <f>P186</f>
        <v>0.96504714116945434</v>
      </c>
      <c r="K116" s="1078" t="s">
        <v>1390</v>
      </c>
      <c r="L116" s="1856"/>
    </row>
    <row r="117" spans="2:13" ht="17.25" x14ac:dyDescent="0.3">
      <c r="B117" s="841" t="s">
        <v>1043</v>
      </c>
      <c r="C117" s="842"/>
      <c r="D117" s="842"/>
      <c r="E117" s="842"/>
      <c r="F117" s="842"/>
      <c r="G117" s="842"/>
      <c r="H117" s="842"/>
      <c r="I117" s="842"/>
      <c r="J117" s="321">
        <f>P187</f>
        <v>13.55840187428511</v>
      </c>
      <c r="K117" s="1078" t="s">
        <v>1391</v>
      </c>
      <c r="L117" s="1856"/>
    </row>
    <row r="119" spans="2:13" ht="15.75" x14ac:dyDescent="0.25">
      <c r="B119" s="939" t="s">
        <v>768</v>
      </c>
      <c r="C119" s="939"/>
      <c r="D119" s="940"/>
      <c r="E119" s="940"/>
      <c r="F119" s="940"/>
      <c r="G119" s="940"/>
      <c r="H119" s="940"/>
      <c r="I119" s="940"/>
    </row>
    <row r="120" spans="2:13" ht="15.75" x14ac:dyDescent="0.25">
      <c r="B120" s="939"/>
      <c r="C120" s="939"/>
      <c r="D120" s="940"/>
      <c r="E120" s="940"/>
      <c r="F120" s="940"/>
      <c r="G120" s="940"/>
      <c r="H120" s="940"/>
      <c r="I120" s="940"/>
    </row>
    <row r="121" spans="2:13" ht="15.75" x14ac:dyDescent="0.25">
      <c r="B121" s="1317" t="s">
        <v>1675</v>
      </c>
      <c r="C121" s="939"/>
      <c r="D121" s="940"/>
      <c r="E121" s="940"/>
      <c r="F121" s="940"/>
      <c r="G121" s="940"/>
      <c r="H121" s="940"/>
      <c r="I121" s="940"/>
      <c r="J121" s="941"/>
    </row>
    <row r="122" spans="2:13" ht="15.75" x14ac:dyDescent="0.25">
      <c r="B122" s="939"/>
      <c r="C122" s="939"/>
      <c r="D122" s="940"/>
      <c r="E122" s="940"/>
      <c r="F122" s="940"/>
      <c r="G122" s="940"/>
      <c r="H122" s="940"/>
      <c r="I122" s="940"/>
    </row>
    <row r="123" spans="2:13" ht="15.75" x14ac:dyDescent="0.25">
      <c r="B123" s="939"/>
      <c r="C123" s="939"/>
      <c r="D123" s="940"/>
      <c r="E123" s="940"/>
      <c r="F123" s="940"/>
      <c r="G123" s="940"/>
      <c r="H123" s="940"/>
      <c r="I123" s="940"/>
    </row>
    <row r="124" spans="2:13" ht="15.75" x14ac:dyDescent="0.25">
      <c r="B124" s="939"/>
      <c r="C124" s="939"/>
      <c r="D124" s="940"/>
      <c r="E124" s="940"/>
      <c r="F124" s="940"/>
      <c r="G124" s="940"/>
      <c r="H124" s="940"/>
      <c r="I124" s="940"/>
    </row>
    <row r="125" spans="2:13" ht="15.75" x14ac:dyDescent="0.25">
      <c r="B125" s="939"/>
      <c r="C125" s="939"/>
      <c r="D125" s="940"/>
      <c r="E125" s="940"/>
      <c r="F125" s="940"/>
      <c r="G125" s="940"/>
      <c r="H125" s="940"/>
      <c r="I125" s="940"/>
    </row>
    <row r="126" spans="2:13" ht="15.75" x14ac:dyDescent="0.25">
      <c r="B126" s="939"/>
      <c r="C126" s="939"/>
      <c r="D126" s="940"/>
      <c r="E126" s="940"/>
      <c r="F126" s="940"/>
      <c r="G126" s="940"/>
      <c r="H126" s="940"/>
      <c r="I126" s="940"/>
    </row>
    <row r="127" spans="2:13" ht="15.75" x14ac:dyDescent="0.25">
      <c r="B127" s="939"/>
      <c r="C127" s="939"/>
      <c r="D127" s="940"/>
      <c r="E127" s="940"/>
      <c r="F127" s="940"/>
      <c r="G127" s="940"/>
      <c r="H127" s="940"/>
      <c r="I127" s="940"/>
    </row>
    <row r="128" spans="2:13" ht="15.75" x14ac:dyDescent="0.25">
      <c r="B128" s="939"/>
      <c r="C128" s="939"/>
      <c r="D128" s="940"/>
      <c r="E128" s="940"/>
      <c r="F128" s="940"/>
      <c r="G128" s="940"/>
      <c r="H128" s="940"/>
      <c r="I128" s="940"/>
    </row>
    <row r="129" spans="2:9" ht="15.75" x14ac:dyDescent="0.25">
      <c r="B129" s="939"/>
      <c r="C129" s="939"/>
      <c r="D129" s="940"/>
      <c r="E129" s="940"/>
      <c r="F129" s="940"/>
      <c r="G129" s="940"/>
      <c r="H129" s="940"/>
      <c r="I129" s="940"/>
    </row>
    <row r="130" spans="2:9" ht="15.75" x14ac:dyDescent="0.25">
      <c r="B130" s="939"/>
      <c r="C130" s="939"/>
      <c r="D130" s="940"/>
      <c r="E130" s="940"/>
      <c r="F130" s="940"/>
      <c r="G130" s="940"/>
      <c r="H130" s="940"/>
      <c r="I130" s="940"/>
    </row>
    <row r="131" spans="2:9" ht="15.75" x14ac:dyDescent="0.25">
      <c r="B131" s="939"/>
      <c r="C131" s="939"/>
      <c r="D131" s="940"/>
      <c r="E131" s="940"/>
      <c r="F131" s="940"/>
      <c r="G131" s="940"/>
      <c r="H131" s="940"/>
      <c r="I131" s="940"/>
    </row>
    <row r="132" spans="2:9" ht="15.75" x14ac:dyDescent="0.25">
      <c r="B132" s="939"/>
      <c r="C132" s="939"/>
      <c r="D132" s="940"/>
      <c r="E132" s="940"/>
      <c r="F132" s="940"/>
      <c r="G132" s="940"/>
      <c r="H132" s="940"/>
      <c r="I132" s="940"/>
    </row>
    <row r="133" spans="2:9" ht="15.75" x14ac:dyDescent="0.25">
      <c r="B133" s="939"/>
      <c r="C133" s="939"/>
      <c r="D133" s="940"/>
      <c r="E133" s="940"/>
      <c r="F133" s="940"/>
      <c r="G133" s="940"/>
      <c r="H133" s="940"/>
      <c r="I133" s="940"/>
    </row>
    <row r="134" spans="2:9" ht="15.75" x14ac:dyDescent="0.25">
      <c r="B134" s="939"/>
      <c r="C134" s="939"/>
      <c r="D134" s="940"/>
      <c r="E134" s="940"/>
      <c r="F134" s="940"/>
      <c r="G134" s="940"/>
      <c r="H134" s="940"/>
      <c r="I134" s="940"/>
    </row>
    <row r="135" spans="2:9" ht="15.75" x14ac:dyDescent="0.25">
      <c r="B135" s="939"/>
      <c r="C135" s="939"/>
      <c r="D135" s="940"/>
      <c r="E135" s="940"/>
      <c r="F135" s="940"/>
      <c r="G135" s="940"/>
      <c r="H135" s="940"/>
      <c r="I135" s="940"/>
    </row>
    <row r="136" spans="2:9" ht="15.75" x14ac:dyDescent="0.25">
      <c r="B136" s="939"/>
      <c r="C136" s="939"/>
      <c r="D136" s="940"/>
      <c r="E136" s="940"/>
      <c r="F136" s="940"/>
      <c r="G136" s="940"/>
      <c r="H136" s="940"/>
      <c r="I136" s="940"/>
    </row>
    <row r="137" spans="2:9" ht="15.75" x14ac:dyDescent="0.25">
      <c r="B137" s="939"/>
      <c r="C137" s="939"/>
      <c r="D137" s="940"/>
      <c r="E137" s="940"/>
      <c r="F137" s="940"/>
      <c r="G137" s="940"/>
      <c r="H137" s="940"/>
      <c r="I137" s="940"/>
    </row>
    <row r="138" spans="2:9" ht="15.75" x14ac:dyDescent="0.25">
      <c r="B138" s="939"/>
      <c r="C138" s="939"/>
      <c r="D138" s="940"/>
      <c r="E138" s="940"/>
      <c r="F138" s="940"/>
      <c r="G138" s="940"/>
      <c r="H138" s="940"/>
      <c r="I138" s="940"/>
    </row>
    <row r="139" spans="2:9" ht="15.75" x14ac:dyDescent="0.25">
      <c r="B139" s="939"/>
      <c r="C139" s="939"/>
      <c r="D139" s="940"/>
      <c r="E139" s="940"/>
      <c r="F139" s="940"/>
      <c r="G139" s="940"/>
      <c r="H139" s="940"/>
      <c r="I139" s="940"/>
    </row>
    <row r="140" spans="2:9" ht="15.75" x14ac:dyDescent="0.25">
      <c r="B140" s="939"/>
      <c r="C140" s="939"/>
      <c r="D140" s="940"/>
      <c r="E140" s="940"/>
      <c r="F140" s="940"/>
      <c r="G140" s="940"/>
      <c r="H140" s="940"/>
      <c r="I140" s="940"/>
    </row>
    <row r="141" spans="2:9" ht="15.75" x14ac:dyDescent="0.25">
      <c r="B141" s="939"/>
      <c r="C141" s="939"/>
      <c r="D141" s="932"/>
      <c r="E141" s="932"/>
      <c r="F141" s="932"/>
      <c r="G141" s="932"/>
      <c r="H141" s="932"/>
      <c r="I141" s="932"/>
    </row>
    <row r="161" spans="2:57" ht="13.9" hidden="1" customHeight="1" x14ac:dyDescent="0.25"/>
    <row r="162" spans="2:57" hidden="1" x14ac:dyDescent="0.25"/>
    <row r="163" spans="2:57" hidden="1" x14ac:dyDescent="0.25"/>
    <row r="164" spans="2:57" hidden="1" x14ac:dyDescent="0.25"/>
    <row r="165" spans="2:57" hidden="1" x14ac:dyDescent="0.25"/>
    <row r="166" spans="2:57" hidden="1" x14ac:dyDescent="0.25"/>
    <row r="167" spans="2:57" hidden="1" x14ac:dyDescent="0.25">
      <c r="Y167" s="611"/>
    </row>
    <row r="168" spans="2:57" hidden="1" x14ac:dyDescent="0.25">
      <c r="AG168" s="611" t="s">
        <v>985</v>
      </c>
      <c r="AP168" s="942" t="s">
        <v>489</v>
      </c>
      <c r="AQ168" s="611"/>
    </row>
    <row r="169" spans="2:57" ht="15.75" hidden="1" x14ac:dyDescent="0.25">
      <c r="B169" s="611"/>
      <c r="C169" s="611" t="s">
        <v>297</v>
      </c>
      <c r="D169" s="611" t="s">
        <v>1008</v>
      </c>
      <c r="E169" s="611" t="s">
        <v>1009</v>
      </c>
      <c r="F169" s="5" t="s">
        <v>960</v>
      </c>
      <c r="G169" s="5" t="s">
        <v>1010</v>
      </c>
      <c r="H169" s="5" t="s">
        <v>961</v>
      </c>
      <c r="I169" s="5" t="s">
        <v>962</v>
      </c>
      <c r="J169" s="5" t="s">
        <v>1011</v>
      </c>
      <c r="M169" s="939"/>
      <c r="N169" s="939" t="s">
        <v>821</v>
      </c>
      <c r="O169" s="939"/>
      <c r="P169" s="939"/>
      <c r="Q169" s="939"/>
      <c r="R169" s="939" t="s">
        <v>911</v>
      </c>
      <c r="S169" s="939" t="s">
        <v>1037</v>
      </c>
      <c r="T169" s="939"/>
      <c r="U169" s="939" t="s">
        <v>941</v>
      </c>
      <c r="V169" s="939"/>
      <c r="W169" s="939"/>
      <c r="AA169" s="939" t="s">
        <v>954</v>
      </c>
      <c r="AB169" s="5">
        <v>1</v>
      </c>
      <c r="AC169" s="939" t="s">
        <v>958</v>
      </c>
      <c r="AG169" s="1135" t="s">
        <v>973</v>
      </c>
      <c r="AH169" s="611">
        <f>G80</f>
        <v>3</v>
      </c>
      <c r="AJ169" s="611" t="s">
        <v>971</v>
      </c>
      <c r="AP169" s="1139" t="s">
        <v>980</v>
      </c>
      <c r="AQ169" s="611"/>
      <c r="AR169" s="1143">
        <f>1-((AH169/24*AH170/365)+(AH174/24*AH175/365))</f>
        <v>0.89726027397260277</v>
      </c>
      <c r="AT169" s="611" t="s">
        <v>971</v>
      </c>
      <c r="AU169" s="611"/>
      <c r="AV169" s="611"/>
      <c r="AW169" s="611"/>
      <c r="AX169" s="611" t="s">
        <v>993</v>
      </c>
      <c r="AY169" s="611"/>
      <c r="AZ169" s="611"/>
      <c r="BA169" s="611"/>
      <c r="BB169" s="611"/>
      <c r="BC169" s="611"/>
      <c r="BD169" s="611"/>
      <c r="BE169" s="611"/>
    </row>
    <row r="170" spans="2:57" ht="15.75" hidden="1" x14ac:dyDescent="0.25">
      <c r="B170" s="944">
        <v>1</v>
      </c>
      <c r="C170" s="945" t="s">
        <v>1008</v>
      </c>
      <c r="D170" s="611" t="s">
        <v>959</v>
      </c>
      <c r="E170" s="611" t="s">
        <v>1014</v>
      </c>
      <c r="M170" s="939"/>
      <c r="N170" s="939"/>
      <c r="O170" s="939"/>
      <c r="P170" s="939"/>
      <c r="Q170" s="939"/>
      <c r="R170" s="939"/>
      <c r="S170" s="939" t="s">
        <v>1036</v>
      </c>
      <c r="T170" s="939"/>
      <c r="U170" s="939" t="s">
        <v>942</v>
      </c>
      <c r="V170" s="946">
        <f>K101</f>
        <v>0.56568295751952258</v>
      </c>
      <c r="W170" s="939"/>
      <c r="AB170" s="939">
        <v>2</v>
      </c>
      <c r="AC170" s="939" t="s">
        <v>957</v>
      </c>
      <c r="AE170" s="939"/>
      <c r="AG170" s="1135" t="s">
        <v>974</v>
      </c>
      <c r="AH170" s="949">
        <f>H80</f>
        <v>300</v>
      </c>
      <c r="AK170" s="611" t="s">
        <v>979</v>
      </c>
      <c r="AL170" s="611"/>
      <c r="AM170" s="611">
        <f>G93</f>
        <v>0</v>
      </c>
      <c r="AN170" s="611"/>
      <c r="AP170" s="1138" t="s">
        <v>1419</v>
      </c>
      <c r="AR170" s="1102">
        <f>(AH169/24)*(AH170/365)*(AH171/100)</f>
        <v>0</v>
      </c>
      <c r="AT170" s="1144" t="s">
        <v>980</v>
      </c>
      <c r="AU170" s="943">
        <f>1-(AM170/24*AM171/365)</f>
        <v>1</v>
      </c>
      <c r="AV170" s="611"/>
      <c r="AW170" s="611"/>
      <c r="AX170" s="611"/>
      <c r="AY170" s="1156" t="s">
        <v>262</v>
      </c>
      <c r="AZ170" s="1156" t="s">
        <v>1422</v>
      </c>
      <c r="BA170" s="1156" t="s">
        <v>1423</v>
      </c>
      <c r="BB170" s="1156" t="s">
        <v>266</v>
      </c>
      <c r="BC170" s="1156" t="s">
        <v>992</v>
      </c>
      <c r="BD170" s="611"/>
      <c r="BE170" s="611"/>
    </row>
    <row r="171" spans="2:57" ht="15.75" hidden="1" x14ac:dyDescent="0.25">
      <c r="B171" s="944">
        <v>2</v>
      </c>
      <c r="C171" s="945" t="s">
        <v>1015</v>
      </c>
      <c r="D171" s="611" t="s">
        <v>1012</v>
      </c>
      <c r="E171" s="611" t="s">
        <v>1019</v>
      </c>
      <c r="M171" s="939"/>
      <c r="N171" s="939" t="s">
        <v>822</v>
      </c>
      <c r="O171" s="939"/>
      <c r="P171" s="947">
        <f>IF(S182="1",H23,0)</f>
        <v>0</v>
      </c>
      <c r="Q171" s="939"/>
      <c r="R171" s="939" t="s">
        <v>265</v>
      </c>
      <c r="S171" s="939" t="str">
        <f>E41</f>
        <v>tonnes of element per annum</v>
      </c>
      <c r="T171" s="948" t="str">
        <f>IF(S171="kg of element per ha per annum","1","2")</f>
        <v>2</v>
      </c>
      <c r="U171" s="939" t="s">
        <v>943</v>
      </c>
      <c r="V171" s="946">
        <f>K102</f>
        <v>7.0341585218480954E-2</v>
      </c>
      <c r="W171" s="939"/>
      <c r="AB171" s="939" t="s">
        <v>265</v>
      </c>
      <c r="AC171" s="948">
        <f>IF(F69=AC169,1,2)</f>
        <v>2</v>
      </c>
      <c r="AE171" s="939"/>
      <c r="AF171" s="611"/>
      <c r="AG171" s="1135" t="s">
        <v>1418</v>
      </c>
      <c r="AH171" s="5">
        <f>G82</f>
        <v>0</v>
      </c>
      <c r="AJ171" s="611"/>
      <c r="AK171" s="611" t="s">
        <v>965</v>
      </c>
      <c r="AL171" s="611"/>
      <c r="AM171" s="611">
        <f>H93</f>
        <v>0</v>
      </c>
      <c r="AN171" s="611"/>
      <c r="AP171" s="1139" t="s">
        <v>981</v>
      </c>
      <c r="AQ171" s="611"/>
      <c r="AR171" s="1143">
        <f>(AH169/24*AH170/365*AH172/100)*IF(Z176=2,0.8,1)</f>
        <v>0</v>
      </c>
      <c r="AT171" s="1144" t="s">
        <v>1421</v>
      </c>
      <c r="AU171" s="943">
        <f>IF(AL183=1,AM170/24*AM171/365,0)</f>
        <v>0</v>
      </c>
      <c r="AV171" s="611"/>
      <c r="AW171" s="611">
        <v>1</v>
      </c>
      <c r="AX171" s="945" t="s">
        <v>1008</v>
      </c>
      <c r="AY171" s="1146">
        <v>74</v>
      </c>
      <c r="AZ171" s="1146">
        <v>0.5</v>
      </c>
      <c r="BA171" s="1146">
        <v>17</v>
      </c>
      <c r="BB171" s="1146">
        <v>2</v>
      </c>
      <c r="BC171" s="1146">
        <v>1</v>
      </c>
      <c r="BD171" s="611"/>
      <c r="BE171" s="611"/>
    </row>
    <row r="172" spans="2:57" ht="15.75" hidden="1" x14ac:dyDescent="0.25">
      <c r="B172" s="944">
        <v>3</v>
      </c>
      <c r="C172" s="945" t="s">
        <v>960</v>
      </c>
      <c r="D172" s="611" t="s">
        <v>1013</v>
      </c>
      <c r="E172" s="611" t="s">
        <v>1013</v>
      </c>
      <c r="M172" s="939"/>
      <c r="N172" s="939" t="s">
        <v>823</v>
      </c>
      <c r="O172" s="939"/>
      <c r="P172" s="947">
        <f>IF(S182="2",H23,0)</f>
        <v>240000</v>
      </c>
      <c r="Q172" s="939"/>
      <c r="R172" s="939"/>
      <c r="S172" s="939"/>
      <c r="T172" s="939"/>
      <c r="U172" s="939" t="s">
        <v>944</v>
      </c>
      <c r="V172" s="946">
        <f>K103</f>
        <v>4.3478579820773154E-2</v>
      </c>
      <c r="W172" s="939"/>
      <c r="X172" s="939"/>
      <c r="Y172" s="939"/>
      <c r="Z172" s="939"/>
      <c r="AE172" s="939"/>
      <c r="AF172" s="611"/>
      <c r="AG172" s="611" t="s">
        <v>975</v>
      </c>
      <c r="AH172" s="1134">
        <f>G83</f>
        <v>0</v>
      </c>
      <c r="AJ172" s="611"/>
      <c r="AK172" s="611"/>
      <c r="AL172" s="611"/>
      <c r="AM172" s="611"/>
      <c r="AN172" s="611"/>
      <c r="AP172" s="1141" t="s">
        <v>1365</v>
      </c>
      <c r="AR172" s="1143">
        <f>(AH169/24*AH170/365*AH172/100)*IF(Z176=1,0,0.2)</f>
        <v>0</v>
      </c>
      <c r="AT172" s="1144" t="s">
        <v>1425</v>
      </c>
      <c r="AU172" s="943">
        <f>IF(AL183=2,AM170/24*AM171/365*IF(Z176=2,0.8,1),0)</f>
        <v>0</v>
      </c>
      <c r="AV172" s="611"/>
      <c r="AW172" s="611">
        <v>2</v>
      </c>
      <c r="AX172" s="945" t="s">
        <v>1015</v>
      </c>
      <c r="AY172" s="1146">
        <v>75</v>
      </c>
      <c r="AZ172" s="1146">
        <v>0.5</v>
      </c>
      <c r="BA172" s="1146">
        <v>18</v>
      </c>
      <c r="BB172" s="1146">
        <v>2</v>
      </c>
      <c r="BC172" s="1146">
        <v>1</v>
      </c>
      <c r="BD172" s="611"/>
      <c r="BE172" s="611"/>
    </row>
    <row r="173" spans="2:57" ht="15.75" hidden="1" x14ac:dyDescent="0.25">
      <c r="B173" s="944">
        <v>4</v>
      </c>
      <c r="C173" s="945" t="s">
        <v>1010</v>
      </c>
      <c r="D173" s="611"/>
      <c r="E173" s="611"/>
      <c r="M173" s="939"/>
      <c r="N173" s="939" t="s">
        <v>824</v>
      </c>
      <c r="O173" s="939"/>
      <c r="P173" s="950">
        <f>IF(D25="",4,D25)</f>
        <v>4.3</v>
      </c>
      <c r="Q173" s="939"/>
      <c r="R173" s="939"/>
      <c r="S173" s="939"/>
      <c r="T173" s="939"/>
      <c r="U173" s="939" t="s">
        <v>945</v>
      </c>
      <c r="V173" s="946">
        <f>K105</f>
        <v>3.6704245419483368E-2</v>
      </c>
      <c r="W173" s="939"/>
      <c r="X173" s="939"/>
      <c r="Y173" s="939"/>
      <c r="Z173" s="939"/>
      <c r="AA173" s="939"/>
      <c r="AB173" s="939"/>
      <c r="AC173" s="939"/>
      <c r="AD173" s="939"/>
      <c r="AE173" s="939"/>
      <c r="AF173" s="611"/>
      <c r="AG173" s="611" t="s">
        <v>976</v>
      </c>
      <c r="AH173" s="1134">
        <f>G84</f>
        <v>100</v>
      </c>
      <c r="AJ173" s="611"/>
      <c r="AK173" s="611"/>
      <c r="AL173" s="611"/>
      <c r="AM173" s="611"/>
      <c r="AN173" s="611"/>
      <c r="AP173" s="1140" t="s">
        <v>982</v>
      </c>
      <c r="AQ173" s="611"/>
      <c r="AR173" s="1143">
        <f>IF(Z176=1,(AH169/24*AH170/365*AH173/100),(AH169/24*AH170/365*AH173/100)*0.8)</f>
        <v>8.2191780821917804E-2</v>
      </c>
      <c r="AT173" s="1145" t="s">
        <v>1498</v>
      </c>
      <c r="AU173" s="943" t="b">
        <f>IF(AL183=2,(AM170/24*AM171/365)*IF(Z176=2,0.2,0))</f>
        <v>0</v>
      </c>
      <c r="AV173" s="611"/>
      <c r="AW173" s="611">
        <v>3</v>
      </c>
      <c r="AX173" s="945" t="s">
        <v>960</v>
      </c>
      <c r="AY173" s="1146">
        <v>70</v>
      </c>
      <c r="AZ173" s="1146">
        <v>0.1</v>
      </c>
      <c r="BA173" s="1146">
        <v>15</v>
      </c>
      <c r="BB173" s="1146">
        <v>2</v>
      </c>
      <c r="BC173" s="1146">
        <v>1</v>
      </c>
      <c r="BD173" s="611"/>
      <c r="BE173" s="611"/>
    </row>
    <row r="174" spans="2:57" ht="15.75" hidden="1" x14ac:dyDescent="0.25">
      <c r="B174" s="944">
        <v>5</v>
      </c>
      <c r="C174" s="945" t="s">
        <v>1016</v>
      </c>
      <c r="D174" s="611"/>
      <c r="E174" s="611"/>
      <c r="M174" s="939"/>
      <c r="N174" s="939" t="s">
        <v>825</v>
      </c>
      <c r="O174" s="939"/>
      <c r="P174" s="939">
        <f>IF(H25="",3.3,H25)</f>
        <v>3.3</v>
      </c>
      <c r="Q174" s="939"/>
      <c r="R174" s="939"/>
      <c r="S174" s="939"/>
      <c r="T174" s="939"/>
      <c r="U174" s="939" t="s">
        <v>946</v>
      </c>
      <c r="V174" s="946">
        <f>K106</f>
        <v>3.1660213994397356E-2</v>
      </c>
      <c r="W174" s="939"/>
      <c r="X174" s="939" t="s">
        <v>968</v>
      </c>
      <c r="Y174" s="939">
        <v>1</v>
      </c>
      <c r="Z174" s="939" t="s">
        <v>969</v>
      </c>
      <c r="AA174" s="939"/>
      <c r="AB174" s="939"/>
      <c r="AC174" s="939"/>
      <c r="AD174" s="939"/>
      <c r="AE174" s="939"/>
      <c r="AF174" s="611"/>
      <c r="AG174" s="611" t="s">
        <v>977</v>
      </c>
      <c r="AH174" s="611">
        <f>G88</f>
        <v>0</v>
      </c>
      <c r="AJ174" s="611"/>
      <c r="AK174" s="611"/>
      <c r="AL174" s="611"/>
      <c r="AM174" s="611"/>
      <c r="AN174" s="611"/>
      <c r="AP174" s="1140" t="s">
        <v>996</v>
      </c>
      <c r="AQ174" s="611"/>
      <c r="AR174" s="1143">
        <f>IF(Z176=1,0,(AH169/24*AH170/365*AH173/100)*0.2)</f>
        <v>2.0547945205479451E-2</v>
      </c>
      <c r="AT174" s="1144" t="s">
        <v>990</v>
      </c>
      <c r="AU174" s="943">
        <f>IF(AL183=3,(AM170/24*AM171/365*IF(Z176=2,0.8,1)),0)</f>
        <v>0</v>
      </c>
      <c r="AV174" s="611"/>
      <c r="AW174" s="611">
        <v>4</v>
      </c>
      <c r="AX174" s="945" t="s">
        <v>1010</v>
      </c>
      <c r="AY174" s="1146">
        <v>77</v>
      </c>
      <c r="AZ174" s="1146">
        <v>0.5</v>
      </c>
      <c r="BA174" s="1146">
        <v>24</v>
      </c>
      <c r="BB174" s="1146">
        <v>2</v>
      </c>
      <c r="BC174" s="1146">
        <v>1</v>
      </c>
      <c r="BD174" s="611"/>
      <c r="BE174" s="611"/>
    </row>
    <row r="175" spans="2:57" ht="15.75" hidden="1" x14ac:dyDescent="0.25">
      <c r="B175" s="939">
        <v>6</v>
      </c>
      <c r="C175" s="951" t="s">
        <v>1017</v>
      </c>
      <c r="D175" s="611"/>
      <c r="E175" s="611"/>
      <c r="M175" s="939"/>
      <c r="N175" s="939" t="s">
        <v>1025</v>
      </c>
      <c r="P175" s="947">
        <f>IF(P171=0,P172,(P171*(P173+P174)/100))</f>
        <v>240000</v>
      </c>
      <c r="Q175" s="939"/>
      <c r="R175" s="358" t="s">
        <v>1032</v>
      </c>
      <c r="S175" s="358" t="s">
        <v>1162</v>
      </c>
      <c r="T175" s="939"/>
      <c r="U175" s="939" t="s">
        <v>947</v>
      </c>
      <c r="V175" s="946">
        <f>K107</f>
        <v>2.0974891771288251E-2</v>
      </c>
      <c r="W175" s="939"/>
      <c r="X175" s="939"/>
      <c r="Y175" s="939">
        <v>2</v>
      </c>
      <c r="Z175" s="939" t="s">
        <v>970</v>
      </c>
      <c r="AA175" s="939"/>
      <c r="AB175" s="939"/>
      <c r="AC175" s="939"/>
      <c r="AD175" s="939"/>
      <c r="AE175" s="939"/>
      <c r="AF175" s="611"/>
      <c r="AG175" s="611" t="s">
        <v>978</v>
      </c>
      <c r="AH175" s="611">
        <f>H88</f>
        <v>0</v>
      </c>
      <c r="AJ175" s="611"/>
      <c r="AK175" s="611"/>
      <c r="AL175" s="611"/>
      <c r="AM175" s="611"/>
      <c r="AN175" s="611"/>
      <c r="AP175" s="1138" t="s">
        <v>1420</v>
      </c>
      <c r="AQ175" s="611"/>
      <c r="AR175" s="1143">
        <f>IF(AG183=1,(AH174/24*AH175/365),0)</f>
        <v>0</v>
      </c>
      <c r="AT175" s="1144" t="s">
        <v>991</v>
      </c>
      <c r="AU175" s="943">
        <f>IF(AL183=3,AM170/24*AM171/365*IF(Z176=2,0.2,0),0)</f>
        <v>0</v>
      </c>
      <c r="AV175" s="611"/>
      <c r="AW175" s="611">
        <v>5</v>
      </c>
      <c r="AX175" s="945" t="s">
        <v>1016</v>
      </c>
      <c r="AY175" s="1146">
        <v>74</v>
      </c>
      <c r="AZ175" s="1146">
        <v>0.5</v>
      </c>
      <c r="BA175" s="1146">
        <v>17</v>
      </c>
      <c r="BB175" s="1146">
        <v>2</v>
      </c>
      <c r="BC175" s="1146">
        <v>1</v>
      </c>
      <c r="BD175" s="611"/>
      <c r="BE175" s="611"/>
    </row>
    <row r="176" spans="2:57" ht="15.75" hidden="1" x14ac:dyDescent="0.25">
      <c r="B176" s="944">
        <v>7</v>
      </c>
      <c r="C176" s="945" t="s">
        <v>1018</v>
      </c>
      <c r="D176" s="611"/>
      <c r="E176" s="611"/>
      <c r="M176" s="939"/>
      <c r="N176" s="939" t="s">
        <v>827</v>
      </c>
      <c r="O176" s="939"/>
      <c r="P176" s="947">
        <f>IF(P171=0,(P172/((P173+P174)/100)),P171)</f>
        <v>3157894.7368421052</v>
      </c>
      <c r="Q176" s="939"/>
      <c r="R176" s="358"/>
      <c r="S176" s="358" t="s">
        <v>1034</v>
      </c>
      <c r="T176" s="939"/>
      <c r="U176" s="939" t="s">
        <v>948</v>
      </c>
      <c r="V176" s="946">
        <f>K107+K109</f>
        <v>4.1668808375044372E-2</v>
      </c>
      <c r="W176" s="939"/>
      <c r="X176" s="939"/>
      <c r="Y176" s="939" t="s">
        <v>265</v>
      </c>
      <c r="Z176" s="948">
        <f>IF(G86="",1,IF(G86=Z174,1,2))</f>
        <v>2</v>
      </c>
      <c r="AA176" s="939"/>
      <c r="AB176" s="939"/>
      <c r="AC176" s="939"/>
      <c r="AD176" s="939"/>
      <c r="AE176" s="939"/>
      <c r="AP176" s="1138" t="s">
        <v>988</v>
      </c>
      <c r="AR176" s="1143">
        <f>IF(AG183=2,(AH174/24*AH175/365),0)*IF(Z176=2,0.8,1)</f>
        <v>0</v>
      </c>
      <c r="AT176" s="1144" t="s">
        <v>1426</v>
      </c>
      <c r="AU176" s="943">
        <f>IF(AL183=4,AM170/24*AM171/365,0)</f>
        <v>0</v>
      </c>
      <c r="AV176" s="611"/>
      <c r="AW176" s="611">
        <v>6</v>
      </c>
      <c r="AX176" s="951" t="s">
        <v>1017</v>
      </c>
      <c r="AY176" s="1146">
        <v>75</v>
      </c>
      <c r="AZ176" s="1146">
        <v>0.5</v>
      </c>
      <c r="BA176" s="1146">
        <v>18</v>
      </c>
      <c r="BB176" s="1146">
        <v>2</v>
      </c>
      <c r="BC176" s="1146">
        <v>1</v>
      </c>
      <c r="BD176" s="611"/>
      <c r="BE176" s="611"/>
    </row>
    <row r="177" spans="2:57" ht="15.75" hidden="1" x14ac:dyDescent="0.25">
      <c r="B177" s="952"/>
      <c r="D177" s="611"/>
      <c r="E177" s="611"/>
      <c r="M177" s="939"/>
      <c r="N177" s="939" t="s">
        <v>1376</v>
      </c>
      <c r="O177" s="939"/>
      <c r="P177" s="947">
        <f>(P176*1.03)*(0.2534+0.1226*P173+0.0776*P174)</f>
        <v>3371873.0526315789</v>
      </c>
      <c r="Q177" s="939"/>
      <c r="R177" s="559"/>
      <c r="S177" s="358" t="s">
        <v>1033</v>
      </c>
      <c r="T177" s="939"/>
      <c r="U177" s="939" t="s">
        <v>937</v>
      </c>
      <c r="V177" s="946">
        <f>SUM(K110:K112)</f>
        <v>0.13695039129579495</v>
      </c>
      <c r="W177" s="939"/>
      <c r="X177" s="939"/>
      <c r="Y177" s="939"/>
      <c r="Z177" s="939"/>
      <c r="AA177" s="939"/>
      <c r="AB177" s="939"/>
      <c r="AC177" s="939"/>
      <c r="AD177" s="939"/>
      <c r="AE177" s="939"/>
      <c r="AG177" s="611" t="s">
        <v>986</v>
      </c>
      <c r="AJ177" s="611" t="s">
        <v>987</v>
      </c>
      <c r="AP177" s="1141" t="s">
        <v>1366</v>
      </c>
      <c r="AQ177" s="611"/>
      <c r="AR177" s="1143">
        <f>IF(AG183=2,(AH174/24*AH175/365*IF(Z176=2,0.2,0)),0)</f>
        <v>0</v>
      </c>
      <c r="AT177" s="1144" t="s">
        <v>984</v>
      </c>
      <c r="AU177" s="943">
        <f>AU173+AU175+AU176</f>
        <v>0</v>
      </c>
      <c r="AV177" s="611"/>
      <c r="AW177" s="611">
        <v>7</v>
      </c>
      <c r="AX177" s="945" t="s">
        <v>1018</v>
      </c>
      <c r="AY177" s="1146">
        <v>80</v>
      </c>
      <c r="AZ177" s="1146">
        <v>0.5</v>
      </c>
      <c r="BA177" s="1146">
        <v>50</v>
      </c>
      <c r="BB177" s="1146">
        <v>2</v>
      </c>
      <c r="BC177" s="1146">
        <v>2</v>
      </c>
      <c r="BD177" s="611"/>
      <c r="BE177" s="611"/>
    </row>
    <row r="178" spans="2:57" ht="15.75" hidden="1" x14ac:dyDescent="0.25">
      <c r="B178" s="611"/>
      <c r="C178" s="611"/>
      <c r="D178" s="611"/>
      <c r="E178" s="611"/>
      <c r="M178" s="939"/>
      <c r="N178" s="939" t="s">
        <v>828</v>
      </c>
      <c r="O178" s="939"/>
      <c r="P178" s="950">
        <f>ROUND((P177/D16/D27),1)</f>
        <v>24.6</v>
      </c>
      <c r="Q178" s="939"/>
      <c r="R178" s="358" t="s">
        <v>265</v>
      </c>
      <c r="S178" s="871">
        <f>IF(C62=S175,1,IF(C62=S176,2,3))</f>
        <v>1</v>
      </c>
      <c r="T178" s="939"/>
      <c r="U178" s="939"/>
      <c r="V178" s="939"/>
      <c r="W178" s="939"/>
      <c r="AB178" s="939"/>
      <c r="AC178" s="939"/>
      <c r="AD178" s="939"/>
      <c r="AE178" s="939"/>
      <c r="AP178" s="1141" t="s">
        <v>1367</v>
      </c>
      <c r="AQ178" s="611"/>
      <c r="AR178" s="1143">
        <f>(IF(AG183=3,(AH174/24*AH175/365*IF(Z176=2,0.8,1)),0))</f>
        <v>0</v>
      </c>
      <c r="AT178" s="1144" t="s">
        <v>1421</v>
      </c>
      <c r="AU178" s="943">
        <f>AU171</f>
        <v>0</v>
      </c>
      <c r="AV178" s="611"/>
      <c r="AW178" s="611" t="s">
        <v>265</v>
      </c>
      <c r="AX178" s="611" t="str">
        <f>VLOOKUP($D$13,$AX$171:$BC$177,1,FALSE)</f>
        <v>Victoria</v>
      </c>
      <c r="AY178" s="611">
        <f>VLOOKUP($D$13,$AX$171:$BC$177,2,FALSE)</f>
        <v>74</v>
      </c>
      <c r="AZ178" s="611">
        <f>VLOOKUP($D$13,$AX$171:$BC$177,3,FALSE)</f>
        <v>0.5</v>
      </c>
      <c r="BA178" s="611">
        <f>VLOOKUP($D$13,$AX$171:$BC$177,4,FALSE)</f>
        <v>17</v>
      </c>
      <c r="BB178" s="611">
        <f>VLOOKUP($D$13,$AX$171:$BC$177,5,FALSE)</f>
        <v>2</v>
      </c>
      <c r="BC178" s="611">
        <f>VLOOKUP($D$13,$AX$171:$BC$177,6,FALSE)</f>
        <v>1</v>
      </c>
      <c r="BD178" s="611"/>
      <c r="BE178" s="611"/>
    </row>
    <row r="179" spans="2:57" ht="15.75" hidden="1" x14ac:dyDescent="0.25">
      <c r="B179" s="611" t="s">
        <v>1020</v>
      </c>
      <c r="C179" s="944" t="str">
        <f>D13</f>
        <v>Victoria</v>
      </c>
      <c r="D179" s="939" t="s">
        <v>1021</v>
      </c>
      <c r="E179" s="611" t="str">
        <f>H13</f>
        <v>Western Victoria</v>
      </c>
      <c r="M179" s="939"/>
      <c r="N179" s="939" t="s">
        <v>826</v>
      </c>
      <c r="O179" s="939"/>
      <c r="P179" s="950">
        <f>(P176/D16/D27)</f>
        <v>23.008340523439745</v>
      </c>
      <c r="Q179" s="939"/>
      <c r="R179" s="939"/>
      <c r="S179" s="939"/>
      <c r="T179" s="939"/>
      <c r="U179" s="939"/>
      <c r="V179" s="939"/>
      <c r="W179" s="939"/>
      <c r="AE179" s="939"/>
      <c r="AF179" s="939">
        <v>1</v>
      </c>
      <c r="AG179" s="1133" t="s">
        <v>1415</v>
      </c>
      <c r="AH179" s="939"/>
      <c r="AI179" s="939"/>
      <c r="AJ179" s="611" t="s">
        <v>972</v>
      </c>
      <c r="AK179" s="611">
        <v>1</v>
      </c>
      <c r="AL179" s="1137" t="s">
        <v>1415</v>
      </c>
      <c r="AP179" s="1141" t="s">
        <v>989</v>
      </c>
      <c r="AQ179" s="611"/>
      <c r="AR179" s="1143">
        <f>(IF(AG183=3,(AH174/24*AH175/365*IF(Z176=2,0.2,0)),0))</f>
        <v>0</v>
      </c>
      <c r="AT179" s="1145" t="s">
        <v>995</v>
      </c>
      <c r="AU179" s="1155">
        <f>AU174</f>
        <v>0</v>
      </c>
      <c r="AV179" s="611"/>
      <c r="AW179" s="611"/>
      <c r="AX179" s="611"/>
      <c r="AY179" s="611"/>
      <c r="AZ179" s="611"/>
      <c r="BA179" s="611"/>
      <c r="BB179" s="611"/>
      <c r="BC179" s="611"/>
      <c r="BD179" s="611"/>
      <c r="BE179" s="611"/>
    </row>
    <row r="180" spans="2:57" ht="15.75" hidden="1" x14ac:dyDescent="0.25">
      <c r="M180" s="939"/>
      <c r="N180" s="939"/>
      <c r="O180" s="939"/>
      <c r="P180" s="939"/>
      <c r="Q180" s="939"/>
      <c r="R180" s="939" t="s">
        <v>821</v>
      </c>
      <c r="S180" s="939" t="s">
        <v>1112</v>
      </c>
      <c r="T180" s="939"/>
      <c r="U180" s="939"/>
      <c r="V180" s="939"/>
      <c r="W180" s="939"/>
      <c r="AE180" s="939"/>
      <c r="AF180" s="939">
        <v>2</v>
      </c>
      <c r="AG180" s="1133" t="s">
        <v>1030</v>
      </c>
      <c r="AH180" s="939"/>
      <c r="AI180" s="939"/>
      <c r="AJ180" s="611"/>
      <c r="AK180" s="611">
        <v>2</v>
      </c>
      <c r="AL180" s="1137" t="s">
        <v>1030</v>
      </c>
      <c r="AP180" s="1142" t="s">
        <v>1497</v>
      </c>
      <c r="AQ180" s="611"/>
      <c r="AR180" s="1143">
        <f>IF(AG183=4,(AH174/24*AH175/365),0)</f>
        <v>0</v>
      </c>
      <c r="AT180" s="1145" t="s">
        <v>1424</v>
      </c>
      <c r="AU180" s="1155">
        <f>AU172</f>
        <v>0</v>
      </c>
      <c r="AV180" s="611"/>
      <c r="AW180" s="611" t="s">
        <v>1000</v>
      </c>
      <c r="AX180" s="611"/>
      <c r="AY180" s="953">
        <f>AY178*AR183</f>
        <v>6.0821917808219172</v>
      </c>
      <c r="AZ180" s="953">
        <f>AZ178*AR184</f>
        <v>0</v>
      </c>
      <c r="BA180" s="953">
        <f>BA178*AR182</f>
        <v>0</v>
      </c>
      <c r="BB180" s="953">
        <f>BB178*AR181</f>
        <v>4.1095890410958902E-2</v>
      </c>
      <c r="BC180" s="953">
        <f>BC178*AR169</f>
        <v>0.89726027397260277</v>
      </c>
    </row>
    <row r="181" spans="2:57" ht="15.75" hidden="1" x14ac:dyDescent="0.25">
      <c r="M181" s="939"/>
      <c r="N181" s="939" t="s">
        <v>906</v>
      </c>
      <c r="O181" s="939"/>
      <c r="P181" s="950">
        <f>((D29*F29)+(D30*F30)+(D31*F31)+(D32*F32)+(D33*F33)+(D34*F34))/D35</f>
        <v>75.833333333333329</v>
      </c>
      <c r="Q181" s="939"/>
      <c r="R181" s="939"/>
      <c r="S181" s="939" t="s">
        <v>1113</v>
      </c>
      <c r="T181" s="939"/>
      <c r="U181" s="939"/>
      <c r="V181" s="939"/>
      <c r="W181" s="939"/>
      <c r="AE181" s="939"/>
      <c r="AF181" s="939">
        <v>3</v>
      </c>
      <c r="AG181" s="1132" t="s">
        <v>1416</v>
      </c>
      <c r="AH181" s="939"/>
      <c r="AI181" s="939"/>
      <c r="AJ181" s="611"/>
      <c r="AK181" s="611">
        <v>3</v>
      </c>
      <c r="AL181" s="1136" t="s">
        <v>1416</v>
      </c>
      <c r="AP181" s="1142" t="s">
        <v>984</v>
      </c>
      <c r="AQ181" s="611"/>
      <c r="AR181" s="1143">
        <f>AR172+AR174+AR177+AR179+AR180</f>
        <v>2.0547945205479451E-2</v>
      </c>
      <c r="AW181" s="611" t="s">
        <v>994</v>
      </c>
      <c r="AX181" s="611"/>
      <c r="AY181" s="953"/>
      <c r="AZ181" s="953"/>
      <c r="BA181" s="953"/>
      <c r="BB181" s="953"/>
      <c r="BC181" s="953">
        <f>SUM(AY180:BC180)</f>
        <v>7.0205479452054789</v>
      </c>
    </row>
    <row r="182" spans="2:57" ht="15.75" hidden="1" x14ac:dyDescent="0.25">
      <c r="M182" s="939"/>
      <c r="N182" s="939" t="s">
        <v>907</v>
      </c>
      <c r="O182" s="939"/>
      <c r="P182" s="950">
        <f>((D29*H29)+(D30*H30)+(D31*H31)+(D32*H32)+(D33*H33)+(D34*H34))/D35</f>
        <v>17.166666666666668</v>
      </c>
      <c r="Q182" s="939"/>
      <c r="R182" s="939" t="s">
        <v>265</v>
      </c>
      <c r="S182" s="948" t="str">
        <f>IF(D23=S180,"1","2")</f>
        <v>2</v>
      </c>
      <c r="T182" s="939"/>
      <c r="U182" s="939"/>
      <c r="V182" s="939"/>
      <c r="W182" s="939"/>
      <c r="AE182" s="939"/>
      <c r="AF182" s="939">
        <v>4</v>
      </c>
      <c r="AG182" s="1132" t="s">
        <v>1414</v>
      </c>
      <c r="AH182" s="939"/>
      <c r="AI182" s="939"/>
      <c r="AJ182" s="611"/>
      <c r="AK182" s="611">
        <v>4</v>
      </c>
      <c r="AL182" s="1136" t="s">
        <v>1414</v>
      </c>
      <c r="AP182" s="1142" t="s">
        <v>1421</v>
      </c>
      <c r="AQ182" s="611"/>
      <c r="AR182" s="1143">
        <f>AR170+AR175</f>
        <v>0</v>
      </c>
      <c r="AW182" s="611"/>
      <c r="AX182" s="611"/>
      <c r="AY182" s="611"/>
      <c r="AZ182" s="611"/>
      <c r="BA182" s="611"/>
      <c r="BB182" s="611"/>
      <c r="BC182" s="611"/>
    </row>
    <row r="183" spans="2:57" ht="15.75" hidden="1" x14ac:dyDescent="0.25">
      <c r="M183" s="939"/>
      <c r="N183" s="939" t="s">
        <v>1373</v>
      </c>
      <c r="O183" s="939"/>
      <c r="P183" s="950">
        <f>ROUND((1.185+(0.00454*D18)-(0.0000026*(D18)^2)+((0.315*0)))^2*1.1+((H27*D27/365)*3.054/0.6/(0.00795*P181-0.0014)/18.4),1)</f>
        <v>18.100000000000001</v>
      </c>
      <c r="Q183" s="939"/>
      <c r="R183" s="939"/>
      <c r="S183" s="939"/>
      <c r="T183" s="939"/>
      <c r="U183" s="939"/>
      <c r="V183" s="939"/>
      <c r="W183" s="939"/>
      <c r="X183" s="939"/>
      <c r="Y183" s="939"/>
      <c r="Z183" s="939"/>
      <c r="AA183" s="939"/>
      <c r="AE183" s="939"/>
      <c r="AF183" s="611" t="s">
        <v>265</v>
      </c>
      <c r="AG183" s="611">
        <f>IF(F90=AG179,1,IF(F90=AG180,2,IF(F90=AG181,3,4)))</f>
        <v>4</v>
      </c>
      <c r="AH183" s="939"/>
      <c r="AI183" s="939"/>
      <c r="AJ183" s="611"/>
      <c r="AK183" s="611" t="s">
        <v>265</v>
      </c>
      <c r="AL183" s="611">
        <f>IF(F95=AL179,1,IF(F95=AL180,2,IF(F95=AL181,3,4)))</f>
        <v>1</v>
      </c>
      <c r="AP183" s="1141" t="s">
        <v>995</v>
      </c>
      <c r="AQ183" s="611"/>
      <c r="AR183" s="1143">
        <f>AR173+AR178</f>
        <v>8.2191780821917804E-2</v>
      </c>
      <c r="AW183" s="611" t="s">
        <v>1001</v>
      </c>
      <c r="AX183" s="611"/>
      <c r="AY183" s="611">
        <f>AY178*AU179</f>
        <v>0</v>
      </c>
      <c r="AZ183" s="611">
        <f>AZ178*AU180</f>
        <v>0</v>
      </c>
      <c r="BA183" s="611">
        <f>BA178*AU178</f>
        <v>0</v>
      </c>
      <c r="BB183" s="611">
        <f>BB178*AU177</f>
        <v>0</v>
      </c>
      <c r="BC183" s="611">
        <f>BC178*AU170</f>
        <v>1</v>
      </c>
    </row>
    <row r="184" spans="2:57" ht="15.75" hidden="1" x14ac:dyDescent="0.25">
      <c r="M184" s="939"/>
      <c r="N184" s="939"/>
      <c r="O184" s="939"/>
      <c r="P184" s="939"/>
      <c r="Q184" s="939"/>
      <c r="R184" s="939"/>
      <c r="S184" s="939"/>
      <c r="T184" s="939"/>
      <c r="U184" s="939"/>
      <c r="V184" s="939"/>
      <c r="W184" s="939"/>
      <c r="X184" s="939"/>
      <c r="Y184" s="939"/>
      <c r="Z184" s="939"/>
      <c r="AA184" s="939"/>
      <c r="AB184" s="939"/>
      <c r="AC184" s="939"/>
      <c r="AD184" s="939"/>
      <c r="AE184" s="939"/>
      <c r="AP184" s="1141" t="s">
        <v>1424</v>
      </c>
      <c r="AQ184" s="611"/>
      <c r="AR184" s="1143">
        <f>AR171+AR176</f>
        <v>0</v>
      </c>
      <c r="AW184" s="611" t="s">
        <v>994</v>
      </c>
      <c r="AX184" s="611"/>
      <c r="AY184" s="611"/>
      <c r="AZ184" s="611"/>
      <c r="BA184" s="611"/>
      <c r="BB184" s="611"/>
      <c r="BC184" s="953">
        <f>SUM(AY183:BC183)</f>
        <v>1</v>
      </c>
    </row>
    <row r="185" spans="2:57" ht="18.75" hidden="1" x14ac:dyDescent="0.3">
      <c r="B185" s="954" t="s">
        <v>679</v>
      </c>
      <c r="D185" s="939"/>
      <c r="E185" s="939"/>
      <c r="M185" s="939"/>
      <c r="N185" s="1317" t="s">
        <v>1026</v>
      </c>
      <c r="O185" s="1317"/>
      <c r="P185" s="555">
        <f>J114*1000</f>
        <v>3254016.4498284264</v>
      </c>
      <c r="Q185" s="939"/>
      <c r="R185" s="939"/>
      <c r="S185" s="939"/>
      <c r="T185" s="939"/>
      <c r="U185" s="939"/>
      <c r="V185" s="939"/>
      <c r="W185" s="939"/>
      <c r="X185" s="939"/>
      <c r="Y185" s="939"/>
      <c r="Z185" s="939"/>
      <c r="AA185" s="939"/>
      <c r="AB185" s="939"/>
      <c r="AC185" s="939"/>
      <c r="AD185" s="939"/>
      <c r="AM185" s="611"/>
      <c r="AR185" s="1044"/>
    </row>
    <row r="186" spans="2:57" ht="15.75" hidden="1" x14ac:dyDescent="0.25">
      <c r="M186" s="939"/>
      <c r="N186" s="1317" t="s">
        <v>1027</v>
      </c>
      <c r="O186" s="1317"/>
      <c r="P186" s="630">
        <f>P185/P177</f>
        <v>0.96504714116945434</v>
      </c>
      <c r="Q186" s="939"/>
      <c r="R186" s="939"/>
      <c r="S186" s="939"/>
      <c r="T186" s="939"/>
      <c r="U186" s="939"/>
      <c r="V186" s="939"/>
      <c r="W186" s="939"/>
      <c r="X186" s="939"/>
      <c r="Y186" s="939"/>
      <c r="Z186" s="939"/>
      <c r="AA186" s="939"/>
      <c r="AB186" s="939"/>
      <c r="AC186" s="939"/>
      <c r="AD186" s="939"/>
      <c r="AE186" s="939"/>
      <c r="AF186" s="939"/>
      <c r="AG186" s="932" t="s">
        <v>262</v>
      </c>
      <c r="AH186" s="932"/>
      <c r="AI186" s="1147" t="s">
        <v>264</v>
      </c>
      <c r="AJ186" s="1147" t="s">
        <v>262</v>
      </c>
      <c r="AK186" s="1148" t="s">
        <v>1410</v>
      </c>
      <c r="AL186" s="1148" t="s">
        <v>1409</v>
      </c>
      <c r="AM186" s="1148"/>
      <c r="AN186" s="1148" t="s">
        <v>263</v>
      </c>
      <c r="AO186" s="1148"/>
      <c r="AP186" s="1148" t="s">
        <v>994</v>
      </c>
      <c r="AR186" s="1044"/>
    </row>
    <row r="187" spans="2:57" ht="15.75" hidden="1" x14ac:dyDescent="0.25">
      <c r="B187" s="378" t="s">
        <v>0</v>
      </c>
      <c r="C187" s="378" t="s">
        <v>253</v>
      </c>
      <c r="D187" s="379" t="str">
        <f>D15</f>
        <v>Milking Cows</v>
      </c>
      <c r="E187" s="379" t="str">
        <f>E15</f>
        <v xml:space="preserve">Heifers &gt;1 </v>
      </c>
      <c r="F187" s="379" t="str">
        <f>F15</f>
        <v xml:space="preserve">Heifers &lt;1 </v>
      </c>
      <c r="G187" s="379" t="str">
        <f>G15</f>
        <v>Mature bulls</v>
      </c>
      <c r="H187" s="379" t="str">
        <f>H15</f>
        <v>Immature bulls</v>
      </c>
      <c r="I187" s="1108" t="s">
        <v>1400</v>
      </c>
      <c r="J187" s="1108" t="s">
        <v>1401</v>
      </c>
      <c r="K187" s="379">
        <f>I15</f>
        <v>0</v>
      </c>
      <c r="L187" s="380" t="s">
        <v>267</v>
      </c>
      <c r="N187" s="1317" t="s">
        <v>1028</v>
      </c>
      <c r="O187" s="1317"/>
      <c r="P187" s="1501">
        <f>P185/P175</f>
        <v>13.55840187428511</v>
      </c>
      <c r="Q187" s="939"/>
      <c r="R187" s="950"/>
      <c r="AG187" s="939">
        <v>1</v>
      </c>
      <c r="AH187" s="945" t="s">
        <v>1008</v>
      </c>
      <c r="AI187" s="1485">
        <v>84.29</v>
      </c>
      <c r="AJ187" s="1485">
        <v>11.6</v>
      </c>
      <c r="AK187" s="1485">
        <v>1.1000000000000001</v>
      </c>
      <c r="AL187" s="1485">
        <v>0.55000000000000004</v>
      </c>
      <c r="AM187" s="1485"/>
      <c r="AN187" s="1485">
        <v>2.46</v>
      </c>
      <c r="AO187" s="1485"/>
      <c r="AP187" s="1367">
        <v>9.5751000000000008</v>
      </c>
    </row>
    <row r="188" spans="2:57" ht="15.75" hidden="1" x14ac:dyDescent="0.25">
      <c r="B188" s="381"/>
      <c r="C188" s="381"/>
      <c r="D188" s="381"/>
      <c r="E188" s="381"/>
      <c r="F188" s="381"/>
      <c r="G188" s="381"/>
      <c r="H188" s="381"/>
      <c r="I188" s="1109"/>
      <c r="J188" s="1109"/>
      <c r="K188" s="381"/>
      <c r="L188" s="382"/>
      <c r="AG188" s="939">
        <v>2</v>
      </c>
      <c r="AH188" s="945" t="s">
        <v>1015</v>
      </c>
      <c r="AI188" s="1367">
        <v>79.25</v>
      </c>
      <c r="AJ188" s="1367">
        <v>12.04</v>
      </c>
      <c r="AK188" s="1367">
        <v>2.42</v>
      </c>
      <c r="AL188" s="1367">
        <v>1.21</v>
      </c>
      <c r="AM188" s="1483"/>
      <c r="AN188" s="1367">
        <v>5.08</v>
      </c>
      <c r="AO188" s="1367"/>
      <c r="AP188" s="1367">
        <v>10.154</v>
      </c>
    </row>
    <row r="189" spans="2:57" ht="15.75" hidden="1" x14ac:dyDescent="0.25">
      <c r="B189" s="383" t="s">
        <v>268</v>
      </c>
      <c r="C189" s="381"/>
      <c r="D189" s="383" t="s">
        <v>909</v>
      </c>
      <c r="E189" s="383"/>
      <c r="F189" s="383"/>
      <c r="G189" s="383"/>
      <c r="H189" s="381"/>
      <c r="I189" s="1109"/>
      <c r="J189" s="1109"/>
      <c r="K189" s="381"/>
      <c r="L189" s="1105" t="s">
        <v>1403</v>
      </c>
      <c r="AG189" s="939">
        <v>3</v>
      </c>
      <c r="AH189" s="945" t="s">
        <v>960</v>
      </c>
      <c r="AI189" s="1485">
        <v>85.19</v>
      </c>
      <c r="AJ189" s="1485">
        <v>7.98</v>
      </c>
      <c r="AK189" s="1485">
        <v>3.41</v>
      </c>
      <c r="AL189" s="1485">
        <v>1.43</v>
      </c>
      <c r="AM189" s="1485"/>
      <c r="AN189" s="1485">
        <v>1.99</v>
      </c>
      <c r="AO189" s="1485"/>
      <c r="AP189" s="1367">
        <v>6.6955999999999998</v>
      </c>
    </row>
    <row r="190" spans="2:57" ht="15.75" hidden="1" x14ac:dyDescent="0.25">
      <c r="B190" s="381"/>
      <c r="C190" s="381" t="s">
        <v>472</v>
      </c>
      <c r="D190" s="616">
        <f>(1.185+(0.00454*D18)-(0.0000026*(D18)^2)+((0.315*D21)))^2*1.1+D194</f>
        <v>18.330078492504278</v>
      </c>
      <c r="E190" s="616">
        <f>(1.185+(0.00454*E18)-(0.0000026*(E18)^2)+((0.315*E20)))^2*1+E194</f>
        <v>7.8708302499999991</v>
      </c>
      <c r="F190" s="616">
        <f>(1.185+(0.00454*F18)-(0.0000026*(F18)^2)+((0.315*F20)))^2*1+F194</f>
        <v>4.8818902499999988</v>
      </c>
      <c r="G190" s="616">
        <f>(1.185+(0.00454*G18)-(0.0000026*(G18)^2)+((0.315*G20)))^2*1+G194</f>
        <v>9.7812562499999967</v>
      </c>
      <c r="H190" s="616">
        <f>(1.185+(0.00454*H18)-(0.0000026*(H18)^2)+((0.315*H20)))^2*1+H194</f>
        <v>5.7300390625000013</v>
      </c>
      <c r="I190" s="1111"/>
      <c r="J190" s="1111"/>
      <c r="K190" s="386" t="s">
        <v>269</v>
      </c>
      <c r="L190" s="382"/>
      <c r="AG190" s="939">
        <v>4</v>
      </c>
      <c r="AH190" s="945" t="s">
        <v>1010</v>
      </c>
      <c r="AI190" s="1485">
        <v>79.37</v>
      </c>
      <c r="AJ190" s="1485">
        <v>9.68</v>
      </c>
      <c r="AK190" s="1485">
        <v>2.64</v>
      </c>
      <c r="AL190" s="1485">
        <v>3.3</v>
      </c>
      <c r="AM190" s="1485"/>
      <c r="AN190" s="1485">
        <v>5.01</v>
      </c>
      <c r="AO190" s="1485"/>
      <c r="AP190" s="1367">
        <v>9.1526999999999994</v>
      </c>
    </row>
    <row r="191" spans="2:57" ht="15.75" hidden="1" x14ac:dyDescent="0.25">
      <c r="B191" s="381"/>
      <c r="C191" s="381"/>
      <c r="D191" s="385"/>
      <c r="E191" s="385"/>
      <c r="F191" s="385"/>
      <c r="G191" s="385"/>
      <c r="H191" s="385"/>
      <c r="I191" s="1111"/>
      <c r="J191" s="1111"/>
      <c r="K191" s="386"/>
      <c r="L191" s="382"/>
      <c r="AG191" s="944">
        <v>5</v>
      </c>
      <c r="AH191" s="945" t="s">
        <v>1016</v>
      </c>
      <c r="AI191" s="1485">
        <v>80.67</v>
      </c>
      <c r="AJ191" s="1485">
        <v>10.81</v>
      </c>
      <c r="AK191" s="1485">
        <v>3.52</v>
      </c>
      <c r="AL191" s="1485">
        <v>0.66</v>
      </c>
      <c r="AM191" s="1485"/>
      <c r="AN191" s="1485">
        <v>4.34</v>
      </c>
      <c r="AO191" s="1485"/>
      <c r="AP191" s="1367">
        <v>9.0227000000000004</v>
      </c>
    </row>
    <row r="192" spans="2:57" ht="15.75" hidden="1" x14ac:dyDescent="0.25">
      <c r="B192" s="383" t="s">
        <v>270</v>
      </c>
      <c r="C192" s="386"/>
      <c r="D192" s="383" t="s">
        <v>1493</v>
      </c>
      <c r="E192" s="383"/>
      <c r="F192" s="381"/>
      <c r="G192" s="381"/>
      <c r="H192" s="381"/>
      <c r="I192" s="1109"/>
      <c r="J192" s="1109"/>
      <c r="K192" s="381"/>
      <c r="L192" s="382"/>
      <c r="AG192" s="939">
        <v>6</v>
      </c>
      <c r="AH192" s="951" t="s">
        <v>1017</v>
      </c>
      <c r="AI192" s="1485">
        <v>81.86</v>
      </c>
      <c r="AJ192" s="1485">
        <v>10.35</v>
      </c>
      <c r="AK192" s="1485">
        <v>2.5299999999999998</v>
      </c>
      <c r="AL192" s="1485">
        <v>1.54</v>
      </c>
      <c r="AM192" s="1485"/>
      <c r="AN192" s="1485">
        <v>3.72</v>
      </c>
      <c r="AO192" s="1485"/>
      <c r="AP192" s="1367">
        <v>8.9453999999999994</v>
      </c>
    </row>
    <row r="193" spans="2:42" ht="15.75" hidden="1" x14ac:dyDescent="0.25">
      <c r="B193" s="381"/>
      <c r="C193" s="381"/>
      <c r="D193" s="383" t="s">
        <v>271</v>
      </c>
      <c r="E193" s="381"/>
      <c r="F193" s="381"/>
      <c r="G193" s="381"/>
      <c r="H193" s="381"/>
      <c r="I193" s="1109"/>
      <c r="J193" s="1109"/>
      <c r="K193" s="381"/>
      <c r="L193" s="1106" t="s">
        <v>1404</v>
      </c>
      <c r="AG193" s="939">
        <v>7</v>
      </c>
      <c r="AH193" s="945" t="s">
        <v>1018</v>
      </c>
      <c r="AI193" s="1485">
        <v>79.37</v>
      </c>
      <c r="AJ193" s="1485">
        <v>9.68</v>
      </c>
      <c r="AK193" s="1485">
        <v>2.64</v>
      </c>
      <c r="AL193" s="1485">
        <v>3.3</v>
      </c>
      <c r="AM193" s="1485"/>
      <c r="AN193" s="1485">
        <v>5.01</v>
      </c>
      <c r="AO193" s="1485"/>
      <c r="AP193" s="1367">
        <v>11.108000000000001</v>
      </c>
    </row>
    <row r="194" spans="2:42" ht="15.75" hidden="1" x14ac:dyDescent="0.25">
      <c r="B194" s="381"/>
      <c r="C194" s="381" t="s">
        <v>472</v>
      </c>
      <c r="D194" s="616">
        <f>(H27*1.03*D27/365)*3.054/0.6/((0.00795*F35)-0.0014)/18.4</f>
        <v>9.1077662175042775</v>
      </c>
      <c r="E194" s="385">
        <f>0*3.054/0.6/(0.00795*D37-0.0014)/18.4</f>
        <v>0</v>
      </c>
      <c r="F194" s="385">
        <f>0*3.054/0.6/(0.00795*D38-0.0014)/18.4</f>
        <v>0</v>
      </c>
      <c r="G194" s="385">
        <f>0*3.054/0.6/(0.00795*D37-0.0014)/18.4</f>
        <v>0</v>
      </c>
      <c r="H194" s="385">
        <f>0*3.054/0.6/(0.00795*D37-0.0014)/18.4</f>
        <v>0</v>
      </c>
      <c r="I194" s="1111"/>
      <c r="J194" s="1111"/>
      <c r="K194" s="386" t="s">
        <v>269</v>
      </c>
      <c r="L194" s="382"/>
      <c r="AJ194" s="932">
        <v>0</v>
      </c>
      <c r="AK194" s="932">
        <v>0</v>
      </c>
      <c r="AL194" s="932"/>
      <c r="AM194" s="932"/>
      <c r="AN194" s="932"/>
      <c r="AO194" s="932"/>
      <c r="AP194" s="932"/>
    </row>
    <row r="195" spans="2:42" ht="15.75" hidden="1" x14ac:dyDescent="0.25">
      <c r="B195" s="381"/>
      <c r="C195" s="381"/>
      <c r="D195" s="385"/>
      <c r="E195" s="385"/>
      <c r="F195" s="385"/>
      <c r="G195" s="385"/>
      <c r="H195" s="385"/>
      <c r="I195" s="1111"/>
      <c r="J195" s="1111"/>
      <c r="K195" s="386"/>
      <c r="L195" s="382"/>
      <c r="AG195" s="1151" t="s">
        <v>997</v>
      </c>
      <c r="AH195" s="1151" t="str">
        <f>C179</f>
        <v>Victoria</v>
      </c>
      <c r="AI195" s="1153">
        <f>VLOOKUP($D$13,$AH$187:$AP$193,2,FALSE)</f>
        <v>84.29</v>
      </c>
      <c r="AJ195" s="1153">
        <f>VLOOKUP($C$179,$AH$187:$AP$193,3,FALSE)</f>
        <v>11.6</v>
      </c>
      <c r="AK195" s="1153">
        <f>VLOOKUP($C$179,$AH$187:$AP$193,4,FALSE)</f>
        <v>1.1000000000000001</v>
      </c>
      <c r="AL195" s="1153">
        <f>VLOOKUP($C$179,$AH$187:$AP$193,5,FALSE)</f>
        <v>0.55000000000000004</v>
      </c>
      <c r="AM195" s="1153"/>
      <c r="AN195" s="1153">
        <f>VLOOKUP($C$179,$AH$187:$AP$193,7,FALSE)</f>
        <v>2.46</v>
      </c>
      <c r="AO195" s="1153"/>
      <c r="AP195" s="955">
        <f>VLOOKUP($C$179,$AH$187:$AP$193,9,FALSE)</f>
        <v>9.5751000000000008</v>
      </c>
    </row>
    <row r="196" spans="2:42" ht="15.75" hidden="1" x14ac:dyDescent="0.25">
      <c r="B196" s="1110" t="s">
        <v>273</v>
      </c>
      <c r="C196" s="386"/>
      <c r="D196" s="387" t="s">
        <v>1680</v>
      </c>
      <c r="E196" s="381"/>
      <c r="F196" s="381"/>
      <c r="G196" s="381"/>
      <c r="H196" s="381"/>
      <c r="I196" s="1109"/>
      <c r="J196" s="1109"/>
      <c r="K196" s="381"/>
      <c r="L196" s="1106" t="s">
        <v>1405</v>
      </c>
      <c r="AG196" s="1151" t="s">
        <v>999</v>
      </c>
      <c r="AH196" s="1151"/>
      <c r="AI196" s="1154">
        <f>AR169*100</f>
        <v>89.726027397260282</v>
      </c>
      <c r="AJ196" s="1154">
        <f>AR183*100</f>
        <v>8.2191780821917799</v>
      </c>
      <c r="AK196" s="1154">
        <f>AR184*100</f>
        <v>0</v>
      </c>
      <c r="AL196" s="1154">
        <f>AR182*100</f>
        <v>0</v>
      </c>
      <c r="AM196" s="1154"/>
      <c r="AN196" s="1154">
        <f>AR181*100</f>
        <v>2.054794520547945</v>
      </c>
      <c r="AO196" s="1153"/>
      <c r="AP196" s="955">
        <f>BC181</f>
        <v>7.0205479452054789</v>
      </c>
    </row>
    <row r="197" spans="2:42" ht="15.75" hidden="1" x14ac:dyDescent="0.25">
      <c r="B197" s="381"/>
      <c r="C197" s="381" t="s">
        <v>472</v>
      </c>
      <c r="D197" s="385">
        <f>20.7*D190/1000</f>
        <v>0.37943262479483852</v>
      </c>
      <c r="E197" s="1682">
        <f>20.7*E190/1000</f>
        <v>0.16292618617499996</v>
      </c>
      <c r="F197" s="1682">
        <f>20.7*F190/1000</f>
        <v>0.10105512817499997</v>
      </c>
      <c r="G197" s="1986">
        <f>20.7*G190/1000</f>
        <v>0.20247200437499993</v>
      </c>
      <c r="H197" s="1682">
        <f>20.7*H190/1000</f>
        <v>0.11861180859375002</v>
      </c>
      <c r="I197" s="1682">
        <v>1.8249999999999999E-2</v>
      </c>
      <c r="J197" s="1682">
        <v>2.0809999999999999E-2</v>
      </c>
      <c r="K197" s="386" t="s">
        <v>1494</v>
      </c>
      <c r="L197" s="382"/>
      <c r="AG197" s="1150" t="s">
        <v>998</v>
      </c>
      <c r="AH197" s="1149"/>
      <c r="AI197" s="1154">
        <f>IF($AC$171=1,AI195,AI196)</f>
        <v>89.726027397260282</v>
      </c>
      <c r="AJ197" s="1154">
        <f>IF($AC$171=1,AJ195,AJ196)</f>
        <v>8.2191780821917799</v>
      </c>
      <c r="AK197" s="1154">
        <f t="shared" ref="AJ197:AP197" si="4">IF($AC$171=1,AK195,AK196)</f>
        <v>0</v>
      </c>
      <c r="AL197" s="1987">
        <f t="shared" si="4"/>
        <v>0</v>
      </c>
      <c r="AM197" s="1154"/>
      <c r="AN197" s="1154">
        <f t="shared" si="4"/>
        <v>2.054794520547945</v>
      </c>
      <c r="AO197" s="1154"/>
      <c r="AP197" s="955">
        <f t="shared" si="4"/>
        <v>7.0205479452054789</v>
      </c>
    </row>
    <row r="198" spans="2:42" ht="15.75" hidden="1" x14ac:dyDescent="0.25">
      <c r="B198" s="381"/>
      <c r="C198" s="381"/>
      <c r="D198" s="385"/>
      <c r="E198" s="385"/>
      <c r="F198" s="385"/>
      <c r="G198" s="385"/>
      <c r="H198" s="385"/>
      <c r="I198" s="1111"/>
      <c r="J198" s="1111" t="s">
        <v>1495</v>
      </c>
      <c r="K198" s="386"/>
      <c r="L198" s="382"/>
      <c r="AG198" s="1151" t="s">
        <v>1427</v>
      </c>
      <c r="AH198" s="1149"/>
      <c r="AI198" s="1153">
        <v>100</v>
      </c>
      <c r="AJ198" s="1153">
        <v>0</v>
      </c>
      <c r="AK198" s="1153">
        <v>0</v>
      </c>
      <c r="AL198" s="1153">
        <v>0</v>
      </c>
      <c r="AM198" s="1153"/>
      <c r="AN198" s="1153">
        <v>0</v>
      </c>
      <c r="AO198" s="1153"/>
      <c r="AP198" s="955">
        <f>IF(OR(D13="Queensland",D13="Northern.Territory"),2,1)</f>
        <v>1</v>
      </c>
    </row>
    <row r="199" spans="2:42" ht="15.75" hidden="1" x14ac:dyDescent="0.25">
      <c r="B199" s="381"/>
      <c r="C199" s="381"/>
      <c r="D199" s="381"/>
      <c r="E199" s="381"/>
      <c r="F199" s="381"/>
      <c r="G199" s="381"/>
      <c r="H199" s="381"/>
      <c r="I199" s="1109"/>
      <c r="J199" s="1109"/>
      <c r="K199" s="381"/>
      <c r="L199" s="382"/>
      <c r="AG199" s="1150" t="s">
        <v>1002</v>
      </c>
      <c r="AH199" s="1149"/>
      <c r="AI199" s="1153">
        <f>AU170*100</f>
        <v>100</v>
      </c>
      <c r="AJ199" s="1153">
        <f>AU179*100</f>
        <v>0</v>
      </c>
      <c r="AK199" s="1153">
        <f>AU180*100</f>
        <v>0</v>
      </c>
      <c r="AL199" s="1153">
        <f>AU178*100</f>
        <v>0</v>
      </c>
      <c r="AM199" s="1153"/>
      <c r="AN199" s="1153">
        <f>AU177*100</f>
        <v>0</v>
      </c>
      <c r="AO199" s="1153"/>
      <c r="AP199" s="955">
        <f>BC184</f>
        <v>1</v>
      </c>
    </row>
    <row r="200" spans="2:42" ht="15.75" hidden="1" x14ac:dyDescent="0.25">
      <c r="B200" s="389" t="s">
        <v>275</v>
      </c>
      <c r="C200" s="381"/>
      <c r="D200" s="381"/>
      <c r="E200" s="381"/>
      <c r="F200" s="381"/>
      <c r="G200" s="381"/>
      <c r="H200" s="381"/>
      <c r="I200" s="1109"/>
      <c r="J200" s="1109"/>
      <c r="K200" s="381"/>
      <c r="L200" s="382"/>
      <c r="AG200" s="1151" t="s">
        <v>1003</v>
      </c>
      <c r="AH200" s="1149"/>
      <c r="AI200" s="1154">
        <f>IF($AC$171=1,AI198,AI199)</f>
        <v>100</v>
      </c>
      <c r="AJ200" s="1154">
        <f>IF($AC$171=1,AJ198,AJ199)</f>
        <v>0</v>
      </c>
      <c r="AK200" s="1154">
        <f>IF($AC$171=1,AK198,AK199)</f>
        <v>0</v>
      </c>
      <c r="AL200" s="1154">
        <f>IF($AC$171=1,AL198,AL199)</f>
        <v>0</v>
      </c>
      <c r="AM200" s="1153"/>
      <c r="AN200" s="1154">
        <f>IF($AC$171=1,AN198,AN199)</f>
        <v>0</v>
      </c>
      <c r="AO200" s="1153"/>
      <c r="AP200" s="955">
        <f>IF($AC$171=1,AP198,AP199)</f>
        <v>1</v>
      </c>
    </row>
    <row r="201" spans="2:42" ht="15.75" hidden="1" x14ac:dyDescent="0.25">
      <c r="B201" s="381"/>
      <c r="C201" s="381"/>
      <c r="D201" s="1124" t="s">
        <v>1429</v>
      </c>
      <c r="E201" s="381"/>
      <c r="F201" s="381"/>
      <c r="G201" s="381"/>
      <c r="H201" s="381"/>
      <c r="I201" s="1109"/>
      <c r="J201" s="1109"/>
      <c r="K201" s="381"/>
      <c r="L201" s="384" t="s">
        <v>276</v>
      </c>
    </row>
    <row r="202" spans="2:42" ht="15.75" hidden="1" x14ac:dyDescent="0.25">
      <c r="B202" s="381"/>
      <c r="C202" s="381"/>
      <c r="D202" s="381"/>
      <c r="E202" s="381"/>
      <c r="F202" s="381"/>
      <c r="G202" s="381"/>
      <c r="H202" s="381"/>
      <c r="I202" s="1109"/>
      <c r="J202" s="1109"/>
      <c r="K202" s="381"/>
      <c r="L202" s="382"/>
    </row>
    <row r="203" spans="2:42" ht="15.75" hidden="1" x14ac:dyDescent="0.25">
      <c r="B203" s="381"/>
      <c r="C203" s="381" t="s">
        <v>472</v>
      </c>
      <c r="D203" s="1985">
        <f>(365*D16*D197)*10^-6</f>
        <v>6.2321808622552224E-2</v>
      </c>
      <c r="E203" s="1985">
        <f>(365*E16*E197)*10^-6</f>
        <v>6.8388266646956233E-3</v>
      </c>
      <c r="F203" s="1985">
        <f>(281*F16*F197)*10^-6</f>
        <v>3.2655964669751235E-3</v>
      </c>
      <c r="G203" s="1985">
        <f>(365*G16*G197)*10^-6</f>
        <v>8.8682737916249965E-4</v>
      </c>
      <c r="H203" s="1985">
        <f>(281*H16*H197)*10^-6</f>
        <v>1.3331967285937503E-4</v>
      </c>
      <c r="I203" s="1985">
        <f>(84*F16*I197)*10^-6</f>
        <v>1.7629499999999998E-4</v>
      </c>
      <c r="J203" s="1985">
        <f>(84*H16*J197)*10^-6</f>
        <v>6.9921599999999986E-6</v>
      </c>
      <c r="K203" s="381" t="s">
        <v>473</v>
      </c>
      <c r="L203" s="382"/>
    </row>
    <row r="204" spans="2:42" ht="15.75" hidden="1" x14ac:dyDescent="0.25">
      <c r="B204" s="381"/>
      <c r="C204" s="381"/>
      <c r="D204" s="381"/>
      <c r="E204" s="381"/>
      <c r="F204" s="381"/>
      <c r="G204" s="381"/>
      <c r="H204" s="381"/>
      <c r="I204" s="1109"/>
      <c r="J204" s="1109"/>
      <c r="K204" s="381"/>
      <c r="L204" s="382"/>
    </row>
    <row r="205" spans="2:42" ht="15.75" hidden="1" x14ac:dyDescent="0.25">
      <c r="B205" s="389" t="s">
        <v>277</v>
      </c>
      <c r="C205" s="391">
        <f>SUM(D203:J203)</f>
        <v>7.3629665966244845E-2</v>
      </c>
      <c r="D205" s="392"/>
      <c r="E205" s="392"/>
      <c r="F205" s="392"/>
      <c r="G205" s="392"/>
      <c r="H205" s="392"/>
      <c r="I205" s="1112"/>
      <c r="J205" s="1112"/>
      <c r="K205" s="393" t="s">
        <v>278</v>
      </c>
      <c r="L205" s="382"/>
    </row>
    <row r="206" spans="2:42" ht="15.75" hidden="1" x14ac:dyDescent="0.25">
      <c r="B206" s="389" t="s">
        <v>279</v>
      </c>
      <c r="C206" s="391">
        <f>C205*25</f>
        <v>1.840741649156121</v>
      </c>
      <c r="D206" s="392"/>
      <c r="E206" s="392"/>
      <c r="F206" s="392"/>
      <c r="G206" s="392"/>
      <c r="H206" s="392"/>
      <c r="I206" s="1112"/>
      <c r="J206" s="1112"/>
      <c r="K206" s="393" t="s">
        <v>280</v>
      </c>
      <c r="L206" s="382"/>
    </row>
    <row r="207" spans="2:42" ht="15.75" hidden="1" x14ac:dyDescent="0.25">
      <c r="B207" s="394" t="s">
        <v>279</v>
      </c>
      <c r="C207" s="395">
        <f>C206*10^3</f>
        <v>1840.741649156121</v>
      </c>
      <c r="D207" s="396"/>
      <c r="E207" s="396"/>
      <c r="F207" s="396"/>
      <c r="G207" s="396"/>
      <c r="H207" s="396"/>
      <c r="I207" s="1104"/>
      <c r="J207" s="1104"/>
      <c r="K207" s="397" t="s">
        <v>281</v>
      </c>
      <c r="L207" s="398"/>
    </row>
    <row r="208" spans="2:42" hidden="1" x14ac:dyDescent="0.25">
      <c r="I208" s="1107"/>
      <c r="J208" s="1107"/>
    </row>
    <row r="209" spans="2:12" ht="15.75" hidden="1" x14ac:dyDescent="0.25">
      <c r="B209" s="399" t="s">
        <v>459</v>
      </c>
      <c r="C209" s="399"/>
      <c r="D209" s="400" t="str">
        <f>D15</f>
        <v>Milking Cows</v>
      </c>
      <c r="E209" s="400" t="str">
        <f>E15</f>
        <v xml:space="preserve">Heifers &gt;1 </v>
      </c>
      <c r="F209" s="400" t="str">
        <f>F15</f>
        <v xml:space="preserve">Heifers &lt;1 </v>
      </c>
      <c r="G209" s="400" t="str">
        <f>G15</f>
        <v>Mature bulls</v>
      </c>
      <c r="H209" s="400" t="str">
        <f>H15</f>
        <v>Immature bulls</v>
      </c>
      <c r="I209" s="1113" t="s">
        <v>1400</v>
      </c>
      <c r="J209" s="1113" t="s">
        <v>1401</v>
      </c>
      <c r="K209" s="400">
        <f>I15</f>
        <v>0</v>
      </c>
      <c r="L209" s="401" t="s">
        <v>267</v>
      </c>
    </row>
    <row r="210" spans="2:12" ht="15.75" hidden="1" x14ac:dyDescent="0.25">
      <c r="B210" s="402" t="s">
        <v>283</v>
      </c>
      <c r="C210" s="403">
        <v>0.08</v>
      </c>
      <c r="D210" s="404"/>
      <c r="E210" s="403"/>
      <c r="F210" s="403"/>
      <c r="G210" s="403"/>
      <c r="H210" s="403"/>
      <c r="I210" s="1114"/>
      <c r="J210" s="1114"/>
      <c r="K210" s="403" t="s">
        <v>284</v>
      </c>
      <c r="L210" s="405"/>
    </row>
    <row r="211" spans="2:12" ht="15.75" hidden="1" x14ac:dyDescent="0.25">
      <c r="B211" s="402" t="s">
        <v>285</v>
      </c>
      <c r="C211" s="403">
        <v>0.24</v>
      </c>
      <c r="D211" s="404"/>
      <c r="E211" s="403"/>
      <c r="F211" s="403"/>
      <c r="G211" s="403"/>
      <c r="H211" s="403"/>
      <c r="I211" s="1114"/>
      <c r="J211" s="1114"/>
      <c r="K211" s="403" t="s">
        <v>286</v>
      </c>
      <c r="L211" s="405"/>
    </row>
    <row r="212" spans="2:12" ht="15.75" hidden="1" x14ac:dyDescent="0.25">
      <c r="B212" s="406" t="s">
        <v>287</v>
      </c>
      <c r="C212" s="407">
        <v>0.6784</v>
      </c>
      <c r="D212" s="408"/>
      <c r="E212" s="407"/>
      <c r="F212" s="407"/>
      <c r="G212" s="407"/>
      <c r="H212" s="407"/>
      <c r="I212" s="1100"/>
      <c r="J212" s="1100"/>
      <c r="K212" s="407" t="s">
        <v>288</v>
      </c>
      <c r="L212" s="409"/>
    </row>
    <row r="213" spans="2:12" ht="15.75" hidden="1" x14ac:dyDescent="0.25">
      <c r="B213" s="404"/>
      <c r="C213" s="410"/>
      <c r="D213" s="404"/>
      <c r="E213" s="404"/>
      <c r="F213" s="404"/>
      <c r="G213" s="404"/>
      <c r="H213" s="404"/>
      <c r="I213" s="1115"/>
      <c r="J213" s="1115"/>
      <c r="K213" s="404"/>
      <c r="L213" s="405"/>
    </row>
    <row r="214" spans="2:12" ht="15.75" hidden="1" x14ac:dyDescent="0.25">
      <c r="B214" s="402" t="s">
        <v>289</v>
      </c>
      <c r="C214" s="402" t="s">
        <v>1520</v>
      </c>
      <c r="D214" s="403"/>
      <c r="E214" s="404"/>
      <c r="F214" s="404"/>
      <c r="G214" s="404"/>
      <c r="H214" s="404"/>
      <c r="I214" s="1115"/>
      <c r="J214" s="1115"/>
      <c r="K214" s="404"/>
      <c r="L214" s="411" t="s">
        <v>291</v>
      </c>
    </row>
    <row r="215" spans="2:12" ht="15.75" hidden="1" x14ac:dyDescent="0.25">
      <c r="B215" s="404"/>
      <c r="C215" s="404" t="s">
        <v>472</v>
      </c>
      <c r="D215" s="412">
        <f>(D190*(1-(F35/100))+(0.04*D190))*(1-$C$210)</f>
        <v>4.7499343400242759</v>
      </c>
      <c r="E215" s="412">
        <f>(E190*(1-($D$37/100))+(0.04*E190))*(1-$C$210)</f>
        <v>2.0999375107000002</v>
      </c>
      <c r="F215" s="1373">
        <f>(F190*(1-($D$37/100))+(0.04*F190))*(1-$C$210)</f>
        <v>1.3024883186999998</v>
      </c>
      <c r="G215" s="1373">
        <f>(G190*(1-($D$37/100))+(0.04*G190))*(1-$C$210)</f>
        <v>2.6096391674999992</v>
      </c>
      <c r="H215" s="1373">
        <f>(H190*(1-($D$37/100))+(0.04*H190))*(1-$C$210)</f>
        <v>1.5287744218750006</v>
      </c>
      <c r="I215" s="1116">
        <v>0.26850000000000002</v>
      </c>
      <c r="J215" s="1116">
        <v>0.30030000000000001</v>
      </c>
      <c r="K215" s="403" t="s">
        <v>292</v>
      </c>
      <c r="L215" s="405"/>
    </row>
    <row r="216" spans="2:12" ht="15.75" hidden="1" x14ac:dyDescent="0.25">
      <c r="B216" s="404"/>
      <c r="C216" s="404"/>
      <c r="D216" s="404"/>
      <c r="E216" s="404"/>
      <c r="F216" s="404"/>
      <c r="G216" s="404"/>
      <c r="H216" s="404"/>
      <c r="I216" s="1115"/>
      <c r="J216" s="1115"/>
      <c r="K216" s="404"/>
      <c r="L216" s="405"/>
    </row>
    <row r="217" spans="2:12" ht="15.75" hidden="1" x14ac:dyDescent="0.25">
      <c r="B217" s="402" t="s">
        <v>293</v>
      </c>
      <c r="C217" s="402" t="s">
        <v>294</v>
      </c>
      <c r="D217" s="403"/>
      <c r="E217" s="403"/>
      <c r="F217" s="413"/>
      <c r="G217" s="413"/>
      <c r="H217" s="404"/>
      <c r="I217" s="1115"/>
      <c r="J217" s="1115"/>
      <c r="K217" s="413"/>
      <c r="L217" s="411" t="s">
        <v>295</v>
      </c>
    </row>
    <row r="218" spans="2:12" ht="15.75" hidden="1" x14ac:dyDescent="0.25">
      <c r="B218" s="404"/>
      <c r="C218" s="403" t="s">
        <v>296</v>
      </c>
      <c r="D218" s="404"/>
      <c r="E218" s="404"/>
      <c r="F218" s="404"/>
      <c r="G218" s="404"/>
      <c r="H218" s="404"/>
      <c r="I218" s="1115"/>
      <c r="J218" s="1115"/>
      <c r="K218" s="404"/>
      <c r="L218" s="405"/>
    </row>
    <row r="219" spans="2:12" ht="15.75" hidden="1" x14ac:dyDescent="0.25">
      <c r="B219" s="404"/>
      <c r="C219" s="403"/>
      <c r="D219" s="403"/>
      <c r="E219" s="413"/>
      <c r="F219" s="413"/>
      <c r="G219" s="413"/>
      <c r="H219" s="413"/>
      <c r="I219" s="1117"/>
      <c r="J219" s="1117"/>
      <c r="K219" s="404"/>
      <c r="L219" s="405"/>
    </row>
    <row r="220" spans="2:12" ht="15.75" hidden="1" x14ac:dyDescent="0.25">
      <c r="B220" s="404"/>
      <c r="C220" s="404"/>
      <c r="D220" s="404"/>
      <c r="E220" s="404"/>
      <c r="F220" s="404"/>
      <c r="G220" s="404"/>
      <c r="H220" s="404"/>
      <c r="I220" s="1115"/>
      <c r="J220" s="1115"/>
      <c r="K220" s="404"/>
      <c r="L220" s="415"/>
    </row>
    <row r="221" spans="2:12" ht="15.75" hidden="1" x14ac:dyDescent="0.25">
      <c r="B221" s="404"/>
      <c r="C221" s="402" t="s">
        <v>896</v>
      </c>
      <c r="D221" s="404"/>
      <c r="E221" s="404"/>
      <c r="F221" s="404"/>
      <c r="G221" s="404"/>
      <c r="H221" s="404"/>
      <c r="I221" s="1115"/>
      <c r="J221" s="1115"/>
      <c r="K221" s="404"/>
      <c r="L221" s="414"/>
    </row>
    <row r="222" spans="2:12" ht="15.75" hidden="1" x14ac:dyDescent="0.25">
      <c r="B222" s="404"/>
      <c r="C222" s="404"/>
      <c r="D222" s="404"/>
      <c r="E222" s="404"/>
      <c r="F222" s="404"/>
      <c r="G222" s="404"/>
      <c r="H222" s="404"/>
      <c r="I222" s="1115"/>
      <c r="J222" s="1115"/>
      <c r="K222" s="404"/>
      <c r="L222" s="416"/>
    </row>
    <row r="223" spans="2:12" ht="15.75" hidden="1" x14ac:dyDescent="0.25">
      <c r="B223" s="404"/>
      <c r="C223" s="404" t="s">
        <v>472</v>
      </c>
      <c r="D223" s="417">
        <f>D215*$C$211*I90%*$C$212</f>
        <v>5.4294482345412814E-2</v>
      </c>
      <c r="E223" s="417">
        <f t="shared" ref="E223:I223" si="5">E215*$C$211*$I$95%*$C$212</f>
        <v>3.4190342574213126E-3</v>
      </c>
      <c r="F223" s="1172">
        <f t="shared" si="5"/>
        <v>2.1206593809745917E-3</v>
      </c>
      <c r="G223" s="1172">
        <f t="shared" si="5"/>
        <v>4.2489101069567992E-3</v>
      </c>
      <c r="H223" s="1172">
        <f t="shared" si="5"/>
        <v>2.4890893627200011E-3</v>
      </c>
      <c r="I223" s="1172">
        <f t="shared" si="5"/>
        <v>4.3716095999999998E-4</v>
      </c>
      <c r="J223" s="1172">
        <f>J215*$C$211*$I$95%*$C$212</f>
        <v>4.8893644799999998E-4</v>
      </c>
      <c r="K223" s="403" t="s">
        <v>274</v>
      </c>
      <c r="L223" s="405"/>
    </row>
    <row r="224" spans="2:12" ht="15.75" hidden="1" x14ac:dyDescent="0.25">
      <c r="B224" s="418"/>
      <c r="C224" s="418"/>
      <c r="D224" s="418"/>
      <c r="E224" s="418"/>
      <c r="F224" s="418"/>
      <c r="G224" s="418"/>
      <c r="H224" s="418"/>
      <c r="I224" s="1119"/>
      <c r="J224" s="1119"/>
      <c r="K224" s="418"/>
      <c r="L224" s="416"/>
    </row>
    <row r="225" spans="2:12" ht="15.75" hidden="1" x14ac:dyDescent="0.25">
      <c r="B225" s="402" t="s">
        <v>298</v>
      </c>
      <c r="C225" s="402"/>
      <c r="D225" s="402"/>
      <c r="E225" s="403"/>
      <c r="F225" s="403"/>
      <c r="G225" s="403"/>
      <c r="H225" s="403"/>
      <c r="I225" s="1114"/>
      <c r="J225" s="1114"/>
      <c r="K225" s="403"/>
      <c r="L225" s="405"/>
    </row>
    <row r="226" spans="2:12" ht="15.75" hidden="1" x14ac:dyDescent="0.25">
      <c r="B226" s="403"/>
      <c r="C226" s="1171" t="s">
        <v>1430</v>
      </c>
      <c r="D226" s="403"/>
      <c r="E226" s="403"/>
      <c r="F226" s="403"/>
      <c r="G226" s="403"/>
      <c r="H226" s="403"/>
      <c r="I226" s="1114"/>
      <c r="J226" s="1114"/>
      <c r="K226" s="403"/>
      <c r="L226" s="411" t="s">
        <v>299</v>
      </c>
    </row>
    <row r="227" spans="2:12" ht="15.75" hidden="1" x14ac:dyDescent="0.25">
      <c r="B227" s="403"/>
      <c r="C227" s="402"/>
      <c r="D227" s="403"/>
      <c r="E227" s="403"/>
      <c r="F227" s="403"/>
      <c r="G227" s="403"/>
      <c r="H227" s="403"/>
      <c r="I227" s="1114"/>
      <c r="J227" s="1114"/>
      <c r="K227" s="403"/>
      <c r="L227" s="405"/>
    </row>
    <row r="228" spans="2:12" ht="15.75" hidden="1" x14ac:dyDescent="0.25">
      <c r="B228" s="403"/>
      <c r="C228" s="404" t="s">
        <v>472</v>
      </c>
      <c r="D228" s="1223">
        <f>(365*D16*D223)*10^-6</f>
        <v>8.917868725234054E-3</v>
      </c>
      <c r="E228" s="1223">
        <f>(365*E16*E223)*10^-6</f>
        <v>1.4351396295525959E-4</v>
      </c>
      <c r="F228" s="1223">
        <f>(281*F16*F223)*10^-6</f>
        <v>6.8529107896193926E-5</v>
      </c>
      <c r="G228" s="1223">
        <f>(365*G16*G223)*10^-6</f>
        <v>1.8610226268470777E-5</v>
      </c>
      <c r="H228" s="1223">
        <f>(281*H16*H223)*10^-6</f>
        <v>2.797736443697281E-6</v>
      </c>
      <c r="I228" s="1223">
        <f>(84*F16*I223)*10^-6</f>
        <v>4.2229748735999999E-6</v>
      </c>
      <c r="J228" s="1223">
        <f>(84*H16*J223)*10^-6</f>
        <v>1.6428264652799998E-7</v>
      </c>
      <c r="K228" s="403" t="s">
        <v>473</v>
      </c>
      <c r="L228" s="405"/>
    </row>
    <row r="229" spans="2:12" ht="15.75" hidden="1" x14ac:dyDescent="0.25">
      <c r="B229" s="403"/>
      <c r="C229" s="403"/>
      <c r="D229" s="1223"/>
      <c r="E229" s="1223"/>
      <c r="F229" s="1223"/>
      <c r="G229" s="1223"/>
      <c r="H229" s="1223"/>
      <c r="I229" s="1223"/>
      <c r="J229" s="1223"/>
      <c r="K229" s="404"/>
      <c r="L229" s="405"/>
    </row>
    <row r="230" spans="2:12" ht="15.75" hidden="1" x14ac:dyDescent="0.25">
      <c r="B230" s="402" t="s">
        <v>300</v>
      </c>
      <c r="C230" s="1218">
        <f>SUM(D228:J228)</f>
        <v>9.1557070163178038E-3</v>
      </c>
      <c r="D230" s="1219"/>
      <c r="E230" s="1219"/>
      <c r="F230" s="1219"/>
      <c r="G230" s="1219"/>
      <c r="H230" s="1219"/>
      <c r="I230" s="1219"/>
      <c r="J230" s="1219"/>
      <c r="K230" s="403" t="s">
        <v>301</v>
      </c>
      <c r="L230" s="416"/>
    </row>
    <row r="231" spans="2:12" ht="15.75" hidden="1" x14ac:dyDescent="0.25">
      <c r="B231" s="402" t="s">
        <v>300</v>
      </c>
      <c r="C231" s="1222">
        <f>C230*25</f>
        <v>0.22889267540794508</v>
      </c>
      <c r="D231" s="417"/>
      <c r="E231" s="417"/>
      <c r="F231" s="417"/>
      <c r="G231" s="417"/>
      <c r="H231" s="417"/>
      <c r="I231" s="1118"/>
      <c r="J231" s="1118"/>
      <c r="K231" s="403" t="s">
        <v>302</v>
      </c>
      <c r="L231" s="416"/>
    </row>
    <row r="232" spans="2:12" ht="15.75" hidden="1" x14ac:dyDescent="0.25">
      <c r="B232" s="406" t="s">
        <v>300</v>
      </c>
      <c r="C232" s="421">
        <f>C231*10^3</f>
        <v>228.89267540794509</v>
      </c>
      <c r="D232" s="421"/>
      <c r="E232" s="421"/>
      <c r="F232" s="421"/>
      <c r="G232" s="421"/>
      <c r="H232" s="421"/>
      <c r="I232" s="1101"/>
      <c r="J232" s="1101"/>
      <c r="K232" s="408" t="s">
        <v>303</v>
      </c>
      <c r="L232" s="409"/>
    </row>
    <row r="233" spans="2:12" hidden="1" x14ac:dyDescent="0.25"/>
    <row r="234" spans="2:12" ht="15.75" hidden="1" x14ac:dyDescent="0.25">
      <c r="B234" s="63" t="s">
        <v>304</v>
      </c>
      <c r="C234" s="63" t="s">
        <v>253</v>
      </c>
      <c r="D234" s="64" t="str">
        <f>D15</f>
        <v>Milking Cows</v>
      </c>
      <c r="E234" s="64" t="str">
        <f>E15</f>
        <v xml:space="preserve">Heifers &gt;1 </v>
      </c>
      <c r="F234" s="64" t="str">
        <f>F15</f>
        <v xml:space="preserve">Heifers &lt;1 </v>
      </c>
      <c r="G234" s="64" t="str">
        <f>G15</f>
        <v>Mature bulls</v>
      </c>
      <c r="H234" s="64" t="str">
        <f>H15</f>
        <v>Immature bulls</v>
      </c>
      <c r="I234" s="1158" t="s">
        <v>1400</v>
      </c>
      <c r="J234" s="1158" t="s">
        <v>1401</v>
      </c>
      <c r="K234" s="64">
        <f>I15</f>
        <v>0</v>
      </c>
      <c r="L234" s="65" t="s">
        <v>267</v>
      </c>
    </row>
    <row r="235" spans="2:12" ht="15.75" hidden="1" x14ac:dyDescent="0.25">
      <c r="B235" s="66"/>
      <c r="C235" s="66"/>
      <c r="D235" s="66"/>
      <c r="E235" s="66"/>
      <c r="F235" s="66"/>
      <c r="G235" s="66"/>
      <c r="H235" s="66"/>
      <c r="I235" s="1159"/>
      <c r="J235" s="1159"/>
      <c r="K235" s="66"/>
      <c r="L235" s="67"/>
    </row>
    <row r="236" spans="2:12" ht="15.75" hidden="1" x14ac:dyDescent="0.25">
      <c r="B236" s="68" t="s">
        <v>305</v>
      </c>
      <c r="C236" s="66"/>
      <c r="D236" s="68" t="s">
        <v>306</v>
      </c>
      <c r="E236" s="69"/>
      <c r="F236" s="69"/>
      <c r="G236" s="70"/>
      <c r="H236" s="66"/>
      <c r="I236" s="1159"/>
      <c r="J236" s="1159"/>
      <c r="K236" s="66"/>
      <c r="L236" s="1178" t="s">
        <v>1440</v>
      </c>
    </row>
    <row r="237" spans="2:12" ht="15.75" hidden="1" x14ac:dyDescent="0.25">
      <c r="B237" s="66"/>
      <c r="C237" s="71" t="s">
        <v>472</v>
      </c>
      <c r="D237" s="1157">
        <f>D190*H35%</f>
        <v>3.146663474546568</v>
      </c>
      <c r="E237" s="1157">
        <f>E190*D38%</f>
        <v>1.5741660499999999</v>
      </c>
      <c r="F237" s="1157">
        <f>F190*D38%</f>
        <v>0.97637804999999978</v>
      </c>
      <c r="G237" s="1157">
        <f>G190*D38%</f>
        <v>1.9562512499999993</v>
      </c>
      <c r="H237" s="1157">
        <f>H190*D38%</f>
        <v>1.1460078125000004</v>
      </c>
      <c r="I237" s="1160"/>
      <c r="J237" s="1160"/>
      <c r="K237" s="66" t="s">
        <v>292</v>
      </c>
      <c r="L237" s="1178"/>
    </row>
    <row r="238" spans="2:12" ht="15.75" hidden="1" x14ac:dyDescent="0.25">
      <c r="B238" s="73"/>
      <c r="C238" s="73"/>
      <c r="D238" s="73"/>
      <c r="E238" s="73"/>
      <c r="F238" s="73"/>
      <c r="G238" s="74"/>
      <c r="H238" s="66"/>
      <c r="I238" s="1159"/>
      <c r="J238" s="1159"/>
      <c r="K238" s="66"/>
      <c r="L238" s="1178"/>
    </row>
    <row r="239" spans="2:12" ht="15.75" hidden="1" x14ac:dyDescent="0.25">
      <c r="B239" s="68" t="s">
        <v>308</v>
      </c>
      <c r="C239" s="69"/>
      <c r="D239" s="68" t="s">
        <v>309</v>
      </c>
      <c r="E239" s="69"/>
      <c r="F239" s="69"/>
      <c r="G239" s="70"/>
      <c r="H239" s="66"/>
      <c r="I239" s="1159"/>
      <c r="J239" s="1159"/>
      <c r="K239" s="66"/>
      <c r="L239" s="1178" t="s">
        <v>1442</v>
      </c>
    </row>
    <row r="240" spans="2:12" ht="15.75" hidden="1" x14ac:dyDescent="0.25">
      <c r="B240" s="69"/>
      <c r="C240" s="66"/>
      <c r="D240" s="66" t="s">
        <v>311</v>
      </c>
      <c r="E240" s="69"/>
      <c r="F240" s="69"/>
      <c r="G240" s="70"/>
      <c r="H240" s="66"/>
      <c r="I240" s="1159"/>
      <c r="J240" s="1159"/>
      <c r="K240" s="66"/>
      <c r="L240" s="67"/>
    </row>
    <row r="241" spans="2:12" ht="15.75" hidden="1" x14ac:dyDescent="0.25">
      <c r="B241" s="66"/>
      <c r="C241" s="66"/>
      <c r="D241" s="66" t="s">
        <v>312</v>
      </c>
      <c r="E241" s="75"/>
      <c r="F241" s="75"/>
      <c r="G241" s="70"/>
      <c r="H241" s="66"/>
      <c r="I241" s="1159"/>
      <c r="J241" s="1159"/>
      <c r="K241" s="66"/>
      <c r="L241" s="67"/>
    </row>
    <row r="242" spans="2:12" ht="15.75" hidden="1" x14ac:dyDescent="0.25">
      <c r="B242" s="66"/>
      <c r="C242" s="71" t="s">
        <v>472</v>
      </c>
      <c r="D242" s="1284">
        <f>(0.3*((D237*(1-((F35+10)/100))))+(0.105*((0.1604*F35-1.037)*D190*0.008))+(0.0152*D190))/6.25</f>
        <v>9.3387301820261795E-2</v>
      </c>
      <c r="E242" s="1284">
        <f>(0.3*((E237*(1-((D37+10)/100))))+(0.105*((0.1604*D37-1.037)*E190*0.008))+(0.0152*E190))/6.25</f>
        <v>4.210468529250079E-2</v>
      </c>
      <c r="F242" s="1284">
        <f>(0.3*((F237*(1-((D37+10)/100))))+(0.105*((0.1604*D37-1.037)*F190*0.008))+(0.0152*F190))/6.25</f>
        <v>2.6115472711252793E-2</v>
      </c>
      <c r="G242" s="1284">
        <f>(0.3*((G237*(1-((D37+10)/100))))+(0.105*((0.1604*D37-1.037)*G190*0.008))+(0.0152*G190))/6.25</f>
        <v>5.2324431234119985E-2</v>
      </c>
      <c r="H242" s="1284">
        <f>(0.3*((H237*(1-((D37+10)/100))))+(0.105*((0.1604*D37-1.037)*H190*0.008))+(0.0152*H190))/6.25</f>
        <v>3.0652610179250007E-2</v>
      </c>
      <c r="I242" s="1399">
        <v>8.2000000000000007E-3</v>
      </c>
      <c r="J242" s="1399">
        <v>4.1999999999999997E-3</v>
      </c>
      <c r="K242" s="66" t="s">
        <v>292</v>
      </c>
      <c r="L242" s="67"/>
    </row>
    <row r="243" spans="2:12" ht="15.75" hidden="1" x14ac:dyDescent="0.25">
      <c r="B243" s="66"/>
      <c r="C243" s="66"/>
      <c r="D243" s="66"/>
      <c r="E243" s="66"/>
      <c r="F243" s="66"/>
      <c r="G243" s="66"/>
      <c r="H243" s="66"/>
      <c r="I243" s="1159"/>
      <c r="J243" s="1159"/>
      <c r="K243" s="66"/>
      <c r="L243" s="67"/>
    </row>
    <row r="244" spans="2:12" ht="17.25" hidden="1" x14ac:dyDescent="0.3">
      <c r="B244" s="68" t="s">
        <v>313</v>
      </c>
      <c r="C244" s="66"/>
      <c r="D244" s="76" t="s">
        <v>1524</v>
      </c>
      <c r="E244" s="77"/>
      <c r="F244" s="77"/>
      <c r="G244" s="77"/>
      <c r="H244" s="77"/>
      <c r="I244" s="1161"/>
      <c r="J244" s="1161"/>
      <c r="K244" s="66"/>
      <c r="L244" s="1179" t="s">
        <v>1441</v>
      </c>
    </row>
    <row r="245" spans="2:12" ht="16.5" hidden="1" thickBot="1" x14ac:dyDescent="0.3">
      <c r="B245" s="66"/>
      <c r="C245" s="66"/>
      <c r="D245" s="66"/>
      <c r="E245" s="66"/>
      <c r="F245" s="66"/>
      <c r="G245" s="66"/>
      <c r="H245" s="66"/>
      <c r="I245" s="1159"/>
      <c r="J245" s="1159"/>
      <c r="K245" s="66"/>
      <c r="L245" s="1179"/>
    </row>
    <row r="246" spans="2:12" ht="16.5" hidden="1" thickBot="1" x14ac:dyDescent="0.3">
      <c r="B246" s="78"/>
      <c r="C246" s="79" t="s">
        <v>897</v>
      </c>
      <c r="D246" s="80"/>
      <c r="E246" s="80"/>
      <c r="F246" s="80"/>
      <c r="G246" s="80"/>
      <c r="H246" s="81"/>
      <c r="I246" s="1162"/>
      <c r="J246" s="1162"/>
      <c r="K246" s="66"/>
      <c r="L246" s="1179" t="s">
        <v>1443</v>
      </c>
    </row>
    <row r="247" spans="2:12" ht="15.75" hidden="1" x14ac:dyDescent="0.25">
      <c r="B247" s="66"/>
      <c r="C247" s="79"/>
      <c r="D247" s="80" t="s">
        <v>249</v>
      </c>
      <c r="E247" s="80" t="s">
        <v>316</v>
      </c>
      <c r="F247" s="80" t="s">
        <v>317</v>
      </c>
      <c r="G247" s="80" t="s">
        <v>318</v>
      </c>
      <c r="H247" s="81" t="s">
        <v>319</v>
      </c>
      <c r="I247" s="1162"/>
      <c r="J247" s="1162"/>
      <c r="K247" s="66"/>
      <c r="L247" s="67"/>
    </row>
    <row r="248" spans="2:12" ht="15.75" hidden="1" x14ac:dyDescent="0.25">
      <c r="B248" s="78">
        <v>1</v>
      </c>
      <c r="C248" s="956" t="s">
        <v>1008</v>
      </c>
      <c r="D248" s="1176">
        <v>590</v>
      </c>
      <c r="E248" s="1176">
        <v>590</v>
      </c>
      <c r="F248" s="1176">
        <v>590</v>
      </c>
      <c r="G248" s="1176">
        <v>770</v>
      </c>
      <c r="H248" s="1177">
        <v>770</v>
      </c>
      <c r="I248" s="1162"/>
      <c r="J248" s="1162"/>
      <c r="K248" s="66"/>
      <c r="L248" s="67"/>
    </row>
    <row r="249" spans="2:12" ht="15.75" hidden="1" x14ac:dyDescent="0.25">
      <c r="B249" s="78">
        <v>2</v>
      </c>
      <c r="C249" s="956" t="s">
        <v>1015</v>
      </c>
      <c r="D249" s="1176">
        <v>590</v>
      </c>
      <c r="E249" s="1176">
        <v>590</v>
      </c>
      <c r="F249" s="1176">
        <v>590</v>
      </c>
      <c r="G249" s="1176">
        <v>770</v>
      </c>
      <c r="H249" s="1177">
        <v>770</v>
      </c>
      <c r="I249" s="1162"/>
      <c r="J249" s="1162"/>
      <c r="K249" s="66"/>
      <c r="L249" s="67"/>
    </row>
    <row r="250" spans="2:12" ht="15.75" hidden="1" x14ac:dyDescent="0.25">
      <c r="B250" s="78">
        <v>3</v>
      </c>
      <c r="C250" s="956" t="s">
        <v>960</v>
      </c>
      <c r="D250" s="1176">
        <v>590</v>
      </c>
      <c r="E250" s="1176">
        <v>590</v>
      </c>
      <c r="F250" s="1176">
        <v>590</v>
      </c>
      <c r="G250" s="1176">
        <v>770</v>
      </c>
      <c r="H250" s="1177">
        <v>770</v>
      </c>
      <c r="I250" s="1162"/>
      <c r="J250" s="1162"/>
      <c r="K250" s="78"/>
      <c r="L250" s="67"/>
    </row>
    <row r="251" spans="2:12" ht="15.75" hidden="1" x14ac:dyDescent="0.25">
      <c r="B251" s="78">
        <v>4</v>
      </c>
      <c r="C251" s="956" t="s">
        <v>1010</v>
      </c>
      <c r="D251" s="1176">
        <v>590</v>
      </c>
      <c r="E251" s="1176">
        <v>590</v>
      </c>
      <c r="F251" s="1176">
        <v>590</v>
      </c>
      <c r="G251" s="1176">
        <v>770</v>
      </c>
      <c r="H251" s="1177">
        <v>770</v>
      </c>
      <c r="I251" s="1162"/>
      <c r="J251" s="1162"/>
      <c r="K251" s="66"/>
      <c r="L251" s="67"/>
    </row>
    <row r="252" spans="2:12" ht="15.75" hidden="1" x14ac:dyDescent="0.25">
      <c r="B252" s="78">
        <v>5</v>
      </c>
      <c r="C252" s="956" t="s">
        <v>1016</v>
      </c>
      <c r="D252" s="1176">
        <v>590</v>
      </c>
      <c r="E252" s="1176">
        <v>590</v>
      </c>
      <c r="F252" s="1176">
        <v>590</v>
      </c>
      <c r="G252" s="1176">
        <v>770</v>
      </c>
      <c r="H252" s="1177">
        <v>770</v>
      </c>
      <c r="I252" s="1162"/>
      <c r="J252" s="1162"/>
      <c r="K252" s="66"/>
      <c r="L252" s="67"/>
    </row>
    <row r="253" spans="2:12" ht="15.75" hidden="1" x14ac:dyDescent="0.25">
      <c r="B253" s="78">
        <v>6</v>
      </c>
      <c r="C253" s="957" t="s">
        <v>1017</v>
      </c>
      <c r="D253" s="1176">
        <v>590</v>
      </c>
      <c r="E253" s="1176">
        <v>590</v>
      </c>
      <c r="F253" s="1176">
        <v>590</v>
      </c>
      <c r="G253" s="1176">
        <v>770</v>
      </c>
      <c r="H253" s="1177">
        <v>770</v>
      </c>
      <c r="I253" s="1162"/>
      <c r="J253" s="1162"/>
      <c r="K253" s="66"/>
      <c r="L253" s="67"/>
    </row>
    <row r="254" spans="2:12" ht="16.5" hidden="1" thickBot="1" x14ac:dyDescent="0.3">
      <c r="B254" s="78">
        <v>7</v>
      </c>
      <c r="C254" s="958" t="s">
        <v>1018</v>
      </c>
      <c r="D254" s="1176">
        <v>590</v>
      </c>
      <c r="E254" s="1176">
        <v>590</v>
      </c>
      <c r="F254" s="1176">
        <v>590</v>
      </c>
      <c r="G254" s="1176">
        <v>770</v>
      </c>
      <c r="H254" s="1177">
        <v>770</v>
      </c>
      <c r="I254" s="1162"/>
      <c r="J254" s="1162"/>
      <c r="K254" s="66"/>
      <c r="L254" s="67"/>
    </row>
    <row r="255" spans="2:12" ht="16.5" hidden="1" thickBot="1" x14ac:dyDescent="0.3">
      <c r="B255" s="71" t="s">
        <v>265</v>
      </c>
      <c r="C255" s="84" t="str">
        <f>VLOOKUP($D$13,$C$248:$H$254,1,FALSE)</f>
        <v>Victoria</v>
      </c>
      <c r="D255" s="85">
        <f>VLOOKUP($C$179,$C$248:$H$254,2,FALSE)</f>
        <v>590</v>
      </c>
      <c r="E255" s="85">
        <f>VLOOKUP($C$179,$C$248:$H$254,3,FALSE)</f>
        <v>590</v>
      </c>
      <c r="F255" s="85">
        <f>VLOOKUP($C$179,$C$248:$H$254,4,FALSE)</f>
        <v>590</v>
      </c>
      <c r="G255" s="85">
        <f>VLOOKUP($C$179,$C$248:$H$254,5,FALSE)</f>
        <v>770</v>
      </c>
      <c r="H255" s="1996">
        <f>VLOOKUP($C$179,$C$248:$H$254,6,FALSE)</f>
        <v>770</v>
      </c>
      <c r="I255" s="1399"/>
      <c r="J255" s="1399"/>
      <c r="K255" s="66"/>
      <c r="L255" s="67"/>
    </row>
    <row r="256" spans="2:12" ht="16.5" hidden="1" thickBot="1" x14ac:dyDescent="0.3">
      <c r="B256" s="66"/>
      <c r="C256" s="84" t="s">
        <v>337</v>
      </c>
      <c r="D256" s="86">
        <f>IF(D255&gt;0,D18/D255,0)</f>
        <v>0.93220338983050843</v>
      </c>
      <c r="E256" s="86">
        <f>IF(E255&gt;0,E18/E255,0)</f>
        <v>0.67796610169491522</v>
      </c>
      <c r="F256" s="86">
        <f>IF(F255&gt;0,F18/F255,0)</f>
        <v>0.33898305084745761</v>
      </c>
      <c r="G256" s="86">
        <f>IF(G255&gt;0,G18/G255,0)</f>
        <v>0.97402597402597402</v>
      </c>
      <c r="H256" s="87">
        <f>IF(H255&gt;0,H18/H255,0)</f>
        <v>0.32467532467532467</v>
      </c>
      <c r="I256" s="1163"/>
      <c r="J256" s="1163"/>
      <c r="K256" s="78"/>
      <c r="L256" s="67"/>
    </row>
    <row r="257" spans="2:12" ht="15.75" hidden="1" x14ac:dyDescent="0.25">
      <c r="B257" s="1185" t="s">
        <v>1428</v>
      </c>
      <c r="C257" s="66"/>
      <c r="D257" s="1186">
        <f>D190/(1.185+(0.00454*D18)-(0.0000026*(D18)^2)+((0.315*0)))^2</f>
        <v>2.1863374108913161</v>
      </c>
      <c r="E257" s="1186">
        <f>E190/(1.185+(0.00454*E18)-(0.0000026*(E18)^2)+((0.315*0)))^2</f>
        <v>1.1778756701547761</v>
      </c>
      <c r="F257" s="1186">
        <f>F190/(1.185+(0.00454*F18)-(0.0000026*(F18)^2)+((0.315*0)))^2</f>
        <v>1.234009336418173</v>
      </c>
      <c r="G257" s="1186">
        <f>G190/(1.185+(0.00454*G18)-(0.0000026*(G18)^2)+((0.315*0)))^2</f>
        <v>1</v>
      </c>
      <c r="H257" s="1186">
        <f>H190/(1.185+(0.00454*H18)-(0.0000026*(H18)^2)+((0.315*0)))^2</f>
        <v>1.2309941068975749</v>
      </c>
      <c r="I257" s="1159"/>
      <c r="J257" s="1159"/>
      <c r="K257" s="66"/>
      <c r="L257" s="67"/>
    </row>
    <row r="258" spans="2:12" s="1182" customFormat="1" ht="15.75" hidden="1" x14ac:dyDescent="0.25">
      <c r="B258" s="1185"/>
      <c r="C258" s="1183"/>
      <c r="D258" s="1186"/>
      <c r="E258" s="1186"/>
      <c r="F258" s="1186"/>
      <c r="G258" s="1186"/>
      <c r="H258" s="1186"/>
      <c r="I258" s="1183"/>
      <c r="J258" s="1183"/>
      <c r="K258" s="1183"/>
      <c r="L258" s="1184"/>
    </row>
    <row r="259" spans="2:12" ht="15.75" hidden="1" x14ac:dyDescent="0.25">
      <c r="B259" s="1185" t="s">
        <v>313</v>
      </c>
      <c r="C259" s="71" t="s">
        <v>472</v>
      </c>
      <c r="D259" s="1221">
        <f>((0.032*(H27*1.03*D27/365)/6.38)+((0.212-0.008*(D257-2)-((0.14-0.008*(D257-2))/(1+EXP(-6*(D$256-0.4)))))*(0*0.92))/6.25)</f>
        <v>9.9325050721018215E-2</v>
      </c>
      <c r="E259" s="1221">
        <f>((0.032*0/6.38)+((0.212-0.008*(E257-2)-((0.14-0.008*(E257-2))/(1+EXP(-6*(E$256-0.4)))))*(E20*0.92))/6.25)</f>
        <v>9.8160470953398467E-3</v>
      </c>
      <c r="F259" s="1387">
        <f>((0.032*0/6.38)+((0.212-0.008*(F257-2)-((0.14-0.008*(F257-2))/(1+EXP(-6*(F$256-0.4)))))*(F20*0.92))/6.25)</f>
        <v>1.6310302237398738E-2</v>
      </c>
      <c r="G259" s="1387">
        <f>((0.032*0/6.38)+((0.212-0.008*(G257-2)-((0.14-0.008*(G257-2))/(1+EXP(-6*(G$256-0.4)))))*(G20*0.92))/6.25)</f>
        <v>0</v>
      </c>
      <c r="H259" s="1387">
        <f>((0.032*0/6.38)+((0.212-0.008*(H257-2)-((0.14-0.008*(H257-2))/(1+EXP(-6*(H$256-0.4)))))*(H20*0.92))/6.25)</f>
        <v>1.7809049291403121E-2</v>
      </c>
      <c r="I259" s="1163"/>
      <c r="J259" s="1163"/>
      <c r="K259" s="78" t="s">
        <v>320</v>
      </c>
      <c r="L259" s="67"/>
    </row>
    <row r="260" spans="2:12" ht="15.75" hidden="1" x14ac:dyDescent="0.25">
      <c r="B260" s="66"/>
      <c r="C260" s="89"/>
      <c r="D260" s="88"/>
      <c r="E260" s="88"/>
      <c r="F260" s="88"/>
      <c r="G260" s="88"/>
      <c r="H260" s="88"/>
      <c r="I260" s="1163"/>
      <c r="J260" s="1163"/>
      <c r="K260" s="78"/>
      <c r="L260" s="67"/>
    </row>
    <row r="261" spans="2:12" ht="18.75" hidden="1" x14ac:dyDescent="0.25">
      <c r="B261" s="68" t="s">
        <v>321</v>
      </c>
      <c r="C261" s="66"/>
      <c r="D261" s="90" t="s">
        <v>322</v>
      </c>
      <c r="E261" s="88"/>
      <c r="F261" s="88"/>
      <c r="G261" s="88"/>
      <c r="H261" s="66"/>
      <c r="I261" s="1159"/>
      <c r="J261" s="1159"/>
      <c r="K261" s="78"/>
      <c r="L261" s="1187" t="s">
        <v>1444</v>
      </c>
    </row>
    <row r="262" spans="2:12" ht="15.75" hidden="1" x14ac:dyDescent="0.25">
      <c r="B262" s="66"/>
      <c r="C262" s="71" t="s">
        <v>472</v>
      </c>
      <c r="D262" s="1180">
        <f>(D237/6.25)-D259-D242-((1.1*10^-4*D18^0.75)/6.25)</f>
        <v>0.30875493276483296</v>
      </c>
      <c r="E262" s="1180">
        <f>(E237/6.25)-E259-E242-((1.1*10^-4*E18^0.75)/6.25)</f>
        <v>0.1983716437559995</v>
      </c>
      <c r="F262" s="1180">
        <f>(F237/6.25)-F259-F242-((1.1*10^-4*F18^0.75)/6.25)</f>
        <v>0.11285869297348611</v>
      </c>
      <c r="G262" s="1180">
        <f>(G237/6.25)-G259-G242-((1.1*10^-4*G18^0.75)/6.25)</f>
        <v>0.25815339979446034</v>
      </c>
      <c r="H262" s="1180">
        <f>(H237/6.25)-H259-H242-((1.1*10^-4*H18^0.75)/6.25)</f>
        <v>0.13379304911122597</v>
      </c>
      <c r="I262" s="1399">
        <v>5.4999999999999997E-3</v>
      </c>
      <c r="J262" s="1399">
        <v>5.0000000000000001E-3</v>
      </c>
      <c r="K262" s="78" t="s">
        <v>320</v>
      </c>
      <c r="L262" s="1187"/>
    </row>
    <row r="263" spans="2:12" ht="15.75" hidden="1" x14ac:dyDescent="0.25">
      <c r="B263" s="66"/>
      <c r="C263" s="66"/>
      <c r="D263" s="66"/>
      <c r="E263" s="66"/>
      <c r="F263" s="66"/>
      <c r="G263" s="66"/>
      <c r="H263" s="66"/>
      <c r="I263" s="1159"/>
      <c r="J263" s="1159"/>
      <c r="K263" s="78"/>
      <c r="L263" s="1187"/>
    </row>
    <row r="264" spans="2:12" ht="15.75" hidden="1" x14ac:dyDescent="0.25">
      <c r="B264" s="68" t="s">
        <v>482</v>
      </c>
      <c r="C264" s="66"/>
      <c r="D264" s="1188" t="s">
        <v>1434</v>
      </c>
      <c r="E264" s="66"/>
      <c r="F264" s="66"/>
      <c r="G264" s="66"/>
      <c r="H264" s="66"/>
      <c r="I264" s="1159"/>
      <c r="J264" s="1159"/>
      <c r="K264" s="78"/>
      <c r="L264" s="1187" t="s">
        <v>1445</v>
      </c>
    </row>
    <row r="265" spans="2:12" ht="15.75" hidden="1" x14ac:dyDescent="0.25">
      <c r="B265" s="66"/>
      <c r="C265" s="66"/>
      <c r="D265" s="66"/>
      <c r="E265" s="66"/>
      <c r="F265" s="66"/>
      <c r="G265" s="66"/>
      <c r="H265" s="66"/>
      <c r="I265" s="1159"/>
      <c r="J265" s="1159"/>
      <c r="K265" s="66"/>
      <c r="L265" s="1187"/>
    </row>
    <row r="266" spans="2:12" ht="15.75" hidden="1" x14ac:dyDescent="0.25">
      <c r="B266" s="66"/>
      <c r="C266" s="71" t="s">
        <v>472</v>
      </c>
      <c r="D266" s="1415">
        <f>(365*D16*D242)*10^-6</f>
        <v>1.5338864323978E-2</v>
      </c>
      <c r="E266" s="1415">
        <f>(365*E16*E242)*10^-6</f>
        <v>1.7673441651527206E-3</v>
      </c>
      <c r="F266" s="1415">
        <f>(281*F16*F242)*10^-6</f>
        <v>8.4392150066413393E-4</v>
      </c>
      <c r="G266" s="1415">
        <f>(365*G16*G242)*10^-6</f>
        <v>2.2918100880544554E-4</v>
      </c>
      <c r="H266" s="1415">
        <f>(281*H16*H242)*10^-6</f>
        <v>3.4453533841477009E-5</v>
      </c>
      <c r="I266" s="1415">
        <f>(84*F16*I242)*10^-6</f>
        <v>7.9212E-5</v>
      </c>
      <c r="J266" s="1415">
        <f>(84*H16*J242)*10^-6</f>
        <v>1.4111999999999999E-6</v>
      </c>
      <c r="K266" s="66" t="s">
        <v>476</v>
      </c>
      <c r="L266" s="1187"/>
    </row>
    <row r="267" spans="2:12" ht="15.75" hidden="1" x14ac:dyDescent="0.25">
      <c r="B267" s="66"/>
      <c r="C267" s="66"/>
      <c r="D267" s="1415"/>
      <c r="E267" s="1415"/>
      <c r="F267" s="1415"/>
      <c r="G267" s="1415"/>
      <c r="H267" s="1415"/>
      <c r="I267" s="1415"/>
      <c r="J267" s="1415"/>
      <c r="K267" s="66"/>
      <c r="L267" s="1187"/>
    </row>
    <row r="268" spans="2:12" ht="15.75" hidden="1" x14ac:dyDescent="0.25">
      <c r="B268" s="68" t="s">
        <v>483</v>
      </c>
      <c r="C268" s="66"/>
      <c r="D268" s="1491" t="s">
        <v>1435</v>
      </c>
      <c r="E268" s="1415"/>
      <c r="F268" s="1415"/>
      <c r="G268" s="1415"/>
      <c r="H268" s="1415"/>
      <c r="I268" s="1415"/>
      <c r="J268" s="1415"/>
      <c r="K268" s="66"/>
      <c r="L268" s="1187" t="s">
        <v>1446</v>
      </c>
    </row>
    <row r="269" spans="2:12" ht="15.75" hidden="1" x14ac:dyDescent="0.25">
      <c r="B269" s="66"/>
      <c r="C269" s="66"/>
      <c r="D269" s="1415"/>
      <c r="E269" s="1415"/>
      <c r="F269" s="1415"/>
      <c r="G269" s="1415"/>
      <c r="H269" s="1415"/>
      <c r="I269" s="1415"/>
      <c r="J269" s="1415"/>
      <c r="K269" s="66"/>
      <c r="L269" s="67"/>
    </row>
    <row r="270" spans="2:12" ht="15.75" hidden="1" x14ac:dyDescent="0.25">
      <c r="B270" s="66"/>
      <c r="C270" s="71" t="s">
        <v>472</v>
      </c>
      <c r="D270" s="1486">
        <f>(365*D16*D262)*10^-6</f>
        <v>5.0712997706623811E-2</v>
      </c>
      <c r="E270" s="1486">
        <f>(365*E16*E262)*10^-6</f>
        <v>8.3266497466580776E-3</v>
      </c>
      <c r="F270" s="1486">
        <f>(281*F16*F262)*10^-6</f>
        <v>3.6470286634382033E-3</v>
      </c>
      <c r="G270" s="1486">
        <f>(365*G16*G262)*10^-6</f>
        <v>1.1307118910997363E-3</v>
      </c>
      <c r="H270" s="1486">
        <f>(281*H16*H262)*10^-6</f>
        <v>1.5038338720101799E-4</v>
      </c>
      <c r="I270" s="1486">
        <f>(84*F16*I262)*10^-6</f>
        <v>5.3129999999999994E-5</v>
      </c>
      <c r="J270" s="1486">
        <f>(84*H16*J262)*10^-6</f>
        <v>1.6799999999999998E-6</v>
      </c>
      <c r="K270" s="66" t="s">
        <v>476</v>
      </c>
      <c r="L270" s="67"/>
    </row>
    <row r="271" spans="2:12" ht="15.75" hidden="1" x14ac:dyDescent="0.25">
      <c r="B271" s="66"/>
      <c r="C271" s="66"/>
      <c r="D271" s="66"/>
      <c r="E271" s="66"/>
      <c r="F271" s="66"/>
      <c r="G271" s="66"/>
      <c r="H271" s="66"/>
      <c r="I271" s="1159"/>
      <c r="J271" s="1159"/>
      <c r="K271" s="66"/>
      <c r="L271" s="67"/>
    </row>
    <row r="272" spans="2:12" ht="17.25" hidden="1" x14ac:dyDescent="0.3">
      <c r="B272" s="1190" t="s">
        <v>1448</v>
      </c>
      <c r="C272" s="1189"/>
      <c r="D272" s="1443" t="s">
        <v>1531</v>
      </c>
      <c r="E272" s="66"/>
      <c r="F272" s="66"/>
      <c r="G272" s="66"/>
      <c r="H272" s="66"/>
      <c r="I272" s="1159"/>
      <c r="J272" s="1159"/>
      <c r="K272" s="66"/>
      <c r="L272" s="67"/>
    </row>
    <row r="273" spans="2:12" ht="15.75" hidden="1" x14ac:dyDescent="0.25">
      <c r="B273" s="66"/>
      <c r="C273" s="66"/>
      <c r="D273" s="91"/>
      <c r="E273" s="91"/>
      <c r="F273" s="91"/>
      <c r="G273" s="91"/>
      <c r="H273" s="91"/>
      <c r="I273" s="1164"/>
      <c r="J273" s="1164"/>
      <c r="K273" s="78"/>
      <c r="L273" s="67"/>
    </row>
    <row r="274" spans="2:12" ht="15.75" hidden="1" x14ac:dyDescent="0.25">
      <c r="B274" s="1191" t="s">
        <v>1449</v>
      </c>
      <c r="C274" s="71" t="s">
        <v>472</v>
      </c>
      <c r="D274" s="1487">
        <f>D270+D266</f>
        <v>6.6051862030601816E-2</v>
      </c>
      <c r="E274" s="1487">
        <f t="shared" ref="D274:J274" si="6">E270+E266</f>
        <v>1.0093993911810798E-2</v>
      </c>
      <c r="F274" s="1487">
        <f t="shared" si="6"/>
        <v>4.4909501641023373E-3</v>
      </c>
      <c r="G274" s="1487">
        <f t="shared" si="6"/>
        <v>1.3598928999051818E-3</v>
      </c>
      <c r="H274" s="1487">
        <f t="shared" si="6"/>
        <v>1.84836921042495E-4</v>
      </c>
      <c r="I274" s="1487">
        <f>I270+I266</f>
        <v>1.32342E-4</v>
      </c>
      <c r="J274" s="1487">
        <f t="shared" si="6"/>
        <v>3.0911999999999997E-6</v>
      </c>
      <c r="K274" s="66" t="s">
        <v>476</v>
      </c>
      <c r="L274" s="67"/>
    </row>
    <row r="275" spans="2:12" ht="15.75" hidden="1" x14ac:dyDescent="0.25">
      <c r="B275" s="1194"/>
      <c r="C275" s="89"/>
      <c r="D275" s="68"/>
      <c r="E275" s="89"/>
      <c r="F275" s="89"/>
      <c r="G275" s="89"/>
      <c r="H275" s="78"/>
      <c r="I275" s="1490"/>
      <c r="J275" s="1490"/>
      <c r="K275" s="66"/>
      <c r="L275" s="1193"/>
    </row>
    <row r="276" spans="2:12" ht="15.75" hidden="1" x14ac:dyDescent="0.25">
      <c r="B276" s="66"/>
      <c r="C276" s="66"/>
      <c r="D276" s="1415"/>
      <c r="E276" s="1415"/>
      <c r="F276" s="1415"/>
      <c r="G276" s="1415"/>
      <c r="H276" s="1415"/>
      <c r="I276" s="1415"/>
      <c r="J276" s="1415"/>
      <c r="K276" s="66"/>
      <c r="L276" s="93"/>
    </row>
    <row r="277" spans="2:12" ht="17.25" hidden="1" x14ac:dyDescent="0.3">
      <c r="B277" s="94" t="s">
        <v>332</v>
      </c>
      <c r="C277" s="66"/>
      <c r="D277" s="1443" t="s">
        <v>1531</v>
      </c>
      <c r="E277" s="66"/>
      <c r="F277" s="66"/>
      <c r="G277" s="66"/>
      <c r="H277" s="66"/>
      <c r="I277" s="1159"/>
      <c r="J277" s="1159"/>
      <c r="K277" s="94" t="s">
        <v>333</v>
      </c>
      <c r="L277" s="67" t="s">
        <v>1454</v>
      </c>
    </row>
    <row r="278" spans="2:12" ht="15.75" hidden="1" x14ac:dyDescent="0.25">
      <c r="B278" s="1196" t="s">
        <v>1462</v>
      </c>
      <c r="C278" s="71" t="s">
        <v>472</v>
      </c>
      <c r="D278" s="95">
        <f>D274*C72%</f>
        <v>5.4289201668987789E-3</v>
      </c>
      <c r="E278" s="95">
        <f t="shared" ref="E278:J278" si="7">E274*$C$73%</f>
        <v>0</v>
      </c>
      <c r="F278" s="1197">
        <f>F274*$C$73%</f>
        <v>0</v>
      </c>
      <c r="G278" s="1197">
        <f t="shared" si="7"/>
        <v>0</v>
      </c>
      <c r="H278" s="1197">
        <f t="shared" si="7"/>
        <v>0</v>
      </c>
      <c r="I278" s="1197">
        <f t="shared" si="7"/>
        <v>0</v>
      </c>
      <c r="J278" s="1197">
        <f t="shared" si="7"/>
        <v>0</v>
      </c>
      <c r="K278" s="89">
        <v>0</v>
      </c>
      <c r="L278" s="67"/>
    </row>
    <row r="279" spans="2:12" ht="15.75" hidden="1" x14ac:dyDescent="0.25">
      <c r="B279" s="1195"/>
      <c r="C279" s="66"/>
      <c r="D279" s="66"/>
      <c r="E279" s="66"/>
      <c r="F279" s="66"/>
      <c r="G279" s="66"/>
      <c r="H279" s="66"/>
      <c r="I279" s="1195"/>
      <c r="J279" s="1195"/>
      <c r="K279" s="66"/>
      <c r="L279" s="67"/>
    </row>
    <row r="280" spans="2:12" ht="15.75" hidden="1" x14ac:dyDescent="0.25">
      <c r="B280" s="1196" t="s">
        <v>1461</v>
      </c>
      <c r="C280" s="71" t="s">
        <v>472</v>
      </c>
      <c r="D280" s="1197">
        <f>D274*D72%</f>
        <v>0</v>
      </c>
      <c r="E280" s="1197">
        <f t="shared" ref="E280:J280" si="8">E274*$D$73%</f>
        <v>0</v>
      </c>
      <c r="F280" s="1197">
        <f>F274*$D$73%</f>
        <v>0</v>
      </c>
      <c r="G280" s="1197">
        <f t="shared" si="8"/>
        <v>0</v>
      </c>
      <c r="H280" s="1197">
        <f t="shared" si="8"/>
        <v>0</v>
      </c>
      <c r="I280" s="1197">
        <f t="shared" si="8"/>
        <v>0</v>
      </c>
      <c r="J280" s="1197">
        <f t="shared" si="8"/>
        <v>0</v>
      </c>
      <c r="K280" s="89">
        <v>0</v>
      </c>
      <c r="L280" s="67"/>
    </row>
    <row r="281" spans="2:12" ht="15.75" hidden="1" x14ac:dyDescent="0.25">
      <c r="B281" s="1195"/>
      <c r="C281" s="66"/>
      <c r="D281" s="66"/>
      <c r="E281" s="66"/>
      <c r="F281" s="66"/>
      <c r="G281" s="66"/>
      <c r="H281" s="66"/>
      <c r="I281" s="1195"/>
      <c r="J281" s="1195"/>
      <c r="K281" s="66"/>
      <c r="L281" s="67"/>
    </row>
    <row r="282" spans="2:12" ht="15.75" hidden="1" x14ac:dyDescent="0.25">
      <c r="B282" s="1196" t="s">
        <v>1463</v>
      </c>
      <c r="C282" s="71" t="s">
        <v>472</v>
      </c>
      <c r="D282" s="1197">
        <f>D274*E72%</f>
        <v>0</v>
      </c>
      <c r="E282" s="1197">
        <f t="shared" ref="E282:J282" si="9">E274*$E$73%</f>
        <v>0</v>
      </c>
      <c r="F282" s="1197">
        <f t="shared" si="9"/>
        <v>0</v>
      </c>
      <c r="G282" s="1197">
        <f t="shared" si="9"/>
        <v>0</v>
      </c>
      <c r="H282" s="1197">
        <f t="shared" si="9"/>
        <v>0</v>
      </c>
      <c r="I282" s="1197">
        <f t="shared" si="9"/>
        <v>0</v>
      </c>
      <c r="J282" s="1197">
        <f t="shared" si="9"/>
        <v>0</v>
      </c>
      <c r="K282" s="89">
        <v>0</v>
      </c>
      <c r="L282" s="67"/>
    </row>
    <row r="283" spans="2:12" ht="15.75" hidden="1" x14ac:dyDescent="0.25">
      <c r="B283" s="1195"/>
      <c r="C283" s="71"/>
      <c r="D283" s="1197"/>
      <c r="E283" s="95"/>
      <c r="F283" s="95"/>
      <c r="G283" s="95"/>
      <c r="H283" s="95"/>
      <c r="I283" s="1197"/>
      <c r="J283" s="1197"/>
      <c r="K283" s="66"/>
      <c r="L283" s="67"/>
    </row>
    <row r="284" spans="2:12" ht="15.75" hidden="1" x14ac:dyDescent="0.25">
      <c r="B284" s="1196" t="s">
        <v>1464</v>
      </c>
      <c r="C284" s="71" t="s">
        <v>472</v>
      </c>
      <c r="D284" s="1197">
        <f>D274*F72%</f>
        <v>1.3572300417246947E-3</v>
      </c>
      <c r="E284" s="1197">
        <f t="shared" ref="E284:J284" si="10">E274*$F$73%</f>
        <v>0</v>
      </c>
      <c r="F284" s="1197">
        <f t="shared" si="10"/>
        <v>0</v>
      </c>
      <c r="G284" s="1197">
        <f t="shared" si="10"/>
        <v>0</v>
      </c>
      <c r="H284" s="1197">
        <f t="shared" si="10"/>
        <v>0</v>
      </c>
      <c r="I284" s="1197">
        <f t="shared" si="10"/>
        <v>0</v>
      </c>
      <c r="J284" s="1197">
        <f t="shared" si="10"/>
        <v>0</v>
      </c>
      <c r="K284" s="71">
        <v>5.0000000000000001E-3</v>
      </c>
      <c r="L284" s="67"/>
    </row>
    <row r="285" spans="2:12" ht="15.75" hidden="1" x14ac:dyDescent="0.25">
      <c r="B285" s="1195"/>
      <c r="C285" s="71"/>
      <c r="D285" s="95"/>
      <c r="E285" s="95"/>
      <c r="F285" s="95"/>
      <c r="G285" s="95"/>
      <c r="H285" s="95"/>
      <c r="I285" s="1197"/>
      <c r="J285" s="1197"/>
      <c r="K285" s="66"/>
      <c r="L285" s="67"/>
    </row>
    <row r="286" spans="2:12" ht="15.75" hidden="1" x14ac:dyDescent="0.25">
      <c r="B286" s="89" t="s">
        <v>334</v>
      </c>
      <c r="C286" s="71" t="s">
        <v>472</v>
      </c>
      <c r="D286" s="95">
        <f>D274*G72%</f>
        <v>5.9265711821978345E-2</v>
      </c>
      <c r="E286" s="95">
        <f t="shared" ref="E286:J286" si="11">E274*$G$73%</f>
        <v>1.0093993911810798E-2</v>
      </c>
      <c r="F286" s="1197">
        <f t="shared" si="11"/>
        <v>4.4909501641023373E-3</v>
      </c>
      <c r="G286" s="1197">
        <f t="shared" si="11"/>
        <v>1.3598928999051818E-3</v>
      </c>
      <c r="H286" s="1197">
        <f t="shared" si="11"/>
        <v>1.84836921042495E-4</v>
      </c>
      <c r="I286" s="1197">
        <f t="shared" si="11"/>
        <v>1.32342E-4</v>
      </c>
      <c r="J286" s="1197">
        <f t="shared" si="11"/>
        <v>3.0911999999999997E-6</v>
      </c>
      <c r="K286" s="89">
        <v>0</v>
      </c>
      <c r="L286" s="67"/>
    </row>
    <row r="287" spans="2:12" ht="15.75" hidden="1" x14ac:dyDescent="0.25">
      <c r="B287" s="66"/>
      <c r="C287" s="66"/>
      <c r="D287" s="95"/>
      <c r="E287" s="95"/>
      <c r="F287" s="95"/>
      <c r="G287" s="95"/>
      <c r="H287" s="95"/>
      <c r="I287" s="1165"/>
      <c r="J287" s="1165"/>
      <c r="K287" s="66"/>
      <c r="L287" s="67"/>
    </row>
    <row r="288" spans="2:12" ht="17.25" hidden="1" x14ac:dyDescent="0.3">
      <c r="B288" s="1199" t="s">
        <v>1450</v>
      </c>
      <c r="C288" s="71" t="s">
        <v>472</v>
      </c>
      <c r="D288" s="95">
        <f>SUM(D278,D280,D282,D284,D286)</f>
        <v>6.6051862030601816E-2</v>
      </c>
      <c r="E288" s="1197">
        <f t="shared" ref="E288:J288" si="12">SUM(E278,E280,E282,E284,E286)</f>
        <v>1.0093993911810798E-2</v>
      </c>
      <c r="F288" s="1197">
        <f t="shared" si="12"/>
        <v>4.4909501641023373E-3</v>
      </c>
      <c r="G288" s="1197">
        <f t="shared" si="12"/>
        <v>1.3598928999051818E-3</v>
      </c>
      <c r="H288" s="1197">
        <f t="shared" si="12"/>
        <v>1.84836921042495E-4</v>
      </c>
      <c r="I288" s="1197">
        <f t="shared" si="12"/>
        <v>1.32342E-4</v>
      </c>
      <c r="J288" s="1197">
        <f t="shared" si="12"/>
        <v>3.0911999999999997E-6</v>
      </c>
      <c r="K288" s="1198" t="s">
        <v>476</v>
      </c>
      <c r="L288" s="1202" t="s">
        <v>1451</v>
      </c>
    </row>
    <row r="289" spans="2:12" ht="15.75" hidden="1" x14ac:dyDescent="0.25">
      <c r="B289" s="66"/>
      <c r="C289" s="66"/>
      <c r="D289" s="66"/>
      <c r="E289" s="66"/>
      <c r="F289" s="66"/>
      <c r="G289" s="66"/>
      <c r="H289" s="66"/>
      <c r="I289" s="1159"/>
      <c r="J289" s="1159"/>
      <c r="K289" s="66"/>
      <c r="L289" s="67"/>
    </row>
    <row r="290" spans="2:12" ht="17.25" hidden="1" x14ac:dyDescent="0.3">
      <c r="B290" s="1200" t="s">
        <v>1480</v>
      </c>
      <c r="C290" s="71" t="s">
        <v>472</v>
      </c>
      <c r="D290" s="1201">
        <f>((D278*$K$278)+(D280*$K$280)+(D282*$K$282)+(D284*$K$284))*44/28</f>
        <v>1.0663950327836889E-5</v>
      </c>
      <c r="E290" s="1201">
        <f t="shared" ref="E290:J290" si="13">((E278*$K$278)+(E280*$K$280)+(E282*$K$282)+(E284*$K$284))*44/28</f>
        <v>0</v>
      </c>
      <c r="F290" s="1201">
        <f t="shared" si="13"/>
        <v>0</v>
      </c>
      <c r="G290" s="1201">
        <f t="shared" si="13"/>
        <v>0</v>
      </c>
      <c r="H290" s="1201">
        <f t="shared" si="13"/>
        <v>0</v>
      </c>
      <c r="I290" s="1201">
        <f t="shared" si="13"/>
        <v>0</v>
      </c>
      <c r="J290" s="1201">
        <f t="shared" si="13"/>
        <v>0</v>
      </c>
      <c r="K290" s="1203" t="s">
        <v>1499</v>
      </c>
      <c r="L290" s="1206" t="s">
        <v>1447</v>
      </c>
    </row>
    <row r="291" spans="2:12" ht="15.75" hidden="1" x14ac:dyDescent="0.25">
      <c r="B291" s="66"/>
      <c r="C291" s="71"/>
      <c r="D291" s="66"/>
      <c r="E291" s="66"/>
      <c r="F291" s="66"/>
      <c r="G291" s="66"/>
      <c r="H291" s="66"/>
      <c r="I291" s="1159"/>
      <c r="J291" s="1159"/>
      <c r="K291" s="66"/>
      <c r="L291" s="67"/>
    </row>
    <row r="292" spans="2:12" s="1204" customFormat="1" ht="15.75" hidden="1" x14ac:dyDescent="0.25">
      <c r="B292" s="1205"/>
      <c r="C292" s="1208" t="s">
        <v>1438</v>
      </c>
      <c r="D292" s="1205"/>
      <c r="E292" s="1205"/>
      <c r="F292" s="1205"/>
      <c r="G292" s="1205"/>
      <c r="H292" s="1205"/>
      <c r="I292" s="1205"/>
      <c r="J292" s="1205"/>
      <c r="K292" s="1210" t="s">
        <v>1453</v>
      </c>
      <c r="L292" s="1212" t="s">
        <v>1454</v>
      </c>
    </row>
    <row r="293" spans="2:12" s="1204" customFormat="1" ht="15.75" hidden="1" x14ac:dyDescent="0.25">
      <c r="B293" s="1214" t="s">
        <v>1462</v>
      </c>
      <c r="C293" s="1213" t="s">
        <v>472</v>
      </c>
      <c r="D293" s="1181">
        <f>D278*$K293</f>
        <v>1.9001220584145724E-3</v>
      </c>
      <c r="E293" s="1181">
        <f>E278*$K293</f>
        <v>0</v>
      </c>
      <c r="F293" s="1181">
        <f t="shared" ref="F293:J293" si="14">F278*$K293</f>
        <v>0</v>
      </c>
      <c r="G293" s="1181">
        <f t="shared" si="14"/>
        <v>0</v>
      </c>
      <c r="H293" s="1181">
        <f t="shared" si="14"/>
        <v>0</v>
      </c>
      <c r="I293" s="1181">
        <f t="shared" si="14"/>
        <v>0</v>
      </c>
      <c r="J293" s="1181">
        <f t="shared" si="14"/>
        <v>0</v>
      </c>
      <c r="K293" s="1209">
        <v>0.35</v>
      </c>
      <c r="L293" s="1206"/>
    </row>
    <row r="294" spans="2:12" s="1204" customFormat="1" ht="15.75" hidden="1" x14ac:dyDescent="0.25">
      <c r="B294" s="1211"/>
      <c r="C294" s="1211"/>
      <c r="D294" s="1205"/>
      <c r="E294" s="1211"/>
      <c r="F294" s="1211"/>
      <c r="G294" s="1211"/>
      <c r="H294" s="1211"/>
      <c r="I294" s="1211"/>
      <c r="J294" s="1211"/>
      <c r="K294" s="1209"/>
      <c r="L294" s="1206"/>
    </row>
    <row r="295" spans="2:12" s="1204" customFormat="1" ht="15.75" hidden="1" x14ac:dyDescent="0.25">
      <c r="B295" s="1214" t="s">
        <v>1461</v>
      </c>
      <c r="C295" s="1213" t="s">
        <v>472</v>
      </c>
      <c r="D295" s="1181">
        <f t="shared" ref="D295:J295" si="15">D280*$K295</f>
        <v>0</v>
      </c>
      <c r="E295" s="1181">
        <f t="shared" si="15"/>
        <v>0</v>
      </c>
      <c r="F295" s="1181">
        <f>F280*$K295</f>
        <v>0</v>
      </c>
      <c r="G295" s="1181">
        <f t="shared" si="15"/>
        <v>0</v>
      </c>
      <c r="H295" s="1181">
        <f t="shared" si="15"/>
        <v>0</v>
      </c>
      <c r="I295" s="1181">
        <f t="shared" si="15"/>
        <v>0</v>
      </c>
      <c r="J295" s="1181">
        <f t="shared" si="15"/>
        <v>0</v>
      </c>
      <c r="K295" s="1209">
        <v>7.0000000000000007E-2</v>
      </c>
      <c r="L295" s="1206"/>
    </row>
    <row r="296" spans="2:12" s="1204" customFormat="1" ht="15.75" hidden="1" x14ac:dyDescent="0.25">
      <c r="B296" s="1211"/>
      <c r="C296" s="1211"/>
      <c r="D296" s="1205"/>
      <c r="E296" s="1211"/>
      <c r="F296" s="1211"/>
      <c r="G296" s="1211"/>
      <c r="H296" s="1211"/>
      <c r="I296" s="1211"/>
      <c r="J296" s="1211"/>
      <c r="K296" s="1209"/>
      <c r="L296" s="1206"/>
    </row>
    <row r="297" spans="2:12" s="1204" customFormat="1" ht="15.75" hidden="1" x14ac:dyDescent="0.25">
      <c r="B297" s="1214" t="s">
        <v>1463</v>
      </c>
      <c r="C297" s="1213" t="s">
        <v>472</v>
      </c>
      <c r="D297" s="1181">
        <f t="shared" ref="D297:J297" si="16">D282*$K297</f>
        <v>0</v>
      </c>
      <c r="E297" s="1181">
        <f t="shared" si="16"/>
        <v>0</v>
      </c>
      <c r="F297" s="1181">
        <f t="shared" si="16"/>
        <v>0</v>
      </c>
      <c r="G297" s="1181">
        <f t="shared" si="16"/>
        <v>0</v>
      </c>
      <c r="H297" s="1181">
        <f t="shared" si="16"/>
        <v>0</v>
      </c>
      <c r="I297" s="1181">
        <f t="shared" si="16"/>
        <v>0</v>
      </c>
      <c r="J297" s="1181">
        <f t="shared" si="16"/>
        <v>0</v>
      </c>
      <c r="K297" s="1209">
        <v>0.2</v>
      </c>
      <c r="L297" s="1206"/>
    </row>
    <row r="298" spans="2:12" s="1204" customFormat="1" ht="15.75" hidden="1" x14ac:dyDescent="0.25">
      <c r="B298" s="1211"/>
      <c r="C298" s="1213"/>
      <c r="D298" s="1205"/>
      <c r="E298" s="1211"/>
      <c r="F298" s="1211"/>
      <c r="G298" s="1211"/>
      <c r="H298" s="1211"/>
      <c r="I298" s="1211"/>
      <c r="J298" s="1211"/>
      <c r="K298" s="1209"/>
      <c r="L298" s="1206"/>
    </row>
    <row r="299" spans="2:12" s="1204" customFormat="1" ht="15.75" hidden="1" x14ac:dyDescent="0.25">
      <c r="B299" s="1214" t="s">
        <v>1464</v>
      </c>
      <c r="C299" s="1213" t="s">
        <v>472</v>
      </c>
      <c r="D299" s="1181">
        <f t="shared" ref="D299:J299" si="17">D284*$K299</f>
        <v>4.0716901251740842E-4</v>
      </c>
      <c r="E299" s="1181">
        <f t="shared" si="17"/>
        <v>0</v>
      </c>
      <c r="F299" s="1181">
        <f t="shared" si="17"/>
        <v>0</v>
      </c>
      <c r="G299" s="1181">
        <f t="shared" si="17"/>
        <v>0</v>
      </c>
      <c r="H299" s="1181">
        <f t="shared" si="17"/>
        <v>0</v>
      </c>
      <c r="I299" s="1181">
        <f t="shared" si="17"/>
        <v>0</v>
      </c>
      <c r="J299" s="1181">
        <f t="shared" si="17"/>
        <v>0</v>
      </c>
      <c r="K299" s="1209">
        <v>0.3</v>
      </c>
      <c r="L299" s="1206"/>
    </row>
    <row r="300" spans="2:12" s="1204" customFormat="1" ht="15.75" hidden="1" x14ac:dyDescent="0.25">
      <c r="B300" s="1211"/>
      <c r="C300" s="1213"/>
      <c r="D300" s="1205"/>
      <c r="E300" s="1211"/>
      <c r="F300" s="1211"/>
      <c r="G300" s="1211"/>
      <c r="H300" s="1211"/>
      <c r="I300" s="1211"/>
      <c r="J300" s="1211"/>
      <c r="K300" s="1209"/>
      <c r="L300" s="1206"/>
    </row>
    <row r="301" spans="2:12" s="1204" customFormat="1" ht="15.75" hidden="1" x14ac:dyDescent="0.25">
      <c r="B301" s="1214" t="s">
        <v>334</v>
      </c>
      <c r="C301" s="1213" t="s">
        <v>472</v>
      </c>
      <c r="D301" s="1181">
        <f t="shared" ref="D301:J301" si="18">D286*$K301</f>
        <v>0</v>
      </c>
      <c r="E301" s="1181">
        <f t="shared" si="18"/>
        <v>0</v>
      </c>
      <c r="F301" s="1181">
        <f t="shared" si="18"/>
        <v>0</v>
      </c>
      <c r="G301" s="1181">
        <f t="shared" si="18"/>
        <v>0</v>
      </c>
      <c r="H301" s="1181">
        <f t="shared" si="18"/>
        <v>0</v>
      </c>
      <c r="I301" s="1181">
        <f t="shared" si="18"/>
        <v>0</v>
      </c>
      <c r="J301" s="1181">
        <f t="shared" si="18"/>
        <v>0</v>
      </c>
      <c r="K301" s="1209">
        <v>0</v>
      </c>
      <c r="L301" s="1226" t="s">
        <v>1439</v>
      </c>
    </row>
    <row r="302" spans="2:12" s="1204" customFormat="1" ht="15.75" hidden="1" x14ac:dyDescent="0.25">
      <c r="B302" s="1205"/>
      <c r="C302" s="1207"/>
      <c r="D302" s="1205"/>
      <c r="E302" s="1205"/>
      <c r="F302" s="1205"/>
      <c r="G302" s="1205"/>
      <c r="H302" s="1205"/>
      <c r="I302" s="1205"/>
      <c r="J302" s="1205"/>
      <c r="K302" s="1205"/>
      <c r="L302" s="1226"/>
    </row>
    <row r="303" spans="2:12" s="1204" customFormat="1" ht="15.75" hidden="1" x14ac:dyDescent="0.25">
      <c r="B303" s="1216" t="s">
        <v>1455</v>
      </c>
      <c r="C303" s="1217"/>
      <c r="D303" s="1216" t="s">
        <v>1456</v>
      </c>
      <c r="E303" s="1215"/>
      <c r="F303" s="1215"/>
      <c r="G303" s="1215"/>
      <c r="H303" s="1215"/>
      <c r="I303" s="1215"/>
      <c r="J303" s="1215"/>
      <c r="K303" s="1216" t="s">
        <v>1457</v>
      </c>
      <c r="L303" s="1226"/>
    </row>
    <row r="304" spans="2:12" s="1204" customFormat="1" ht="15.75" hidden="1" x14ac:dyDescent="0.25">
      <c r="B304" s="1215"/>
      <c r="C304" s="1217"/>
      <c r="D304" s="1215">
        <f>SUM(D293:D299)*$K$304*44/28</f>
        <v>1.4502972445858165E-5</v>
      </c>
      <c r="E304" s="1220">
        <f t="shared" ref="E304:J304" si="19">SUM(E293:E299)*$K$304*44/28</f>
        <v>0</v>
      </c>
      <c r="F304" s="1220">
        <f t="shared" si="19"/>
        <v>0</v>
      </c>
      <c r="G304" s="1220">
        <f t="shared" si="19"/>
        <v>0</v>
      </c>
      <c r="H304" s="1220">
        <f t="shared" si="19"/>
        <v>0</v>
      </c>
      <c r="I304" s="1220">
        <f t="shared" si="19"/>
        <v>0</v>
      </c>
      <c r="J304" s="1220">
        <f t="shared" si="19"/>
        <v>0</v>
      </c>
      <c r="K304" s="1215">
        <v>4.0000000000000001E-3</v>
      </c>
      <c r="L304" s="1226" t="s">
        <v>1458</v>
      </c>
    </row>
    <row r="305" spans="2:15" s="1204" customFormat="1" ht="15.75" hidden="1" x14ac:dyDescent="0.25">
      <c r="B305" s="1215"/>
      <c r="C305" s="1207"/>
      <c r="D305" s="1205"/>
      <c r="E305" s="1205"/>
      <c r="F305" s="1205"/>
      <c r="G305" s="1205"/>
      <c r="H305" s="1205"/>
      <c r="I305" s="1205"/>
      <c r="J305" s="1205"/>
      <c r="K305" s="1205"/>
      <c r="L305" s="1206"/>
    </row>
    <row r="306" spans="2:15" s="1204" customFormat="1" ht="15.75" hidden="1" x14ac:dyDescent="0.25">
      <c r="B306" s="1224" t="s">
        <v>1460</v>
      </c>
      <c r="C306" s="1207"/>
      <c r="D306" s="1205">
        <f>SUM(D304:J304)*298*10^3</f>
        <v>4.3218857888657336</v>
      </c>
      <c r="E306" s="1205"/>
      <c r="F306" s="1205"/>
      <c r="G306" s="1205"/>
      <c r="H306" s="1205"/>
      <c r="I306" s="1205"/>
      <c r="J306" s="1205"/>
      <c r="K306" s="1205" t="s">
        <v>1468</v>
      </c>
      <c r="L306" s="1206"/>
    </row>
    <row r="307" spans="2:15" s="1204" customFormat="1" ht="15.75" hidden="1" x14ac:dyDescent="0.25">
      <c r="B307" s="1205"/>
      <c r="C307" s="1207"/>
      <c r="D307" s="1205"/>
      <c r="E307" s="1205"/>
      <c r="F307" s="1205"/>
      <c r="G307" s="1205"/>
      <c r="H307" s="1205"/>
      <c r="I307" s="1205"/>
      <c r="J307" s="1205"/>
      <c r="K307" s="1205"/>
      <c r="L307" s="1206"/>
    </row>
    <row r="308" spans="2:15" s="1228" customFormat="1" ht="17.25" hidden="1" x14ac:dyDescent="0.3">
      <c r="B308" s="1231" t="s">
        <v>1459</v>
      </c>
      <c r="C308" s="1232"/>
      <c r="D308" s="1231" t="s">
        <v>1510</v>
      </c>
      <c r="E308" s="1229"/>
      <c r="F308" s="1229"/>
      <c r="G308" s="1229"/>
      <c r="H308" s="1229"/>
      <c r="I308" s="1229"/>
      <c r="J308" s="1229"/>
      <c r="K308" s="1231" t="s">
        <v>1466</v>
      </c>
      <c r="L308" s="1230" t="s">
        <v>1500</v>
      </c>
    </row>
    <row r="309" spans="2:15" s="1228" customFormat="1" ht="15.75" hidden="1" x14ac:dyDescent="0.25">
      <c r="B309" s="1229"/>
      <c r="C309" s="1232"/>
      <c r="D309" s="1229"/>
      <c r="E309" s="1229"/>
      <c r="F309" s="1229"/>
      <c r="G309" s="1229"/>
      <c r="H309" s="1229"/>
      <c r="I309" s="1229"/>
      <c r="J309" s="1229"/>
      <c r="K309" s="1229">
        <v>1</v>
      </c>
      <c r="L309" s="1230"/>
    </row>
    <row r="310" spans="2:15" s="1204" customFormat="1" ht="15.75" hidden="1" x14ac:dyDescent="0.25">
      <c r="B310" s="1433" t="s">
        <v>1522</v>
      </c>
      <c r="C310" s="1232"/>
      <c r="D310" s="1229">
        <f t="shared" ref="D310:J310" si="20">D284*$K$309*$K$311</f>
        <v>4.0716901251740842E-4</v>
      </c>
      <c r="E310" s="1229">
        <f t="shared" si="20"/>
        <v>0</v>
      </c>
      <c r="F310" s="1229">
        <f t="shared" si="20"/>
        <v>0</v>
      </c>
      <c r="G310" s="1229">
        <f t="shared" si="20"/>
        <v>0</v>
      </c>
      <c r="H310" s="1229">
        <f t="shared" si="20"/>
        <v>0</v>
      </c>
      <c r="I310" s="1229">
        <f t="shared" si="20"/>
        <v>0</v>
      </c>
      <c r="J310" s="1229">
        <f t="shared" si="20"/>
        <v>0</v>
      </c>
      <c r="K310" s="1231" t="s">
        <v>1467</v>
      </c>
      <c r="L310" s="1230"/>
    </row>
    <row r="311" spans="2:15" ht="15.75" hidden="1" x14ac:dyDescent="0.25">
      <c r="B311" s="1231"/>
      <c r="C311" s="1234"/>
      <c r="D311" s="1229"/>
      <c r="E311" s="1229"/>
      <c r="F311" s="1229"/>
      <c r="G311" s="1229"/>
      <c r="H311" s="1229"/>
      <c r="I311" s="1229"/>
      <c r="J311" s="1229"/>
      <c r="K311" s="1233">
        <v>0.3</v>
      </c>
      <c r="L311" s="1230"/>
    </row>
    <row r="312" spans="2:15" s="1261" customFormat="1" ht="15.75" hidden="1" x14ac:dyDescent="0.25">
      <c r="B312" s="1231"/>
      <c r="C312" s="1287"/>
      <c r="D312" s="1231" t="s">
        <v>1513</v>
      </c>
      <c r="E312" s="1286"/>
      <c r="F312" s="1286"/>
      <c r="G312" s="1286"/>
      <c r="H312" s="1286"/>
      <c r="I312" s="1286"/>
      <c r="J312" s="1286"/>
      <c r="K312" s="1291" t="s">
        <v>1475</v>
      </c>
      <c r="L312" s="1230"/>
    </row>
    <row r="313" spans="2:15" s="1261" customFormat="1" ht="15.75" hidden="1" x14ac:dyDescent="0.25">
      <c r="B313" s="1231"/>
      <c r="C313" s="1287"/>
      <c r="D313" s="1286">
        <f t="shared" ref="D313:J313" si="21">D310*$K$313*44/28</f>
        <v>4.7987776475265991E-6</v>
      </c>
      <c r="E313" s="1442">
        <f t="shared" si="21"/>
        <v>0</v>
      </c>
      <c r="F313" s="1442">
        <f t="shared" si="21"/>
        <v>0</v>
      </c>
      <c r="G313" s="1442">
        <f t="shared" si="21"/>
        <v>0</v>
      </c>
      <c r="H313" s="1442">
        <f t="shared" si="21"/>
        <v>0</v>
      </c>
      <c r="I313" s="1442">
        <f t="shared" si="21"/>
        <v>0</v>
      </c>
      <c r="J313" s="1442">
        <f t="shared" si="21"/>
        <v>0</v>
      </c>
      <c r="K313" s="1157">
        <v>7.4999999999999997E-3</v>
      </c>
      <c r="L313" s="1230"/>
    </row>
    <row r="314" spans="2:15" ht="15.75" hidden="1" x14ac:dyDescent="0.25">
      <c r="B314" s="1231"/>
      <c r="C314" s="1235"/>
      <c r="D314" s="1229"/>
      <c r="E314" s="1229"/>
      <c r="F314" s="1229"/>
      <c r="G314" s="1229"/>
      <c r="H314" s="1229"/>
      <c r="I314" s="1229"/>
      <c r="J314" s="1229"/>
      <c r="K314" s="1229"/>
      <c r="L314" s="1230"/>
    </row>
    <row r="315" spans="2:15" ht="15.75" hidden="1" x14ac:dyDescent="0.25">
      <c r="B315" s="1236" t="s">
        <v>1469</v>
      </c>
      <c r="C315" s="1239"/>
      <c r="D315" s="1236">
        <f>SUM(D313:J313)*298*10^3</f>
        <v>1.4300357389629266</v>
      </c>
      <c r="E315" s="1237"/>
      <c r="F315" s="1990"/>
      <c r="G315" s="1237"/>
      <c r="H315" s="1237"/>
      <c r="I315" s="1237"/>
      <c r="J315" s="1237"/>
      <c r="K315" s="1237" t="s">
        <v>1468</v>
      </c>
      <c r="L315" s="1238" t="s">
        <v>1501</v>
      </c>
    </row>
    <row r="316" spans="2:15" ht="15.75" hidden="1" x14ac:dyDescent="0.25">
      <c r="B316" s="1225"/>
      <c r="C316" s="1225"/>
      <c r="D316" s="1225"/>
      <c r="E316" s="1225"/>
      <c r="F316" s="1225"/>
      <c r="G316" s="1225"/>
      <c r="H316" s="1225"/>
      <c r="I316" s="1225"/>
      <c r="J316" s="1225"/>
      <c r="K316" s="1225"/>
      <c r="L316" s="1225"/>
      <c r="N316" s="62"/>
      <c r="O316" s="62"/>
    </row>
    <row r="317" spans="2:15" ht="15.75" hidden="1" x14ac:dyDescent="0.25">
      <c r="B317" s="100" t="s">
        <v>282</v>
      </c>
      <c r="C317" s="101"/>
      <c r="D317" s="102"/>
      <c r="E317" s="102"/>
      <c r="F317" s="102"/>
      <c r="G317" s="102"/>
      <c r="H317" s="102"/>
      <c r="I317" s="1227"/>
      <c r="J317" s="1227"/>
      <c r="K317" s="103" t="s">
        <v>252</v>
      </c>
      <c r="L317" s="104" t="s">
        <v>267</v>
      </c>
      <c r="M317" s="105"/>
      <c r="N317" s="62"/>
      <c r="O317" s="62"/>
    </row>
    <row r="318" spans="2:15" ht="15.75" hidden="1" x14ac:dyDescent="0.25">
      <c r="B318" s="106" t="s">
        <v>340</v>
      </c>
      <c r="C318" s="107"/>
      <c r="D318" s="107"/>
      <c r="E318" s="107"/>
      <c r="F318" s="107"/>
      <c r="G318" s="107"/>
      <c r="H318" s="107"/>
      <c r="I318" s="1166"/>
      <c r="J318" s="1166"/>
      <c r="K318" s="107"/>
      <c r="L318" s="108"/>
      <c r="M318" s="105"/>
      <c r="N318" s="62"/>
      <c r="O318" s="62"/>
    </row>
    <row r="319" spans="2:15" ht="15.75" hidden="1" x14ac:dyDescent="0.25">
      <c r="B319" s="106" t="s">
        <v>898</v>
      </c>
      <c r="C319" s="106" t="s">
        <v>341</v>
      </c>
      <c r="D319" s="107"/>
      <c r="E319" s="107"/>
      <c r="F319" s="107"/>
      <c r="G319" s="107"/>
      <c r="H319" s="107"/>
      <c r="I319" s="1166"/>
      <c r="J319" s="1166"/>
      <c r="K319" s="107"/>
      <c r="L319" s="1240" t="s">
        <v>1472</v>
      </c>
      <c r="M319" s="105"/>
      <c r="N319" s="62"/>
      <c r="O319" s="62"/>
    </row>
    <row r="320" spans="2:15" ht="15.75" hidden="1" x14ac:dyDescent="0.25">
      <c r="B320" s="107"/>
      <c r="C320" s="107" t="s">
        <v>343</v>
      </c>
      <c r="D320" s="107"/>
      <c r="E320" s="107"/>
      <c r="F320" s="107"/>
      <c r="G320" s="107"/>
      <c r="H320" s="107"/>
      <c r="I320" s="1166"/>
      <c r="J320" s="1166"/>
      <c r="K320" s="107" t="s">
        <v>344</v>
      </c>
      <c r="L320" s="1240"/>
      <c r="M320" s="105"/>
      <c r="N320" s="62"/>
      <c r="O320" s="62"/>
    </row>
    <row r="321" spans="2:15" ht="15.75" hidden="1" x14ac:dyDescent="0.25">
      <c r="B321" s="107"/>
      <c r="C321" s="107" t="s">
        <v>345</v>
      </c>
      <c r="D321" s="107"/>
      <c r="E321" s="107"/>
      <c r="F321" s="107"/>
      <c r="G321" s="107"/>
      <c r="H321" s="107"/>
      <c r="I321" s="1166"/>
      <c r="J321" s="1166"/>
      <c r="K321" s="107"/>
      <c r="L321" s="1240" t="s">
        <v>346</v>
      </c>
      <c r="M321" s="105"/>
      <c r="N321" s="62"/>
      <c r="O321" s="62"/>
    </row>
    <row r="322" spans="2:15" ht="15.75" hidden="1" x14ac:dyDescent="0.25">
      <c r="B322" s="107"/>
      <c r="C322" s="107"/>
      <c r="D322" s="107"/>
      <c r="E322" s="107"/>
      <c r="F322" s="107"/>
      <c r="G322" s="107"/>
      <c r="H322" s="107"/>
      <c r="I322" s="1166"/>
      <c r="J322" s="1166"/>
      <c r="K322" s="107"/>
      <c r="L322" s="1240"/>
      <c r="M322" s="105"/>
      <c r="N322" s="62"/>
      <c r="O322" s="62"/>
    </row>
    <row r="323" spans="2:15" ht="15.75" hidden="1" x14ac:dyDescent="0.25">
      <c r="B323" s="109" t="s">
        <v>339</v>
      </c>
      <c r="C323" s="110"/>
      <c r="D323" s="122">
        <f>IF($T$171="1",($C$44*G44*10^-6),(G44*10^-3))</f>
        <v>0.05</v>
      </c>
      <c r="E323" s="107"/>
      <c r="F323" s="107"/>
      <c r="G323" s="107"/>
      <c r="H323" s="107"/>
      <c r="I323" s="1166"/>
      <c r="J323" s="1166"/>
      <c r="K323" s="107" t="s">
        <v>952</v>
      </c>
      <c r="L323" s="1240"/>
      <c r="M323" s="105"/>
      <c r="N323" s="62"/>
      <c r="O323" s="62"/>
    </row>
    <row r="324" spans="2:15" ht="15.75" hidden="1" x14ac:dyDescent="0.25">
      <c r="B324" s="109" t="s">
        <v>951</v>
      </c>
      <c r="C324" s="110"/>
      <c r="D324" s="122">
        <f>IF($T$171="1",($C$45*G45)*10^-6,(G45*10^-3))</f>
        <v>5.0000000000000001E-3</v>
      </c>
      <c r="E324" s="107"/>
      <c r="F324" s="107"/>
      <c r="G324" s="107"/>
      <c r="H324" s="107"/>
      <c r="I324" s="1166"/>
      <c r="J324" s="1166"/>
      <c r="K324" s="107" t="s">
        <v>952</v>
      </c>
      <c r="L324" s="1240"/>
      <c r="M324" s="62"/>
      <c r="N324" s="62"/>
      <c r="O324" s="62"/>
    </row>
    <row r="325" spans="2:15" ht="15.75" hidden="1" x14ac:dyDescent="0.25">
      <c r="B325" s="107"/>
      <c r="C325" s="107"/>
      <c r="D325" s="122"/>
      <c r="E325" s="107"/>
      <c r="F325" s="107"/>
      <c r="G325" s="107"/>
      <c r="H325" s="107"/>
      <c r="I325" s="1166"/>
      <c r="J325" s="1166"/>
      <c r="K325" s="107"/>
      <c r="L325" s="1240"/>
      <c r="M325" s="62"/>
      <c r="N325" s="62"/>
      <c r="O325" s="62"/>
    </row>
    <row r="326" spans="2:15" ht="15.75" hidden="1" x14ac:dyDescent="0.25">
      <c r="B326" s="106" t="s">
        <v>347</v>
      </c>
      <c r="C326" s="106" t="s">
        <v>348</v>
      </c>
      <c r="D326" s="107"/>
      <c r="E326" s="107"/>
      <c r="F326" s="107"/>
      <c r="G326" s="107"/>
      <c r="H326" s="107"/>
      <c r="I326" s="1166"/>
      <c r="J326" s="1166"/>
      <c r="K326" s="107" t="s">
        <v>953</v>
      </c>
      <c r="L326" s="1240" t="s">
        <v>1471</v>
      </c>
      <c r="M326" s="62"/>
      <c r="N326" s="62"/>
      <c r="O326" s="62"/>
    </row>
    <row r="327" spans="2:15" ht="15.75" hidden="1" x14ac:dyDescent="0.25">
      <c r="B327" s="107"/>
      <c r="C327" s="107" t="s">
        <v>351</v>
      </c>
      <c r="D327" s="107"/>
      <c r="E327" s="107"/>
      <c r="F327" s="107"/>
      <c r="G327" s="107"/>
      <c r="H327" s="107"/>
      <c r="I327" s="1166"/>
      <c r="J327" s="1166"/>
      <c r="K327" s="107" t="s">
        <v>352</v>
      </c>
      <c r="L327" s="1240" t="s">
        <v>1470</v>
      </c>
      <c r="M327" s="62"/>
      <c r="N327" s="62"/>
      <c r="O327" s="62"/>
    </row>
    <row r="328" spans="2:15" ht="15.75" hidden="1" x14ac:dyDescent="0.25">
      <c r="B328" s="107"/>
      <c r="C328" s="107"/>
      <c r="D328" s="107"/>
      <c r="E328" s="107"/>
      <c r="F328" s="107"/>
      <c r="G328" s="107"/>
      <c r="H328" s="107"/>
      <c r="I328" s="1166"/>
      <c r="J328" s="1166"/>
      <c r="K328" s="107"/>
      <c r="L328" s="108"/>
      <c r="M328" s="62"/>
      <c r="N328" s="62"/>
      <c r="O328" s="62"/>
    </row>
    <row r="329" spans="2:15" ht="15.75" hidden="1" x14ac:dyDescent="0.25">
      <c r="B329" s="422" t="s">
        <v>354</v>
      </c>
      <c r="C329" s="423" t="s">
        <v>355</v>
      </c>
      <c r="D329" s="107"/>
      <c r="E329" s="112" t="s">
        <v>339</v>
      </c>
      <c r="F329" s="107"/>
      <c r="G329" s="122">
        <f>D323*$C$330*44/28</f>
        <v>3.1428571428571432E-4</v>
      </c>
      <c r="H329" s="424"/>
      <c r="I329" s="1173"/>
      <c r="J329" s="1173"/>
      <c r="K329" s="107" t="s">
        <v>953</v>
      </c>
      <c r="L329" s="108"/>
      <c r="M329" s="62"/>
      <c r="N329" s="62"/>
      <c r="O329" s="62"/>
    </row>
    <row r="330" spans="2:15" ht="15.75" hidden="1" x14ac:dyDescent="0.25">
      <c r="B330" s="425" t="s">
        <v>356</v>
      </c>
      <c r="C330" s="1439">
        <v>4.0000000000000001E-3</v>
      </c>
      <c r="D330" s="107"/>
      <c r="E330" s="112" t="s">
        <v>338</v>
      </c>
      <c r="F330" s="107"/>
      <c r="G330" s="122">
        <f>D324*$C$330*44/28</f>
        <v>3.1428571428571431E-5</v>
      </c>
      <c r="H330" s="424"/>
      <c r="I330" s="1173"/>
      <c r="J330" s="1173"/>
      <c r="K330" s="107" t="s">
        <v>953</v>
      </c>
      <c r="L330" s="108"/>
      <c r="M330" s="62"/>
      <c r="N330" s="62"/>
      <c r="O330" s="62"/>
    </row>
    <row r="331" spans="2:15" ht="15.75" hidden="1" x14ac:dyDescent="0.25">
      <c r="B331" s="425" t="s">
        <v>357</v>
      </c>
      <c r="C331" s="1439">
        <v>8.5000000000000006E-3</v>
      </c>
      <c r="D331" s="107"/>
      <c r="E331" s="109"/>
      <c r="F331" s="107"/>
      <c r="G331" s="111"/>
      <c r="H331" s="424"/>
      <c r="I331" s="1173"/>
      <c r="J331" s="1173"/>
      <c r="K331" s="107"/>
      <c r="L331" s="108"/>
      <c r="M331" s="62"/>
      <c r="N331" s="62"/>
      <c r="O331" s="62"/>
    </row>
    <row r="332" spans="2:15" ht="15.75" hidden="1" x14ac:dyDescent="0.25">
      <c r="B332" s="426" t="s">
        <v>358</v>
      </c>
      <c r="C332" s="1439">
        <v>2E-3</v>
      </c>
      <c r="D332" s="107"/>
      <c r="E332" s="109"/>
      <c r="F332" s="107"/>
      <c r="G332" s="111"/>
      <c r="H332" s="424"/>
      <c r="I332" s="1173"/>
      <c r="J332" s="1173"/>
      <c r="K332" s="107"/>
      <c r="L332" s="108"/>
      <c r="M332" s="62"/>
      <c r="N332" s="62"/>
      <c r="O332" s="62"/>
    </row>
    <row r="333" spans="2:15" ht="15.75" hidden="1" x14ac:dyDescent="0.25">
      <c r="B333" s="426" t="s">
        <v>359</v>
      </c>
      <c r="C333" s="1439">
        <v>2E-3</v>
      </c>
      <c r="D333" s="107"/>
      <c r="E333" s="107"/>
      <c r="F333" s="107"/>
      <c r="G333" s="111"/>
      <c r="H333" s="424"/>
      <c r="I333" s="1173"/>
      <c r="J333" s="1173"/>
      <c r="K333" s="107"/>
      <c r="L333" s="108"/>
      <c r="M333" s="62"/>
      <c r="N333" s="62"/>
      <c r="O333" s="62"/>
    </row>
    <row r="334" spans="2:15" ht="15.75" hidden="1" x14ac:dyDescent="0.25">
      <c r="B334" s="425" t="s">
        <v>360</v>
      </c>
      <c r="C334" s="1439">
        <v>1.9900000000000001E-2</v>
      </c>
      <c r="D334" s="107"/>
      <c r="E334" s="107"/>
      <c r="F334" s="107"/>
      <c r="G334" s="111"/>
      <c r="H334" s="107"/>
      <c r="I334" s="1166"/>
      <c r="J334" s="1166"/>
      <c r="K334" s="107"/>
      <c r="L334" s="108"/>
      <c r="M334" s="62"/>
      <c r="N334" s="62"/>
      <c r="O334" s="62"/>
    </row>
    <row r="335" spans="2:15" ht="15.75" hidden="1" x14ac:dyDescent="0.25">
      <c r="B335" s="425" t="s">
        <v>361</v>
      </c>
      <c r="C335" s="1439">
        <v>5.4999999999999997E-3</v>
      </c>
      <c r="D335" s="107"/>
      <c r="E335" s="112"/>
      <c r="F335" s="107"/>
      <c r="G335" s="113"/>
      <c r="H335" s="427"/>
      <c r="I335" s="1174"/>
      <c r="J335" s="1174"/>
      <c r="K335" s="107"/>
      <c r="L335" s="108"/>
      <c r="M335" s="62"/>
      <c r="N335" s="62"/>
      <c r="O335" s="62"/>
    </row>
    <row r="336" spans="2:15" ht="15.75" hidden="1" x14ac:dyDescent="0.25">
      <c r="B336" s="428" t="s">
        <v>362</v>
      </c>
      <c r="C336" s="429">
        <v>8.5000000000000006E-3</v>
      </c>
      <c r="D336" s="107"/>
      <c r="E336" s="109"/>
      <c r="F336" s="107"/>
      <c r="G336" s="113"/>
      <c r="H336" s="427"/>
      <c r="I336" s="1174"/>
      <c r="J336" s="1174"/>
      <c r="K336" s="107"/>
      <c r="L336" s="108"/>
      <c r="M336" s="62"/>
      <c r="N336" s="62"/>
      <c r="O336" s="62"/>
    </row>
    <row r="337" spans="2:22" ht="15.75" hidden="1" x14ac:dyDescent="0.25">
      <c r="B337" s="107"/>
      <c r="C337" s="107"/>
      <c r="D337" s="107"/>
      <c r="E337" s="109"/>
      <c r="F337" s="107"/>
      <c r="G337" s="113"/>
      <c r="H337" s="427"/>
      <c r="I337" s="1174"/>
      <c r="J337" s="1174"/>
      <c r="K337" s="107"/>
      <c r="L337" s="108"/>
      <c r="M337" s="62"/>
      <c r="N337" s="62"/>
      <c r="O337" s="62"/>
    </row>
    <row r="338" spans="2:22" ht="15.75" hidden="1" x14ac:dyDescent="0.25">
      <c r="B338" s="107"/>
      <c r="C338" s="107"/>
      <c r="D338" s="107"/>
      <c r="E338" s="109"/>
      <c r="F338" s="107"/>
      <c r="G338" s="113"/>
      <c r="H338" s="427"/>
      <c r="I338" s="1174"/>
      <c r="J338" s="1174"/>
      <c r="K338" s="107"/>
      <c r="L338" s="108"/>
      <c r="M338" s="62"/>
      <c r="N338" s="62"/>
      <c r="O338" s="62"/>
    </row>
    <row r="339" spans="2:22" ht="15.75" hidden="1" x14ac:dyDescent="0.25">
      <c r="B339" s="107"/>
      <c r="C339" s="107"/>
      <c r="D339" s="107"/>
      <c r="E339" s="107"/>
      <c r="F339" s="107"/>
      <c r="G339" s="111"/>
      <c r="H339" s="430"/>
      <c r="I339" s="1175"/>
      <c r="J339" s="1175"/>
      <c r="K339" s="107"/>
      <c r="L339" s="108"/>
      <c r="M339" s="62"/>
      <c r="N339" s="62"/>
      <c r="O339" s="62"/>
    </row>
    <row r="340" spans="2:22" ht="15.75" hidden="1" x14ac:dyDescent="0.25">
      <c r="B340" s="107"/>
      <c r="C340" s="107"/>
      <c r="D340" s="107"/>
      <c r="E340" s="107"/>
      <c r="F340" s="107"/>
      <c r="G340" s="107"/>
      <c r="H340" s="107"/>
      <c r="I340" s="1166"/>
      <c r="J340" s="1166"/>
      <c r="K340" s="107"/>
      <c r="L340" s="108"/>
      <c r="M340" s="62"/>
      <c r="N340" s="62"/>
      <c r="O340" s="62"/>
    </row>
    <row r="341" spans="2:22" ht="15.75" hidden="1" x14ac:dyDescent="0.25">
      <c r="B341" s="106" t="s">
        <v>363</v>
      </c>
      <c r="C341" s="126">
        <f>SUM(G329:G330)</f>
        <v>3.4571428571428573E-4</v>
      </c>
      <c r="D341" s="107"/>
      <c r="E341" s="107"/>
      <c r="F341" s="107"/>
      <c r="G341" s="107"/>
      <c r="H341" s="107"/>
      <c r="I341" s="1166"/>
      <c r="J341" s="1166"/>
      <c r="K341" s="107" t="s">
        <v>336</v>
      </c>
      <c r="L341" s="108"/>
      <c r="M341" s="62"/>
      <c r="N341" s="62"/>
      <c r="O341" s="62"/>
    </row>
    <row r="342" spans="2:22" ht="15.75" hidden="1" x14ac:dyDescent="0.25">
      <c r="B342" s="106" t="s">
        <v>363</v>
      </c>
      <c r="C342" s="144">
        <f>C341*298</f>
        <v>0.10302285714285715</v>
      </c>
      <c r="D342" s="107"/>
      <c r="E342" s="107"/>
      <c r="F342" s="107"/>
      <c r="G342" s="107"/>
      <c r="H342" s="107"/>
      <c r="I342" s="1166"/>
      <c r="J342" s="1166"/>
      <c r="K342" s="107" t="s">
        <v>302</v>
      </c>
      <c r="L342" s="108"/>
      <c r="M342" s="62"/>
      <c r="N342" s="62"/>
      <c r="O342" s="62"/>
    </row>
    <row r="343" spans="2:22" ht="15.75" hidden="1" x14ac:dyDescent="0.25">
      <c r="B343" s="106" t="s">
        <v>363</v>
      </c>
      <c r="C343" s="114">
        <f>C342*10^3</f>
        <v>103.02285714285715</v>
      </c>
      <c r="D343" s="107"/>
      <c r="E343" s="109"/>
      <c r="F343" s="109"/>
      <c r="G343" s="109"/>
      <c r="H343" s="109"/>
      <c r="I343" s="1167"/>
      <c r="J343" s="1167"/>
      <c r="K343" s="107" t="s">
        <v>303</v>
      </c>
      <c r="L343" s="108"/>
      <c r="M343" s="62"/>
      <c r="N343" s="62"/>
      <c r="O343" s="62"/>
    </row>
    <row r="344" spans="2:22" ht="15.75" hidden="1" x14ac:dyDescent="0.25">
      <c r="B344" s="107"/>
      <c r="C344" s="107"/>
      <c r="D344" s="107"/>
      <c r="E344" s="109"/>
      <c r="F344" s="109"/>
      <c r="G344" s="109"/>
      <c r="H344" s="109"/>
      <c r="I344" s="1167"/>
      <c r="J344" s="1167"/>
      <c r="K344" s="109"/>
      <c r="L344" s="108"/>
      <c r="M344" s="62"/>
      <c r="N344" s="62"/>
      <c r="O344" s="62"/>
    </row>
    <row r="345" spans="2:22" ht="15.75" hidden="1" x14ac:dyDescent="0.25">
      <c r="B345" s="106" t="s">
        <v>364</v>
      </c>
      <c r="C345" s="107"/>
      <c r="D345" s="107"/>
      <c r="E345" s="109"/>
      <c r="F345" s="109"/>
      <c r="G345" s="115"/>
      <c r="H345" s="115"/>
      <c r="I345" s="1170"/>
      <c r="J345" s="1170"/>
      <c r="K345" s="109"/>
      <c r="L345" s="108"/>
      <c r="M345" s="62"/>
      <c r="N345" s="62"/>
      <c r="O345" s="62"/>
    </row>
    <row r="346" spans="2:22" ht="17.25" hidden="1" x14ac:dyDescent="0.3">
      <c r="B346" s="106" t="s">
        <v>365</v>
      </c>
      <c r="C346" s="1252" t="s">
        <v>1502</v>
      </c>
      <c r="D346" s="107"/>
      <c r="E346" s="109"/>
      <c r="F346" s="109"/>
      <c r="G346" s="109"/>
      <c r="H346" s="109"/>
      <c r="I346" s="1167"/>
      <c r="J346" s="1167"/>
      <c r="K346" s="109"/>
      <c r="L346" s="1241" t="s">
        <v>1476</v>
      </c>
      <c r="M346" s="62"/>
      <c r="N346" s="62"/>
      <c r="O346" s="62"/>
    </row>
    <row r="347" spans="2:22" ht="15.75" hidden="1" x14ac:dyDescent="0.25">
      <c r="B347" s="109"/>
      <c r="C347" s="1259" t="s">
        <v>1503</v>
      </c>
      <c r="D347" s="109"/>
      <c r="E347" s="109"/>
      <c r="F347" s="109"/>
      <c r="G347" s="109"/>
      <c r="H347" s="109"/>
      <c r="I347" s="1167"/>
      <c r="J347" s="1167"/>
      <c r="K347" s="109"/>
      <c r="L347" s="108"/>
      <c r="M347" s="62"/>
      <c r="N347" s="62"/>
      <c r="O347" s="62"/>
    </row>
    <row r="348" spans="2:22" ht="15.75" hidden="1" x14ac:dyDescent="0.25">
      <c r="B348" s="109"/>
      <c r="C348" s="1258" t="s">
        <v>1504</v>
      </c>
      <c r="D348" s="109"/>
      <c r="E348" s="109"/>
      <c r="F348" s="109"/>
      <c r="G348" s="109"/>
      <c r="H348" s="109"/>
      <c r="I348" s="1167"/>
      <c r="J348" s="1167"/>
      <c r="K348" s="109"/>
      <c r="L348" s="108"/>
      <c r="M348" s="62"/>
      <c r="N348" s="62"/>
      <c r="O348" s="62"/>
    </row>
    <row r="349" spans="2:22" ht="15.75" hidden="1" x14ac:dyDescent="0.25">
      <c r="B349" s="107"/>
      <c r="C349" s="1258" t="s">
        <v>1478</v>
      </c>
      <c r="D349" s="109"/>
      <c r="E349" s="116"/>
      <c r="F349" s="107"/>
      <c r="G349" s="107"/>
      <c r="H349" s="107"/>
      <c r="I349" s="1166"/>
      <c r="J349" s="1166"/>
      <c r="K349" s="107"/>
      <c r="L349" s="108"/>
      <c r="M349" s="62"/>
      <c r="N349" s="62"/>
      <c r="O349" s="62"/>
    </row>
    <row r="350" spans="2:22" ht="15.75" hidden="1" x14ac:dyDescent="0.25">
      <c r="B350" s="107"/>
      <c r="C350" s="1258" t="s">
        <v>1479</v>
      </c>
      <c r="D350" s="109"/>
      <c r="E350" s="116"/>
      <c r="F350" s="107"/>
      <c r="G350" s="107"/>
      <c r="H350" s="107"/>
      <c r="I350" s="1166"/>
      <c r="J350" s="1166"/>
      <c r="K350" s="107"/>
      <c r="L350" s="108"/>
      <c r="M350" s="62"/>
      <c r="N350" s="62"/>
      <c r="O350" s="62"/>
    </row>
    <row r="351" spans="2:22" s="1250" customFormat="1" ht="15.75" hidden="1" x14ac:dyDescent="0.25">
      <c r="B351" s="1253"/>
      <c r="C351" s="1255"/>
      <c r="D351" s="1255"/>
      <c r="E351" s="1256"/>
      <c r="F351" s="1253"/>
      <c r="G351" s="1253"/>
      <c r="H351" s="1253"/>
      <c r="I351" s="1253"/>
      <c r="J351" s="1253"/>
      <c r="K351" s="1253"/>
      <c r="L351" s="1254"/>
      <c r="M351" s="1251"/>
      <c r="N351" s="1251"/>
      <c r="O351" s="1251"/>
    </row>
    <row r="352" spans="2:22" ht="15.75" hidden="1" x14ac:dyDescent="0.25">
      <c r="B352" s="1258"/>
      <c r="C352" s="107"/>
      <c r="D352" s="117" t="str">
        <f>D15</f>
        <v>Milking Cows</v>
      </c>
      <c r="E352" s="117" t="str">
        <f>E15</f>
        <v xml:space="preserve">Heifers &gt;1 </v>
      </c>
      <c r="F352" s="117" t="str">
        <f>F15</f>
        <v xml:space="preserve">Heifers &lt;1 </v>
      </c>
      <c r="G352" s="117" t="str">
        <f>G15</f>
        <v>Mature bulls</v>
      </c>
      <c r="H352" s="117" t="str">
        <f>H15</f>
        <v>Immature bulls</v>
      </c>
      <c r="I352" s="1260" t="s">
        <v>1400</v>
      </c>
      <c r="J352" s="1260" t="s">
        <v>1401</v>
      </c>
      <c r="K352" s="107"/>
      <c r="L352" s="108"/>
      <c r="M352" s="62"/>
      <c r="N352" s="119"/>
      <c r="O352" s="120"/>
      <c r="U352" s="62"/>
      <c r="V352" s="62"/>
    </row>
    <row r="353" spans="2:22" ht="15.75" hidden="1" x14ac:dyDescent="0.25">
      <c r="B353" s="1473" t="s">
        <v>1525</v>
      </c>
      <c r="C353" s="110" t="s">
        <v>478</v>
      </c>
      <c r="D353" s="122">
        <f>((D$274*C72%)*(1-$K278-$K293))-0</f>
        <v>3.5287981084842065E-3</v>
      </c>
      <c r="E353" s="1467">
        <f t="shared" ref="E353:J353" si="22">((E$274*$C$73%)*(1-$K278-$K293))-0</f>
        <v>0</v>
      </c>
      <c r="F353" s="1467">
        <f t="shared" si="22"/>
        <v>0</v>
      </c>
      <c r="G353" s="1467">
        <f t="shared" si="22"/>
        <v>0</v>
      </c>
      <c r="H353" s="1467">
        <f t="shared" si="22"/>
        <v>0</v>
      </c>
      <c r="I353" s="1467">
        <f t="shared" si="22"/>
        <v>0</v>
      </c>
      <c r="J353" s="1467">
        <f t="shared" si="22"/>
        <v>0</v>
      </c>
      <c r="K353" s="107"/>
      <c r="L353" s="2017"/>
      <c r="M353" s="61"/>
      <c r="N353" s="119"/>
      <c r="O353" s="121"/>
      <c r="U353" s="62"/>
      <c r="V353" s="62"/>
    </row>
    <row r="354" spans="2:22" ht="15.75" hidden="1" x14ac:dyDescent="0.25">
      <c r="B354" s="1474"/>
      <c r="C354" s="107"/>
      <c r="D354" s="122"/>
      <c r="E354" s="122"/>
      <c r="F354" s="122"/>
      <c r="G354" s="122"/>
      <c r="H354" s="1467"/>
      <c r="I354" s="1467"/>
      <c r="J354" s="1467"/>
      <c r="K354" s="118"/>
      <c r="L354" s="108"/>
      <c r="M354" s="61"/>
      <c r="N354" s="61"/>
      <c r="O354" s="121"/>
      <c r="U354" s="62"/>
      <c r="V354" s="62"/>
    </row>
    <row r="355" spans="2:22" ht="15.75" hidden="1" x14ac:dyDescent="0.25">
      <c r="B355" s="1473" t="s">
        <v>1526</v>
      </c>
      <c r="C355" s="110" t="s">
        <v>478</v>
      </c>
      <c r="D355" s="1467">
        <f>(($D$274*D72%)*(1-$K280-$K295))-0</f>
        <v>0</v>
      </c>
      <c r="E355" s="1467">
        <f t="shared" ref="E355:J355" si="23">((E$274*$D$73%)*(1-$K280-$K295))-0</f>
        <v>0</v>
      </c>
      <c r="F355" s="1467">
        <f t="shared" si="23"/>
        <v>0</v>
      </c>
      <c r="G355" s="1467">
        <f t="shared" si="23"/>
        <v>0</v>
      </c>
      <c r="H355" s="1467">
        <f t="shared" si="23"/>
        <v>0</v>
      </c>
      <c r="I355" s="1467">
        <f t="shared" si="23"/>
        <v>0</v>
      </c>
      <c r="J355" s="1467">
        <f t="shared" si="23"/>
        <v>0</v>
      </c>
      <c r="K355" s="107"/>
      <c r="L355" s="2017"/>
      <c r="M355" s="62"/>
      <c r="N355" s="124"/>
      <c r="O355" s="121"/>
      <c r="P355" s="62"/>
      <c r="Q355" s="62"/>
      <c r="R355" s="62"/>
      <c r="S355" s="62"/>
      <c r="T355" s="62"/>
      <c r="U355" s="62"/>
      <c r="V355" s="62"/>
    </row>
    <row r="356" spans="2:22" ht="15.75" hidden="1" x14ac:dyDescent="0.25">
      <c r="B356" s="1474"/>
      <c r="C356" s="107"/>
      <c r="D356" s="122"/>
      <c r="E356" s="122"/>
      <c r="F356" s="122"/>
      <c r="G356" s="122"/>
      <c r="H356" s="1467"/>
      <c r="I356" s="1467"/>
      <c r="J356" s="1467"/>
      <c r="K356" s="107"/>
      <c r="L356" s="123"/>
      <c r="M356" s="62"/>
      <c r="N356" s="124"/>
      <c r="O356" s="121"/>
      <c r="P356" s="62"/>
      <c r="Q356" s="62"/>
      <c r="R356" s="62"/>
      <c r="S356" s="62"/>
      <c r="T356" s="62"/>
      <c r="U356" s="62"/>
      <c r="V356" s="62"/>
    </row>
    <row r="357" spans="2:22" ht="15.75" hidden="1" x14ac:dyDescent="0.25">
      <c r="B357" s="1473" t="s">
        <v>1527</v>
      </c>
      <c r="C357" s="110" t="s">
        <v>478</v>
      </c>
      <c r="D357" s="1467">
        <f>(($D$274*E72%)*(1-$K282-$K297))-0</f>
        <v>0</v>
      </c>
      <c r="E357" s="1467">
        <f t="shared" ref="E357:J357" si="24">((E$274*$E$73%)*(1-$K282-$K297))-0</f>
        <v>0</v>
      </c>
      <c r="F357" s="1467">
        <f t="shared" si="24"/>
        <v>0</v>
      </c>
      <c r="G357" s="1467">
        <f t="shared" si="24"/>
        <v>0</v>
      </c>
      <c r="H357" s="1467">
        <f t="shared" si="24"/>
        <v>0</v>
      </c>
      <c r="I357" s="1467">
        <f t="shared" si="24"/>
        <v>0</v>
      </c>
      <c r="J357" s="1467">
        <f t="shared" si="24"/>
        <v>0</v>
      </c>
      <c r="K357" s="107"/>
      <c r="L357" s="2017"/>
      <c r="M357" s="62"/>
      <c r="N357" s="124"/>
      <c r="O357" s="124"/>
      <c r="P357" s="62"/>
      <c r="Q357" s="62"/>
      <c r="R357" s="62"/>
      <c r="S357" s="62"/>
      <c r="T357" s="62"/>
      <c r="U357" s="62"/>
      <c r="V357" s="62"/>
    </row>
    <row r="358" spans="2:22" ht="15.75" hidden="1" x14ac:dyDescent="0.25">
      <c r="B358" s="1474"/>
      <c r="C358" s="110"/>
      <c r="D358" s="122"/>
      <c r="E358" s="617"/>
      <c r="F358" s="617"/>
      <c r="G358" s="617"/>
      <c r="H358" s="1464"/>
      <c r="I358" s="1464"/>
      <c r="J358" s="1464"/>
      <c r="K358" s="107"/>
      <c r="L358" s="123"/>
      <c r="M358" s="62"/>
      <c r="N358" s="124"/>
      <c r="O358" s="124"/>
      <c r="P358" s="62"/>
      <c r="Q358" s="62"/>
      <c r="R358" s="62"/>
      <c r="S358" s="62"/>
      <c r="T358" s="62"/>
      <c r="U358" s="62"/>
      <c r="V358" s="62"/>
    </row>
    <row r="359" spans="2:22" ht="15.75" hidden="1" x14ac:dyDescent="0.25">
      <c r="B359" s="1473" t="s">
        <v>1528</v>
      </c>
      <c r="C359" s="110" t="s">
        <v>478</v>
      </c>
      <c r="D359" s="1467">
        <f>(($D$274*F72%)*(1-$K284-$K299))-D310</f>
        <v>5.3610586648125452E-4</v>
      </c>
      <c r="E359" s="1467">
        <f t="shared" ref="E359:J359" si="25">((E$274*$F$73%)*(1-$K284-$K299))-E310</f>
        <v>0</v>
      </c>
      <c r="F359" s="1467">
        <f t="shared" si="25"/>
        <v>0</v>
      </c>
      <c r="G359" s="1467">
        <f t="shared" si="25"/>
        <v>0</v>
      </c>
      <c r="H359" s="1467">
        <f t="shared" si="25"/>
        <v>0</v>
      </c>
      <c r="I359" s="1467">
        <f t="shared" si="25"/>
        <v>0</v>
      </c>
      <c r="J359" s="1467">
        <f t="shared" si="25"/>
        <v>0</v>
      </c>
      <c r="K359" s="107"/>
      <c r="L359" s="2017"/>
      <c r="M359" s="62"/>
      <c r="N359" s="910"/>
      <c r="O359" s="62"/>
      <c r="P359" s="62"/>
      <c r="Q359" s="62"/>
      <c r="R359" s="62"/>
      <c r="S359" s="62"/>
      <c r="T359" s="62"/>
      <c r="U359" s="62"/>
      <c r="V359" s="62"/>
    </row>
    <row r="360" spans="2:22" ht="15.75" hidden="1" x14ac:dyDescent="0.25">
      <c r="B360" s="1474"/>
      <c r="C360" s="107"/>
      <c r="D360" s="107"/>
      <c r="E360" s="107"/>
      <c r="F360" s="107"/>
      <c r="G360" s="107"/>
      <c r="H360" s="107"/>
      <c r="I360" s="1166"/>
      <c r="J360" s="1166"/>
      <c r="K360" s="107"/>
      <c r="L360" s="123"/>
      <c r="M360" s="61"/>
      <c r="N360" s="121"/>
      <c r="O360" s="62"/>
      <c r="P360" s="62"/>
      <c r="Q360" s="62"/>
      <c r="R360" s="62"/>
      <c r="S360" s="62"/>
      <c r="T360" s="62"/>
      <c r="U360" s="62"/>
      <c r="V360" s="62"/>
    </row>
    <row r="361" spans="2:22" s="1261" customFormat="1" ht="15.75" hidden="1" x14ac:dyDescent="0.25">
      <c r="B361" s="1473" t="s">
        <v>1529</v>
      </c>
      <c r="C361" s="1267" t="s">
        <v>478</v>
      </c>
      <c r="D361" s="1622">
        <f t="shared" ref="D361:J361" si="26">SUM(D353:D359)</f>
        <v>4.0649039749654607E-3</v>
      </c>
      <c r="E361" s="135">
        <f t="shared" si="26"/>
        <v>0</v>
      </c>
      <c r="F361" s="135">
        <f t="shared" si="26"/>
        <v>0</v>
      </c>
      <c r="G361" s="135">
        <f t="shared" si="26"/>
        <v>0</v>
      </c>
      <c r="H361" s="135">
        <f t="shared" si="26"/>
        <v>0</v>
      </c>
      <c r="I361" s="135">
        <f t="shared" si="26"/>
        <v>0</v>
      </c>
      <c r="J361" s="135">
        <f t="shared" si="26"/>
        <v>0</v>
      </c>
      <c r="K361" s="2012"/>
      <c r="L361" s="2017"/>
      <c r="M361" s="1262"/>
      <c r="N361" s="1265"/>
      <c r="O361" s="1263"/>
      <c r="P361" s="1263"/>
      <c r="Q361" s="1263"/>
      <c r="R361" s="1263"/>
      <c r="S361" s="1263"/>
      <c r="T361" s="1263"/>
      <c r="U361" s="1263"/>
      <c r="V361" s="1263"/>
    </row>
    <row r="362" spans="2:22" s="1261" customFormat="1" ht="15.75" hidden="1" x14ac:dyDescent="0.25">
      <c r="B362" s="1264"/>
      <c r="C362" s="1264"/>
      <c r="D362" s="1264"/>
      <c r="E362" s="1264"/>
      <c r="F362" s="1264"/>
      <c r="G362" s="1264"/>
      <c r="H362" s="1264"/>
      <c r="I362" s="1264"/>
      <c r="J362" s="1264"/>
      <c r="K362" s="1264"/>
      <c r="L362" s="1266"/>
      <c r="M362" s="1262"/>
      <c r="N362" s="1265"/>
      <c r="O362" s="1263"/>
      <c r="P362" s="1263"/>
      <c r="Q362" s="1263"/>
      <c r="R362" s="1263"/>
      <c r="S362" s="1263"/>
      <c r="T362" s="1263"/>
      <c r="U362" s="1263"/>
      <c r="V362" s="1263"/>
    </row>
    <row r="363" spans="2:22" ht="15.75" hidden="1" x14ac:dyDescent="0.25">
      <c r="B363" s="1257" t="s">
        <v>368</v>
      </c>
      <c r="C363" s="106" t="s">
        <v>369</v>
      </c>
      <c r="D363" s="107"/>
      <c r="E363" s="107"/>
      <c r="F363" s="107"/>
      <c r="G363" s="107"/>
      <c r="H363" s="107"/>
      <c r="I363" s="1166"/>
      <c r="J363" s="1166"/>
      <c r="K363" s="110"/>
      <c r="L363" s="1281" t="s">
        <v>1481</v>
      </c>
      <c r="M363" s="61"/>
      <c r="N363" s="127"/>
      <c r="O363" s="62"/>
      <c r="P363" s="62"/>
      <c r="Q363" s="62"/>
      <c r="R363" s="62"/>
      <c r="S363" s="62"/>
      <c r="T363" s="62"/>
      <c r="U363" s="62"/>
      <c r="V363" s="62"/>
    </row>
    <row r="364" spans="2:22" ht="15.75" hidden="1" x14ac:dyDescent="0.25">
      <c r="B364" s="107"/>
      <c r="C364" s="107" t="s">
        <v>371</v>
      </c>
      <c r="D364" s="126">
        <v>0.01</v>
      </c>
      <c r="E364" s="107"/>
      <c r="F364" s="107"/>
      <c r="G364" s="107"/>
      <c r="H364" s="107"/>
      <c r="I364" s="1166"/>
      <c r="J364" s="1166"/>
      <c r="K364" s="107"/>
      <c r="L364" s="123"/>
      <c r="M364" s="61"/>
      <c r="N364" s="910"/>
      <c r="O364" s="62"/>
      <c r="P364" s="62"/>
      <c r="Q364" s="62"/>
      <c r="R364" s="62"/>
      <c r="S364" s="62"/>
      <c r="T364" s="62"/>
      <c r="U364" s="62"/>
      <c r="V364" s="62"/>
    </row>
    <row r="365" spans="2:22" ht="15.75" hidden="1" x14ac:dyDescent="0.25">
      <c r="B365" s="107"/>
      <c r="C365" s="110" t="s">
        <v>478</v>
      </c>
      <c r="D365" s="113">
        <f>D361*$D$364*44/28</f>
        <v>6.3877062463742957E-5</v>
      </c>
      <c r="E365" s="1268">
        <f t="shared" ref="E365:J365" si="27">E361*$D$364*44/28</f>
        <v>0</v>
      </c>
      <c r="F365" s="1268">
        <f t="shared" si="27"/>
        <v>0</v>
      </c>
      <c r="G365" s="1268">
        <f t="shared" si="27"/>
        <v>0</v>
      </c>
      <c r="H365" s="1268">
        <f t="shared" si="27"/>
        <v>0</v>
      </c>
      <c r="I365" s="1268">
        <f t="shared" si="27"/>
        <v>0</v>
      </c>
      <c r="J365" s="1268">
        <f t="shared" si="27"/>
        <v>0</v>
      </c>
      <c r="K365" s="110" t="s">
        <v>335</v>
      </c>
      <c r="L365" s="2017"/>
      <c r="M365" s="61"/>
      <c r="N365" s="61"/>
      <c r="O365" s="61"/>
      <c r="P365" s="62"/>
      <c r="Q365" s="62"/>
      <c r="R365" s="62"/>
      <c r="S365" s="62"/>
      <c r="T365" s="62"/>
      <c r="U365" s="62"/>
      <c r="V365" s="62"/>
    </row>
    <row r="366" spans="2:22" ht="15.75" hidden="1" x14ac:dyDescent="0.25">
      <c r="B366" s="107"/>
      <c r="C366" s="107"/>
      <c r="D366" s="107"/>
      <c r="E366" s="107"/>
      <c r="F366" s="107"/>
      <c r="G366" s="107"/>
      <c r="H366" s="107"/>
      <c r="I366" s="1166"/>
      <c r="J366" s="1166"/>
      <c r="K366" s="107"/>
      <c r="L366" s="123"/>
      <c r="M366" s="128"/>
      <c r="N366" s="61"/>
      <c r="O366" s="61"/>
      <c r="P366" s="62"/>
      <c r="Q366" s="62"/>
      <c r="R366" s="62"/>
      <c r="S366" s="62"/>
      <c r="T366" s="62"/>
      <c r="U366" s="62"/>
      <c r="V366" s="62"/>
    </row>
    <row r="367" spans="2:22" ht="15.75" hidden="1" x14ac:dyDescent="0.25">
      <c r="B367" s="106" t="s">
        <v>372</v>
      </c>
      <c r="C367" s="106" t="s">
        <v>373</v>
      </c>
      <c r="D367" s="107"/>
      <c r="E367" s="107"/>
      <c r="F367" s="107"/>
      <c r="G367" s="107"/>
      <c r="H367" s="107"/>
      <c r="I367" s="1166"/>
      <c r="J367" s="1166"/>
      <c r="K367" s="107"/>
      <c r="L367" s="108" t="s">
        <v>374</v>
      </c>
      <c r="M367" s="128"/>
      <c r="N367" s="62"/>
      <c r="O367" s="62"/>
      <c r="P367" s="62"/>
      <c r="Q367" s="62"/>
      <c r="R367" s="62"/>
      <c r="S367" s="62"/>
      <c r="T367" s="62"/>
      <c r="U367" s="62"/>
      <c r="V367" s="62"/>
    </row>
    <row r="368" spans="2:22" ht="15.75" hidden="1" x14ac:dyDescent="0.25">
      <c r="B368" s="107"/>
      <c r="C368" s="107" t="s">
        <v>375</v>
      </c>
      <c r="D368" s="107"/>
      <c r="E368" s="107"/>
      <c r="F368" s="107"/>
      <c r="G368" s="107"/>
      <c r="H368" s="107"/>
      <c r="I368" s="1166"/>
      <c r="J368" s="1166"/>
      <c r="K368" s="110" t="s">
        <v>344</v>
      </c>
      <c r="L368" s="431" t="s">
        <v>376</v>
      </c>
      <c r="M368" s="105"/>
      <c r="N368" s="62"/>
      <c r="O368" s="62"/>
      <c r="P368" s="62"/>
      <c r="Q368" s="62"/>
      <c r="R368" s="62"/>
      <c r="S368" s="62"/>
      <c r="T368" s="62"/>
      <c r="U368" s="62"/>
      <c r="V368" s="62"/>
    </row>
    <row r="369" spans="2:22" ht="15.75" hidden="1" x14ac:dyDescent="0.25">
      <c r="B369" s="107"/>
      <c r="C369" s="107" t="s">
        <v>377</v>
      </c>
      <c r="D369" s="107"/>
      <c r="E369" s="107"/>
      <c r="F369" s="107"/>
      <c r="G369" s="107"/>
      <c r="H369" s="107"/>
      <c r="I369" s="1166"/>
      <c r="J369" s="1166"/>
      <c r="K369" s="110" t="s">
        <v>378</v>
      </c>
      <c r="L369" s="108"/>
      <c r="M369" s="105"/>
      <c r="N369" s="62"/>
      <c r="O369" s="62"/>
      <c r="P369" s="62"/>
      <c r="Q369" s="62"/>
      <c r="R369" s="62"/>
      <c r="S369" s="62"/>
      <c r="T369" s="62"/>
      <c r="U369" s="62"/>
      <c r="V369" s="62"/>
    </row>
    <row r="370" spans="2:22" ht="15.75" hidden="1" x14ac:dyDescent="0.25">
      <c r="B370" s="107"/>
      <c r="C370" s="107" t="s">
        <v>379</v>
      </c>
      <c r="D370" s="107"/>
      <c r="E370" s="107"/>
      <c r="F370" s="107"/>
      <c r="G370" s="107"/>
      <c r="H370" s="107"/>
      <c r="I370" s="1166"/>
      <c r="J370" s="1166"/>
      <c r="K370" s="107" t="s">
        <v>380</v>
      </c>
      <c r="L370" s="108"/>
      <c r="M370" s="105"/>
      <c r="N370" s="62"/>
      <c r="O370" s="62"/>
      <c r="P370" s="62"/>
      <c r="Q370" s="62"/>
      <c r="R370" s="62"/>
      <c r="S370" s="62"/>
      <c r="T370" s="62"/>
      <c r="U370" s="62"/>
      <c r="V370" s="62"/>
    </row>
    <row r="371" spans="2:22" ht="15.75" hidden="1" x14ac:dyDescent="0.25">
      <c r="B371" s="107"/>
      <c r="C371" s="107" t="s">
        <v>381</v>
      </c>
      <c r="D371" s="107"/>
      <c r="E371" s="107"/>
      <c r="F371" s="107"/>
      <c r="G371" s="107"/>
      <c r="H371" s="107"/>
      <c r="I371" s="1166"/>
      <c r="J371" s="1166"/>
      <c r="K371" s="107" t="s">
        <v>382</v>
      </c>
      <c r="L371" s="108"/>
      <c r="M371" s="105"/>
      <c r="N371" s="62"/>
      <c r="O371" s="62"/>
      <c r="P371" s="62"/>
      <c r="Q371" s="62"/>
      <c r="R371" s="62"/>
      <c r="S371" s="62"/>
      <c r="T371" s="62"/>
      <c r="U371" s="62"/>
      <c r="V371" s="62"/>
    </row>
    <row r="372" spans="2:22" ht="15.75" hidden="1" x14ac:dyDescent="0.25">
      <c r="B372" s="107"/>
      <c r="C372" s="107" t="s">
        <v>383</v>
      </c>
      <c r="D372" s="107"/>
      <c r="E372" s="107"/>
      <c r="F372" s="107"/>
      <c r="G372" s="107"/>
      <c r="H372" s="107"/>
      <c r="I372" s="1166"/>
      <c r="J372" s="1166"/>
      <c r="K372" s="107"/>
      <c r="L372" s="108"/>
      <c r="M372" s="62"/>
      <c r="N372" s="62"/>
      <c r="O372" s="62"/>
      <c r="P372" s="62"/>
      <c r="Q372" s="62"/>
      <c r="R372" s="62"/>
      <c r="S372" s="62"/>
      <c r="T372" s="62"/>
      <c r="U372" s="62"/>
      <c r="V372" s="62"/>
    </row>
    <row r="373" spans="2:22" ht="15.75" hidden="1" x14ac:dyDescent="0.25">
      <c r="B373" s="107"/>
      <c r="C373" s="107" t="s">
        <v>384</v>
      </c>
      <c r="D373" s="107"/>
      <c r="E373" s="107"/>
      <c r="F373" s="107"/>
      <c r="G373" s="107"/>
      <c r="H373" s="107"/>
      <c r="I373" s="1166"/>
      <c r="J373" s="1166"/>
      <c r="K373" s="107"/>
      <c r="L373" s="108"/>
      <c r="M373" s="62"/>
      <c r="N373" s="62"/>
      <c r="O373" s="62"/>
      <c r="P373" s="62"/>
      <c r="Q373" s="62"/>
      <c r="R373" s="62"/>
      <c r="S373" s="62"/>
      <c r="T373" s="62"/>
      <c r="U373" s="62"/>
      <c r="V373" s="62"/>
    </row>
    <row r="374" spans="2:22" ht="15.75" hidden="1" x14ac:dyDescent="0.25">
      <c r="B374" s="107"/>
      <c r="C374" s="107"/>
      <c r="D374" s="107"/>
      <c r="E374" s="107"/>
      <c r="F374" s="107"/>
      <c r="G374" s="107"/>
      <c r="H374" s="107"/>
      <c r="I374" s="1166"/>
      <c r="J374" s="1166"/>
      <c r="K374" s="107"/>
      <c r="L374" s="108"/>
      <c r="M374" s="62"/>
      <c r="N374" s="62"/>
      <c r="O374" s="62"/>
      <c r="P374" s="62"/>
      <c r="Q374" s="62"/>
      <c r="R374" s="62"/>
      <c r="S374" s="62"/>
      <c r="T374" s="62"/>
      <c r="U374" s="62"/>
      <c r="V374" s="62"/>
    </row>
    <row r="375" spans="2:22" ht="15.75" hidden="1" x14ac:dyDescent="0.25">
      <c r="B375" s="106" t="s">
        <v>385</v>
      </c>
      <c r="C375" s="106" t="s">
        <v>386</v>
      </c>
      <c r="D375" s="107"/>
      <c r="E375" s="107"/>
      <c r="F375" s="107"/>
      <c r="G375" s="107"/>
      <c r="H375" s="107"/>
      <c r="I375" s="1166"/>
      <c r="J375" s="1166"/>
      <c r="K375" s="107" t="s">
        <v>349</v>
      </c>
      <c r="L375" s="108" t="s">
        <v>387</v>
      </c>
      <c r="M375" s="62"/>
      <c r="N375" s="62"/>
      <c r="O375" s="62"/>
      <c r="P375" s="62"/>
      <c r="Q375" s="62"/>
      <c r="R375" s="62"/>
      <c r="S375" s="62"/>
      <c r="T375" s="62"/>
      <c r="U375" s="62"/>
      <c r="V375" s="62"/>
    </row>
    <row r="376" spans="2:22" ht="15.75" hidden="1" x14ac:dyDescent="0.25">
      <c r="B376" s="107"/>
      <c r="C376" s="107" t="s">
        <v>388</v>
      </c>
      <c r="D376" s="107"/>
      <c r="E376" s="107"/>
      <c r="F376" s="107"/>
      <c r="G376" s="107"/>
      <c r="H376" s="107"/>
      <c r="I376" s="1166"/>
      <c r="J376" s="1166"/>
      <c r="K376" s="107" t="s">
        <v>352</v>
      </c>
      <c r="L376" s="431" t="s">
        <v>376</v>
      </c>
      <c r="M376" s="62"/>
      <c r="N376" s="124"/>
      <c r="O376" s="62"/>
      <c r="P376" s="62"/>
      <c r="Q376" s="62"/>
      <c r="R376" s="62"/>
      <c r="S376" s="62"/>
      <c r="T376" s="62"/>
      <c r="U376" s="62"/>
      <c r="V376" s="62"/>
    </row>
    <row r="377" spans="2:22" ht="15.75" hidden="1" x14ac:dyDescent="0.25">
      <c r="B377" s="107"/>
      <c r="C377" s="107"/>
      <c r="D377" s="107"/>
      <c r="E377" s="107"/>
      <c r="F377" s="107"/>
      <c r="G377" s="107"/>
      <c r="H377" s="107"/>
      <c r="I377" s="1166"/>
      <c r="J377" s="1166"/>
      <c r="K377" s="107"/>
      <c r="L377" s="108"/>
      <c r="M377" s="62"/>
      <c r="N377" s="62"/>
      <c r="O377" s="62"/>
      <c r="P377" s="62"/>
      <c r="Q377" s="62"/>
      <c r="R377" s="62"/>
      <c r="S377" s="62"/>
      <c r="T377" s="62"/>
      <c r="U377" s="62"/>
      <c r="V377" s="62"/>
    </row>
    <row r="378" spans="2:22" ht="15.75" hidden="1" x14ac:dyDescent="0.25">
      <c r="B378" s="107"/>
      <c r="C378" s="107"/>
      <c r="D378" s="107"/>
      <c r="E378" s="107"/>
      <c r="F378" s="107"/>
      <c r="G378" s="107"/>
      <c r="H378" s="107"/>
      <c r="I378" s="1166"/>
      <c r="J378" s="1166"/>
      <c r="K378" s="107"/>
      <c r="L378" s="108"/>
      <c r="M378" s="62"/>
      <c r="N378" s="62"/>
      <c r="O378" s="62"/>
      <c r="P378" s="62"/>
      <c r="Q378" s="62"/>
      <c r="R378" s="62"/>
      <c r="S378" s="62"/>
      <c r="T378" s="62"/>
      <c r="U378" s="62"/>
      <c r="V378" s="62"/>
    </row>
    <row r="379" spans="2:22" ht="15.75" hidden="1" x14ac:dyDescent="0.25">
      <c r="B379" s="107" t="s">
        <v>389</v>
      </c>
      <c r="C379" s="107"/>
      <c r="D379" s="107"/>
      <c r="E379" s="107"/>
      <c r="F379" s="107"/>
      <c r="G379" s="107"/>
      <c r="H379" s="107"/>
      <c r="I379" s="1166"/>
      <c r="J379" s="1166"/>
      <c r="K379" s="107"/>
      <c r="L379" s="108"/>
      <c r="M379" s="62"/>
      <c r="N379" s="62"/>
      <c r="O379" s="62"/>
      <c r="P379" s="62"/>
      <c r="Q379" s="62"/>
      <c r="R379" s="62"/>
      <c r="S379" s="62"/>
      <c r="T379" s="62"/>
      <c r="U379" s="62"/>
      <c r="V379" s="62"/>
    </row>
    <row r="380" spans="2:22" ht="15.75" hidden="1" x14ac:dyDescent="0.25">
      <c r="B380" s="106" t="s">
        <v>390</v>
      </c>
      <c r="C380" s="106" t="s">
        <v>391</v>
      </c>
      <c r="D380" s="107"/>
      <c r="E380" s="107"/>
      <c r="F380" s="107"/>
      <c r="G380" s="107"/>
      <c r="H380" s="107"/>
      <c r="I380" s="1166"/>
      <c r="J380" s="1166"/>
      <c r="K380" s="107"/>
      <c r="L380" s="108" t="s">
        <v>392</v>
      </c>
      <c r="M380" s="62"/>
      <c r="N380" s="62"/>
      <c r="O380" s="62"/>
      <c r="P380" s="62"/>
      <c r="Q380" s="62"/>
      <c r="R380" s="62"/>
      <c r="S380" s="62"/>
      <c r="T380" s="62"/>
      <c r="U380" s="62"/>
      <c r="V380" s="62"/>
    </row>
    <row r="381" spans="2:22" ht="15.75" hidden="1" x14ac:dyDescent="0.25">
      <c r="B381" s="107"/>
      <c r="C381" s="107" t="s">
        <v>393</v>
      </c>
      <c r="D381" s="107"/>
      <c r="E381" s="107"/>
      <c r="F381" s="107"/>
      <c r="G381" s="107"/>
      <c r="H381" s="107"/>
      <c r="I381" s="1166"/>
      <c r="J381" s="1166"/>
      <c r="K381" s="107"/>
      <c r="L381" s="431" t="s">
        <v>376</v>
      </c>
      <c r="M381" s="62"/>
      <c r="N381" s="62"/>
      <c r="O381" s="129"/>
      <c r="P381" s="62"/>
      <c r="Q381" s="62"/>
      <c r="R381" s="62"/>
      <c r="S381" s="62"/>
      <c r="T381" s="62"/>
      <c r="U381" s="62"/>
      <c r="V381" s="62"/>
    </row>
    <row r="382" spans="2:22" ht="15.75" hidden="1" x14ac:dyDescent="0.25">
      <c r="B382" s="107"/>
      <c r="C382" s="107" t="s">
        <v>394</v>
      </c>
      <c r="D382" s="107"/>
      <c r="E382" s="107"/>
      <c r="F382" s="107"/>
      <c r="G382" s="107"/>
      <c r="H382" s="107"/>
      <c r="I382" s="1166"/>
      <c r="J382" s="1166"/>
      <c r="K382" s="107"/>
      <c r="L382" s="108"/>
      <c r="M382" s="62"/>
      <c r="N382" s="62"/>
      <c r="O382" s="62"/>
      <c r="P382" s="62"/>
      <c r="Q382" s="62"/>
      <c r="R382" s="62"/>
      <c r="S382" s="62"/>
      <c r="T382" s="62"/>
      <c r="U382" s="62"/>
      <c r="V382" s="62"/>
    </row>
    <row r="383" spans="2:22" ht="15.75" hidden="1" x14ac:dyDescent="0.25">
      <c r="B383" s="107"/>
      <c r="C383" s="107" t="s">
        <v>395</v>
      </c>
      <c r="D383" s="107"/>
      <c r="E383" s="107"/>
      <c r="F383" s="107"/>
      <c r="G383" s="107"/>
      <c r="H383" s="107"/>
      <c r="I383" s="1166"/>
      <c r="J383" s="1166"/>
      <c r="K383" s="107"/>
      <c r="L383" s="108"/>
      <c r="M383" s="62"/>
      <c r="N383" s="62"/>
      <c r="O383" s="62"/>
      <c r="P383" s="62"/>
      <c r="Q383" s="62"/>
      <c r="R383" s="62"/>
      <c r="S383" s="62"/>
      <c r="T383" s="62"/>
      <c r="U383" s="61"/>
      <c r="V383" s="61"/>
    </row>
    <row r="384" spans="2:22" ht="15.75" hidden="1" x14ac:dyDescent="0.25">
      <c r="B384" s="107"/>
      <c r="C384" s="107"/>
      <c r="D384" s="107"/>
      <c r="E384" s="107"/>
      <c r="F384" s="107"/>
      <c r="G384" s="107"/>
      <c r="H384" s="107"/>
      <c r="I384" s="1166"/>
      <c r="J384" s="1166"/>
      <c r="K384" s="107"/>
      <c r="L384" s="108"/>
      <c r="M384" s="62"/>
      <c r="N384" s="62"/>
      <c r="O384" s="62"/>
      <c r="P384" s="62"/>
      <c r="Q384" s="62"/>
      <c r="R384" s="62"/>
      <c r="S384" s="62"/>
      <c r="T384" s="62"/>
      <c r="U384" s="432"/>
      <c r="V384" s="127"/>
    </row>
    <row r="385" spans="2:22" ht="15.75" hidden="1" x14ac:dyDescent="0.25">
      <c r="B385" s="106" t="s">
        <v>396</v>
      </c>
      <c r="C385" s="106" t="s">
        <v>386</v>
      </c>
      <c r="D385" s="107"/>
      <c r="E385" s="107"/>
      <c r="F385" s="107"/>
      <c r="G385" s="107"/>
      <c r="H385" s="107"/>
      <c r="I385" s="1166"/>
      <c r="J385" s="1166"/>
      <c r="K385" s="107" t="s">
        <v>349</v>
      </c>
      <c r="L385" s="108" t="s">
        <v>397</v>
      </c>
      <c r="M385" s="62"/>
      <c r="N385" s="62"/>
      <c r="O385" s="62"/>
      <c r="P385" s="62"/>
      <c r="Q385" s="62"/>
      <c r="R385" s="62"/>
      <c r="S385" s="62"/>
      <c r="T385" s="62"/>
      <c r="U385" s="61"/>
      <c r="V385" s="127"/>
    </row>
    <row r="386" spans="2:22" ht="15.75" hidden="1" x14ac:dyDescent="0.25">
      <c r="B386" s="107"/>
      <c r="C386" s="107" t="s">
        <v>388</v>
      </c>
      <c r="D386" s="107"/>
      <c r="E386" s="107"/>
      <c r="F386" s="107"/>
      <c r="G386" s="107"/>
      <c r="H386" s="107"/>
      <c r="I386" s="1166"/>
      <c r="J386" s="1166"/>
      <c r="K386" s="107" t="s">
        <v>352</v>
      </c>
      <c r="L386" s="431" t="s">
        <v>376</v>
      </c>
      <c r="M386" s="62"/>
      <c r="N386" s="62"/>
      <c r="O386" s="62"/>
      <c r="P386" s="61"/>
      <c r="Q386" s="61"/>
      <c r="R386" s="61"/>
      <c r="S386" s="61"/>
      <c r="T386" s="61"/>
      <c r="U386" s="61"/>
      <c r="V386" s="910"/>
    </row>
    <row r="387" spans="2:22" ht="15.75" hidden="1" x14ac:dyDescent="0.25">
      <c r="B387" s="107"/>
      <c r="C387" s="107"/>
      <c r="D387" s="107"/>
      <c r="E387" s="107"/>
      <c r="F387" s="107"/>
      <c r="G387" s="107"/>
      <c r="H387" s="107"/>
      <c r="I387" s="1166"/>
      <c r="J387" s="1166"/>
      <c r="K387" s="107"/>
      <c r="L387" s="108"/>
      <c r="M387" s="62"/>
      <c r="N387" s="62"/>
      <c r="O387" s="62"/>
      <c r="P387" s="432"/>
      <c r="Q387" s="432"/>
      <c r="R387" s="432"/>
      <c r="S387" s="432"/>
      <c r="T387" s="432"/>
      <c r="U387" s="61"/>
      <c r="V387" s="61"/>
    </row>
    <row r="388" spans="2:22" ht="15.75" hidden="1" x14ac:dyDescent="0.25">
      <c r="B388" s="107"/>
      <c r="C388" s="107"/>
      <c r="D388" s="107"/>
      <c r="E388" s="107"/>
      <c r="F388" s="107"/>
      <c r="G388" s="107"/>
      <c r="H388" s="107"/>
      <c r="I388" s="1166"/>
      <c r="J388" s="1166"/>
      <c r="K388" s="107"/>
      <c r="L388" s="108"/>
      <c r="M388" s="62"/>
      <c r="N388" s="124"/>
      <c r="O388" s="61"/>
      <c r="P388" s="61"/>
      <c r="Q388" s="61"/>
      <c r="R388" s="61"/>
      <c r="S388" s="61"/>
      <c r="T388" s="61"/>
      <c r="U388" s="61"/>
      <c r="V388" s="61"/>
    </row>
    <row r="389" spans="2:22" ht="15.75" hidden="1" x14ac:dyDescent="0.25">
      <c r="B389" s="107"/>
      <c r="C389" s="107"/>
      <c r="D389" s="107"/>
      <c r="E389" s="107"/>
      <c r="F389" s="107"/>
      <c r="G389" s="107"/>
      <c r="H389" s="107"/>
      <c r="I389" s="1166"/>
      <c r="J389" s="1166"/>
      <c r="K389" s="107"/>
      <c r="L389" s="108"/>
      <c r="M389" s="62"/>
      <c r="N389" s="124"/>
      <c r="O389" s="61"/>
      <c r="P389" s="61"/>
      <c r="Q389" s="61"/>
      <c r="R389" s="61"/>
      <c r="S389" s="61"/>
      <c r="T389" s="61"/>
      <c r="U389" s="61"/>
      <c r="V389" s="61"/>
    </row>
    <row r="390" spans="2:22" ht="15.75" hidden="1" x14ac:dyDescent="0.25">
      <c r="B390" s="106" t="s">
        <v>398</v>
      </c>
      <c r="C390" s="106" t="s">
        <v>399</v>
      </c>
      <c r="D390" s="107"/>
      <c r="E390" s="107"/>
      <c r="F390" s="107"/>
      <c r="G390" s="107"/>
      <c r="H390" s="107"/>
      <c r="I390" s="1166"/>
      <c r="J390" s="1166"/>
      <c r="K390" s="107" t="s">
        <v>349</v>
      </c>
      <c r="L390" s="108" t="s">
        <v>400</v>
      </c>
      <c r="M390" s="62"/>
      <c r="N390" s="124"/>
      <c r="O390" s="61"/>
      <c r="P390" s="61"/>
      <c r="Q390" s="61"/>
      <c r="R390" s="61"/>
      <c r="S390" s="61"/>
      <c r="T390" s="61"/>
      <c r="U390" s="62"/>
      <c r="V390" s="62"/>
    </row>
    <row r="391" spans="2:22" ht="15.75" hidden="1" x14ac:dyDescent="0.25">
      <c r="B391" s="107"/>
      <c r="C391" s="107" t="s">
        <v>401</v>
      </c>
      <c r="D391" s="107"/>
      <c r="E391" s="107"/>
      <c r="F391" s="107"/>
      <c r="G391" s="107"/>
      <c r="H391" s="107"/>
      <c r="I391" s="1166"/>
      <c r="J391" s="1166"/>
      <c r="K391" s="107" t="s">
        <v>261</v>
      </c>
      <c r="L391" s="431" t="s">
        <v>376</v>
      </c>
      <c r="M391" s="62"/>
      <c r="N391" s="124"/>
      <c r="O391" s="62"/>
      <c r="P391" s="61"/>
      <c r="Q391" s="61"/>
      <c r="R391" s="61"/>
      <c r="S391" s="61"/>
      <c r="T391" s="61"/>
      <c r="U391" s="62"/>
      <c r="V391" s="62"/>
    </row>
    <row r="392" spans="2:22" ht="15.75" hidden="1" x14ac:dyDescent="0.25">
      <c r="B392" s="107"/>
      <c r="C392" s="107" t="s">
        <v>402</v>
      </c>
      <c r="D392" s="107"/>
      <c r="E392" s="107"/>
      <c r="F392" s="107"/>
      <c r="G392" s="107"/>
      <c r="H392" s="107"/>
      <c r="I392" s="1166"/>
      <c r="J392" s="1166"/>
      <c r="K392" s="107" t="s">
        <v>403</v>
      </c>
      <c r="L392" s="108"/>
      <c r="M392" s="62"/>
      <c r="N392" s="62"/>
      <c r="O392" s="129"/>
      <c r="P392" s="61"/>
      <c r="Q392" s="61"/>
      <c r="R392" s="61"/>
      <c r="S392" s="61"/>
      <c r="T392" s="61"/>
      <c r="U392" s="62"/>
      <c r="V392" s="62"/>
    </row>
    <row r="393" spans="2:22" ht="15.75" hidden="1" x14ac:dyDescent="0.25">
      <c r="B393" s="107"/>
      <c r="C393" s="106"/>
      <c r="D393" s="107"/>
      <c r="E393" s="107"/>
      <c r="F393" s="107"/>
      <c r="G393" s="107"/>
      <c r="H393" s="107"/>
      <c r="I393" s="1166"/>
      <c r="J393" s="1166"/>
      <c r="K393" s="107"/>
      <c r="L393" s="108"/>
      <c r="M393" s="62"/>
      <c r="N393" s="62"/>
      <c r="O393" s="129"/>
      <c r="P393" s="433"/>
      <c r="Q393" s="62"/>
      <c r="R393" s="62"/>
      <c r="S393" s="62"/>
      <c r="T393" s="62"/>
      <c r="U393" s="62"/>
      <c r="V393" s="62"/>
    </row>
    <row r="394" spans="2:22" ht="15.75" hidden="1" x14ac:dyDescent="0.25">
      <c r="B394" s="107"/>
      <c r="C394" s="109"/>
      <c r="D394" s="109"/>
      <c r="E394" s="116"/>
      <c r="F394" s="110"/>
      <c r="G394" s="107"/>
      <c r="H394" s="107"/>
      <c r="I394" s="1166"/>
      <c r="J394" s="1166"/>
      <c r="K394" s="107"/>
      <c r="L394" s="108"/>
      <c r="M394" s="62"/>
      <c r="N394" s="62"/>
      <c r="O394" s="129"/>
      <c r="P394" s="62"/>
      <c r="Q394" s="62"/>
      <c r="R394" s="62"/>
      <c r="S394" s="62"/>
      <c r="T394" s="62"/>
      <c r="U394" s="62"/>
      <c r="V394" s="62"/>
    </row>
    <row r="395" spans="2:22" ht="15.75" hidden="1" x14ac:dyDescent="0.25">
      <c r="B395" s="107"/>
      <c r="C395" s="107"/>
      <c r="D395" s="107"/>
      <c r="E395" s="107"/>
      <c r="F395" s="107"/>
      <c r="G395" s="107"/>
      <c r="H395" s="107"/>
      <c r="I395" s="1166"/>
      <c r="J395" s="1166"/>
      <c r="K395" s="107"/>
      <c r="L395" s="108"/>
      <c r="M395" s="62"/>
      <c r="N395" s="62"/>
      <c r="O395" s="129"/>
      <c r="P395" s="62"/>
      <c r="Q395" s="62"/>
      <c r="R395" s="62"/>
      <c r="S395" s="62"/>
      <c r="T395" s="62"/>
      <c r="U395" s="62"/>
      <c r="V395" s="62"/>
    </row>
    <row r="396" spans="2:22" ht="15.75" hidden="1" x14ac:dyDescent="0.25">
      <c r="B396" s="107" t="s">
        <v>404</v>
      </c>
      <c r="C396" s="107"/>
      <c r="D396" s="107"/>
      <c r="E396" s="107"/>
      <c r="F396" s="107"/>
      <c r="G396" s="107"/>
      <c r="H396" s="107"/>
      <c r="I396" s="1166"/>
      <c r="J396" s="1166"/>
      <c r="K396" s="107"/>
      <c r="L396" s="108"/>
      <c r="M396" s="62"/>
      <c r="N396" s="62"/>
      <c r="O396" s="129"/>
      <c r="P396" s="62"/>
      <c r="Q396" s="62"/>
      <c r="R396" s="62"/>
      <c r="S396" s="62"/>
      <c r="T396" s="62"/>
      <c r="U396" s="62"/>
      <c r="V396" s="62"/>
    </row>
    <row r="397" spans="2:22" ht="15.75" hidden="1" x14ac:dyDescent="0.25">
      <c r="B397" s="106" t="s">
        <v>405</v>
      </c>
      <c r="C397" s="107"/>
      <c r="D397" s="107"/>
      <c r="E397" s="107"/>
      <c r="F397" s="107"/>
      <c r="G397" s="107"/>
      <c r="H397" s="107"/>
      <c r="I397" s="1166"/>
      <c r="J397" s="1166"/>
      <c r="K397" s="107"/>
      <c r="L397" s="1244" t="s">
        <v>1482</v>
      </c>
      <c r="M397" s="62"/>
      <c r="N397" s="62"/>
      <c r="O397" s="129"/>
      <c r="P397" s="62"/>
      <c r="Q397" s="62"/>
      <c r="R397" s="62"/>
      <c r="S397" s="62"/>
      <c r="T397" s="62"/>
      <c r="U397" s="62"/>
      <c r="V397" s="62"/>
    </row>
    <row r="398" spans="2:22" ht="15.75" hidden="1" x14ac:dyDescent="0.25">
      <c r="B398" s="107"/>
      <c r="C398" s="106" t="s">
        <v>407</v>
      </c>
      <c r="D398" s="107"/>
      <c r="E398" s="107"/>
      <c r="F398" s="107"/>
      <c r="G398" s="107"/>
      <c r="H398" s="107"/>
      <c r="I398" s="1166"/>
      <c r="J398" s="1166"/>
      <c r="K398" s="107"/>
      <c r="L398" s="108"/>
      <c r="M398" s="62"/>
      <c r="N398" s="62"/>
      <c r="O398" s="129"/>
      <c r="P398" s="62"/>
      <c r="Q398" s="62"/>
      <c r="R398" s="62"/>
      <c r="S398" s="62"/>
      <c r="T398" s="62"/>
      <c r="U398" s="61"/>
      <c r="V398" s="61"/>
    </row>
    <row r="399" spans="2:22" ht="15.75" hidden="1" x14ac:dyDescent="0.25">
      <c r="B399" s="107"/>
      <c r="C399" s="107"/>
      <c r="D399" s="107"/>
      <c r="E399" s="107"/>
      <c r="F399" s="107"/>
      <c r="G399" s="107"/>
      <c r="H399" s="107"/>
      <c r="I399" s="1166"/>
      <c r="J399" s="1166"/>
      <c r="K399" s="107"/>
      <c r="L399" s="123"/>
      <c r="M399" s="62"/>
      <c r="N399" s="130"/>
      <c r="O399" s="131"/>
      <c r="P399" s="62"/>
      <c r="Q399" s="62"/>
      <c r="R399" s="62"/>
      <c r="S399" s="62"/>
      <c r="T399" s="62"/>
      <c r="U399" s="128"/>
      <c r="V399" s="61"/>
    </row>
    <row r="400" spans="2:22" ht="15.75" hidden="1" x14ac:dyDescent="0.25">
      <c r="B400" s="111"/>
      <c r="C400" s="110" t="s">
        <v>478</v>
      </c>
      <c r="D400" s="122">
        <f>D266*G$72%</f>
        <v>1.3762953605761082E-2</v>
      </c>
      <c r="E400" s="424">
        <f t="shared" ref="E400:J400" si="28">E266*$G$73%</f>
        <v>1.7673441651527206E-3</v>
      </c>
      <c r="F400" s="1242">
        <f t="shared" si="28"/>
        <v>8.4392150066413393E-4</v>
      </c>
      <c r="G400" s="1242">
        <f t="shared" si="28"/>
        <v>2.2918100880544554E-4</v>
      </c>
      <c r="H400" s="1242">
        <f t="shared" si="28"/>
        <v>3.4453533841477009E-5</v>
      </c>
      <c r="I400" s="1246">
        <f t="shared" si="28"/>
        <v>7.9212E-5</v>
      </c>
      <c r="J400" s="1246">
        <f t="shared" si="28"/>
        <v>1.4111999999999999E-6</v>
      </c>
      <c r="K400" s="107" t="s">
        <v>325</v>
      </c>
      <c r="L400" s="2013"/>
      <c r="M400" s="130"/>
      <c r="N400" s="130"/>
      <c r="O400" s="130"/>
      <c r="P400" s="62"/>
      <c r="Q400" s="62"/>
      <c r="R400" s="62"/>
      <c r="S400" s="62"/>
      <c r="T400" s="62"/>
      <c r="U400" s="128"/>
      <c r="V400" s="61"/>
    </row>
    <row r="401" spans="2:22" ht="15.75" hidden="1" x14ac:dyDescent="0.25">
      <c r="B401" s="107"/>
      <c r="C401" s="107"/>
      <c r="D401" s="122"/>
      <c r="E401" s="424"/>
      <c r="F401" s="424"/>
      <c r="G401" s="424"/>
      <c r="H401" s="424"/>
      <c r="I401" s="1246"/>
      <c r="J401" s="1246"/>
      <c r="K401" s="107"/>
      <c r="L401" s="2014"/>
      <c r="M401" s="130"/>
      <c r="N401" s="130"/>
      <c r="O401" s="131"/>
      <c r="P401" s="61"/>
      <c r="Q401" s="61"/>
      <c r="R401" s="61"/>
      <c r="S401" s="61"/>
      <c r="T401" s="61"/>
      <c r="U401" s="62"/>
      <c r="V401" s="62"/>
    </row>
    <row r="402" spans="2:22" ht="15.75" hidden="1" x14ac:dyDescent="0.25">
      <c r="B402" s="107"/>
      <c r="C402" s="106" t="s">
        <v>409</v>
      </c>
      <c r="D402" s="122"/>
      <c r="E402" s="424"/>
      <c r="F402" s="424"/>
      <c r="G402" s="424"/>
      <c r="H402" s="424"/>
      <c r="I402" s="1246"/>
      <c r="J402" s="1246"/>
      <c r="K402" s="107"/>
      <c r="L402" s="2014"/>
      <c r="M402" s="130"/>
      <c r="N402" s="130"/>
      <c r="O402" s="131"/>
      <c r="P402" s="61"/>
      <c r="Q402" s="61"/>
      <c r="R402" s="61"/>
      <c r="S402" s="61"/>
      <c r="T402" s="61"/>
      <c r="U402" s="62"/>
      <c r="V402" s="62"/>
    </row>
    <row r="403" spans="2:22" ht="15.75" hidden="1" x14ac:dyDescent="0.25">
      <c r="B403" s="107"/>
      <c r="C403" s="107"/>
      <c r="D403" s="122"/>
      <c r="E403" s="424"/>
      <c r="F403" s="424"/>
      <c r="G403" s="424"/>
      <c r="H403" s="424"/>
      <c r="I403" s="1246"/>
      <c r="J403" s="1246"/>
      <c r="K403" s="107"/>
      <c r="L403" s="2015"/>
      <c r="M403" s="130"/>
      <c r="N403" s="130"/>
      <c r="O403" s="131"/>
      <c r="P403" s="61"/>
      <c r="Q403" s="132"/>
      <c r="R403" s="132"/>
      <c r="S403" s="61"/>
      <c r="T403" s="61"/>
      <c r="U403" s="62"/>
      <c r="V403" s="62"/>
    </row>
    <row r="404" spans="2:22" ht="15.75" hidden="1" x14ac:dyDescent="0.25">
      <c r="B404" s="107"/>
      <c r="C404" s="110" t="s">
        <v>478</v>
      </c>
      <c r="D404" s="122">
        <f>D270*$G$72%</f>
        <v>4.5502758216217257E-2</v>
      </c>
      <c r="E404" s="424">
        <f t="shared" ref="E404:J404" si="29">E270*$G$73%</f>
        <v>8.3266497466580776E-3</v>
      </c>
      <c r="F404" s="1246">
        <f t="shared" si="29"/>
        <v>3.6470286634382033E-3</v>
      </c>
      <c r="G404" s="1246">
        <f t="shared" si="29"/>
        <v>1.1307118910997363E-3</v>
      </c>
      <c r="H404" s="1246">
        <f t="shared" si="29"/>
        <v>1.5038338720101799E-4</v>
      </c>
      <c r="I404" s="1246">
        <f>I270*$G$73%</f>
        <v>5.3129999999999994E-5</v>
      </c>
      <c r="J404" s="1246">
        <f t="shared" si="29"/>
        <v>1.6799999999999998E-6</v>
      </c>
      <c r="K404" s="107" t="s">
        <v>325</v>
      </c>
      <c r="L404" s="2013"/>
      <c r="M404" s="130"/>
      <c r="N404" s="62"/>
      <c r="O404" s="62"/>
      <c r="P404" s="62"/>
      <c r="Q404" s="62"/>
      <c r="R404" s="62"/>
      <c r="S404" s="62"/>
      <c r="T404" s="62"/>
      <c r="U404" s="62"/>
      <c r="V404" s="62"/>
    </row>
    <row r="405" spans="2:22" ht="15.75" hidden="1" x14ac:dyDescent="0.25">
      <c r="B405" s="107"/>
      <c r="C405" s="107"/>
      <c r="D405" s="133"/>
      <c r="E405" s="107"/>
      <c r="F405" s="107"/>
      <c r="G405" s="107"/>
      <c r="H405" s="107"/>
      <c r="I405" s="1166"/>
      <c r="J405" s="1166"/>
      <c r="K405" s="107"/>
      <c r="L405" s="123"/>
      <c r="M405" s="62"/>
      <c r="N405" s="62"/>
      <c r="O405" s="62"/>
      <c r="P405" s="62"/>
      <c r="Q405" s="62"/>
      <c r="R405" s="62"/>
      <c r="S405" s="62"/>
      <c r="T405" s="62"/>
      <c r="U405" s="61"/>
      <c r="V405" s="61"/>
    </row>
    <row r="406" spans="2:22" ht="15.75" hidden="1" x14ac:dyDescent="0.25">
      <c r="B406" s="106" t="s">
        <v>411</v>
      </c>
      <c r="C406" s="106" t="s">
        <v>412</v>
      </c>
      <c r="D406" s="107"/>
      <c r="E406" s="107"/>
      <c r="F406" s="107"/>
      <c r="G406" s="107"/>
      <c r="H406" s="107"/>
      <c r="I406" s="1166"/>
      <c r="J406" s="1166"/>
      <c r="K406" s="107"/>
      <c r="L406" s="1247" t="s">
        <v>1483</v>
      </c>
      <c r="M406" s="62"/>
      <c r="N406" s="62"/>
      <c r="O406" s="62"/>
      <c r="P406" s="62"/>
      <c r="Q406" s="62"/>
      <c r="R406" s="62"/>
      <c r="S406" s="62"/>
      <c r="T406" s="62"/>
      <c r="U406" s="61"/>
      <c r="V406" s="61"/>
    </row>
    <row r="407" spans="2:22" ht="15.75" hidden="1" x14ac:dyDescent="0.25">
      <c r="B407" s="107"/>
      <c r="C407" s="107" t="s">
        <v>414</v>
      </c>
      <c r="D407" s="115">
        <v>4.0000000000000001E-3</v>
      </c>
      <c r="E407" s="107"/>
      <c r="F407" s="107"/>
      <c r="G407" s="107"/>
      <c r="H407" s="107"/>
      <c r="I407" s="1166"/>
      <c r="J407" s="1166"/>
      <c r="K407" s="107"/>
      <c r="L407" s="123"/>
      <c r="M407" s="62"/>
      <c r="N407" s="62"/>
      <c r="O407" s="62"/>
      <c r="P407" s="62"/>
      <c r="Q407" s="62"/>
      <c r="R407" s="62"/>
      <c r="S407" s="62"/>
      <c r="T407" s="62"/>
      <c r="U407" s="62"/>
      <c r="V407" s="62"/>
    </row>
    <row r="408" spans="2:22" ht="15.75" hidden="1" x14ac:dyDescent="0.25">
      <c r="B408" s="107"/>
      <c r="C408" s="107" t="s">
        <v>415</v>
      </c>
      <c r="D408" s="109">
        <v>4.0000000000000001E-3</v>
      </c>
      <c r="E408" s="107"/>
      <c r="F408" s="107"/>
      <c r="G408" s="107"/>
      <c r="H408" s="107"/>
      <c r="I408" s="1166"/>
      <c r="J408" s="1166"/>
      <c r="K408" s="107"/>
      <c r="L408" s="123"/>
      <c r="M408" s="62"/>
      <c r="N408" s="62"/>
      <c r="O408" s="62"/>
      <c r="P408" s="61"/>
      <c r="Q408" s="61"/>
      <c r="R408" s="61"/>
      <c r="S408" s="61"/>
      <c r="T408" s="61"/>
      <c r="U408" s="62"/>
      <c r="V408" s="62"/>
    </row>
    <row r="409" spans="2:22" ht="15.75" hidden="1" x14ac:dyDescent="0.25">
      <c r="B409" s="107"/>
      <c r="C409" s="107"/>
      <c r="D409" s="107"/>
      <c r="E409" s="107"/>
      <c r="F409" s="107"/>
      <c r="G409" s="107"/>
      <c r="H409" s="107"/>
      <c r="I409" s="1166"/>
      <c r="J409" s="1166"/>
      <c r="K409" s="107"/>
      <c r="L409" s="123"/>
      <c r="M409" s="62"/>
      <c r="N409" s="134"/>
      <c r="O409" s="62"/>
      <c r="P409" s="61"/>
      <c r="Q409" s="61"/>
      <c r="R409" s="61"/>
      <c r="S409" s="61"/>
      <c r="T409" s="61"/>
      <c r="U409" s="62"/>
      <c r="V409" s="62"/>
    </row>
    <row r="410" spans="2:22" ht="15.75" hidden="1" x14ac:dyDescent="0.25">
      <c r="B410" s="107"/>
      <c r="C410" s="110" t="s">
        <v>478</v>
      </c>
      <c r="D410" s="133">
        <f>(D400*$D$407*44/28)+(D404*$D$408*44/28)</f>
        <v>3.7252733145243526E-4</v>
      </c>
      <c r="E410" s="133">
        <f t="shared" ref="E410:J410" si="30">(E400*$D$407*44/28)+(E404*$D$408*44/28)</f>
        <v>6.3447961731382158E-5</v>
      </c>
      <c r="F410" s="133">
        <f t="shared" si="30"/>
        <v>2.8228829602928978E-5</v>
      </c>
      <c r="G410" s="133">
        <f t="shared" si="30"/>
        <v>8.5478982279754291E-6</v>
      </c>
      <c r="H410" s="133">
        <f t="shared" si="30"/>
        <v>1.1618320751242543E-6</v>
      </c>
      <c r="I410" s="1245">
        <f>(I400*$D$407*44/28)+(I404*$D$408*44/28)</f>
        <v>8.3186399999999999E-7</v>
      </c>
      <c r="J410" s="1245">
        <f t="shared" si="30"/>
        <v>1.9430399999999998E-8</v>
      </c>
      <c r="K410" s="110" t="s">
        <v>335</v>
      </c>
      <c r="L410" s="2017"/>
      <c r="M410" s="62"/>
      <c r="N410" s="62"/>
      <c r="O410" s="62"/>
      <c r="P410" s="62"/>
      <c r="Q410" s="62"/>
      <c r="R410" s="62"/>
      <c r="S410" s="62"/>
      <c r="T410" s="62"/>
      <c r="U410" s="62"/>
      <c r="V410" s="62"/>
    </row>
    <row r="411" spans="2:22" ht="15.75" hidden="1" x14ac:dyDescent="0.25">
      <c r="B411" s="107"/>
      <c r="C411" s="107"/>
      <c r="D411" s="107"/>
      <c r="E411" s="107"/>
      <c r="F411" s="107"/>
      <c r="G411" s="107"/>
      <c r="H411" s="107"/>
      <c r="I411" s="1243"/>
      <c r="J411" s="1243"/>
      <c r="K411" s="107"/>
      <c r="L411" s="123"/>
      <c r="M411" s="62"/>
      <c r="N411" s="62"/>
      <c r="O411" s="62"/>
      <c r="P411" s="62"/>
      <c r="Q411" s="62"/>
      <c r="R411" s="62"/>
      <c r="S411" s="62"/>
      <c r="T411" s="62"/>
      <c r="U411" s="62"/>
      <c r="V411" s="62"/>
    </row>
    <row r="412" spans="2:22" ht="15.75" hidden="1" x14ac:dyDescent="0.25">
      <c r="B412" s="106" t="s">
        <v>416</v>
      </c>
      <c r="C412" s="107"/>
      <c r="D412" s="135"/>
      <c r="E412" s="1635"/>
      <c r="F412" s="1635"/>
      <c r="G412" s="1635"/>
      <c r="H412" s="1635"/>
      <c r="I412" s="1635"/>
      <c r="J412" s="1635"/>
      <c r="K412" s="107"/>
      <c r="L412" s="123"/>
      <c r="M412" s="62"/>
      <c r="P412" s="62"/>
      <c r="Q412" s="62"/>
      <c r="R412" s="62"/>
      <c r="S412" s="62"/>
      <c r="T412" s="62"/>
      <c r="U412" s="62"/>
      <c r="V412" s="62"/>
    </row>
    <row r="413" spans="2:22" ht="15.75" hidden="1" x14ac:dyDescent="0.25">
      <c r="B413" s="107"/>
      <c r="C413" s="110" t="s">
        <v>478</v>
      </c>
      <c r="D413" s="1720">
        <f t="shared" ref="D413:J413" si="31">D365+D410</f>
        <v>4.364043939161782E-4</v>
      </c>
      <c r="E413" s="1720">
        <f>E365+E410</f>
        <v>6.3447961731382158E-5</v>
      </c>
      <c r="F413" s="1720">
        <f t="shared" si="31"/>
        <v>2.8228829602928978E-5</v>
      </c>
      <c r="G413" s="1720">
        <f t="shared" si="31"/>
        <v>8.5478982279754291E-6</v>
      </c>
      <c r="H413" s="1720">
        <f t="shared" si="31"/>
        <v>1.1618320751242543E-6</v>
      </c>
      <c r="I413" s="1720">
        <f>I365+I410</f>
        <v>8.3186399999999999E-7</v>
      </c>
      <c r="J413" s="1720">
        <f t="shared" si="31"/>
        <v>1.9430399999999998E-8</v>
      </c>
      <c r="K413" s="110" t="s">
        <v>335</v>
      </c>
      <c r="L413" s="2017"/>
      <c r="P413" s="62"/>
      <c r="Q413" s="62"/>
      <c r="R413" s="62"/>
      <c r="S413" s="62"/>
      <c r="T413" s="62"/>
      <c r="U413" s="62"/>
      <c r="V413" s="62"/>
    </row>
    <row r="414" spans="2:22" ht="15.75" hidden="1" x14ac:dyDescent="0.25">
      <c r="B414" s="107"/>
      <c r="C414" s="110"/>
      <c r="D414" s="111"/>
      <c r="E414" s="111"/>
      <c r="F414" s="111"/>
      <c r="G414" s="111"/>
      <c r="H414" s="111"/>
      <c r="I414" s="1169"/>
      <c r="J414" s="1169"/>
      <c r="K414" s="110"/>
      <c r="L414" s="136"/>
      <c r="N414" s="138"/>
      <c r="O414" s="138"/>
      <c r="P414" s="62"/>
      <c r="Q414" s="62"/>
      <c r="R414" s="62"/>
      <c r="S414" s="62"/>
      <c r="T414" s="62"/>
      <c r="U414" s="140"/>
      <c r="V414" s="62"/>
    </row>
    <row r="415" spans="2:22" ht="15.75" hidden="1" x14ac:dyDescent="0.25">
      <c r="B415" s="106" t="s">
        <v>300</v>
      </c>
      <c r="C415" s="2016">
        <f>SUM(D413:H413)</f>
        <v>5.3779091555358901E-4</v>
      </c>
      <c r="D415" s="111"/>
      <c r="E415" s="111"/>
      <c r="F415" s="111"/>
      <c r="G415" s="111"/>
      <c r="H415" s="111"/>
      <c r="I415" s="1169"/>
      <c r="J415" s="1169"/>
      <c r="K415" s="110" t="s">
        <v>336</v>
      </c>
      <c r="L415" s="136"/>
      <c r="M415" s="138"/>
      <c r="N415" s="138"/>
      <c r="O415" s="138"/>
      <c r="P415" s="62"/>
      <c r="Q415" s="62"/>
      <c r="R415" s="62"/>
      <c r="S415" s="62"/>
      <c r="T415" s="62"/>
      <c r="U415" s="62"/>
      <c r="V415" s="62"/>
    </row>
    <row r="416" spans="2:22" ht="15.75" hidden="1" x14ac:dyDescent="0.25">
      <c r="B416" s="106" t="s">
        <v>300</v>
      </c>
      <c r="C416" s="1655">
        <f>C415*298</f>
        <v>0.16026169283496952</v>
      </c>
      <c r="D416" s="107"/>
      <c r="E416" s="107"/>
      <c r="F416" s="107"/>
      <c r="G416" s="107"/>
      <c r="H416" s="107"/>
      <c r="I416" s="1166"/>
      <c r="J416" s="1166"/>
      <c r="K416" s="110" t="s">
        <v>302</v>
      </c>
      <c r="L416" s="136"/>
      <c r="M416" s="138"/>
      <c r="N416" s="138"/>
      <c r="O416" s="138"/>
      <c r="P416" s="62"/>
      <c r="Q416" s="62"/>
      <c r="R416" s="62"/>
      <c r="S416" s="62"/>
      <c r="T416" s="62"/>
      <c r="U416" s="62"/>
      <c r="V416" s="62"/>
    </row>
    <row r="417" spans="2:23" ht="15.75" hidden="1" x14ac:dyDescent="0.25">
      <c r="B417" s="106" t="s">
        <v>300</v>
      </c>
      <c r="C417" s="1655">
        <f>C416*10^3</f>
        <v>160.26169283496952</v>
      </c>
      <c r="D417" s="107"/>
      <c r="E417" s="139"/>
      <c r="F417" s="107"/>
      <c r="G417" s="107"/>
      <c r="H417" s="107"/>
      <c r="I417" s="1166"/>
      <c r="J417" s="1166"/>
      <c r="K417" s="110" t="s">
        <v>303</v>
      </c>
      <c r="L417" s="136"/>
      <c r="M417" s="138"/>
      <c r="N417" s="138"/>
      <c r="O417" s="138"/>
      <c r="P417" s="140"/>
      <c r="Q417" s="140"/>
      <c r="R417" s="140"/>
      <c r="S417" s="140"/>
      <c r="T417" s="140"/>
      <c r="U417" s="62"/>
      <c r="V417" s="62"/>
    </row>
    <row r="418" spans="2:23" ht="15.75" hidden="1" x14ac:dyDescent="0.25">
      <c r="B418" s="107"/>
      <c r="C418" s="107"/>
      <c r="D418" s="107"/>
      <c r="E418" s="107"/>
      <c r="F418" s="107"/>
      <c r="G418" s="107"/>
      <c r="H418" s="107"/>
      <c r="I418" s="1166"/>
      <c r="J418" s="1166"/>
      <c r="K418" s="107"/>
      <c r="L418" s="136"/>
      <c r="M418" s="138"/>
      <c r="N418" s="138"/>
      <c r="O418" s="138"/>
      <c r="P418" s="62"/>
      <c r="Q418" s="62"/>
      <c r="R418" s="62"/>
      <c r="S418" s="62"/>
      <c r="T418" s="62"/>
      <c r="U418" s="62"/>
      <c r="V418" s="62"/>
    </row>
    <row r="419" spans="2:23" ht="15.75" hidden="1" x14ac:dyDescent="0.25">
      <c r="B419" s="106" t="s">
        <v>417</v>
      </c>
      <c r="C419" s="106" t="s">
        <v>418</v>
      </c>
      <c r="D419" s="107"/>
      <c r="E419" s="107"/>
      <c r="F419" s="107"/>
      <c r="G419" s="107"/>
      <c r="H419" s="107"/>
      <c r="I419" s="1166"/>
      <c r="J419" s="1166"/>
      <c r="K419" s="107"/>
      <c r="L419" s="1249" t="s">
        <v>1486</v>
      </c>
      <c r="M419" s="105"/>
      <c r="N419" s="138"/>
      <c r="O419" s="138"/>
      <c r="P419" s="62"/>
      <c r="Q419" s="62"/>
      <c r="R419" s="62"/>
      <c r="S419" s="62"/>
      <c r="T419" s="62"/>
      <c r="U419" s="62"/>
      <c r="V419" s="62"/>
    </row>
    <row r="420" spans="2:23" ht="15.75" hidden="1" x14ac:dyDescent="0.25">
      <c r="B420" s="107"/>
      <c r="C420" s="107" t="s">
        <v>420</v>
      </c>
      <c r="D420" s="107"/>
      <c r="E420" s="107"/>
      <c r="F420" s="107"/>
      <c r="G420" s="107"/>
      <c r="H420" s="107"/>
      <c r="I420" s="1166"/>
      <c r="J420" s="1166"/>
      <c r="K420" s="107" t="s">
        <v>344</v>
      </c>
      <c r="L420" s="108"/>
      <c r="M420" s="62"/>
      <c r="N420" s="138"/>
      <c r="O420" s="138"/>
      <c r="P420" s="62"/>
      <c r="Q420" s="62"/>
      <c r="R420" s="62"/>
      <c r="S420" s="62"/>
      <c r="T420" s="62"/>
      <c r="U420" s="62"/>
      <c r="V420" s="62"/>
    </row>
    <row r="421" spans="2:23" ht="15.75" hidden="1" x14ac:dyDescent="0.25">
      <c r="B421" s="107"/>
      <c r="C421" s="107" t="s">
        <v>343</v>
      </c>
      <c r="D421" s="107"/>
      <c r="E421" s="107"/>
      <c r="F421" s="107"/>
      <c r="G421" s="107"/>
      <c r="H421" s="107"/>
      <c r="I421" s="1166"/>
      <c r="J421" s="1166"/>
      <c r="K421" s="141" t="s">
        <v>344</v>
      </c>
      <c r="L421" s="108"/>
      <c r="M421" s="62"/>
      <c r="N421" s="138"/>
      <c r="O421" s="138"/>
      <c r="P421" s="62"/>
      <c r="Q421" s="62"/>
      <c r="R421" s="62"/>
      <c r="S421" s="62"/>
      <c r="T421" s="62"/>
      <c r="U421" s="62"/>
      <c r="V421" s="62"/>
    </row>
    <row r="422" spans="2:23" ht="15.75" hidden="1" x14ac:dyDescent="0.25">
      <c r="B422" s="107"/>
      <c r="C422" s="107" t="s">
        <v>1473</v>
      </c>
      <c r="D422" s="107">
        <v>0.1</v>
      </c>
      <c r="E422" s="107"/>
      <c r="F422" s="107"/>
      <c r="G422" s="107"/>
      <c r="H422" s="107"/>
      <c r="I422" s="1166"/>
      <c r="J422" s="1166"/>
      <c r="K422" s="141" t="s">
        <v>421</v>
      </c>
      <c r="L422" s="108"/>
      <c r="M422" s="62"/>
      <c r="N422" s="1248"/>
      <c r="O422" s="1248"/>
      <c r="P422" s="1248"/>
      <c r="Q422" s="1248"/>
      <c r="R422" s="1248"/>
      <c r="S422" s="1248"/>
      <c r="T422" s="1248"/>
      <c r="U422" s="1248"/>
      <c r="V422" s="1248"/>
      <c r="W422" s="1248"/>
    </row>
    <row r="423" spans="2:23" ht="15.75" hidden="1" x14ac:dyDescent="0.25">
      <c r="B423" s="107"/>
      <c r="C423" s="107"/>
      <c r="D423" s="107"/>
      <c r="E423" s="107"/>
      <c r="F423" s="107"/>
      <c r="G423" s="107"/>
      <c r="H423" s="107"/>
      <c r="I423" s="1166"/>
      <c r="J423" s="1166"/>
      <c r="K423" s="141"/>
      <c r="L423" s="108"/>
      <c r="M423" s="62"/>
      <c r="N423" s="1248"/>
      <c r="O423" s="1248"/>
      <c r="P423" s="1248"/>
      <c r="Q423" s="1248"/>
      <c r="R423" s="1248"/>
      <c r="S423" s="1248"/>
      <c r="T423" s="1248"/>
      <c r="U423" s="1248"/>
      <c r="V423" s="1248"/>
      <c r="W423" s="1248"/>
    </row>
    <row r="424" spans="2:23" ht="15.75" hidden="1" x14ac:dyDescent="0.25">
      <c r="B424" s="107" t="s">
        <v>422</v>
      </c>
      <c r="C424" s="115" t="s">
        <v>900</v>
      </c>
      <c r="D424" s="583">
        <f>D323*D422</f>
        <v>5.000000000000001E-3</v>
      </c>
      <c r="E424" s="427"/>
      <c r="F424" s="122"/>
      <c r="G424" s="107"/>
      <c r="H424" s="107"/>
      <c r="I424" s="1166"/>
      <c r="J424" s="1166"/>
      <c r="K424" s="141" t="s">
        <v>476</v>
      </c>
      <c r="L424" s="434"/>
      <c r="M424" s="61"/>
      <c r="N424" s="1248"/>
      <c r="O424" s="1248"/>
      <c r="P424" s="1248"/>
      <c r="Q424" s="1248"/>
      <c r="R424" s="1248"/>
      <c r="S424" s="1248"/>
      <c r="T424" s="1248"/>
      <c r="U424" s="1248"/>
      <c r="V424" s="1248"/>
      <c r="W424" s="1248"/>
    </row>
    <row r="425" spans="2:23" ht="15.75" hidden="1" x14ac:dyDescent="0.25">
      <c r="B425" s="107"/>
      <c r="C425" s="115" t="s">
        <v>910</v>
      </c>
      <c r="D425" s="583">
        <f>D324*D422</f>
        <v>5.0000000000000001E-4</v>
      </c>
      <c r="E425" s="116"/>
      <c r="F425" s="107"/>
      <c r="G425" s="107"/>
      <c r="H425" s="107"/>
      <c r="I425" s="1166"/>
      <c r="J425" s="1166"/>
      <c r="K425" s="141" t="s">
        <v>476</v>
      </c>
      <c r="L425" s="434"/>
      <c r="M425" s="119"/>
      <c r="N425" s="1248"/>
      <c r="O425" s="1248"/>
      <c r="P425" s="1248"/>
      <c r="Q425" s="1248"/>
      <c r="R425" s="1248"/>
      <c r="S425" s="1248"/>
      <c r="T425" s="1248"/>
      <c r="U425" s="1248"/>
      <c r="V425" s="1248"/>
      <c r="W425" s="1248"/>
    </row>
    <row r="426" spans="2:23" ht="15.75" hidden="1" x14ac:dyDescent="0.25">
      <c r="B426" s="107"/>
      <c r="C426" s="115"/>
      <c r="D426" s="583"/>
      <c r="E426" s="116"/>
      <c r="F426" s="107"/>
      <c r="G426" s="107"/>
      <c r="H426" s="107"/>
      <c r="I426" s="1166"/>
      <c r="J426" s="1166"/>
      <c r="K426" s="141"/>
      <c r="L426" s="123"/>
      <c r="M426" s="105"/>
      <c r="N426" s="1248"/>
      <c r="O426" s="1248"/>
      <c r="P426" s="1248"/>
      <c r="Q426" s="1248"/>
      <c r="R426" s="1248"/>
      <c r="S426" s="1248"/>
      <c r="T426" s="1248"/>
      <c r="U426" s="1248"/>
      <c r="V426" s="1248"/>
      <c r="W426" s="1248"/>
    </row>
    <row r="427" spans="2:23" ht="15.75" hidden="1" x14ac:dyDescent="0.25">
      <c r="B427" s="107"/>
      <c r="C427" s="115"/>
      <c r="D427" s="583"/>
      <c r="E427" s="116"/>
      <c r="F427" s="107"/>
      <c r="G427" s="107"/>
      <c r="H427" s="107"/>
      <c r="I427" s="1166"/>
      <c r="J427" s="1166"/>
      <c r="K427" s="141"/>
      <c r="L427" s="108"/>
      <c r="M427" s="62"/>
      <c r="N427" s="1248"/>
      <c r="O427" s="1248"/>
      <c r="P427" s="1248"/>
      <c r="Q427" s="1248"/>
      <c r="R427" s="1248"/>
      <c r="S427" s="1248"/>
      <c r="T427" s="1248"/>
      <c r="U427" s="1248"/>
      <c r="V427" s="1248"/>
      <c r="W427" s="1248"/>
    </row>
    <row r="428" spans="2:23" ht="15.75" hidden="1" x14ac:dyDescent="0.25">
      <c r="B428" s="107"/>
      <c r="C428" s="110"/>
      <c r="D428" s="113"/>
      <c r="E428" s="116"/>
      <c r="F428" s="107"/>
      <c r="G428" s="107"/>
      <c r="H428" s="107"/>
      <c r="I428" s="1166"/>
      <c r="J428" s="1166"/>
      <c r="K428" s="141"/>
      <c r="L428" s="108"/>
      <c r="M428" s="62"/>
      <c r="N428" s="1248"/>
      <c r="O428" s="1248"/>
      <c r="P428" s="1248"/>
      <c r="Q428" s="1248"/>
      <c r="R428" s="1248"/>
      <c r="S428" s="1248"/>
      <c r="T428" s="1248"/>
      <c r="U428" s="1248"/>
      <c r="V428" s="1248"/>
      <c r="W428" s="1248"/>
    </row>
    <row r="429" spans="2:23" ht="15.75" hidden="1" x14ac:dyDescent="0.25">
      <c r="B429" s="106" t="s">
        <v>423</v>
      </c>
      <c r="C429" s="1269" t="s">
        <v>1484</v>
      </c>
      <c r="D429" s="107"/>
      <c r="E429" s="107"/>
      <c r="F429" s="107"/>
      <c r="G429" s="107"/>
      <c r="H429" s="107"/>
      <c r="I429" s="1166"/>
      <c r="J429" s="1166"/>
      <c r="K429" s="107"/>
      <c r="L429" s="1270" t="s">
        <v>1487</v>
      </c>
      <c r="M429" s="62"/>
      <c r="N429" s="1248"/>
      <c r="O429" s="1248"/>
      <c r="P429" s="1248"/>
      <c r="Q429" s="1248"/>
      <c r="R429" s="1248"/>
      <c r="S429" s="1248"/>
      <c r="T429" s="1248"/>
      <c r="U429" s="1248"/>
      <c r="V429" s="1248"/>
      <c r="W429" s="1248"/>
    </row>
    <row r="430" spans="2:23" ht="15.75" hidden="1" x14ac:dyDescent="0.25">
      <c r="B430" s="107"/>
      <c r="C430" s="107" t="s">
        <v>425</v>
      </c>
      <c r="D430" s="107">
        <v>0.2</v>
      </c>
      <c r="E430" s="107"/>
      <c r="F430" s="107"/>
      <c r="G430" s="107"/>
      <c r="H430" s="107"/>
      <c r="I430" s="1166"/>
      <c r="J430" s="1166"/>
      <c r="K430" s="107"/>
      <c r="L430" s="1270" t="s">
        <v>426</v>
      </c>
      <c r="M430" s="62"/>
      <c r="N430" s="1248"/>
      <c r="O430" s="1248"/>
      <c r="P430" s="1248"/>
      <c r="Q430" s="1248"/>
      <c r="R430" s="1248"/>
      <c r="S430" s="1248"/>
      <c r="T430" s="1248"/>
      <c r="U430" s="1248"/>
      <c r="V430" s="1248"/>
      <c r="W430" s="1248"/>
    </row>
    <row r="431" spans="2:23" ht="15.75" hidden="1" x14ac:dyDescent="0.25">
      <c r="B431" s="107"/>
      <c r="C431" s="107"/>
      <c r="D431" s="107"/>
      <c r="E431" s="107"/>
      <c r="F431" s="107"/>
      <c r="G431" s="107"/>
      <c r="H431" s="107"/>
      <c r="I431" s="1166"/>
      <c r="J431" s="1166"/>
      <c r="K431" s="107"/>
      <c r="L431" s="123"/>
      <c r="M431" s="62"/>
      <c r="N431" s="1248"/>
      <c r="O431" s="1248"/>
      <c r="P431" s="1248"/>
      <c r="Q431" s="1248"/>
      <c r="R431" s="1248"/>
      <c r="S431" s="1248"/>
      <c r="T431" s="1248"/>
      <c r="U431" s="1248"/>
      <c r="V431" s="1248"/>
      <c r="W431" s="1248"/>
    </row>
    <row r="432" spans="2:23" ht="15.75" hidden="1" x14ac:dyDescent="0.25">
      <c r="B432" s="107" t="s">
        <v>427</v>
      </c>
      <c r="C432" s="110" t="s">
        <v>478</v>
      </c>
      <c r="D432" s="1477">
        <f t="shared" ref="D432:J432" si="32">(D361+D400+D404)*$D$430</f>
        <v>1.266612315938876E-2</v>
      </c>
      <c r="E432" s="1477">
        <f t="shared" si="32"/>
        <v>2.0187987823621595E-3</v>
      </c>
      <c r="F432" s="1477">
        <f t="shared" si="32"/>
        <v>8.9819003282046747E-4</v>
      </c>
      <c r="G432" s="1477">
        <f t="shared" si="32"/>
        <v>2.7197857998103637E-4</v>
      </c>
      <c r="H432" s="1477">
        <f t="shared" si="32"/>
        <v>3.6967384208499E-5</v>
      </c>
      <c r="I432" s="1477">
        <f t="shared" si="32"/>
        <v>2.6468400000000002E-5</v>
      </c>
      <c r="J432" s="1477">
        <f t="shared" si="32"/>
        <v>6.1824000000000001E-7</v>
      </c>
      <c r="K432" s="141" t="s">
        <v>325</v>
      </c>
      <c r="L432" s="108"/>
      <c r="M432" s="62"/>
      <c r="N432" s="1248"/>
      <c r="O432" s="1248"/>
      <c r="P432" s="1248"/>
      <c r="Q432" s="1248"/>
      <c r="R432" s="1248"/>
      <c r="S432" s="1248"/>
      <c r="T432" s="1248"/>
      <c r="U432" s="1248"/>
      <c r="V432" s="1248"/>
      <c r="W432" s="1248"/>
    </row>
    <row r="433" spans="2:23" ht="15.75" hidden="1" x14ac:dyDescent="0.25">
      <c r="B433" s="107"/>
      <c r="C433" s="107"/>
      <c r="D433" s="107"/>
      <c r="E433" s="142"/>
      <c r="F433" s="142"/>
      <c r="G433" s="107"/>
      <c r="H433" s="107"/>
      <c r="I433" s="1166"/>
      <c r="J433" s="1166"/>
      <c r="K433" s="107"/>
      <c r="L433" s="123"/>
      <c r="M433" s="62"/>
      <c r="N433" s="1248"/>
      <c r="O433" s="1248"/>
      <c r="P433" s="1248"/>
      <c r="Q433" s="1248"/>
      <c r="R433" s="1248"/>
      <c r="S433" s="1248"/>
      <c r="T433" s="1248"/>
      <c r="U433" s="1248"/>
      <c r="V433" s="1248"/>
      <c r="W433" s="1248"/>
    </row>
    <row r="434" spans="2:23" ht="15.75" hidden="1" x14ac:dyDescent="0.25">
      <c r="B434" s="106" t="s">
        <v>428</v>
      </c>
      <c r="C434" s="112" t="s">
        <v>429</v>
      </c>
      <c r="D434" s="109"/>
      <c r="E434" s="435"/>
      <c r="F434" s="142"/>
      <c r="G434" s="109"/>
      <c r="H434" s="109"/>
      <c r="I434" s="1167"/>
      <c r="J434" s="1167"/>
      <c r="K434" s="109" t="s">
        <v>344</v>
      </c>
      <c r="L434" s="108" t="s">
        <v>430</v>
      </c>
      <c r="M434" s="62"/>
      <c r="N434" s="1248"/>
      <c r="O434" s="1248"/>
      <c r="P434" s="1248"/>
      <c r="Q434" s="1248"/>
      <c r="R434" s="1248"/>
      <c r="S434" s="1248"/>
      <c r="T434" s="1248"/>
      <c r="U434" s="1248"/>
      <c r="V434" s="1248"/>
      <c r="W434" s="1248"/>
    </row>
    <row r="435" spans="2:23" ht="15.75" hidden="1" x14ac:dyDescent="0.25">
      <c r="B435" s="107"/>
      <c r="C435" s="109" t="s">
        <v>431</v>
      </c>
      <c r="D435" s="109"/>
      <c r="E435" s="435"/>
      <c r="F435" s="142"/>
      <c r="G435" s="109"/>
      <c r="H435" s="109"/>
      <c r="I435" s="1167"/>
      <c r="J435" s="1167"/>
      <c r="K435" s="109" t="s">
        <v>432</v>
      </c>
      <c r="L435" s="108" t="s">
        <v>376</v>
      </c>
      <c r="M435" s="62"/>
      <c r="N435" s="1248"/>
      <c r="O435" s="1248"/>
      <c r="P435" s="1248"/>
      <c r="Q435" s="1248"/>
      <c r="R435" s="1248"/>
      <c r="S435" s="1248"/>
      <c r="T435" s="1248"/>
      <c r="U435" s="1248"/>
      <c r="V435" s="1248"/>
      <c r="W435" s="1248"/>
    </row>
    <row r="436" spans="2:23" ht="15.75" hidden="1" x14ac:dyDescent="0.25">
      <c r="B436" s="107"/>
      <c r="C436" s="109" t="s">
        <v>433</v>
      </c>
      <c r="D436" s="109"/>
      <c r="E436" s="435"/>
      <c r="F436" s="435"/>
      <c r="G436" s="109"/>
      <c r="H436" s="109"/>
      <c r="I436" s="1167"/>
      <c r="J436" s="1167"/>
      <c r="K436" s="109"/>
      <c r="L436" s="108"/>
      <c r="M436" s="62"/>
      <c r="N436" s="1248"/>
      <c r="O436" s="1248"/>
      <c r="P436" s="1248"/>
      <c r="Q436" s="1248"/>
      <c r="R436" s="1248"/>
      <c r="S436" s="1248"/>
      <c r="T436" s="1248"/>
      <c r="U436" s="1248"/>
      <c r="V436" s="1248"/>
      <c r="W436" s="1248"/>
    </row>
    <row r="437" spans="2:23" ht="15.75" hidden="1" x14ac:dyDescent="0.25">
      <c r="B437" s="107"/>
      <c r="C437" s="107"/>
      <c r="D437" s="107"/>
      <c r="E437" s="142"/>
      <c r="F437" s="142"/>
      <c r="G437" s="107"/>
      <c r="H437" s="107"/>
      <c r="I437" s="1166"/>
      <c r="J437" s="1166"/>
      <c r="K437" s="107"/>
      <c r="L437" s="123"/>
      <c r="M437" s="62"/>
      <c r="N437" s="1248"/>
      <c r="O437" s="1248"/>
      <c r="P437" s="1248"/>
      <c r="Q437" s="1248"/>
      <c r="R437" s="1248"/>
      <c r="S437" s="1248"/>
      <c r="T437" s="1248"/>
      <c r="U437" s="1248"/>
      <c r="V437" s="1248"/>
      <c r="W437" s="1248"/>
    </row>
    <row r="438" spans="2:23" ht="15.75" hidden="1" x14ac:dyDescent="0.25">
      <c r="B438" s="106" t="s">
        <v>434</v>
      </c>
      <c r="C438" s="106" t="s">
        <v>386</v>
      </c>
      <c r="D438" s="107"/>
      <c r="E438" s="107"/>
      <c r="F438" s="107"/>
      <c r="G438" s="107"/>
      <c r="H438" s="107"/>
      <c r="I438" s="1166"/>
      <c r="J438" s="1166"/>
      <c r="K438" s="107"/>
      <c r="L438" s="1272" t="s">
        <v>1490</v>
      </c>
      <c r="M438" s="62"/>
      <c r="N438" s="1248"/>
      <c r="O438" s="1248"/>
      <c r="P438" s="1248"/>
      <c r="Q438" s="1248"/>
      <c r="R438" s="1248"/>
      <c r="S438" s="1248"/>
      <c r="T438" s="1248"/>
      <c r="U438" s="1248"/>
      <c r="V438" s="1248"/>
      <c r="W438" s="1248"/>
    </row>
    <row r="439" spans="2:23" ht="15.75" hidden="1" x14ac:dyDescent="0.25">
      <c r="B439" s="107"/>
      <c r="C439" s="107" t="s">
        <v>436</v>
      </c>
      <c r="D439" s="107"/>
      <c r="E439" s="107"/>
      <c r="F439" s="107"/>
      <c r="G439" s="107"/>
      <c r="H439" s="107"/>
      <c r="I439" s="1166"/>
      <c r="J439" s="1166"/>
      <c r="K439" s="107" t="s">
        <v>344</v>
      </c>
      <c r="L439" s="108"/>
      <c r="M439" s="62"/>
      <c r="N439" s="1248"/>
      <c r="O439" s="1248"/>
      <c r="P439" s="1248"/>
      <c r="Q439" s="1248"/>
      <c r="R439" s="1248"/>
      <c r="S439" s="1248"/>
      <c r="T439" s="1248"/>
      <c r="U439" s="1248"/>
      <c r="V439" s="1248"/>
      <c r="W439" s="1248"/>
    </row>
    <row r="440" spans="2:23" ht="15.75" hidden="1" x14ac:dyDescent="0.25">
      <c r="B440" s="107"/>
      <c r="C440" s="107" t="s">
        <v>1475</v>
      </c>
      <c r="D440" s="1474">
        <v>4.0000000000000001E-3</v>
      </c>
      <c r="E440" s="1271"/>
      <c r="F440" s="107"/>
      <c r="G440" s="107"/>
      <c r="H440" s="107"/>
      <c r="I440" s="1166"/>
      <c r="J440" s="1166"/>
      <c r="K440" s="107" t="s">
        <v>352</v>
      </c>
      <c r="L440" s="108"/>
      <c r="M440" s="62"/>
      <c r="N440" s="1248"/>
      <c r="O440" s="1248"/>
      <c r="P440" s="1248"/>
      <c r="Q440" s="1248"/>
      <c r="R440" s="1248"/>
      <c r="S440" s="1248"/>
      <c r="T440" s="1248"/>
      <c r="U440" s="1248"/>
      <c r="V440" s="1248"/>
      <c r="W440" s="1248"/>
    </row>
    <row r="441" spans="2:23" ht="15.75" hidden="1" x14ac:dyDescent="0.25">
      <c r="B441" s="107"/>
      <c r="C441" s="107"/>
      <c r="D441" s="107"/>
      <c r="E441" s="107"/>
      <c r="F441" s="107"/>
      <c r="G441" s="107"/>
      <c r="H441" s="107"/>
      <c r="I441" s="1166"/>
      <c r="J441" s="1166"/>
      <c r="K441" s="107"/>
      <c r="L441" s="108"/>
      <c r="M441" s="62"/>
      <c r="N441" s="1248"/>
      <c r="O441" s="1248"/>
      <c r="P441" s="1248"/>
      <c r="Q441" s="1248"/>
      <c r="R441" s="1248"/>
      <c r="S441" s="1248"/>
      <c r="T441" s="1248"/>
      <c r="U441" s="1248"/>
      <c r="V441" s="1248"/>
      <c r="W441" s="1248"/>
    </row>
    <row r="442" spans="2:23" ht="15.75" hidden="1" x14ac:dyDescent="0.25">
      <c r="B442" s="107" t="s">
        <v>422</v>
      </c>
      <c r="C442" s="115" t="s">
        <v>900</v>
      </c>
      <c r="D442" s="113">
        <f>D424*D440*44/28</f>
        <v>3.1428571428571437E-5</v>
      </c>
      <c r="E442" s="427"/>
      <c r="F442" s="107"/>
      <c r="G442" s="107"/>
      <c r="H442" s="107"/>
      <c r="I442" s="1166"/>
      <c r="J442" s="1166"/>
      <c r="K442" s="141" t="s">
        <v>477</v>
      </c>
      <c r="L442" s="108"/>
      <c r="M442" s="62"/>
      <c r="N442" s="1248"/>
      <c r="O442" s="1248"/>
      <c r="P442" s="1248"/>
      <c r="Q442" s="1248"/>
      <c r="R442" s="1248"/>
      <c r="S442" s="1248"/>
      <c r="T442" s="1248"/>
      <c r="U442" s="1248"/>
      <c r="V442" s="1248"/>
      <c r="W442" s="1248"/>
    </row>
    <row r="443" spans="2:23" ht="15.75" hidden="1" x14ac:dyDescent="0.25">
      <c r="B443" s="107"/>
      <c r="C443" s="115" t="s">
        <v>910</v>
      </c>
      <c r="D443" s="113">
        <f>D425*D440*44/28</f>
        <v>3.1428571428571429E-6</v>
      </c>
      <c r="E443" s="2018"/>
      <c r="F443" s="107"/>
      <c r="G443" s="107"/>
      <c r="H443" s="107"/>
      <c r="I443" s="1166"/>
      <c r="J443" s="1166"/>
      <c r="K443" s="141" t="s">
        <v>477</v>
      </c>
      <c r="L443" s="108"/>
      <c r="M443" s="62"/>
      <c r="N443" s="1248"/>
      <c r="O443" s="1248"/>
      <c r="P443" s="1248"/>
      <c r="Q443" s="1248"/>
      <c r="R443" s="1248"/>
      <c r="S443" s="1248"/>
      <c r="T443" s="1248"/>
      <c r="U443" s="1248"/>
      <c r="V443" s="1248"/>
      <c r="W443" s="1248"/>
    </row>
    <row r="444" spans="2:23" ht="15.75" hidden="1" x14ac:dyDescent="0.25">
      <c r="B444" s="107"/>
      <c r="C444" s="115"/>
      <c r="D444" s="113"/>
      <c r="E444" s="109"/>
      <c r="F444" s="107"/>
      <c r="G444" s="107"/>
      <c r="H444" s="107"/>
      <c r="I444" s="1166"/>
      <c r="J444" s="1166"/>
      <c r="K444" s="141"/>
      <c r="L444" s="108"/>
      <c r="M444" s="62"/>
      <c r="N444" s="62"/>
      <c r="O444" s="62"/>
    </row>
    <row r="445" spans="2:23" ht="15.75" hidden="1" x14ac:dyDescent="0.25">
      <c r="B445" s="107"/>
      <c r="C445" s="115"/>
      <c r="D445" s="113"/>
      <c r="E445" s="109"/>
      <c r="F445" s="107"/>
      <c r="G445" s="107"/>
      <c r="H445" s="107"/>
      <c r="I445" s="1166"/>
      <c r="J445" s="1166"/>
      <c r="K445" s="141"/>
      <c r="L445" s="108"/>
      <c r="M445" s="62"/>
      <c r="N445" s="62"/>
      <c r="O445" s="62"/>
    </row>
    <row r="446" spans="2:23" ht="15.75" hidden="1" x14ac:dyDescent="0.25">
      <c r="B446" s="107"/>
      <c r="C446" s="115"/>
      <c r="D446" s="109"/>
      <c r="E446" s="109"/>
      <c r="F446" s="107"/>
      <c r="G446" s="107"/>
      <c r="H446" s="107"/>
      <c r="I446" s="1166"/>
      <c r="J446" s="1166"/>
      <c r="K446" s="107"/>
      <c r="L446" s="108"/>
      <c r="M446" s="62"/>
      <c r="N446" s="62"/>
      <c r="O446" s="62"/>
    </row>
    <row r="447" spans="2:23" ht="15.75" hidden="1" x14ac:dyDescent="0.25">
      <c r="B447" s="107" t="s">
        <v>427</v>
      </c>
      <c r="C447" s="110" t="s">
        <v>478</v>
      </c>
      <c r="D447" s="1633">
        <f>D432*$D$440*44/28</f>
        <v>7.9615631287586512E-5</v>
      </c>
      <c r="E447" s="1633">
        <f>E432*$D$440*44/28</f>
        <v>1.2689592346276431E-5</v>
      </c>
      <c r="F447" s="1633">
        <f t="shared" ref="F447:J447" si="33">F432*$D$440*44/28</f>
        <v>5.6457659205857955E-6</v>
      </c>
      <c r="G447" s="1633">
        <f t="shared" si="33"/>
        <v>1.7095796455950858E-6</v>
      </c>
      <c r="H447" s="1633">
        <f t="shared" si="33"/>
        <v>2.3236641502485084E-7</v>
      </c>
      <c r="I447" s="1633">
        <f t="shared" si="33"/>
        <v>1.6637280000000002E-7</v>
      </c>
      <c r="J447" s="1633">
        <f t="shared" si="33"/>
        <v>3.8860799999999999E-9</v>
      </c>
      <c r="K447" s="141" t="s">
        <v>477</v>
      </c>
      <c r="L447" s="108"/>
      <c r="M447" s="62"/>
      <c r="N447" s="62"/>
      <c r="O447" s="62"/>
    </row>
    <row r="448" spans="2:23" ht="15.75" hidden="1" x14ac:dyDescent="0.25">
      <c r="B448" s="107"/>
      <c r="C448" s="112"/>
      <c r="D448" s="111"/>
      <c r="E448" s="107"/>
      <c r="F448" s="107"/>
      <c r="G448" s="107"/>
      <c r="H448" s="107"/>
      <c r="I448" s="1166"/>
      <c r="J448" s="1166"/>
      <c r="K448" s="107"/>
      <c r="L448" s="108"/>
      <c r="M448" s="62"/>
      <c r="N448" s="62"/>
      <c r="O448" s="62"/>
    </row>
    <row r="449" spans="2:25" ht="15.75" hidden="1" x14ac:dyDescent="0.25">
      <c r="B449" s="112" t="s">
        <v>260</v>
      </c>
      <c r="C449" s="110" t="s">
        <v>478</v>
      </c>
      <c r="D449" s="111">
        <f>SUM(D442:D443)+SUM(D447:J447)</f>
        <v>1.3463462306649725E-4</v>
      </c>
      <c r="E449" s="111"/>
      <c r="F449" s="111"/>
      <c r="G449" s="111"/>
      <c r="H449" s="111"/>
      <c r="I449" s="1169"/>
      <c r="J449" s="1169"/>
      <c r="K449" s="141" t="s">
        <v>477</v>
      </c>
      <c r="L449" s="123"/>
      <c r="M449" s="62"/>
      <c r="N449" s="62"/>
      <c r="O449" s="62"/>
    </row>
    <row r="450" spans="2:25" ht="15.75" hidden="1" x14ac:dyDescent="0.25">
      <c r="B450" s="112"/>
      <c r="C450" s="112"/>
      <c r="D450" s="111"/>
      <c r="E450" s="107"/>
      <c r="F450" s="107"/>
      <c r="G450" s="107"/>
      <c r="H450" s="107"/>
      <c r="I450" s="1166"/>
      <c r="J450" s="1166"/>
      <c r="K450" s="141"/>
      <c r="L450" s="108"/>
      <c r="M450" s="62"/>
      <c r="N450" s="62"/>
      <c r="O450" s="62"/>
      <c r="W450" s="143"/>
      <c r="X450" s="143"/>
      <c r="Y450" s="143"/>
    </row>
    <row r="451" spans="2:25" ht="15.75" hidden="1" x14ac:dyDescent="0.25">
      <c r="B451" s="106" t="s">
        <v>300</v>
      </c>
      <c r="C451" s="1633">
        <f>SUM(D449:D449)</f>
        <v>1.3463462306649725E-4</v>
      </c>
      <c r="D451" s="111"/>
      <c r="E451" s="107"/>
      <c r="F451" s="107"/>
      <c r="G451" s="110"/>
      <c r="H451" s="110"/>
      <c r="I451" s="1168"/>
      <c r="J451" s="1168"/>
      <c r="K451" s="141" t="s">
        <v>336</v>
      </c>
      <c r="L451" s="108"/>
      <c r="M451" s="62"/>
      <c r="N451" s="62"/>
      <c r="O451" s="62"/>
      <c r="W451" s="143"/>
    </row>
    <row r="452" spans="2:25" ht="15.75" hidden="1" x14ac:dyDescent="0.25">
      <c r="B452" s="106" t="s">
        <v>437</v>
      </c>
      <c r="C452" s="1633">
        <f>C451*298</f>
        <v>4.0121117673816181E-2</v>
      </c>
      <c r="D452" s="107"/>
      <c r="E452" s="107"/>
      <c r="F452" s="107"/>
      <c r="G452" s="107"/>
      <c r="H452" s="107"/>
      <c r="I452" s="1166"/>
      <c r="J452" s="1166"/>
      <c r="K452" s="141" t="s">
        <v>302</v>
      </c>
      <c r="L452" s="108"/>
      <c r="M452" s="62"/>
      <c r="N452" s="62"/>
      <c r="O452" s="62"/>
      <c r="W452" s="143"/>
    </row>
    <row r="453" spans="2:25" ht="15.75" hidden="1" x14ac:dyDescent="0.25">
      <c r="B453" s="107"/>
      <c r="C453" s="107"/>
      <c r="D453" s="107"/>
      <c r="E453" s="107"/>
      <c r="F453" s="107"/>
      <c r="G453" s="107"/>
      <c r="H453" s="107"/>
      <c r="I453" s="1166"/>
      <c r="J453" s="1166"/>
      <c r="K453" s="107"/>
      <c r="L453" s="108"/>
      <c r="M453" s="62"/>
      <c r="N453" s="62"/>
      <c r="O453" s="62"/>
      <c r="W453" s="143"/>
    </row>
    <row r="454" spans="2:25" ht="15.75" hidden="1" x14ac:dyDescent="0.25">
      <c r="B454" s="106" t="s">
        <v>438</v>
      </c>
      <c r="C454" s="107"/>
      <c r="D454" s="107"/>
      <c r="E454" s="107"/>
      <c r="F454" s="107"/>
      <c r="G454" s="107"/>
      <c r="H454" s="107"/>
      <c r="I454" s="1166"/>
      <c r="J454" s="1166"/>
      <c r="K454" s="107"/>
      <c r="L454" s="108"/>
      <c r="M454" s="62"/>
      <c r="N454" s="62"/>
      <c r="O454" s="62"/>
    </row>
    <row r="455" spans="2:25" ht="15.75" hidden="1" x14ac:dyDescent="0.25">
      <c r="B455" s="106" t="s">
        <v>439</v>
      </c>
      <c r="C455" s="106" t="s">
        <v>440</v>
      </c>
      <c r="D455" s="107"/>
      <c r="E455" s="107"/>
      <c r="F455" s="107"/>
      <c r="G455" s="107"/>
      <c r="H455" s="107"/>
      <c r="I455" s="1166"/>
      <c r="J455" s="1166"/>
      <c r="K455" s="107"/>
      <c r="L455" s="1280" t="s">
        <v>1488</v>
      </c>
      <c r="M455" s="62"/>
      <c r="N455" s="62"/>
      <c r="O455" s="62"/>
    </row>
    <row r="456" spans="2:25" ht="15.75" hidden="1" x14ac:dyDescent="0.25">
      <c r="B456" s="107"/>
      <c r="C456" s="107" t="s">
        <v>442</v>
      </c>
      <c r="D456" s="107"/>
      <c r="E456" s="107"/>
      <c r="F456" s="107"/>
      <c r="G456" s="107"/>
      <c r="H456" s="107"/>
      <c r="I456" s="1166"/>
      <c r="J456" s="1166"/>
      <c r="K456" s="107" t="s">
        <v>344</v>
      </c>
      <c r="L456" s="1280"/>
      <c r="M456" s="62"/>
      <c r="N456" s="62"/>
      <c r="O456" s="62"/>
    </row>
    <row r="457" spans="2:25" ht="15.75" hidden="1" x14ac:dyDescent="0.25">
      <c r="B457" s="107"/>
      <c r="C457" s="107" t="s">
        <v>443</v>
      </c>
      <c r="D457" s="1273">
        <v>1</v>
      </c>
      <c r="E457" s="107"/>
      <c r="F457" s="107"/>
      <c r="G457" s="107"/>
      <c r="H457" s="107"/>
      <c r="I457" s="1166"/>
      <c r="J457" s="1166"/>
      <c r="K457" s="107"/>
      <c r="L457" s="1280" t="s">
        <v>1489</v>
      </c>
      <c r="M457" s="62"/>
      <c r="N457" s="62"/>
      <c r="O457" s="62"/>
    </row>
    <row r="458" spans="2:25" ht="15.75" hidden="1" x14ac:dyDescent="0.25">
      <c r="B458" s="107"/>
      <c r="C458" s="107" t="s">
        <v>445</v>
      </c>
      <c r="D458" s="1273">
        <v>0.3</v>
      </c>
      <c r="E458" s="107"/>
      <c r="F458" s="107"/>
      <c r="G458" s="107"/>
      <c r="H458" s="107"/>
      <c r="I458" s="1166"/>
      <c r="J458" s="1166"/>
      <c r="K458" s="107" t="s">
        <v>421</v>
      </c>
      <c r="L458" s="108"/>
      <c r="M458" s="105"/>
      <c r="N458" s="62"/>
      <c r="O458" s="62"/>
    </row>
    <row r="459" spans="2:25" ht="15.75" hidden="1" x14ac:dyDescent="0.25">
      <c r="B459" s="107"/>
      <c r="C459" s="107"/>
      <c r="D459" s="107"/>
      <c r="E459" s="107"/>
      <c r="F459" s="107"/>
      <c r="G459" s="107"/>
      <c r="H459" s="107"/>
      <c r="I459" s="1166"/>
      <c r="J459" s="1166"/>
      <c r="K459" s="107"/>
      <c r="L459" s="108"/>
      <c r="M459" s="62"/>
      <c r="N459" s="62"/>
      <c r="O459" s="62"/>
    </row>
    <row r="460" spans="2:25" ht="15.75" hidden="1" x14ac:dyDescent="0.25">
      <c r="B460" s="107" t="s">
        <v>422</v>
      </c>
      <c r="C460" s="115" t="s">
        <v>900</v>
      </c>
      <c r="D460" s="113">
        <f>D323*$D$457*$D$458</f>
        <v>1.4999999999999999E-2</v>
      </c>
      <c r="E460" s="113"/>
      <c r="F460" s="107"/>
      <c r="G460" s="107"/>
      <c r="H460" s="107"/>
      <c r="I460" s="1166"/>
      <c r="J460" s="1166"/>
      <c r="K460" s="107" t="s">
        <v>476</v>
      </c>
      <c r="L460" s="108"/>
      <c r="M460" s="62"/>
      <c r="N460" s="62"/>
      <c r="O460" s="62"/>
    </row>
    <row r="461" spans="2:25" ht="15.75" hidden="1" x14ac:dyDescent="0.25">
      <c r="B461" s="107"/>
      <c r="C461" s="115" t="s">
        <v>910</v>
      </c>
      <c r="D461" s="1274">
        <f>D324*$D$457*$D$458</f>
        <v>1.5E-3</v>
      </c>
      <c r="E461" s="109"/>
      <c r="F461" s="107"/>
      <c r="G461" s="107"/>
      <c r="H461" s="107"/>
      <c r="I461" s="1166"/>
      <c r="J461" s="1166"/>
      <c r="K461" s="107" t="s">
        <v>476</v>
      </c>
      <c r="L461" s="108"/>
      <c r="M461" s="62"/>
      <c r="N461" s="62"/>
      <c r="O461" s="62"/>
    </row>
    <row r="462" spans="2:25" ht="15.75" hidden="1" x14ac:dyDescent="0.25">
      <c r="B462" s="107"/>
      <c r="C462" s="115"/>
      <c r="D462" s="113"/>
      <c r="E462" s="109"/>
      <c r="F462" s="107"/>
      <c r="G462" s="107"/>
      <c r="H462" s="107"/>
      <c r="I462" s="1166"/>
      <c r="J462" s="1166"/>
      <c r="K462" s="107"/>
      <c r="L462" s="108"/>
      <c r="M462" s="62"/>
      <c r="N462" s="62"/>
      <c r="O462" s="62"/>
    </row>
    <row r="463" spans="2:25" ht="15.75" hidden="1" x14ac:dyDescent="0.25">
      <c r="B463" s="107"/>
      <c r="C463" s="115"/>
      <c r="D463" s="113"/>
      <c r="E463" s="109"/>
      <c r="F463" s="107"/>
      <c r="G463" s="107"/>
      <c r="H463" s="107"/>
      <c r="I463" s="1166"/>
      <c r="J463" s="1166"/>
      <c r="K463" s="107"/>
      <c r="L463" s="108"/>
      <c r="M463" s="62"/>
      <c r="N463" s="134"/>
      <c r="O463" s="134"/>
    </row>
    <row r="464" spans="2:25" ht="15.75" hidden="1" x14ac:dyDescent="0.25">
      <c r="B464" s="107"/>
      <c r="C464" s="107"/>
      <c r="D464" s="107"/>
      <c r="E464" s="107"/>
      <c r="F464" s="107"/>
      <c r="G464" s="107"/>
      <c r="H464" s="107"/>
      <c r="I464" s="1166"/>
      <c r="J464" s="1166"/>
      <c r="K464" s="107"/>
      <c r="L464" s="108"/>
      <c r="M464" s="62"/>
      <c r="N464" s="134"/>
      <c r="O464" s="134"/>
    </row>
    <row r="465" spans="2:15" ht="15.75" hidden="1" x14ac:dyDescent="0.25">
      <c r="B465" s="106" t="s">
        <v>446</v>
      </c>
      <c r="C465" s="106" t="s">
        <v>447</v>
      </c>
      <c r="D465" s="107"/>
      <c r="E465" s="107"/>
      <c r="F465" s="107"/>
      <c r="G465" s="107"/>
      <c r="H465" s="107"/>
      <c r="I465" s="1166"/>
      <c r="J465" s="1166"/>
      <c r="K465" s="107" t="s">
        <v>325</v>
      </c>
      <c r="L465" s="1276" t="s">
        <v>1491</v>
      </c>
      <c r="M465" s="62"/>
      <c r="N465" s="62"/>
      <c r="O465" s="62"/>
    </row>
    <row r="466" spans="2:15" ht="15.75" hidden="1" x14ac:dyDescent="0.25">
      <c r="B466" s="107"/>
      <c r="C466" s="107" t="s">
        <v>449</v>
      </c>
      <c r="D466" s="107"/>
      <c r="E466" s="107"/>
      <c r="F466" s="107"/>
      <c r="G466" s="107"/>
      <c r="H466" s="107"/>
      <c r="I466" s="1166"/>
      <c r="J466" s="1166"/>
      <c r="K466" s="107" t="s">
        <v>325</v>
      </c>
      <c r="L466" s="108"/>
      <c r="M466" s="62"/>
      <c r="N466" s="62"/>
      <c r="O466" s="62"/>
    </row>
    <row r="467" spans="2:15" ht="15.75" hidden="1" x14ac:dyDescent="0.25">
      <c r="B467" s="107"/>
      <c r="C467" s="107" t="s">
        <v>450</v>
      </c>
      <c r="D467" s="107"/>
      <c r="E467" s="107"/>
      <c r="F467" s="107"/>
      <c r="G467" s="107"/>
      <c r="H467" s="107"/>
      <c r="I467" s="1166"/>
      <c r="J467" s="1166"/>
      <c r="K467" s="107" t="s">
        <v>325</v>
      </c>
      <c r="L467" s="108"/>
      <c r="M467" s="62"/>
      <c r="N467" s="62"/>
      <c r="O467" s="62"/>
    </row>
    <row r="468" spans="2:15" ht="15.75" hidden="1" x14ac:dyDescent="0.25">
      <c r="B468" s="107"/>
      <c r="C468" s="107" t="s">
        <v>451</v>
      </c>
      <c r="D468" s="107"/>
      <c r="E468" s="107"/>
      <c r="F468" s="107"/>
      <c r="G468" s="107"/>
      <c r="H468" s="107"/>
      <c r="I468" s="1166"/>
      <c r="J468" s="1166"/>
      <c r="K468" s="107" t="s">
        <v>325</v>
      </c>
      <c r="L468" s="108"/>
      <c r="M468" s="62"/>
      <c r="N468" s="62"/>
      <c r="O468" s="62"/>
    </row>
    <row r="469" spans="2:15" ht="15.75" hidden="1" x14ac:dyDescent="0.25">
      <c r="B469" s="107"/>
      <c r="C469" s="107"/>
      <c r="D469" s="107"/>
      <c r="E469" s="107"/>
      <c r="F469" s="107"/>
      <c r="G469" s="107"/>
      <c r="H469" s="107"/>
      <c r="I469" s="1166"/>
      <c r="J469" s="1166"/>
      <c r="K469" s="107"/>
      <c r="L469" s="108"/>
      <c r="M469" s="62"/>
      <c r="N469" s="62"/>
      <c r="O469" s="62"/>
    </row>
    <row r="470" spans="2:15" ht="15.75" hidden="1" x14ac:dyDescent="0.25">
      <c r="B470" s="107"/>
      <c r="C470" s="110" t="s">
        <v>478</v>
      </c>
      <c r="D470" s="144">
        <f>SUM(D361,D404,D400)*$D$457*$D$458</f>
        <v>1.8999184739083137E-2</v>
      </c>
      <c r="E470" s="1275">
        <f t="shared" ref="E470:J470" si="34">SUM(E361,E404,E400)*$D$457*$D$458</f>
        <v>3.0281981735432394E-3</v>
      </c>
      <c r="F470" s="1275">
        <f t="shared" si="34"/>
        <v>1.347285049230701E-3</v>
      </c>
      <c r="G470" s="1275">
        <f t="shared" si="34"/>
        <v>4.079678699715545E-4</v>
      </c>
      <c r="H470" s="1275">
        <f t="shared" si="34"/>
        <v>5.5451076312748501E-5</v>
      </c>
      <c r="I470" s="1275">
        <f t="shared" si="34"/>
        <v>3.9702600000000002E-5</v>
      </c>
      <c r="J470" s="1275">
        <f t="shared" si="34"/>
        <v>9.2735999999999985E-7</v>
      </c>
      <c r="K470" s="107" t="s">
        <v>325</v>
      </c>
      <c r="L470" s="108"/>
      <c r="M470" s="62"/>
    </row>
    <row r="471" spans="2:15" ht="15.75" hidden="1" x14ac:dyDescent="0.25">
      <c r="B471" s="107"/>
      <c r="C471" s="107"/>
      <c r="D471" s="107"/>
      <c r="E471" s="107"/>
      <c r="F471" s="107"/>
      <c r="G471" s="107"/>
      <c r="H471" s="107"/>
      <c r="I471" s="1166"/>
      <c r="J471" s="1166"/>
      <c r="K471" s="107"/>
      <c r="L471" s="108"/>
      <c r="M471" s="62"/>
    </row>
    <row r="472" spans="2:15" ht="15.75" hidden="1" x14ac:dyDescent="0.25">
      <c r="B472" s="106" t="s">
        <v>452</v>
      </c>
      <c r="C472" s="106" t="s">
        <v>386</v>
      </c>
      <c r="D472" s="107"/>
      <c r="E472" s="107"/>
      <c r="F472" s="107"/>
      <c r="G472" s="107"/>
      <c r="H472" s="107"/>
      <c r="I472" s="1166"/>
      <c r="J472" s="1166"/>
      <c r="K472" s="107"/>
      <c r="L472" s="1277" t="s">
        <v>1492</v>
      </c>
      <c r="M472" s="62"/>
    </row>
    <row r="473" spans="2:15" ht="15.75" hidden="1" x14ac:dyDescent="0.25">
      <c r="B473" s="107"/>
      <c r="C473" s="107" t="s">
        <v>454</v>
      </c>
      <c r="D473" s="107"/>
      <c r="E473" s="107"/>
      <c r="F473" s="107"/>
      <c r="G473" s="107"/>
      <c r="H473" s="107"/>
      <c r="I473" s="1166"/>
      <c r="J473" s="1166"/>
      <c r="K473" s="107" t="s">
        <v>344</v>
      </c>
      <c r="L473" s="108"/>
      <c r="M473" s="62"/>
    </row>
    <row r="474" spans="2:15" ht="15.75" hidden="1" x14ac:dyDescent="0.25">
      <c r="B474" s="107"/>
      <c r="C474" s="107" t="s">
        <v>1474</v>
      </c>
      <c r="D474" s="107">
        <v>7.4999999999999997E-3</v>
      </c>
      <c r="E474" s="107"/>
      <c r="F474" s="107"/>
      <c r="G474" s="107"/>
      <c r="H474" s="107"/>
      <c r="I474" s="1166"/>
      <c r="J474" s="1166"/>
      <c r="K474" s="107" t="s">
        <v>352</v>
      </c>
      <c r="L474" s="108"/>
      <c r="M474" s="62"/>
    </row>
    <row r="475" spans="2:15" ht="15.75" hidden="1" x14ac:dyDescent="0.25">
      <c r="B475" s="107"/>
      <c r="C475" s="107"/>
      <c r="D475" s="107"/>
      <c r="E475" s="107"/>
      <c r="F475" s="107"/>
      <c r="G475" s="107"/>
      <c r="H475" s="107"/>
      <c r="I475" s="1166"/>
      <c r="J475" s="1166"/>
      <c r="K475" s="107"/>
      <c r="L475" s="108"/>
      <c r="M475" s="62"/>
    </row>
    <row r="476" spans="2:15" ht="15.75" hidden="1" x14ac:dyDescent="0.25">
      <c r="B476" s="107" t="s">
        <v>422</v>
      </c>
      <c r="C476" s="115" t="s">
        <v>900</v>
      </c>
      <c r="D476" s="1616">
        <f>D460*$D$474*44/28</f>
        <v>1.7678571428571426E-4</v>
      </c>
      <c r="E476" s="583"/>
      <c r="F476" s="107"/>
      <c r="G476" s="139"/>
      <c r="H476" s="107"/>
      <c r="I476" s="1166"/>
      <c r="J476" s="1166"/>
      <c r="K476" s="107" t="s">
        <v>477</v>
      </c>
      <c r="L476" s="108"/>
      <c r="M476" s="62"/>
    </row>
    <row r="477" spans="2:15" ht="15.75" hidden="1" x14ac:dyDescent="0.25">
      <c r="B477" s="107"/>
      <c r="C477" s="115" t="s">
        <v>910</v>
      </c>
      <c r="D477" s="1616">
        <f>D461*$D$474*44/28</f>
        <v>1.7678571428571428E-5</v>
      </c>
      <c r="E477" s="109"/>
      <c r="F477" s="107"/>
      <c r="G477" s="139"/>
      <c r="H477" s="107"/>
      <c r="I477" s="1166"/>
      <c r="J477" s="1166"/>
      <c r="K477" s="107" t="s">
        <v>477</v>
      </c>
      <c r="L477" s="108"/>
      <c r="M477" s="62"/>
    </row>
    <row r="478" spans="2:15" ht="15.75" hidden="1" x14ac:dyDescent="0.25">
      <c r="B478" s="107"/>
      <c r="C478" s="115"/>
      <c r="D478" s="113"/>
      <c r="E478" s="109"/>
      <c r="F478" s="107"/>
      <c r="G478" s="139"/>
      <c r="H478" s="107"/>
      <c r="I478" s="1166"/>
      <c r="J478" s="1166"/>
      <c r="K478" s="107"/>
      <c r="L478" s="108"/>
      <c r="M478" s="62"/>
    </row>
    <row r="479" spans="2:15" ht="15.75" hidden="1" x14ac:dyDescent="0.25">
      <c r="B479" s="107"/>
      <c r="C479" s="115"/>
      <c r="D479" s="113"/>
      <c r="E479" s="109"/>
      <c r="F479" s="107"/>
      <c r="G479" s="139"/>
      <c r="H479" s="107"/>
      <c r="I479" s="1166"/>
      <c r="J479" s="1166"/>
      <c r="K479" s="107"/>
      <c r="L479" s="108"/>
      <c r="M479" s="62"/>
    </row>
    <row r="480" spans="2:15" ht="15.75" hidden="1" x14ac:dyDescent="0.25">
      <c r="B480" s="107"/>
      <c r="C480" s="107"/>
      <c r="D480" s="107"/>
      <c r="E480" s="107"/>
      <c r="F480" s="107"/>
      <c r="G480" s="107"/>
      <c r="H480" s="107"/>
      <c r="I480" s="1166"/>
      <c r="J480" s="1166"/>
      <c r="K480" s="107"/>
      <c r="L480" s="108"/>
      <c r="M480" s="62"/>
    </row>
    <row r="481" spans="1:50" ht="15.75" hidden="1" x14ac:dyDescent="0.25">
      <c r="B481" s="107" t="s">
        <v>427</v>
      </c>
      <c r="C481" s="110" t="s">
        <v>478</v>
      </c>
      <c r="D481" s="111">
        <f>D470*$D$474*44/28</f>
        <v>2.2391896299633698E-4</v>
      </c>
      <c r="E481" s="1278">
        <f t="shared" ref="E481:J481" si="35">E470*$D$474*44/28</f>
        <v>3.5689478473902463E-5</v>
      </c>
      <c r="F481" s="1278">
        <f t="shared" si="35"/>
        <v>1.5878716651647547E-5</v>
      </c>
      <c r="G481" s="1278">
        <f t="shared" si="35"/>
        <v>4.8081927532361776E-6</v>
      </c>
      <c r="H481" s="1278">
        <f t="shared" si="35"/>
        <v>6.5353054225739299E-7</v>
      </c>
      <c r="I481" s="1278">
        <f t="shared" si="35"/>
        <v>4.6792349999999996E-7</v>
      </c>
      <c r="J481" s="1278">
        <f t="shared" si="35"/>
        <v>1.0929599999999997E-8</v>
      </c>
      <c r="K481" s="107" t="s">
        <v>335</v>
      </c>
      <c r="L481" s="108"/>
      <c r="M481" s="62"/>
    </row>
    <row r="482" spans="1:50" ht="15.75" hidden="1" x14ac:dyDescent="0.25">
      <c r="B482" s="107"/>
      <c r="C482" s="110"/>
      <c r="D482" s="111"/>
      <c r="E482" s="111"/>
      <c r="F482" s="111"/>
      <c r="G482" s="111"/>
      <c r="H482" s="111"/>
      <c r="I482" s="1169"/>
      <c r="J482" s="1169"/>
      <c r="K482" s="107"/>
      <c r="L482" s="108"/>
      <c r="M482" s="62"/>
    </row>
    <row r="483" spans="1:50" ht="15.75" hidden="1" x14ac:dyDescent="0.25">
      <c r="B483" s="106" t="s">
        <v>260</v>
      </c>
      <c r="C483" s="110" t="s">
        <v>478</v>
      </c>
      <c r="D483" s="113">
        <f>SUM(D476:D477)+SUM(D481:J481)</f>
        <v>4.7589202023166628E-4</v>
      </c>
      <c r="E483" s="113"/>
      <c r="F483" s="111"/>
      <c r="G483" s="111"/>
      <c r="H483" s="111"/>
      <c r="I483" s="1169"/>
      <c r="J483" s="1169"/>
      <c r="K483" s="107" t="s">
        <v>477</v>
      </c>
      <c r="L483" s="108"/>
      <c r="M483" s="62"/>
    </row>
    <row r="484" spans="1:50" ht="15.75" hidden="1" x14ac:dyDescent="0.25">
      <c r="B484" s="106" t="s">
        <v>300</v>
      </c>
      <c r="C484" s="145">
        <f>D483</f>
        <v>4.7589202023166628E-4</v>
      </c>
      <c r="D484" s="111"/>
      <c r="E484" s="111"/>
      <c r="F484" s="111"/>
      <c r="G484" s="111"/>
      <c r="H484" s="111"/>
      <c r="I484" s="1169"/>
      <c r="J484" s="1169"/>
      <c r="K484" s="107" t="s">
        <v>336</v>
      </c>
      <c r="L484" s="108"/>
      <c r="M484" s="62"/>
    </row>
    <row r="485" spans="1:50" ht="15.75" hidden="1" x14ac:dyDescent="0.25">
      <c r="B485" s="106" t="s">
        <v>455</v>
      </c>
      <c r="C485" s="118">
        <f>C484*298</f>
        <v>0.14181582202903656</v>
      </c>
      <c r="D485" s="122"/>
      <c r="E485" s="107"/>
      <c r="F485" s="107"/>
      <c r="G485" s="107"/>
      <c r="H485" s="107"/>
      <c r="I485" s="1166"/>
      <c r="J485" s="1166"/>
      <c r="K485" s="107" t="s">
        <v>302</v>
      </c>
      <c r="L485" s="108"/>
      <c r="M485" s="62"/>
    </row>
    <row r="486" spans="1:50" ht="15.75" hidden="1" x14ac:dyDescent="0.25">
      <c r="B486" s="106"/>
      <c r="C486" s="118"/>
      <c r="D486" s="122"/>
      <c r="E486" s="107"/>
      <c r="F486" s="107"/>
      <c r="G486" s="107"/>
      <c r="H486" s="107"/>
      <c r="I486" s="1166"/>
      <c r="J486" s="1166"/>
      <c r="K486" s="107"/>
      <c r="L486" s="108"/>
      <c r="M486" s="62"/>
    </row>
    <row r="487" spans="1:50" ht="15.75" hidden="1" x14ac:dyDescent="0.25">
      <c r="B487" s="1282"/>
      <c r="C487" s="1282"/>
      <c r="D487" s="1282"/>
      <c r="E487" s="1282"/>
      <c r="F487" s="1282"/>
      <c r="G487" s="1282"/>
      <c r="H487" s="1282"/>
      <c r="I487" s="1282"/>
      <c r="J487" s="1282"/>
      <c r="K487" s="1282"/>
      <c r="L487" s="1283"/>
      <c r="M487" s="62"/>
    </row>
    <row r="488" spans="1:50" ht="15.75" hidden="1" x14ac:dyDescent="0.25">
      <c r="K488" s="62"/>
    </row>
    <row r="489" spans="1:50" ht="18.75" hidden="1" x14ac:dyDescent="0.3">
      <c r="B489" s="437"/>
      <c r="C489" s="61"/>
      <c r="D489" s="61"/>
      <c r="E489" s="61"/>
      <c r="F489" s="61"/>
      <c r="G489" s="61"/>
      <c r="H489" s="61"/>
      <c r="I489" s="61"/>
      <c r="J489" s="61"/>
      <c r="K489" s="61"/>
    </row>
    <row r="490" spans="1:50" ht="18.75" hidden="1" x14ac:dyDescent="0.3">
      <c r="A490" s="436" t="s">
        <v>595</v>
      </c>
      <c r="B490" s="437"/>
      <c r="C490" s="61"/>
      <c r="D490" s="61"/>
      <c r="E490" s="61"/>
      <c r="F490" s="61"/>
      <c r="G490" s="61"/>
      <c r="H490" s="61"/>
      <c r="I490" s="61"/>
      <c r="J490" s="61"/>
      <c r="K490" s="61"/>
      <c r="L490" s="61"/>
      <c r="M490" s="61"/>
      <c r="N490" s="61"/>
      <c r="O490" s="61"/>
      <c r="P490" s="61"/>
      <c r="Q490" s="61"/>
      <c r="R490" s="61"/>
      <c r="S490" s="61"/>
      <c r="T490" s="61"/>
      <c r="AH490" s="61"/>
      <c r="AI490" s="61"/>
      <c r="AJ490" s="61"/>
      <c r="AK490" s="61"/>
      <c r="AL490" s="61"/>
      <c r="AM490" s="61"/>
      <c r="AN490" s="61"/>
      <c r="AO490" s="61"/>
      <c r="AP490" s="61"/>
      <c r="AQ490" s="61"/>
      <c r="AR490" s="61"/>
      <c r="AS490" s="61"/>
      <c r="AT490" s="61"/>
      <c r="AU490" s="61"/>
      <c r="AV490" s="61"/>
      <c r="AW490" s="61"/>
      <c r="AX490" s="61"/>
    </row>
    <row r="491" spans="1:50" ht="18.75" hidden="1" x14ac:dyDescent="0.3">
      <c r="A491" s="436"/>
      <c r="B491" s="438" t="s">
        <v>596</v>
      </c>
      <c r="C491" s="438">
        <v>0</v>
      </c>
      <c r="D491" s="438">
        <f>C491+1</f>
        <v>1</v>
      </c>
      <c r="E491" s="438">
        <f t="shared" ref="E491:AG491" si="36">D491+1</f>
        <v>2</v>
      </c>
      <c r="F491" s="438">
        <f t="shared" si="36"/>
        <v>3</v>
      </c>
      <c r="G491" s="438">
        <f t="shared" si="36"/>
        <v>4</v>
      </c>
      <c r="H491" s="438">
        <f t="shared" si="36"/>
        <v>5</v>
      </c>
      <c r="I491" s="438">
        <f t="shared" si="36"/>
        <v>6</v>
      </c>
      <c r="J491" s="438">
        <f>I491+1</f>
        <v>7</v>
      </c>
      <c r="K491" s="438">
        <f>J491+1</f>
        <v>8</v>
      </c>
      <c r="L491" s="438">
        <f>K491+1</f>
        <v>9</v>
      </c>
      <c r="M491" s="438">
        <f>L491+1</f>
        <v>10</v>
      </c>
      <c r="N491" s="438">
        <f t="shared" si="36"/>
        <v>11</v>
      </c>
      <c r="O491" s="438">
        <f t="shared" si="36"/>
        <v>12</v>
      </c>
      <c r="P491" s="438">
        <f t="shared" si="36"/>
        <v>13</v>
      </c>
      <c r="Q491" s="438">
        <f t="shared" si="36"/>
        <v>14</v>
      </c>
      <c r="R491" s="438">
        <f t="shared" si="36"/>
        <v>15</v>
      </c>
      <c r="S491" s="438">
        <f>R491+1</f>
        <v>16</v>
      </c>
      <c r="T491" s="438">
        <f t="shared" si="36"/>
        <v>17</v>
      </c>
      <c r="U491" s="438">
        <f>T491+1</f>
        <v>18</v>
      </c>
      <c r="V491" s="438">
        <f t="shared" si="36"/>
        <v>19</v>
      </c>
      <c r="W491" s="438">
        <f t="shared" si="36"/>
        <v>20</v>
      </c>
      <c r="X491" s="438">
        <f t="shared" si="36"/>
        <v>21</v>
      </c>
      <c r="Y491" s="438">
        <f t="shared" si="36"/>
        <v>22</v>
      </c>
      <c r="Z491" s="438">
        <f t="shared" si="36"/>
        <v>23</v>
      </c>
      <c r="AA491" s="438">
        <f t="shared" si="36"/>
        <v>24</v>
      </c>
      <c r="AB491" s="438">
        <f t="shared" si="36"/>
        <v>25</v>
      </c>
      <c r="AC491" s="438">
        <f t="shared" si="36"/>
        <v>26</v>
      </c>
      <c r="AD491" s="438">
        <f t="shared" si="36"/>
        <v>27</v>
      </c>
      <c r="AE491" s="438">
        <f t="shared" si="36"/>
        <v>28</v>
      </c>
      <c r="AF491" s="438">
        <f t="shared" si="36"/>
        <v>29</v>
      </c>
      <c r="AG491" s="438">
        <f t="shared" si="36"/>
        <v>30</v>
      </c>
      <c r="AH491" s="61"/>
      <c r="AI491" s="61"/>
      <c r="AJ491" s="61"/>
      <c r="AK491" s="61"/>
      <c r="AL491" s="61"/>
      <c r="AM491" s="61"/>
      <c r="AN491" s="61"/>
      <c r="AO491" s="61"/>
      <c r="AP491" s="61"/>
      <c r="AQ491" s="61"/>
      <c r="AR491" s="61"/>
      <c r="AS491" s="61"/>
      <c r="AT491" s="61"/>
      <c r="AU491" s="61"/>
      <c r="AV491" s="61"/>
      <c r="AW491" s="61"/>
      <c r="AX491" s="61"/>
    </row>
    <row r="492" spans="1:50" ht="15.75" hidden="1" x14ac:dyDescent="0.25">
      <c r="A492" s="61"/>
      <c r="B492" s="439"/>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c r="AA492" s="439"/>
      <c r="AB492" s="439"/>
      <c r="AC492" s="439"/>
      <c r="AD492" s="439"/>
      <c r="AE492" s="439"/>
      <c r="AF492" s="439"/>
      <c r="AG492" s="439"/>
      <c r="AH492" s="61"/>
      <c r="AI492" s="61"/>
      <c r="AJ492" s="61"/>
      <c r="AK492" s="61"/>
      <c r="AL492" s="61"/>
      <c r="AM492" s="61"/>
      <c r="AN492" s="61"/>
      <c r="AO492" s="61"/>
      <c r="AP492" s="61"/>
      <c r="AQ492" s="61"/>
      <c r="AR492" s="61"/>
      <c r="AS492" s="61"/>
      <c r="AT492" s="61"/>
      <c r="AU492" s="61"/>
      <c r="AV492" s="61"/>
      <c r="AW492" s="61"/>
      <c r="AX492" s="61"/>
    </row>
    <row r="493" spans="1:50" ht="15.75" hidden="1" x14ac:dyDescent="0.25">
      <c r="A493" s="61"/>
      <c r="B493" s="439" t="s">
        <v>597</v>
      </c>
      <c r="C493" s="439">
        <v>0</v>
      </c>
      <c r="D493" s="439">
        <v>2</v>
      </c>
      <c r="E493" s="439">
        <v>5</v>
      </c>
      <c r="F493" s="439">
        <v>19</v>
      </c>
      <c r="G493" s="439">
        <v>41</v>
      </c>
      <c r="H493" s="439">
        <v>68</v>
      </c>
      <c r="I493" s="439">
        <v>98</v>
      </c>
      <c r="J493" s="439">
        <v>128</v>
      </c>
      <c r="K493" s="439">
        <v>159</v>
      </c>
      <c r="L493" s="439">
        <v>188</v>
      </c>
      <c r="M493" s="439">
        <v>217</v>
      </c>
      <c r="N493" s="439">
        <v>244</v>
      </c>
      <c r="O493" s="439">
        <v>269</v>
      </c>
      <c r="P493" s="439">
        <v>293</v>
      </c>
      <c r="Q493" s="439">
        <v>316</v>
      </c>
      <c r="R493" s="439">
        <v>333</v>
      </c>
      <c r="S493" s="439">
        <v>356</v>
      </c>
      <c r="T493" s="439">
        <v>374</v>
      </c>
      <c r="U493" s="439">
        <v>391</v>
      </c>
      <c r="V493" s="439">
        <v>407</v>
      </c>
      <c r="W493" s="439">
        <v>422</v>
      </c>
      <c r="X493" s="439">
        <v>436</v>
      </c>
      <c r="Y493" s="439">
        <v>449</v>
      </c>
      <c r="Z493" s="439">
        <v>461</v>
      </c>
      <c r="AA493" s="439">
        <v>472</v>
      </c>
      <c r="AB493" s="439">
        <v>482</v>
      </c>
      <c r="AC493" s="439">
        <v>492</v>
      </c>
      <c r="AD493" s="439">
        <v>502</v>
      </c>
      <c r="AE493" s="439">
        <v>510</v>
      </c>
      <c r="AF493" s="439">
        <v>518</v>
      </c>
      <c r="AG493" s="439">
        <v>526</v>
      </c>
      <c r="AH493" s="61"/>
      <c r="AI493" s="61"/>
      <c r="AJ493" s="61"/>
      <c r="AK493" s="61"/>
      <c r="AL493" s="61"/>
      <c r="AM493" s="61"/>
      <c r="AN493" s="61"/>
      <c r="AO493" s="61"/>
      <c r="AP493" s="61"/>
      <c r="AQ493" s="61"/>
      <c r="AR493" s="61"/>
      <c r="AS493" s="61"/>
      <c r="AT493" s="61"/>
      <c r="AU493" s="61"/>
      <c r="AV493" s="61"/>
      <c r="AW493" s="61"/>
      <c r="AX493" s="61"/>
    </row>
    <row r="494" spans="1:50" ht="15.75" hidden="1" x14ac:dyDescent="0.25">
      <c r="A494" s="61"/>
      <c r="B494" s="439" t="s">
        <v>598</v>
      </c>
      <c r="C494" s="439">
        <v>0</v>
      </c>
      <c r="D494" s="439">
        <v>0</v>
      </c>
      <c r="E494" s="439">
        <v>1</v>
      </c>
      <c r="F494" s="439">
        <v>5</v>
      </c>
      <c r="G494" s="439">
        <v>16</v>
      </c>
      <c r="H494" s="439">
        <v>32</v>
      </c>
      <c r="I494" s="439">
        <v>52</v>
      </c>
      <c r="J494" s="439">
        <v>75</v>
      </c>
      <c r="K494" s="439">
        <v>98</v>
      </c>
      <c r="L494" s="439">
        <v>122</v>
      </c>
      <c r="M494" s="439">
        <v>146</v>
      </c>
      <c r="N494" s="439">
        <v>169</v>
      </c>
      <c r="O494" s="439">
        <v>191</v>
      </c>
      <c r="P494" s="439">
        <v>213</v>
      </c>
      <c r="Q494" s="439">
        <v>234</v>
      </c>
      <c r="R494" s="439">
        <v>254</v>
      </c>
      <c r="S494" s="439">
        <v>272</v>
      </c>
      <c r="T494" s="439">
        <v>290</v>
      </c>
      <c r="U494" s="439">
        <v>306</v>
      </c>
      <c r="V494" s="439">
        <v>322</v>
      </c>
      <c r="W494" s="439">
        <v>337</v>
      </c>
      <c r="X494" s="439">
        <v>351</v>
      </c>
      <c r="Y494" s="439">
        <v>364</v>
      </c>
      <c r="Z494" s="439">
        <v>377</v>
      </c>
      <c r="AA494" s="439">
        <v>388</v>
      </c>
      <c r="AB494" s="439">
        <v>399</v>
      </c>
      <c r="AC494" s="439">
        <v>410</v>
      </c>
      <c r="AD494" s="439">
        <v>420</v>
      </c>
      <c r="AE494" s="439">
        <v>430</v>
      </c>
      <c r="AF494" s="439">
        <v>439</v>
      </c>
      <c r="AG494" s="439">
        <v>447</v>
      </c>
      <c r="AH494" s="61"/>
      <c r="AI494" s="61"/>
      <c r="AJ494" s="61"/>
      <c r="AK494" s="61"/>
      <c r="AL494" s="61"/>
      <c r="AM494" s="61"/>
      <c r="AN494" s="61"/>
      <c r="AO494" s="61"/>
      <c r="AP494" s="61"/>
      <c r="AQ494" s="61"/>
      <c r="AR494" s="61"/>
      <c r="AS494" s="61"/>
      <c r="AT494" s="61"/>
      <c r="AU494" s="61"/>
      <c r="AV494" s="61"/>
      <c r="AW494" s="61"/>
      <c r="AX494" s="61"/>
    </row>
    <row r="495" spans="1:50" ht="15.75" hidden="1" x14ac:dyDescent="0.25">
      <c r="A495" s="61"/>
      <c r="B495" s="439" t="s">
        <v>599</v>
      </c>
      <c r="C495" s="439">
        <v>0</v>
      </c>
      <c r="D495" s="439">
        <v>0</v>
      </c>
      <c r="E495" s="439">
        <v>1</v>
      </c>
      <c r="F495" s="439">
        <v>5</v>
      </c>
      <c r="G495" s="439">
        <v>10</v>
      </c>
      <c r="H495" s="439">
        <v>19</v>
      </c>
      <c r="I495" s="439">
        <v>29</v>
      </c>
      <c r="J495" s="439">
        <v>41</v>
      </c>
      <c r="K495" s="439">
        <v>54</v>
      </c>
      <c r="L495" s="439">
        <v>68</v>
      </c>
      <c r="M495" s="439">
        <v>83</v>
      </c>
      <c r="N495" s="439">
        <v>99</v>
      </c>
      <c r="O495" s="439">
        <v>115</v>
      </c>
      <c r="P495" s="439">
        <v>131</v>
      </c>
      <c r="Q495" s="439">
        <v>147</v>
      </c>
      <c r="R495" s="439">
        <v>163</v>
      </c>
      <c r="S495" s="439">
        <v>179</v>
      </c>
      <c r="T495" s="439">
        <v>196</v>
      </c>
      <c r="U495" s="439">
        <v>211</v>
      </c>
      <c r="V495" s="439">
        <v>227</v>
      </c>
      <c r="W495" s="439">
        <v>242</v>
      </c>
      <c r="X495" s="439">
        <v>258</v>
      </c>
      <c r="Y495" s="439">
        <v>273</v>
      </c>
      <c r="Z495" s="439">
        <v>287</v>
      </c>
      <c r="AA495" s="439">
        <v>301</v>
      </c>
      <c r="AB495" s="439">
        <v>316</v>
      </c>
      <c r="AC495" s="439">
        <v>329</v>
      </c>
      <c r="AD495" s="439">
        <v>343</v>
      </c>
      <c r="AE495" s="439">
        <v>356</v>
      </c>
      <c r="AF495" s="439">
        <v>369</v>
      </c>
      <c r="AG495" s="439">
        <v>382</v>
      </c>
      <c r="AH495" s="61"/>
      <c r="AI495" s="61"/>
      <c r="AJ495" s="61"/>
      <c r="AK495" s="61"/>
      <c r="AL495" s="61"/>
      <c r="AM495" s="61"/>
      <c r="AN495" s="61"/>
      <c r="AO495" s="61"/>
      <c r="AP495" s="61"/>
      <c r="AQ495" s="61"/>
      <c r="AR495" s="61"/>
      <c r="AS495" s="61"/>
      <c r="AT495" s="61"/>
      <c r="AU495" s="61"/>
      <c r="AV495" s="61"/>
      <c r="AW495" s="61"/>
      <c r="AX495" s="61"/>
    </row>
    <row r="496" spans="1:50" ht="15.75" hidden="1" x14ac:dyDescent="0.25">
      <c r="A496" s="61"/>
      <c r="B496" s="439" t="s">
        <v>600</v>
      </c>
      <c r="C496" s="439">
        <v>0</v>
      </c>
      <c r="D496" s="439">
        <v>0</v>
      </c>
      <c r="E496" s="439">
        <v>0</v>
      </c>
      <c r="F496" s="439">
        <v>0</v>
      </c>
      <c r="G496" s="439">
        <v>1</v>
      </c>
      <c r="H496" s="439">
        <v>3</v>
      </c>
      <c r="I496" s="439">
        <v>6</v>
      </c>
      <c r="J496" s="439">
        <v>10</v>
      </c>
      <c r="K496" s="439">
        <v>16</v>
      </c>
      <c r="L496" s="439">
        <v>23</v>
      </c>
      <c r="M496" s="439">
        <v>32</v>
      </c>
      <c r="N496" s="439">
        <v>42</v>
      </c>
      <c r="O496" s="439">
        <v>53</v>
      </c>
      <c r="P496" s="439">
        <v>65</v>
      </c>
      <c r="Q496" s="439">
        <v>78</v>
      </c>
      <c r="R496" s="439">
        <v>91</v>
      </c>
      <c r="S496" s="439">
        <v>104</v>
      </c>
      <c r="T496" s="439">
        <v>118</v>
      </c>
      <c r="U496" s="439">
        <v>132</v>
      </c>
      <c r="V496" s="439">
        <v>146</v>
      </c>
      <c r="W496" s="439">
        <v>159</v>
      </c>
      <c r="X496" s="439">
        <v>173</v>
      </c>
      <c r="Y496" s="439">
        <v>187</v>
      </c>
      <c r="Z496" s="439">
        <v>201</v>
      </c>
      <c r="AA496" s="439">
        <v>214</v>
      </c>
      <c r="AB496" s="439">
        <v>228</v>
      </c>
      <c r="AC496" s="439">
        <v>241</v>
      </c>
      <c r="AD496" s="439">
        <v>254</v>
      </c>
      <c r="AE496" s="439">
        <v>267</v>
      </c>
      <c r="AF496" s="439">
        <v>279</v>
      </c>
      <c r="AG496" s="439">
        <v>291</v>
      </c>
      <c r="AH496" s="61"/>
      <c r="AI496" s="61"/>
      <c r="AJ496" s="61"/>
      <c r="AK496" s="61"/>
      <c r="AL496" s="61"/>
      <c r="AM496" s="61"/>
      <c r="AN496" s="61"/>
      <c r="AO496" s="61"/>
      <c r="AP496" s="61"/>
      <c r="AQ496" s="61"/>
      <c r="AR496" s="61"/>
      <c r="AS496" s="61"/>
      <c r="AT496" s="61"/>
      <c r="AU496" s="61"/>
      <c r="AV496" s="61"/>
      <c r="AW496" s="61"/>
      <c r="AX496" s="61"/>
    </row>
    <row r="497" spans="1:50" ht="15.75" hidden="1" x14ac:dyDescent="0.25">
      <c r="A497" s="61"/>
      <c r="B497" s="440" t="s">
        <v>601</v>
      </c>
      <c r="C497" s="440">
        <v>0</v>
      </c>
      <c r="D497" s="440">
        <v>0</v>
      </c>
      <c r="E497" s="440">
        <v>0</v>
      </c>
      <c r="F497" s="440">
        <v>0</v>
      </c>
      <c r="G497" s="440">
        <v>1</v>
      </c>
      <c r="H497" s="440">
        <v>2</v>
      </c>
      <c r="I497" s="440">
        <v>4</v>
      </c>
      <c r="J497" s="440">
        <v>7</v>
      </c>
      <c r="K497" s="440">
        <v>11</v>
      </c>
      <c r="L497" s="440">
        <v>16</v>
      </c>
      <c r="M497" s="440">
        <v>21</v>
      </c>
      <c r="N497" s="440">
        <v>28</v>
      </c>
      <c r="O497" s="440">
        <v>35</v>
      </c>
      <c r="P497" s="440">
        <v>43</v>
      </c>
      <c r="Q497" s="440">
        <v>52</v>
      </c>
      <c r="R497" s="440">
        <v>60</v>
      </c>
      <c r="S497" s="440">
        <v>69</v>
      </c>
      <c r="T497" s="440">
        <v>78</v>
      </c>
      <c r="U497" s="440">
        <v>87</v>
      </c>
      <c r="V497" s="440">
        <v>97</v>
      </c>
      <c r="W497" s="440">
        <v>106</v>
      </c>
      <c r="X497" s="440">
        <v>115</v>
      </c>
      <c r="Y497" s="440">
        <v>124</v>
      </c>
      <c r="Z497" s="440">
        <v>133</v>
      </c>
      <c r="AA497" s="440">
        <v>142</v>
      </c>
      <c r="AB497" s="440">
        <v>151</v>
      </c>
      <c r="AC497" s="440">
        <v>160</v>
      </c>
      <c r="AD497" s="440">
        <v>168</v>
      </c>
      <c r="AE497" s="440">
        <v>177</v>
      </c>
      <c r="AF497" s="440">
        <v>185</v>
      </c>
      <c r="AG497" s="440">
        <v>193</v>
      </c>
      <c r="AH497" s="61"/>
      <c r="AI497" s="61"/>
      <c r="AJ497" s="61"/>
      <c r="AK497" s="61"/>
      <c r="AL497" s="61"/>
      <c r="AM497" s="61"/>
      <c r="AN497" s="61"/>
      <c r="AO497" s="61"/>
      <c r="AP497" s="61"/>
      <c r="AQ497" s="61"/>
      <c r="AR497" s="61"/>
      <c r="AS497" s="61"/>
      <c r="AT497" s="61"/>
      <c r="AU497" s="61"/>
      <c r="AV497" s="61"/>
      <c r="AW497" s="61"/>
      <c r="AX497" s="61"/>
    </row>
    <row r="498" spans="1:50" ht="15.75" hidden="1" x14ac:dyDescent="0.2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row>
    <row r="499" spans="1:50" ht="15.75" hidden="1" x14ac:dyDescent="0.25">
      <c r="A499" s="61"/>
      <c r="B499" s="441"/>
      <c r="C499" s="442" t="s">
        <v>602</v>
      </c>
      <c r="D499" s="442" t="s">
        <v>603</v>
      </c>
      <c r="E499" s="442" t="s">
        <v>604</v>
      </c>
      <c r="F499" s="442" t="s">
        <v>605</v>
      </c>
      <c r="G499" s="442" t="s">
        <v>606</v>
      </c>
      <c r="H499" s="442" t="s">
        <v>603</v>
      </c>
      <c r="I499" s="442" t="s">
        <v>604</v>
      </c>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row>
    <row r="500" spans="1:50" ht="15.75" hidden="1" x14ac:dyDescent="0.25">
      <c r="A500" s="61"/>
      <c r="B500" s="443" t="s">
        <v>607</v>
      </c>
      <c r="C500" s="907" t="s">
        <v>608</v>
      </c>
      <c r="D500" s="2113" t="s">
        <v>609</v>
      </c>
      <c r="E500" s="2113"/>
      <c r="F500" s="2113" t="s">
        <v>610</v>
      </c>
      <c r="G500" s="2113"/>
      <c r="H500" s="2113" t="s">
        <v>611</v>
      </c>
      <c r="I500" s="2113"/>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row>
    <row r="501" spans="1:50" ht="15.75" hidden="1" x14ac:dyDescent="0.25">
      <c r="A501" s="61">
        <v>1</v>
      </c>
      <c r="B501" s="445" t="s">
        <v>771</v>
      </c>
      <c r="C501" s="490">
        <v>0</v>
      </c>
      <c r="D501" s="490">
        <v>0</v>
      </c>
      <c r="E501" s="490">
        <v>0</v>
      </c>
      <c r="F501" s="490">
        <v>0</v>
      </c>
      <c r="G501" s="490">
        <v>0</v>
      </c>
      <c r="H501" s="490">
        <v>0</v>
      </c>
      <c r="I501" s="490">
        <v>0</v>
      </c>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row>
    <row r="502" spans="1:50" ht="15.75" hidden="1" x14ac:dyDescent="0.25">
      <c r="A502" s="61">
        <v>2</v>
      </c>
      <c r="B502" s="445" t="s">
        <v>612</v>
      </c>
      <c r="C502" s="445">
        <v>600</v>
      </c>
      <c r="D502" s="445">
        <v>15</v>
      </c>
      <c r="E502" s="445">
        <v>30</v>
      </c>
      <c r="F502" s="445">
        <v>0.43</v>
      </c>
      <c r="G502" s="446">
        <v>0.5</v>
      </c>
      <c r="H502" s="447">
        <f>D502*F502*G502*3.7</f>
        <v>11.932500000000001</v>
      </c>
      <c r="I502" s="447">
        <f>E502*F502*G502*3.7</f>
        <v>23.865000000000002</v>
      </c>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row>
    <row r="503" spans="1:50" ht="15.75" hidden="1" x14ac:dyDescent="0.25">
      <c r="A503" s="61">
        <v>3</v>
      </c>
      <c r="B503" s="439" t="s">
        <v>613</v>
      </c>
      <c r="C503" s="439">
        <v>600</v>
      </c>
      <c r="D503" s="439">
        <v>15</v>
      </c>
      <c r="E503" s="439">
        <v>30</v>
      </c>
      <c r="F503" s="439">
        <v>0.43</v>
      </c>
      <c r="G503" s="448">
        <v>0.5</v>
      </c>
      <c r="H503" s="449">
        <f>D503*F503*G503*3.7</f>
        <v>11.932500000000001</v>
      </c>
      <c r="I503" s="449">
        <f>E503*F503*G503*3.7</f>
        <v>23.865000000000002</v>
      </c>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row>
    <row r="504" spans="1:50" ht="15.75" hidden="1" x14ac:dyDescent="0.25">
      <c r="A504" s="61">
        <v>4</v>
      </c>
      <c r="B504" s="445" t="s">
        <v>614</v>
      </c>
      <c r="C504" s="445">
        <f t="shared" ref="C504:I504" si="37">AVERAGE(C505:C508)</f>
        <v>775</v>
      </c>
      <c r="D504" s="445">
        <f t="shared" si="37"/>
        <v>15</v>
      </c>
      <c r="E504" s="445">
        <f t="shared" si="37"/>
        <v>32.5</v>
      </c>
      <c r="F504" s="445">
        <f t="shared" si="37"/>
        <v>0.63</v>
      </c>
      <c r="G504" s="445">
        <f t="shared" si="37"/>
        <v>0.5</v>
      </c>
      <c r="H504" s="445">
        <f t="shared" si="37"/>
        <v>17.482499999999998</v>
      </c>
      <c r="I504" s="445">
        <f t="shared" si="37"/>
        <v>37.878750000000004</v>
      </c>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row>
    <row r="505" spans="1:50" ht="15.75" hidden="1" x14ac:dyDescent="0.25">
      <c r="A505" s="61">
        <v>5</v>
      </c>
      <c r="B505" s="439" t="s">
        <v>615</v>
      </c>
      <c r="C505" s="439">
        <v>700</v>
      </c>
      <c r="D505" s="439">
        <v>15</v>
      </c>
      <c r="E505" s="439">
        <v>35</v>
      </c>
      <c r="F505" s="439">
        <v>0.63</v>
      </c>
      <c r="G505" s="448">
        <v>0.5</v>
      </c>
      <c r="H505" s="449">
        <f>D505*F505*G505*3.7</f>
        <v>17.482499999999998</v>
      </c>
      <c r="I505" s="449">
        <f>E505*F505*G505*3.7</f>
        <v>40.792500000000004</v>
      </c>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row>
    <row r="506" spans="1:50" ht="15.75" hidden="1" x14ac:dyDescent="0.25">
      <c r="A506" s="61">
        <v>6</v>
      </c>
      <c r="B506" s="439" t="s">
        <v>616</v>
      </c>
      <c r="C506" s="439">
        <v>800</v>
      </c>
      <c r="D506" s="439">
        <v>15</v>
      </c>
      <c r="E506" s="439">
        <v>35</v>
      </c>
      <c r="F506" s="439">
        <v>0.63</v>
      </c>
      <c r="G506" s="448">
        <v>0.5</v>
      </c>
      <c r="H506" s="449">
        <f>D506*F506*G506*3.7</f>
        <v>17.482499999999998</v>
      </c>
      <c r="I506" s="449">
        <f>E506*F506*G506*3.7</f>
        <v>40.792500000000004</v>
      </c>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row>
    <row r="507" spans="1:50" ht="15.75" hidden="1" x14ac:dyDescent="0.25">
      <c r="A507" s="61">
        <v>7</v>
      </c>
      <c r="B507" s="439" t="s">
        <v>617</v>
      </c>
      <c r="C507" s="439">
        <v>800</v>
      </c>
      <c r="D507" s="439">
        <v>15</v>
      </c>
      <c r="E507" s="439">
        <v>30</v>
      </c>
      <c r="F507" s="439">
        <v>0.63</v>
      </c>
      <c r="G507" s="448">
        <v>0.5</v>
      </c>
      <c r="H507" s="449">
        <f>D507*F507*G507*3.7</f>
        <v>17.482499999999998</v>
      </c>
      <c r="I507" s="449">
        <f>E507*F507*G507*3.7</f>
        <v>34.964999999999996</v>
      </c>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row>
    <row r="508" spans="1:50" ht="15.75" hidden="1" x14ac:dyDescent="0.25">
      <c r="A508" s="61">
        <v>8</v>
      </c>
      <c r="B508" s="439" t="s">
        <v>618</v>
      </c>
      <c r="C508" s="439">
        <v>800</v>
      </c>
      <c r="D508" s="439">
        <v>15</v>
      </c>
      <c r="E508" s="439">
        <v>30</v>
      </c>
      <c r="F508" s="439">
        <v>0.63</v>
      </c>
      <c r="G508" s="448">
        <v>0.5</v>
      </c>
      <c r="H508" s="449">
        <f>D508*F508*G508*3.7</f>
        <v>17.482499999999998</v>
      </c>
      <c r="I508" s="449">
        <f>E508*F508*G508*3.7</f>
        <v>34.964999999999996</v>
      </c>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row>
    <row r="509" spans="1:50" ht="15.75" hidden="1" x14ac:dyDescent="0.25">
      <c r="A509" s="61">
        <v>9</v>
      </c>
      <c r="B509" s="439" t="s">
        <v>619</v>
      </c>
      <c r="C509" s="439">
        <v>600</v>
      </c>
      <c r="D509" s="439">
        <v>8</v>
      </c>
      <c r="E509" s="439">
        <v>20</v>
      </c>
      <c r="F509" s="439">
        <v>0.63</v>
      </c>
      <c r="G509" s="448">
        <v>0.5</v>
      </c>
      <c r="H509" s="449">
        <f>D509*F509*G509*3.7</f>
        <v>9.3239999999999998</v>
      </c>
      <c r="I509" s="449">
        <f>E509*F509*G509*3.7</f>
        <v>23.31</v>
      </c>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row>
    <row r="510" spans="1:50" ht="15.75" hidden="1" x14ac:dyDescent="0.25">
      <c r="A510" s="61">
        <v>10</v>
      </c>
      <c r="B510" s="445" t="s">
        <v>620</v>
      </c>
      <c r="C510" s="445">
        <f t="shared" ref="C510:I510" si="38">AVERAGE(C511:C515)</f>
        <v>530</v>
      </c>
      <c r="D510" s="445">
        <f t="shared" si="38"/>
        <v>3</v>
      </c>
      <c r="E510" s="445">
        <f t="shared" si="38"/>
        <v>8.8000000000000007</v>
      </c>
      <c r="F510" s="445">
        <f t="shared" si="38"/>
        <v>0.63</v>
      </c>
      <c r="G510" s="445">
        <f t="shared" si="38"/>
        <v>0.5</v>
      </c>
      <c r="H510" s="445">
        <f t="shared" si="38"/>
        <v>3.4964999999999997</v>
      </c>
      <c r="I510" s="445">
        <f t="shared" si="38"/>
        <v>10.256399999999999</v>
      </c>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row>
    <row r="511" spans="1:50" ht="15.75" hidden="1" x14ac:dyDescent="0.25">
      <c r="A511" s="61">
        <v>11</v>
      </c>
      <c r="B511" s="439" t="s">
        <v>621</v>
      </c>
      <c r="C511" s="439">
        <v>750</v>
      </c>
      <c r="D511" s="439">
        <v>4</v>
      </c>
      <c r="E511" s="439">
        <v>10</v>
      </c>
      <c r="F511" s="439">
        <v>0.63</v>
      </c>
      <c r="G511" s="448">
        <v>0.5</v>
      </c>
      <c r="H511" s="449">
        <f>D511*F511*G511*3.7</f>
        <v>4.6619999999999999</v>
      </c>
      <c r="I511" s="449">
        <f>E511*F511*G511*3.7</f>
        <v>11.654999999999999</v>
      </c>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row>
    <row r="512" spans="1:50" ht="15.75" hidden="1" x14ac:dyDescent="0.25">
      <c r="A512" s="61">
        <v>12</v>
      </c>
      <c r="B512" s="439" t="s">
        <v>622</v>
      </c>
      <c r="C512" s="439">
        <v>500</v>
      </c>
      <c r="D512" s="439">
        <v>5</v>
      </c>
      <c r="E512" s="439">
        <v>10</v>
      </c>
      <c r="F512" s="439">
        <v>0.63</v>
      </c>
      <c r="G512" s="448">
        <v>0.5</v>
      </c>
      <c r="H512" s="449">
        <f>D512*F512*G512*3.7</f>
        <v>5.8274999999999997</v>
      </c>
      <c r="I512" s="449">
        <f>E512*F512*G512*3.7</f>
        <v>11.654999999999999</v>
      </c>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row>
    <row r="513" spans="1:50" ht="15.75" hidden="1" x14ac:dyDescent="0.25">
      <c r="A513" s="61">
        <v>13</v>
      </c>
      <c r="B513" s="439" t="s">
        <v>623</v>
      </c>
      <c r="C513" s="439">
        <v>500</v>
      </c>
      <c r="D513" s="439">
        <v>2</v>
      </c>
      <c r="E513" s="439">
        <v>8</v>
      </c>
      <c r="F513" s="439">
        <v>0.63</v>
      </c>
      <c r="G513" s="448">
        <v>0.5</v>
      </c>
      <c r="H513" s="449">
        <f>D513*F513*G513*3.7</f>
        <v>2.331</v>
      </c>
      <c r="I513" s="449">
        <f>E513*F513*G513*3.7</f>
        <v>9.3239999999999998</v>
      </c>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row>
    <row r="514" spans="1:50" ht="15.75" hidden="1" x14ac:dyDescent="0.25">
      <c r="A514" s="61">
        <v>14</v>
      </c>
      <c r="B514" s="439" t="s">
        <v>624</v>
      </c>
      <c r="C514" s="439">
        <v>400</v>
      </c>
      <c r="D514" s="439">
        <v>2</v>
      </c>
      <c r="E514" s="439">
        <v>8</v>
      </c>
      <c r="F514" s="439">
        <v>0.63</v>
      </c>
      <c r="G514" s="448">
        <v>0.5</v>
      </c>
      <c r="H514" s="449">
        <f>D514*F514*G514*3.7</f>
        <v>2.331</v>
      </c>
      <c r="I514" s="449">
        <f>E514*F514*G514*3.7</f>
        <v>9.3239999999999998</v>
      </c>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row>
    <row r="515" spans="1:50" ht="15.75" hidden="1" x14ac:dyDescent="0.25">
      <c r="A515" s="5">
        <v>15</v>
      </c>
      <c r="B515" s="439" t="s">
        <v>625</v>
      </c>
      <c r="C515" s="439">
        <v>500</v>
      </c>
      <c r="D515" s="439">
        <v>2</v>
      </c>
      <c r="E515" s="439">
        <v>8</v>
      </c>
      <c r="F515" s="439">
        <v>0.63</v>
      </c>
      <c r="G515" s="448">
        <v>0.5</v>
      </c>
      <c r="H515" s="449">
        <f>D515*F515*G515*3.7</f>
        <v>2.331</v>
      </c>
      <c r="I515" s="449">
        <f>E515*F515*G515*3.7</f>
        <v>9.3239999999999998</v>
      </c>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row>
    <row r="516" spans="1:50" ht="15.75" hidden="1" x14ac:dyDescent="0.25">
      <c r="A516" s="61" t="s">
        <v>265</v>
      </c>
      <c r="B516" s="439" t="e">
        <f>VLOOKUP($C$66,$B$501:$I$515,1,FALSE)</f>
        <v>#N/A</v>
      </c>
      <c r="C516" s="439" t="e">
        <f>VLOOKUP($C$66,$B$501:$I$515,2,FALSE)</f>
        <v>#N/A</v>
      </c>
      <c r="D516" s="439" t="e">
        <f>VLOOKUP($C$66,$B$501:$I$515,3,FALSE)</f>
        <v>#N/A</v>
      </c>
      <c r="E516" s="439" t="e">
        <f>VLOOKUP($C$66,$B$501:$I$515,4,FALSE)</f>
        <v>#N/A</v>
      </c>
      <c r="F516" s="439" t="e">
        <f>VLOOKUP($C$66,$B$501:$I$515,5,FALSE)</f>
        <v>#N/A</v>
      </c>
      <c r="G516" s="439" t="e">
        <f>VLOOKUP($C$66,$B$501:$I$515,6,FALSE)</f>
        <v>#N/A</v>
      </c>
      <c r="H516" s="439" t="e">
        <f>VLOOKUP($C$66,$B$501:$I$515,7,FALSE)</f>
        <v>#N/A</v>
      </c>
      <c r="I516" s="439" t="e">
        <f>VLOOKUP($C$66,$B$501:$I$515,8,FALSE)</f>
        <v>#N/A</v>
      </c>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row>
    <row r="517" spans="1:50" ht="15.75" hidden="1" x14ac:dyDescent="0.25">
      <c r="A517" s="61"/>
      <c r="B517" s="439"/>
      <c r="C517" s="439"/>
      <c r="D517" s="439"/>
      <c r="E517" s="439"/>
      <c r="F517" s="439"/>
      <c r="G517" s="439"/>
      <c r="H517" s="439"/>
      <c r="I517" s="439"/>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row>
    <row r="518" spans="1:50" ht="15.75" hidden="1" x14ac:dyDescent="0.25">
      <c r="B518" s="439" t="s">
        <v>626</v>
      </c>
      <c r="C518" s="439" t="s">
        <v>611</v>
      </c>
      <c r="D518" s="439"/>
      <c r="E518" s="2114" t="s">
        <v>456</v>
      </c>
      <c r="F518" s="2114"/>
      <c r="G518" s="439" t="s">
        <v>1159</v>
      </c>
      <c r="H518" s="439">
        <f>S178</f>
        <v>1</v>
      </c>
      <c r="I518" s="439"/>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row>
    <row r="519" spans="1:50" ht="15.75" hidden="1" x14ac:dyDescent="0.25">
      <c r="A519" s="61">
        <v>1</v>
      </c>
      <c r="B519" s="439" t="s">
        <v>627</v>
      </c>
      <c r="C519" s="450" t="e">
        <f>IF(B522="High (&gt;700)",F519,FALSE)</f>
        <v>#N/A</v>
      </c>
      <c r="D519" s="439"/>
      <c r="E519" s="439" t="e">
        <f>H516</f>
        <v>#N/A</v>
      </c>
      <c r="F519" s="439" t="e">
        <f>I516</f>
        <v>#N/A</v>
      </c>
      <c r="G519" s="548"/>
      <c r="H519" s="439"/>
      <c r="I519" s="439"/>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row>
    <row r="520" spans="1:50" ht="15.75" hidden="1" x14ac:dyDescent="0.25">
      <c r="A520" s="61">
        <v>2</v>
      </c>
      <c r="B520" s="439" t="s">
        <v>628</v>
      </c>
      <c r="C520" s="439" t="e">
        <f>IF(B522="Med (500 - 700)",AVERAGE(E519:F519),FALSE)</f>
        <v>#N/A</v>
      </c>
      <c r="D520" s="439"/>
      <c r="E520" s="439"/>
      <c r="F520" s="439"/>
      <c r="G520" s="548" t="s">
        <v>1005</v>
      </c>
      <c r="H520" s="439">
        <f>D64</f>
        <v>0</v>
      </c>
      <c r="I520" s="439"/>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row>
    <row r="521" spans="1:50" ht="15.75" hidden="1" x14ac:dyDescent="0.25">
      <c r="A521" s="61">
        <v>3</v>
      </c>
      <c r="B521" s="439" t="s">
        <v>629</v>
      </c>
      <c r="C521" s="439" t="e">
        <f>IF(B522="Low (&lt;500)",E519,FALSE)</f>
        <v>#N/A</v>
      </c>
      <c r="D521" s="439"/>
      <c r="E521" s="439"/>
      <c r="F521" s="439"/>
      <c r="G521" s="439"/>
      <c r="H521" s="439"/>
      <c r="I521" s="439"/>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row>
    <row r="522" spans="1:50" ht="15.75" hidden="1" x14ac:dyDescent="0.25">
      <c r="A522" s="61" t="s">
        <v>265</v>
      </c>
      <c r="B522" s="451" t="e">
        <f>VLOOKUP($H$66,B519:B521,1,FALSE)</f>
        <v>#N/A</v>
      </c>
      <c r="C522" s="451"/>
      <c r="D522" s="451"/>
      <c r="E522" s="549" t="s">
        <v>888</v>
      </c>
      <c r="F522" s="451"/>
      <c r="G522" s="443">
        <f>IF(H518=1,0,IF(H518=3,AVERAGE(C519:C521),H520))</f>
        <v>0</v>
      </c>
      <c r="H522" s="451"/>
      <c r="I522" s="45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row>
    <row r="523" spans="1:50" ht="15.75" hidden="1" x14ac:dyDescent="0.25">
      <c r="A523" s="61"/>
      <c r="B523" s="452"/>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row>
    <row r="524" spans="1:50" ht="15.75" hidden="1" x14ac:dyDescent="0.25">
      <c r="A524" s="62"/>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row>
    <row r="525" spans="1:50" ht="18.75" hidden="1" x14ac:dyDescent="0.3">
      <c r="A525" s="124"/>
      <c r="B525" s="453" t="s">
        <v>630</v>
      </c>
      <c r="C525" s="62"/>
      <c r="D525" s="62"/>
      <c r="E525" s="62"/>
      <c r="F525" s="62"/>
      <c r="G525" s="62"/>
      <c r="H525" s="62"/>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row>
    <row r="526" spans="1:50" ht="15.75" hidden="1" x14ac:dyDescent="0.25">
      <c r="A526" s="124"/>
      <c r="B526" s="62"/>
      <c r="C526" s="62"/>
      <c r="D526" s="62"/>
      <c r="E526" s="62"/>
      <c r="F526" s="62"/>
      <c r="G526" s="62"/>
      <c r="H526" s="62"/>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row>
    <row r="527" spans="1:50" ht="15.75" hidden="1" x14ac:dyDescent="0.25">
      <c r="A527" s="124"/>
      <c r="B527" s="454" t="s">
        <v>282</v>
      </c>
      <c r="C527" s="455"/>
      <c r="D527" s="455"/>
      <c r="E527" s="455"/>
      <c r="F527" s="454" t="s">
        <v>252</v>
      </c>
      <c r="G527" s="455"/>
      <c r="H527" s="454"/>
      <c r="I527" s="61"/>
      <c r="AH527" s="61"/>
      <c r="AI527" s="61"/>
      <c r="AJ527" s="61"/>
      <c r="AK527" s="61"/>
      <c r="AL527" s="61"/>
      <c r="AM527" s="61"/>
      <c r="AN527" s="61"/>
      <c r="AO527" s="61"/>
      <c r="AP527" s="61"/>
      <c r="AQ527" s="61"/>
      <c r="AR527" s="61"/>
      <c r="AS527" s="61"/>
      <c r="AT527" s="61"/>
      <c r="AU527" s="61"/>
      <c r="AV527" s="61"/>
      <c r="AW527" s="61"/>
      <c r="AX527" s="61"/>
    </row>
    <row r="528" spans="1:50" ht="15.75" hidden="1" x14ac:dyDescent="0.25">
      <c r="A528" s="124"/>
      <c r="B528" s="456" t="s">
        <v>631</v>
      </c>
      <c r="C528" s="456">
        <f>C53/1</f>
        <v>20000</v>
      </c>
      <c r="D528" s="456"/>
      <c r="E528" s="456"/>
      <c r="F528" s="456" t="s">
        <v>632</v>
      </c>
      <c r="G528" s="456"/>
      <c r="H528" s="456"/>
    </row>
    <row r="529" spans="1:8" ht="15.75" hidden="1" x14ac:dyDescent="0.25">
      <c r="A529" s="124"/>
      <c r="B529" s="456" t="s">
        <v>633</v>
      </c>
      <c r="C529" s="456">
        <v>38.6</v>
      </c>
      <c r="D529" s="456"/>
      <c r="E529" s="456"/>
      <c r="F529" s="456" t="s">
        <v>634</v>
      </c>
      <c r="G529" s="456"/>
      <c r="H529" s="456"/>
    </row>
    <row r="530" spans="1:8" ht="15.75" hidden="1" x14ac:dyDescent="0.25">
      <c r="A530" s="124"/>
      <c r="B530" s="456" t="s">
        <v>635</v>
      </c>
      <c r="C530" s="456">
        <v>99</v>
      </c>
      <c r="D530" s="456"/>
      <c r="E530" s="456"/>
      <c r="F530" s="456" t="s">
        <v>259</v>
      </c>
      <c r="G530" s="456"/>
      <c r="H530" s="456"/>
    </row>
    <row r="531" spans="1:8" ht="15.75" hidden="1" x14ac:dyDescent="0.25">
      <c r="A531" s="124"/>
      <c r="B531" s="456" t="s">
        <v>636</v>
      </c>
      <c r="C531" s="456">
        <v>69.900000000000006</v>
      </c>
      <c r="D531" s="456"/>
      <c r="E531" s="456"/>
      <c r="F531" s="456" t="s">
        <v>637</v>
      </c>
      <c r="G531" s="456"/>
      <c r="H531" s="456"/>
    </row>
    <row r="532" spans="1:8" ht="15.75" hidden="1" x14ac:dyDescent="0.25">
      <c r="A532" s="124"/>
      <c r="B532" s="456" t="s">
        <v>638</v>
      </c>
      <c r="C532" s="456">
        <f>C52</f>
        <v>155000</v>
      </c>
      <c r="D532" s="456"/>
      <c r="E532" s="456"/>
      <c r="F532" s="456" t="s">
        <v>639</v>
      </c>
      <c r="G532" s="456"/>
      <c r="H532" s="456"/>
    </row>
    <row r="533" spans="1:8" ht="15.75" hidden="1" x14ac:dyDescent="0.25">
      <c r="A533" s="124"/>
      <c r="B533" s="456" t="s">
        <v>640</v>
      </c>
      <c r="C533" s="456">
        <f>E571</f>
        <v>1.4E-3</v>
      </c>
      <c r="D533" s="456"/>
      <c r="E533" s="456"/>
      <c r="F533" s="457" t="s">
        <v>641</v>
      </c>
      <c r="G533" s="456"/>
      <c r="H533" s="456"/>
    </row>
    <row r="534" spans="1:8" ht="15.75" hidden="1" x14ac:dyDescent="0.25">
      <c r="A534" s="124"/>
      <c r="B534" s="458"/>
      <c r="C534" s="458"/>
      <c r="D534" s="458"/>
      <c r="E534" s="458"/>
      <c r="F534" s="458"/>
      <c r="G534" s="458"/>
      <c r="H534" s="456"/>
    </row>
    <row r="535" spans="1:8" ht="15.75" hidden="1" x14ac:dyDescent="0.25">
      <c r="A535" s="124"/>
      <c r="B535" s="459"/>
      <c r="C535" s="459"/>
      <c r="D535" s="459"/>
      <c r="E535" s="459"/>
      <c r="F535" s="459"/>
      <c r="G535" s="459"/>
      <c r="H535" s="456"/>
    </row>
    <row r="536" spans="1:8" ht="15.75" hidden="1" x14ac:dyDescent="0.25">
      <c r="A536" s="124"/>
      <c r="B536" s="460" t="s">
        <v>642</v>
      </c>
      <c r="C536" s="460" t="s">
        <v>643</v>
      </c>
      <c r="D536" s="456"/>
      <c r="E536" s="456"/>
      <c r="F536" s="456"/>
      <c r="G536" s="456"/>
      <c r="H536" s="456"/>
    </row>
    <row r="537" spans="1:8" ht="15.75" hidden="1" x14ac:dyDescent="0.25">
      <c r="A537" s="124"/>
      <c r="B537" s="460"/>
      <c r="C537" s="456" t="s">
        <v>644</v>
      </c>
      <c r="D537" s="456"/>
      <c r="E537" s="456"/>
      <c r="F537" s="456"/>
      <c r="G537" s="456"/>
      <c r="H537" s="456"/>
    </row>
    <row r="538" spans="1:8" ht="15.75" hidden="1" x14ac:dyDescent="0.25">
      <c r="A538" s="124"/>
      <c r="B538" s="460"/>
      <c r="C538" s="456" t="s">
        <v>645</v>
      </c>
      <c r="D538" s="456"/>
      <c r="E538" s="456"/>
      <c r="F538" s="456"/>
      <c r="G538" s="456"/>
      <c r="H538" s="456"/>
    </row>
    <row r="539" spans="1:8" ht="15.75" hidden="1" x14ac:dyDescent="0.25">
      <c r="A539" s="124"/>
      <c r="B539" s="460"/>
      <c r="C539" s="456" t="s">
        <v>646</v>
      </c>
      <c r="D539" s="456"/>
      <c r="E539" s="456"/>
      <c r="F539" s="456"/>
      <c r="G539" s="456"/>
      <c r="H539" s="456"/>
    </row>
    <row r="540" spans="1:8" ht="15.75" hidden="1" x14ac:dyDescent="0.25">
      <c r="A540" s="124"/>
      <c r="B540" s="460"/>
      <c r="C540" s="456" t="s">
        <v>351</v>
      </c>
      <c r="D540" s="456"/>
      <c r="E540" s="456"/>
      <c r="F540" s="456"/>
      <c r="G540" s="456"/>
      <c r="H540" s="456"/>
    </row>
    <row r="541" spans="1:8" ht="15.75" hidden="1" x14ac:dyDescent="0.25">
      <c r="A541" s="124"/>
      <c r="B541" s="460"/>
      <c r="C541" s="456"/>
      <c r="D541" s="456"/>
      <c r="E541" s="456"/>
      <c r="F541" s="456"/>
      <c r="G541" s="456"/>
      <c r="H541" s="456"/>
    </row>
    <row r="542" spans="1:8" ht="15.75" hidden="1" x14ac:dyDescent="0.25">
      <c r="A542" s="124"/>
      <c r="B542" s="456"/>
      <c r="C542" s="461">
        <f>$C$528*$C$529*$C$530%*$C$531*10^-6</f>
        <v>53.423172000000008</v>
      </c>
      <c r="D542" s="456"/>
      <c r="E542" s="456"/>
      <c r="F542" s="456" t="s">
        <v>647</v>
      </c>
      <c r="G542" s="456"/>
      <c r="H542" s="456"/>
    </row>
    <row r="543" spans="1:8" ht="15.75" hidden="1" x14ac:dyDescent="0.25">
      <c r="A543" s="124"/>
      <c r="B543" s="456"/>
      <c r="C543" s="456"/>
      <c r="D543" s="456"/>
      <c r="E543" s="456"/>
      <c r="F543" s="456"/>
      <c r="G543" s="456"/>
      <c r="H543" s="456"/>
    </row>
    <row r="544" spans="1:8" ht="15.75" hidden="1" x14ac:dyDescent="0.25">
      <c r="A544" s="124"/>
      <c r="B544" s="462" t="s">
        <v>648</v>
      </c>
      <c r="C544" s="455"/>
      <c r="D544" s="455"/>
      <c r="E544" s="455"/>
      <c r="F544" s="455" t="s">
        <v>649</v>
      </c>
      <c r="G544" s="455"/>
      <c r="H544" s="463"/>
    </row>
    <row r="545" spans="1:8" ht="15.75" hidden="1" x14ac:dyDescent="0.25">
      <c r="A545" s="124"/>
      <c r="B545" s="464"/>
      <c r="C545" s="465" t="s">
        <v>650</v>
      </c>
      <c r="D545" s="465" t="s">
        <v>651</v>
      </c>
      <c r="E545" s="465" t="s">
        <v>652</v>
      </c>
      <c r="F545" s="465" t="s">
        <v>653</v>
      </c>
      <c r="G545" s="465" t="s">
        <v>654</v>
      </c>
      <c r="H545" s="466" t="s">
        <v>655</v>
      </c>
    </row>
    <row r="546" spans="1:8" ht="15.75" hidden="1" x14ac:dyDescent="0.25">
      <c r="A546" s="124"/>
      <c r="B546" s="467"/>
      <c r="C546" s="468">
        <v>0.01</v>
      </c>
      <c r="D546" s="468">
        <v>2E-3</v>
      </c>
      <c r="E546" s="468">
        <v>1.36</v>
      </c>
      <c r="F546" s="468">
        <v>0.54100000000000004</v>
      </c>
      <c r="G546" s="468">
        <v>0.189</v>
      </c>
      <c r="H546" s="469">
        <v>0.11600000000000001</v>
      </c>
    </row>
    <row r="547" spans="1:8" ht="15.75" hidden="1" x14ac:dyDescent="0.25">
      <c r="A547" s="124"/>
      <c r="B547" s="457"/>
      <c r="C547" s="465"/>
      <c r="D547" s="465"/>
      <c r="E547" s="465"/>
      <c r="F547" s="465"/>
      <c r="G547" s="465"/>
      <c r="H547" s="465"/>
    </row>
    <row r="548" spans="1:8" ht="15.75" hidden="1" x14ac:dyDescent="0.25">
      <c r="A548" s="62"/>
      <c r="B548" s="460" t="s">
        <v>656</v>
      </c>
      <c r="C548" s="456"/>
      <c r="D548" s="456"/>
      <c r="E548" s="456"/>
      <c r="F548" s="456" t="s">
        <v>657</v>
      </c>
      <c r="G548" s="456"/>
      <c r="H548" s="456"/>
    </row>
    <row r="549" spans="1:8" ht="15.75" hidden="1" x14ac:dyDescent="0.25">
      <c r="A549" s="62"/>
      <c r="B549" s="456"/>
      <c r="C549" s="470">
        <f t="shared" ref="C549:H549" si="39">$C$528*$C$529*$C$530%*C546*10^-6</f>
        <v>7.6427999999999999E-3</v>
      </c>
      <c r="D549" s="470">
        <f t="shared" si="39"/>
        <v>1.5285599999999998E-3</v>
      </c>
      <c r="E549" s="470">
        <f t="shared" si="39"/>
        <v>1.0394208</v>
      </c>
      <c r="F549" s="470">
        <f t="shared" si="39"/>
        <v>0.41347548000000001</v>
      </c>
      <c r="G549" s="470">
        <f t="shared" si="39"/>
        <v>0.14444892000000001</v>
      </c>
      <c r="H549" s="470">
        <f t="shared" si="39"/>
        <v>8.865648000000001E-2</v>
      </c>
    </row>
    <row r="550" spans="1:8" ht="15.75" hidden="1" x14ac:dyDescent="0.25">
      <c r="A550" s="62"/>
      <c r="B550" s="460" t="s">
        <v>658</v>
      </c>
      <c r="C550" s="461">
        <f>C542+C549+D549+E549+F549+G549+H549</f>
        <v>55.118345040000008</v>
      </c>
      <c r="D550" s="470"/>
      <c r="E550" s="470"/>
      <c r="F550" s="470" t="s">
        <v>657</v>
      </c>
      <c r="G550" s="470"/>
      <c r="H550" s="470"/>
    </row>
    <row r="551" spans="1:8" ht="15.75" hidden="1" x14ac:dyDescent="0.25">
      <c r="A551" s="62"/>
      <c r="B551" s="460" t="s">
        <v>940</v>
      </c>
      <c r="C551" s="461">
        <f>C528/1000*0.611</f>
        <v>12.219999999999999</v>
      </c>
      <c r="D551" s="470"/>
      <c r="E551" s="470"/>
      <c r="F551" s="470"/>
      <c r="G551" s="470"/>
      <c r="H551" s="470"/>
    </row>
    <row r="552" spans="1:8" ht="15.75" hidden="1" x14ac:dyDescent="0.25">
      <c r="A552" s="62"/>
      <c r="B552" s="456"/>
      <c r="C552" s="470"/>
      <c r="D552" s="470"/>
      <c r="E552" s="470"/>
      <c r="F552" s="470"/>
      <c r="G552" s="470"/>
      <c r="H552" s="470"/>
    </row>
    <row r="553" spans="1:8" ht="15.75" hidden="1" x14ac:dyDescent="0.25">
      <c r="A553" s="62"/>
      <c r="B553" s="460" t="s">
        <v>659</v>
      </c>
      <c r="C553" s="471" t="s">
        <v>660</v>
      </c>
      <c r="D553" s="470"/>
      <c r="E553" s="470"/>
      <c r="F553" s="470"/>
      <c r="G553" s="472"/>
      <c r="H553" s="472"/>
    </row>
    <row r="554" spans="1:8" ht="15.75" hidden="1" x14ac:dyDescent="0.25">
      <c r="A554" s="62"/>
      <c r="B554" s="456"/>
      <c r="C554" s="470" t="s">
        <v>661</v>
      </c>
      <c r="D554" s="470"/>
      <c r="E554" s="470"/>
      <c r="F554" s="470"/>
      <c r="G554" s="472"/>
      <c r="H554" s="472"/>
    </row>
    <row r="555" spans="1:8" ht="15.75" hidden="1" x14ac:dyDescent="0.25">
      <c r="A555" s="62"/>
      <c r="B555" s="456"/>
      <c r="C555" s="470" t="s">
        <v>662</v>
      </c>
      <c r="D555" s="470"/>
      <c r="E555" s="470"/>
      <c r="F555" s="470"/>
      <c r="G555" s="472"/>
      <c r="H555" s="472"/>
    </row>
    <row r="556" spans="1:8" ht="15.75" hidden="1" x14ac:dyDescent="0.25">
      <c r="A556" s="62"/>
      <c r="B556" s="456"/>
      <c r="C556" s="470"/>
      <c r="D556" s="470"/>
      <c r="E556" s="470"/>
      <c r="F556" s="470"/>
      <c r="G556" s="472"/>
      <c r="H556" s="472"/>
    </row>
    <row r="557" spans="1:8" ht="15.75" hidden="1" x14ac:dyDescent="0.25">
      <c r="A557" s="62"/>
      <c r="B557" s="456"/>
      <c r="C557" s="461">
        <f>C532*C533</f>
        <v>217</v>
      </c>
      <c r="D557" s="470"/>
      <c r="E557" s="906"/>
      <c r="F557" s="470" t="s">
        <v>657</v>
      </c>
      <c r="G557" s="906"/>
      <c r="H557" s="472"/>
    </row>
    <row r="558" spans="1:8" ht="15.75" hidden="1" x14ac:dyDescent="0.25">
      <c r="A558" s="62"/>
      <c r="B558" s="456"/>
      <c r="C558" s="461"/>
      <c r="D558" s="470"/>
      <c r="E558" s="906"/>
      <c r="F558" s="470"/>
      <c r="G558" s="906"/>
      <c r="H558" s="472"/>
    </row>
    <row r="559" spans="1:8" ht="15.75" hidden="1" x14ac:dyDescent="0.25">
      <c r="A559" s="62"/>
      <c r="B559" s="460" t="s">
        <v>663</v>
      </c>
      <c r="C559" s="461">
        <f>C550+C557</f>
        <v>272.11834504000001</v>
      </c>
      <c r="D559" s="470"/>
      <c r="E559" s="906"/>
      <c r="F559" s="470" t="s">
        <v>657</v>
      </c>
      <c r="G559" s="906"/>
      <c r="H559" s="472"/>
    </row>
    <row r="560" spans="1:8" ht="15.75" hidden="1" x14ac:dyDescent="0.25">
      <c r="A560" s="62"/>
      <c r="B560" s="456"/>
      <c r="C560" s="470"/>
      <c r="D560" s="470"/>
      <c r="E560" s="470"/>
      <c r="F560" s="470"/>
      <c r="G560" s="472"/>
      <c r="H560" s="472"/>
    </row>
    <row r="561" spans="1:8" ht="15.75" hidden="1" x14ac:dyDescent="0.25">
      <c r="A561" s="62"/>
      <c r="B561" s="474" t="s">
        <v>664</v>
      </c>
      <c r="C561" s="455"/>
      <c r="D561" s="455"/>
      <c r="E561" s="463"/>
      <c r="F561" s="470"/>
      <c r="G561" s="472"/>
      <c r="H561" s="472"/>
    </row>
    <row r="562" spans="1:8" ht="15.75" hidden="1" x14ac:dyDescent="0.25">
      <c r="B562" s="475" t="s">
        <v>665</v>
      </c>
      <c r="C562" s="476" t="s">
        <v>666</v>
      </c>
      <c r="D562" s="476" t="s">
        <v>667</v>
      </c>
      <c r="E562" s="477" t="s">
        <v>668</v>
      </c>
      <c r="F562" s="470"/>
      <c r="G562" s="472"/>
      <c r="H562" s="472"/>
    </row>
    <row r="563" spans="1:8" ht="15.75" hidden="1" x14ac:dyDescent="0.25">
      <c r="A563" s="62">
        <v>1</v>
      </c>
      <c r="B563" s="478" t="s">
        <v>669</v>
      </c>
      <c r="C563" s="479">
        <v>30</v>
      </c>
      <c r="D563" s="479">
        <v>1000</v>
      </c>
      <c r="E563" s="480">
        <f>D563*10^-6</f>
        <v>1E-3</v>
      </c>
      <c r="F563" s="470"/>
      <c r="G563" s="2109"/>
      <c r="H563" s="2110"/>
    </row>
    <row r="564" spans="1:8" ht="15.75" hidden="1" x14ac:dyDescent="0.25">
      <c r="A564" s="62">
        <v>2</v>
      </c>
      <c r="B564" s="478" t="s">
        <v>670</v>
      </c>
      <c r="C564" s="479">
        <v>25</v>
      </c>
      <c r="D564" s="479">
        <v>1400</v>
      </c>
      <c r="E564" s="480">
        <f>D564*10^-6</f>
        <v>1.4E-3</v>
      </c>
      <c r="F564" s="470"/>
      <c r="G564" s="472"/>
      <c r="H564" s="472"/>
    </row>
    <row r="565" spans="1:8" ht="15.75" hidden="1" x14ac:dyDescent="0.25">
      <c r="A565" s="62">
        <v>3</v>
      </c>
      <c r="B565" s="478" t="s">
        <v>769</v>
      </c>
      <c r="C565" s="479">
        <v>30</v>
      </c>
      <c r="D565" s="479">
        <v>1080</v>
      </c>
      <c r="E565" s="480">
        <f t="shared" ref="E565:E570" si="40">D565*10^-6</f>
        <v>1.08E-3</v>
      </c>
      <c r="F565" s="470"/>
      <c r="G565" s="472"/>
      <c r="H565" s="472"/>
    </row>
    <row r="566" spans="1:8" ht="15.75" hidden="1" x14ac:dyDescent="0.25">
      <c r="A566" s="62">
        <v>4</v>
      </c>
      <c r="B566" s="478" t="s">
        <v>671</v>
      </c>
      <c r="C566" s="481">
        <v>5.9</v>
      </c>
      <c r="D566" s="481">
        <v>510</v>
      </c>
      <c r="E566" s="482">
        <f t="shared" si="40"/>
        <v>5.0999999999999993E-4</v>
      </c>
      <c r="F566" s="470"/>
      <c r="G566" s="472"/>
      <c r="H566" s="472"/>
    </row>
    <row r="567" spans="1:8" ht="15.75" hidden="1" x14ac:dyDescent="0.25">
      <c r="A567" s="62">
        <v>5</v>
      </c>
      <c r="B567" s="478" t="s">
        <v>672</v>
      </c>
      <c r="C567" s="481">
        <v>37.549999999999997</v>
      </c>
      <c r="D567" s="481">
        <v>494</v>
      </c>
      <c r="E567" s="482">
        <f t="shared" si="40"/>
        <v>4.9399999999999997E-4</v>
      </c>
      <c r="F567" s="470"/>
      <c r="G567" s="472"/>
      <c r="H567" s="472"/>
    </row>
    <row r="568" spans="1:8" ht="15.75" hidden="1" x14ac:dyDescent="0.25">
      <c r="A568" s="62">
        <v>6</v>
      </c>
      <c r="B568" s="478" t="s">
        <v>673</v>
      </c>
      <c r="C568" s="481">
        <v>37</v>
      </c>
      <c r="D568" s="481">
        <v>681</v>
      </c>
      <c r="E568" s="482">
        <f t="shared" si="40"/>
        <v>6.8099999999999996E-4</v>
      </c>
      <c r="F568" s="470"/>
      <c r="G568" s="472"/>
      <c r="H568" s="472"/>
    </row>
    <row r="569" spans="1:8" ht="15.75" hidden="1" x14ac:dyDescent="0.25">
      <c r="A569" s="62">
        <v>7</v>
      </c>
      <c r="B569" s="478" t="s">
        <v>674</v>
      </c>
      <c r="C569" s="481">
        <v>83.8</v>
      </c>
      <c r="D569" s="481">
        <v>314</v>
      </c>
      <c r="E569" s="482">
        <f t="shared" si="40"/>
        <v>3.1399999999999999E-4</v>
      </c>
      <c r="F569" s="470"/>
      <c r="G569" s="472"/>
      <c r="H569" s="472"/>
    </row>
    <row r="570" spans="1:8" ht="15.75" hidden="1" x14ac:dyDescent="0.25">
      <c r="A570" s="62">
        <v>8</v>
      </c>
      <c r="B570" s="478" t="s">
        <v>675</v>
      </c>
      <c r="C570" s="457"/>
      <c r="D570" s="481">
        <v>0</v>
      </c>
      <c r="E570" s="482">
        <f t="shared" si="40"/>
        <v>0</v>
      </c>
      <c r="F570" s="472"/>
      <c r="G570" s="472"/>
      <c r="H570" s="472"/>
    </row>
    <row r="571" spans="1:8" ht="15.75" hidden="1" x14ac:dyDescent="0.25">
      <c r="A571" s="5" t="s">
        <v>265</v>
      </c>
      <c r="B571" s="484" t="str">
        <f>VLOOKUP($G$52,$B$563:$E$570,1,FALSE)</f>
        <v xml:space="preserve">Brown Coal-Victorian </v>
      </c>
      <c r="C571" s="484">
        <f>VLOOKUP($G$52,$B$563:$E$570,2,FALSE)</f>
        <v>25</v>
      </c>
      <c r="D571" s="484">
        <f>VLOOKUP($G$52,$B$563:$E$570,3,FALSE)</f>
        <v>1400</v>
      </c>
      <c r="E571" s="485">
        <f>VLOOKUP($G$52,$B$563:$E$570,4,FALSE)</f>
        <v>1.4E-3</v>
      </c>
      <c r="F571" s="486"/>
      <c r="G571" s="486"/>
      <c r="H571" s="486"/>
    </row>
    <row r="572" spans="1:8" hidden="1" x14ac:dyDescent="0.25"/>
    <row r="573" spans="1:8" hidden="1" x14ac:dyDescent="0.25"/>
    <row r="574" spans="1:8" ht="18.75" hidden="1" x14ac:dyDescent="0.3">
      <c r="B574" s="954" t="s">
        <v>930</v>
      </c>
    </row>
    <row r="575" spans="1:8" hidden="1" x14ac:dyDescent="0.25"/>
    <row r="576" spans="1:8" ht="15.75" hidden="1" x14ac:dyDescent="0.25">
      <c r="B576" s="578" t="s">
        <v>923</v>
      </c>
      <c r="C576" s="578" t="s">
        <v>932</v>
      </c>
      <c r="D576" s="578" t="s">
        <v>355</v>
      </c>
      <c r="E576" s="578" t="s">
        <v>925</v>
      </c>
    </row>
    <row r="577" spans="2:5" ht="15.75" hidden="1" x14ac:dyDescent="0.25">
      <c r="B577" s="578" t="s">
        <v>924</v>
      </c>
      <c r="C577" s="578">
        <f>C55</f>
        <v>100</v>
      </c>
      <c r="D577" s="578">
        <v>0.25</v>
      </c>
      <c r="E577" s="578">
        <f>C577*D577</f>
        <v>25</v>
      </c>
    </row>
    <row r="578" spans="2:5" ht="15.75" hidden="1" x14ac:dyDescent="0.25">
      <c r="B578" s="578" t="s">
        <v>926</v>
      </c>
      <c r="C578" s="578">
        <f>G55</f>
        <v>0</v>
      </c>
      <c r="D578" s="578">
        <v>0.2</v>
      </c>
      <c r="E578" s="578">
        <f t="shared" ref="E578:E582" si="41">C578*D578</f>
        <v>0</v>
      </c>
    </row>
    <row r="579" spans="2:5" ht="15.75" hidden="1" x14ac:dyDescent="0.25">
      <c r="B579" s="578" t="s">
        <v>927</v>
      </c>
      <c r="C579" s="578">
        <f>C57</f>
        <v>0</v>
      </c>
      <c r="D579" s="578">
        <v>0.25</v>
      </c>
      <c r="E579" s="578">
        <f t="shared" si="41"/>
        <v>0</v>
      </c>
    </row>
    <row r="580" spans="2:5" ht="15.75" hidden="1" x14ac:dyDescent="0.25">
      <c r="B580" s="578" t="s">
        <v>928</v>
      </c>
      <c r="C580" s="578">
        <f>G57</f>
        <v>0</v>
      </c>
      <c r="D580" s="578">
        <v>0.25</v>
      </c>
      <c r="E580" s="578">
        <f t="shared" si="41"/>
        <v>0</v>
      </c>
    </row>
    <row r="581" spans="2:5" ht="15.75" hidden="1" x14ac:dyDescent="0.25">
      <c r="B581" s="578" t="s">
        <v>929</v>
      </c>
      <c r="C581" s="578">
        <f>C59</f>
        <v>850</v>
      </c>
      <c r="D581" s="578">
        <v>0.3</v>
      </c>
      <c r="E581" s="578">
        <f t="shared" si="41"/>
        <v>255</v>
      </c>
    </row>
    <row r="582" spans="2:5" ht="15.75" hidden="1" x14ac:dyDescent="0.25">
      <c r="B582" s="578" t="s">
        <v>904</v>
      </c>
      <c r="C582" s="578">
        <f>G59</f>
        <v>0</v>
      </c>
      <c r="D582" s="578">
        <v>0</v>
      </c>
      <c r="E582" s="578">
        <f t="shared" si="41"/>
        <v>0</v>
      </c>
    </row>
    <row r="583" spans="2:5" ht="15.75" hidden="1" x14ac:dyDescent="0.25">
      <c r="B583" s="578" t="s">
        <v>260</v>
      </c>
      <c r="C583" s="578"/>
      <c r="D583" s="578"/>
      <c r="E583" s="578">
        <f>SUM(E577:E582)</f>
        <v>280</v>
      </c>
    </row>
    <row r="584" spans="2:5" ht="15.75" hidden="1" x14ac:dyDescent="0.25">
      <c r="B584" s="578"/>
      <c r="C584" s="578"/>
      <c r="D584" s="578"/>
      <c r="E584" s="578"/>
    </row>
    <row r="585" spans="2:5" ht="15.75" hidden="1" x14ac:dyDescent="0.25">
      <c r="B585" s="578" t="s">
        <v>933</v>
      </c>
      <c r="C585" s="578">
        <f>(SUM(D323:D324)*10^3)</f>
        <v>55</v>
      </c>
      <c r="D585" s="578">
        <v>0.89100000000000001</v>
      </c>
      <c r="E585" s="959">
        <f>C585/0.46*D585</f>
        <v>106.53260869565217</v>
      </c>
    </row>
    <row r="586" spans="2:5" ht="15.75" hidden="1" x14ac:dyDescent="0.25">
      <c r="B586" s="578" t="s">
        <v>934</v>
      </c>
      <c r="C586" s="578">
        <f>IF($T$171="1",((E48*$C$48)+(E49*$C$49))/1000,(E48+E49))</f>
        <v>12</v>
      </c>
      <c r="D586" s="578">
        <v>0.83399999999999996</v>
      </c>
      <c r="E586" s="959">
        <f>C586/0.18*D586</f>
        <v>55.6</v>
      </c>
    </row>
    <row r="587" spans="2:5" ht="15.75" hidden="1" x14ac:dyDescent="0.25">
      <c r="B587" s="578" t="s">
        <v>935</v>
      </c>
      <c r="C587" s="578">
        <f>IF($T$171="1",((F48*$C$48)+(F49*$C$49))/1000,(F48+F49))</f>
        <v>5.5</v>
      </c>
      <c r="D587" s="578">
        <v>0.13100000000000001</v>
      </c>
      <c r="E587" s="959">
        <f>C587/0.5*D587</f>
        <v>1.4410000000000001</v>
      </c>
    </row>
    <row r="588" spans="2:5" ht="15.75" hidden="1" x14ac:dyDescent="0.25">
      <c r="B588" s="578" t="s">
        <v>936</v>
      </c>
      <c r="C588" s="578">
        <f>IF($T$171="1",((G48*$C$48)+(G49*$C$49))/1000,(G48+G49))</f>
        <v>0</v>
      </c>
      <c r="D588" s="578">
        <v>0.83399999999999996</v>
      </c>
      <c r="E588" s="959">
        <f>IF(C588&gt;C586,C586/0.18*D586,C588/0.02*D588)</f>
        <v>0</v>
      </c>
    </row>
    <row r="589" spans="2:5" ht="15.75" hidden="1" x14ac:dyDescent="0.25">
      <c r="B589" s="578" t="s">
        <v>931</v>
      </c>
      <c r="C589" s="578">
        <f>IF($T$171="1",((H48*$C$48)+(H49*$C$49))/1000,(H48+H49))</f>
        <v>50</v>
      </c>
      <c r="D589" s="578">
        <v>1.9E-2</v>
      </c>
      <c r="E589" s="959">
        <f t="shared" ref="E589" si="42">C589/0.46*D589</f>
        <v>2.0652173913043477</v>
      </c>
    </row>
    <row r="590" spans="2:5" ht="15.75" hidden="1" x14ac:dyDescent="0.25">
      <c r="B590" s="578" t="s">
        <v>260</v>
      </c>
      <c r="C590" s="578"/>
      <c r="D590" s="578"/>
      <c r="E590" s="959">
        <f>IF(E586&gt;E588,E586,E588)+E585+E587+E589</f>
        <v>165.63882608695653</v>
      </c>
    </row>
    <row r="591" spans="2:5" hidden="1" x14ac:dyDescent="0.25"/>
    <row r="592" spans="2:5" hidden="1" x14ac:dyDescent="0.25"/>
    <row r="593" hidden="1" x14ac:dyDescent="0.25"/>
    <row r="594" hidden="1" x14ac:dyDescent="0.25"/>
  </sheetData>
  <sheetProtection algorithmName="SHA-512" hashValue="ZDmzRbO+xWJqWGB8ir+YRUnYrlZuoB1BOeufvd8tstFmH6rKAD8r6NWDpZ37DPCsszFXjWG8g8UujKkRUhZ2wA==" saltValue="xipbtTdwOYIlR9elDvtkzQ==" spinCount="100000" sheet="1" objects="1" scenarios="1"/>
  <mergeCells count="66">
    <mergeCell ref="E518:F518"/>
    <mergeCell ref="G563:H563"/>
    <mergeCell ref="I99:I100"/>
    <mergeCell ref="J99:J100"/>
    <mergeCell ref="K99:K100"/>
    <mergeCell ref="D500:E500"/>
    <mergeCell ref="F500:G500"/>
    <mergeCell ref="H500:I500"/>
    <mergeCell ref="B70:B71"/>
    <mergeCell ref="B75:I77"/>
    <mergeCell ref="F90:G90"/>
    <mergeCell ref="F95:G95"/>
    <mergeCell ref="B99:C99"/>
    <mergeCell ref="D99:D100"/>
    <mergeCell ref="E99:E100"/>
    <mergeCell ref="F99:F100"/>
    <mergeCell ref="G99:G100"/>
    <mergeCell ref="H99:H100"/>
    <mergeCell ref="C69:E69"/>
    <mergeCell ref="F69:G69"/>
    <mergeCell ref="C40:D40"/>
    <mergeCell ref="G40:I40"/>
    <mergeCell ref="E41:F41"/>
    <mergeCell ref="E52:F52"/>
    <mergeCell ref="G52:H52"/>
    <mergeCell ref="E55:F55"/>
    <mergeCell ref="G55:H55"/>
    <mergeCell ref="E57:F57"/>
    <mergeCell ref="G57:H57"/>
    <mergeCell ref="G59:H59"/>
    <mergeCell ref="C62:D62"/>
    <mergeCell ref="C66:D66"/>
    <mergeCell ref="H41:I42"/>
    <mergeCell ref="D34:E34"/>
    <mergeCell ref="F34:G34"/>
    <mergeCell ref="H34:I34"/>
    <mergeCell ref="D35:E35"/>
    <mergeCell ref="F35:G35"/>
    <mergeCell ref="H35:I35"/>
    <mergeCell ref="D32:E32"/>
    <mergeCell ref="F32:G32"/>
    <mergeCell ref="H32:I32"/>
    <mergeCell ref="D33:E33"/>
    <mergeCell ref="F33:G33"/>
    <mergeCell ref="H33:I33"/>
    <mergeCell ref="F30:G30"/>
    <mergeCell ref="H30:I30"/>
    <mergeCell ref="D31:E31"/>
    <mergeCell ref="F31:G31"/>
    <mergeCell ref="H31:I31"/>
    <mergeCell ref="B34:B35"/>
    <mergeCell ref="D29:E29"/>
    <mergeCell ref="F29:G29"/>
    <mergeCell ref="H29:I29"/>
    <mergeCell ref="B2:H5"/>
    <mergeCell ref="D9:F9"/>
    <mergeCell ref="D11:F11"/>
    <mergeCell ref="F13:G13"/>
    <mergeCell ref="D23:E23"/>
    <mergeCell ref="F23:G23"/>
    <mergeCell ref="F25:G25"/>
    <mergeCell ref="F27:G27"/>
    <mergeCell ref="D28:E28"/>
    <mergeCell ref="F28:G28"/>
    <mergeCell ref="H28:I28"/>
    <mergeCell ref="D30:E30"/>
  </mergeCells>
  <dataValidations count="17">
    <dataValidation type="list" allowBlank="1" showInputMessage="1" showErrorMessage="1" sqref="D23:E23" xr:uid="{00000000-0002-0000-0300-000000000000}">
      <formula1>Milk.production</formula1>
    </dataValidation>
    <dataValidation type="whole" allowBlank="1" showInputMessage="1" showErrorMessage="1" error="If the herd's average lactation length is greater than 365 days, you must put 365 here as the assessment is only for a 12 month period" sqref="D27" xr:uid="{00000000-0002-0000-0300-000001000000}">
      <formula1>1</formula1>
      <formula2>365</formula2>
    </dataValidation>
    <dataValidation type="list" allowBlank="1" showInputMessage="1" showErrorMessage="1" sqref="C62:D62" xr:uid="{00000000-0002-0000-0300-000002000000}">
      <formula1>Tree_Sequestration</formula1>
    </dataValidation>
    <dataValidation type="list" allowBlank="1" showInputMessage="1" showErrorMessage="1" sqref="F95" xr:uid="{00000000-0002-0000-0300-000003000000}">
      <formula1>Heifer_Feedpad_Waste</formula1>
    </dataValidation>
    <dataValidation type="list" allowBlank="1" showInputMessage="1" showErrorMessage="1" sqref="F90" xr:uid="{00000000-0002-0000-0300-000004000000}">
      <formula1>Milker_Feedpad_Waste</formula1>
    </dataValidation>
    <dataValidation type="list" allowBlank="1" showInputMessage="1" showErrorMessage="1" sqref="G86" xr:uid="{00000000-0002-0000-0300-000005000000}">
      <formula1>Pre_treament</formula1>
    </dataValidation>
    <dataValidation type="list" allowBlank="1" showInputMessage="1" showErrorMessage="1" sqref="F69:G69" xr:uid="{00000000-0002-0000-0300-000006000000}">
      <formula1>Waste.Management</formula1>
    </dataValidation>
    <dataValidation type="list" allowBlank="1" showInputMessage="1" showErrorMessage="1" sqref="H66" xr:uid="{00000000-0002-0000-0300-000007000000}">
      <formula1>Rainfall</formula1>
    </dataValidation>
    <dataValidation type="list" allowBlank="1" showInputMessage="1" showErrorMessage="1" sqref="C66:D66" xr:uid="{00000000-0002-0000-0300-000008000000}">
      <formula1>Trees</formula1>
    </dataValidation>
    <dataValidation type="list" allowBlank="1" showInputMessage="1" showErrorMessage="1" sqref="G52" xr:uid="{00000000-0002-0000-0300-000009000000}">
      <formula1>Electricity</formula1>
    </dataValidation>
    <dataValidation type="list" allowBlank="1" showInputMessage="1" showErrorMessage="1" sqref="E41" xr:uid="{00000000-0002-0000-0300-00000A000000}">
      <formula1>Fertiliser</formula1>
    </dataValidation>
    <dataValidation type="list" allowBlank="1" showInputMessage="1" showErrorMessage="1" sqref="H13" xr:uid="{00000000-0002-0000-0300-00000B000000}">
      <formula1>INDIRECT(C179)</formula1>
    </dataValidation>
    <dataValidation type="list" allowBlank="1" showInputMessage="1" showErrorMessage="1" sqref="D13" xr:uid="{00000000-0002-0000-0300-00000C000000}">
      <formula1>State</formula1>
    </dataValidation>
    <dataValidation type="whole" allowBlank="1" showInputMessage="1" showErrorMessage="1" sqref="G82:G84" xr:uid="{00000000-0002-0000-0300-00000D000000}">
      <formula1>0</formula1>
      <formula2>100</formula2>
    </dataValidation>
    <dataValidation type="whole" allowBlank="1" showInputMessage="1" showErrorMessage="1" sqref="H93 H88" xr:uid="{00000000-0002-0000-0300-00000E000000}">
      <formula1>0</formula1>
      <formula2>365</formula2>
    </dataValidation>
    <dataValidation type="decimal" allowBlank="1" showInputMessage="1" showErrorMessage="1" sqref="G93 G88 G80" xr:uid="{00000000-0002-0000-0300-00000F000000}">
      <formula1>0</formula1>
      <formula2>24</formula2>
    </dataValidation>
    <dataValidation type="decimal" allowBlank="1" showInputMessage="1" showErrorMessage="1" sqref="H80" xr:uid="{00000000-0002-0000-0300-000010000000}">
      <formula1>0</formula1>
      <formula2>365</formula2>
    </dataValidation>
  </dataValidations>
  <hyperlinks>
    <hyperlink ref="H41:I42" location="'Fertiliser rates'!A1" display="Click here to work out fertiliser rates" xr:uid="{00000000-0004-0000-0300-000000000000}"/>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R12:X23"/>
  <sheetViews>
    <sheetView zoomScale="70" zoomScaleNormal="70" workbookViewId="0"/>
  </sheetViews>
  <sheetFormatPr defaultColWidth="9.140625" defaultRowHeight="15" x14ac:dyDescent="0.25"/>
  <cols>
    <col min="1" max="16384" width="9.140625" style="1"/>
  </cols>
  <sheetData>
    <row r="12" spans="24:24" x14ac:dyDescent="0.25">
      <c r="X12" s="3"/>
    </row>
    <row r="17" spans="18:19" x14ac:dyDescent="0.25">
      <c r="R17" s="323"/>
      <c r="S17" s="323"/>
    </row>
    <row r="21" spans="18:19" x14ac:dyDescent="0.25">
      <c r="R21" s="3"/>
    </row>
    <row r="23" spans="18:19" x14ac:dyDescent="0.25">
      <c r="R23" s="3"/>
    </row>
  </sheetData>
  <sheetProtection password="F8C6"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C32:D40"/>
  <sheetViews>
    <sheetView topLeftCell="A10" zoomScale="110" zoomScaleNormal="110" workbookViewId="0"/>
  </sheetViews>
  <sheetFormatPr defaultColWidth="9.140625" defaultRowHeight="15" x14ac:dyDescent="0.25"/>
  <cols>
    <col min="1" max="16384" width="9.140625" style="1"/>
  </cols>
  <sheetData>
    <row r="32" spans="4:4" ht="18.75" x14ac:dyDescent="0.3">
      <c r="D32" s="2"/>
    </row>
    <row r="40" spans="3:3" ht="18.75" x14ac:dyDescent="0.3">
      <c r="C40"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C32:D40"/>
  <sheetViews>
    <sheetView topLeftCell="A6" zoomScale="80" zoomScaleNormal="80" workbookViewId="0">
      <selection activeCell="K52" sqref="K52"/>
    </sheetView>
  </sheetViews>
  <sheetFormatPr defaultColWidth="9.140625" defaultRowHeight="15" x14ac:dyDescent="0.25"/>
  <cols>
    <col min="1" max="16384" width="9.140625" style="1"/>
  </cols>
  <sheetData>
    <row r="32" spans="4:4" ht="18.75" x14ac:dyDescent="0.3">
      <c r="D32" s="2"/>
    </row>
    <row r="40" spans="3:3" ht="18.75" x14ac:dyDescent="0.3">
      <c r="C40"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C32:D40"/>
  <sheetViews>
    <sheetView topLeftCell="A10" zoomScale="110" zoomScaleNormal="110" workbookViewId="0">
      <selection activeCell="M51" sqref="M51:N51"/>
    </sheetView>
  </sheetViews>
  <sheetFormatPr defaultColWidth="9.140625" defaultRowHeight="15" x14ac:dyDescent="0.25"/>
  <cols>
    <col min="1" max="16384" width="9.140625" style="1"/>
  </cols>
  <sheetData>
    <row r="32" spans="4:4" ht="18.75" x14ac:dyDescent="0.3">
      <c r="D32" s="2"/>
    </row>
    <row r="40" spans="3:3" ht="18.75" x14ac:dyDescent="0.3">
      <c r="C40"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71</vt:i4>
      </vt:variant>
    </vt:vector>
  </HeadingPairs>
  <TitlesOfParts>
    <vt:vector size="94" baseType="lpstr">
      <vt:lpstr>Introduction</vt:lpstr>
      <vt:lpstr>Baseline farm</vt:lpstr>
      <vt:lpstr>Data for graphs</vt:lpstr>
      <vt:lpstr>Example baseline farm</vt:lpstr>
      <vt:lpstr>Abatement Schematic</vt:lpstr>
      <vt:lpstr>Herd and Breeding</vt:lpstr>
      <vt:lpstr>Feedbase</vt:lpstr>
      <vt:lpstr>Animal diet manipulation</vt:lpstr>
      <vt:lpstr>Waste management</vt:lpstr>
      <vt:lpstr>Strategy farm</vt:lpstr>
      <vt:lpstr>Old NGGI methodology</vt:lpstr>
      <vt:lpstr>Reduce CH4 breeding_management</vt:lpstr>
      <vt:lpstr>Replacing Sup with dietary fats</vt:lpstr>
      <vt:lpstr>Supplementing with dietary fats</vt:lpstr>
      <vt:lpstr>Improved diet DDM by Supplement</vt:lpstr>
      <vt:lpstr>Improved diet DMD by management</vt:lpstr>
      <vt:lpstr> N inhibitor applied to feed</vt:lpstr>
      <vt:lpstr>N fertiliser inhibitor coated</vt:lpstr>
      <vt:lpstr>Extended lactation</vt:lpstr>
      <vt:lpstr>Extended longevity</vt:lpstr>
      <vt:lpstr>Waste flaring</vt:lpstr>
      <vt:lpstr>Feed quality table</vt:lpstr>
      <vt:lpstr>Fertiliser rates</vt:lpstr>
      <vt:lpstr>'Example baseline farm'!Electricity</vt:lpstr>
      <vt:lpstr>'Old NGGI methodology'!Electricity</vt:lpstr>
      <vt:lpstr>'Strategy farm'!Electricity</vt:lpstr>
      <vt:lpstr>Electricity</vt:lpstr>
      <vt:lpstr>'Example baseline farm'!Fertiliser</vt:lpstr>
      <vt:lpstr>'Old NGGI methodology'!Fertiliser</vt:lpstr>
      <vt:lpstr>'Strategy farm'!Fertiliser</vt:lpstr>
      <vt:lpstr>Fertiliser</vt:lpstr>
      <vt:lpstr>'Example baseline farm'!Heifer_Feedpad_Waste</vt:lpstr>
      <vt:lpstr>'Old NGGI methodology'!Heifer_Feedpad_Waste</vt:lpstr>
      <vt:lpstr>Heifer_Feedpad_Waste</vt:lpstr>
      <vt:lpstr>'Strategy farm'!Heifers_Feedpad_Waste</vt:lpstr>
      <vt:lpstr>'Example baseline farm'!Milk.production</vt:lpstr>
      <vt:lpstr>'Old NGGI methodology'!Milk.production</vt:lpstr>
      <vt:lpstr>Milk.production</vt:lpstr>
      <vt:lpstr>'Example baseline farm'!Milker_Feedpad_Waste</vt:lpstr>
      <vt:lpstr>'Old NGGI methodology'!Milker_Feedpad_Waste</vt:lpstr>
      <vt:lpstr>Milker_Feedpad_Waste</vt:lpstr>
      <vt:lpstr>'Strategy farm'!Milkers_Feedpad_Waste</vt:lpstr>
      <vt:lpstr>'Example baseline farm'!New.South.Wales</vt:lpstr>
      <vt:lpstr>'Old NGGI methodology'!New.South.Wales</vt:lpstr>
      <vt:lpstr>'Strategy farm'!New.South.Wales</vt:lpstr>
      <vt:lpstr>New.South.Wales</vt:lpstr>
      <vt:lpstr>'Example baseline farm'!Northern.Territory</vt:lpstr>
      <vt:lpstr>'Old NGGI methodology'!Northern.Territory</vt:lpstr>
      <vt:lpstr>'Strategy farm'!Northern.Territory</vt:lpstr>
      <vt:lpstr>Northern.Territory</vt:lpstr>
      <vt:lpstr>'Example baseline farm'!Pre_treament</vt:lpstr>
      <vt:lpstr>'Old NGGI methodology'!Pre_treament</vt:lpstr>
      <vt:lpstr>Pre_treament</vt:lpstr>
      <vt:lpstr>'Strategy farm'!Pre_treat</vt:lpstr>
      <vt:lpstr>'Example baseline farm'!Queensland</vt:lpstr>
      <vt:lpstr>'Old NGGI methodology'!Queensland</vt:lpstr>
      <vt:lpstr>'Strategy farm'!Queensland</vt:lpstr>
      <vt:lpstr>Queensland</vt:lpstr>
      <vt:lpstr>'Example baseline farm'!Rainfall</vt:lpstr>
      <vt:lpstr>'Old NGGI methodology'!Rainfall</vt:lpstr>
      <vt:lpstr>'Strategy farm'!Rainfall</vt:lpstr>
      <vt:lpstr>Rainfall</vt:lpstr>
      <vt:lpstr>'Example baseline farm'!South.Australia</vt:lpstr>
      <vt:lpstr>'Old NGGI methodology'!South.Australia</vt:lpstr>
      <vt:lpstr>'Strategy farm'!South.Australia</vt:lpstr>
      <vt:lpstr>South.Australia</vt:lpstr>
      <vt:lpstr>'Example baseline farm'!State</vt:lpstr>
      <vt:lpstr>'Old NGGI methodology'!State</vt:lpstr>
      <vt:lpstr>'Strategy farm'!State</vt:lpstr>
      <vt:lpstr>State</vt:lpstr>
      <vt:lpstr>'Example baseline farm'!Tasmania</vt:lpstr>
      <vt:lpstr>'Old NGGI methodology'!Tasmania</vt:lpstr>
      <vt:lpstr>'Strategy farm'!Tasmania</vt:lpstr>
      <vt:lpstr>Tasmania</vt:lpstr>
      <vt:lpstr>'Example baseline farm'!Tree_Sequestration</vt:lpstr>
      <vt:lpstr>'Old NGGI methodology'!Tree_Sequestration</vt:lpstr>
      <vt:lpstr>'Strategy farm'!Tree_Sequestration</vt:lpstr>
      <vt:lpstr>Tree_Sequestration</vt:lpstr>
      <vt:lpstr>'Example baseline farm'!Trees</vt:lpstr>
      <vt:lpstr>'Old NGGI methodology'!Trees</vt:lpstr>
      <vt:lpstr>'Strategy farm'!Trees</vt:lpstr>
      <vt:lpstr>Trees</vt:lpstr>
      <vt:lpstr>'Example baseline farm'!Victoria</vt:lpstr>
      <vt:lpstr>'Old NGGI methodology'!Victoria</vt:lpstr>
      <vt:lpstr>'Strategy farm'!Victoria</vt:lpstr>
      <vt:lpstr>Victoria</vt:lpstr>
      <vt:lpstr>'Example baseline farm'!Waste.Management</vt:lpstr>
      <vt:lpstr>'Old NGGI methodology'!Waste.Management</vt:lpstr>
      <vt:lpstr>'Strategy farm'!Waste.Management</vt:lpstr>
      <vt:lpstr>Waste.Management</vt:lpstr>
      <vt:lpstr>'Example baseline farm'!Western.Australia</vt:lpstr>
      <vt:lpstr>'Old NGGI methodology'!Western.Australia</vt:lpstr>
      <vt:lpstr>'Strategy farm'!Western.Australia</vt:lpstr>
      <vt:lpstr>Western.Australia</vt:lpstr>
    </vt:vector>
  </TitlesOfParts>
  <Company>ITS-UTAS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Christie</dc:creator>
  <cp:lastModifiedBy>Karen Christie</cp:lastModifiedBy>
  <cp:lastPrinted>2013-03-07T04:45:21Z</cp:lastPrinted>
  <dcterms:created xsi:type="dcterms:W3CDTF">2011-08-11T05:10:57Z</dcterms:created>
  <dcterms:modified xsi:type="dcterms:W3CDTF">2021-11-15T02:06:13Z</dcterms:modified>
</cp:coreProperties>
</file>