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<sst xmlns="http://schemas.openxmlformats.org/spreadsheetml/2006/main" count="103" uniqueCount="69">
  <si>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Cumulative no. heifer calves to rear</t>
  </si>
  <si>
    <t>No. group pens for heifers</t>
  </si>
  <si>
    <t>6 weeks</t>
  </si>
  <si>
    <t>-</t>
  </si>
  <si>
    <t>No. bull calves in each week</t>
  </si>
  <si>
    <t>No. group pens for bulls</t>
  </si>
  <si>
    <t>50:50 ratio of bulls &amp; heifers</t>
  </si>
  <si>
    <t>Week of calving</t>
  </si>
  <si>
    <t>No. pens for heifers</t>
  </si>
  <si>
    <t>No. pens for bulls</t>
  </si>
  <si>
    <t>Total no. pens needed</t>
  </si>
  <si>
    <t>No. pens needed</t>
  </si>
  <si>
    <t>Total no. group pens</t>
  </si>
  <si>
    <t>Individual pens</t>
  </si>
  <si>
    <t>Group pens</t>
  </si>
  <si>
    <r>
      <t>Total area needed for indvidual pens (m</t>
    </r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)</t>
    </r>
  </si>
  <si>
    <r>
      <t>Amount bedding needed (m</t>
    </r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)</t>
    </r>
  </si>
  <si>
    <r>
      <t>Area needed for each pen (m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>)</t>
    </r>
  </si>
  <si>
    <r>
      <t>Total area for group pens (m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>)</t>
    </r>
  </si>
  <si>
    <r>
      <t>Minimum amount bedding needed (m</t>
    </r>
    <r>
      <rPr>
        <b/>
        <vertAlign val="superscript"/>
        <sz val="11"/>
        <color indexed="56"/>
        <rFont val="Calibri"/>
        <family val="2"/>
      </rPr>
      <t>3</t>
    </r>
    <r>
      <rPr>
        <b/>
        <sz val="11"/>
        <color indexed="56"/>
        <rFont val="Calibri"/>
        <family val="2"/>
      </rPr>
      <t>)</t>
    </r>
  </si>
  <si>
    <r>
      <t>Area needed for each group pen (m</t>
    </r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)</t>
    </r>
  </si>
  <si>
    <r>
      <t>Total area needed for group pens (m</t>
    </r>
    <r>
      <rPr>
        <b/>
        <vertAlign val="superscript"/>
        <sz val="11"/>
        <color indexed="10"/>
        <rFont val="Calibri"/>
        <family val="2"/>
      </rPr>
      <t>2</t>
    </r>
    <r>
      <rPr>
        <b/>
        <sz val="11"/>
        <color indexed="10"/>
        <rFont val="Calibri"/>
        <family val="2"/>
      </rPr>
      <t>)</t>
    </r>
  </si>
  <si>
    <r>
      <t>Minimum amount bedding needed (m</t>
    </r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)</t>
    </r>
  </si>
  <si>
    <t>Heifers</t>
  </si>
  <si>
    <t>Bulls</t>
  </si>
  <si>
    <t>Hybrid</t>
  </si>
  <si>
    <t>Total no. to calve =</t>
  </si>
  <si>
    <t xml:space="preserve">No. mated = </t>
  </si>
  <si>
    <t xml:space="preserve">No. pregnant = </t>
  </si>
  <si>
    <t>Input&gt;&gt;&gt;</t>
  </si>
  <si>
    <t>high (cm)</t>
  </si>
  <si>
    <t>Individual</t>
  </si>
  <si>
    <t>Group</t>
  </si>
  <si>
    <t>Yes</t>
  </si>
  <si>
    <t>No</t>
  </si>
  <si>
    <t>Weeks in pens</t>
  </si>
  <si>
    <t>yes</t>
  </si>
  <si>
    <t xml:space="preserve">Indvidual pens </t>
  </si>
  <si>
    <t>Hybrid system</t>
  </si>
  <si>
    <t>cows</t>
  </si>
  <si>
    <t>weeks</t>
  </si>
  <si>
    <t>calves</t>
  </si>
  <si>
    <t>heifers</t>
  </si>
  <si>
    <t xml:space="preserve">If using individual pens </t>
  </si>
  <si>
    <t>If using  group pens</t>
  </si>
  <si>
    <r>
      <t>(m</t>
    </r>
    <r>
      <rPr>
        <i/>
        <vertAlign val="superscript"/>
        <sz val="10"/>
        <rFont val="Calibri"/>
        <family val="2"/>
      </rPr>
      <t>2</t>
    </r>
    <r>
      <rPr>
        <i/>
        <sz val="10"/>
        <rFont val="Calibri"/>
        <family val="2"/>
      </rPr>
      <t>/calf)</t>
    </r>
  </si>
  <si>
    <t>Top dressing (Weekly repeat application of bedding)</t>
  </si>
  <si>
    <t>Number of weeks replacement heifer calves in shed</t>
  </si>
  <si>
    <t>Depth of bedding</t>
  </si>
  <si>
    <t>% of herd mated</t>
  </si>
  <si>
    <t>Expected pregnancy rate (%)</t>
  </si>
  <si>
    <t>%</t>
  </si>
  <si>
    <t>Herd size</t>
  </si>
  <si>
    <t>Calf group size</t>
  </si>
  <si>
    <t>Number of heifers expected to calve</t>
  </si>
  <si>
    <t xml:space="preserve">Space allowance for each calf in group pens                                 </t>
  </si>
  <si>
    <t xml:space="preserve">Space allowance for each calf in individual pens                               </t>
  </si>
  <si>
    <t>All bull calves are housed, only kept for a maximum of 1 week and bedding in bull pens changed weekly.</t>
  </si>
  <si>
    <t>Calculator Assumptions</t>
  </si>
  <si>
    <t>Even spread of calving in first and second 3 weeks periods of calving</t>
  </si>
  <si>
    <t>Calculated</t>
  </si>
  <si>
    <t>100</t>
  </si>
  <si>
    <t>Minimim amount of bedding required for your calves:</t>
  </si>
  <si>
    <t>Calf bedding calculator (for periods of up to 6 week of housing)</t>
  </si>
  <si>
    <t>65% of cows calve in 1st 3 weeks of calving &amp; remaining 35% over next 3 weeks (6 week calving pattern)</t>
  </si>
  <si>
    <t>Get your outputs here</t>
  </si>
  <si>
    <t>If using individual pens for 3 weeks followed by group pens for 3 weeks</t>
  </si>
  <si>
    <t>Put your numbers in here</t>
  </si>
  <si>
    <r>
      <t>m</t>
    </r>
    <r>
      <rPr>
        <i/>
        <vertAlign val="superscript"/>
        <sz val="10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</si>
</sst>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i/>
      <vertAlign val="superscript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1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i/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/>
    </xf>
    <xf numFmtId="9" fontId="10" fillId="33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1" fontId="10" fillId="35" borderId="0" xfId="0" applyNumberFormat="1" applyFont="1" applyFill="1" applyAlignment="1">
      <alignment horizontal="center"/>
    </xf>
    <xf numFmtId="1" fontId="10" fillId="36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11" fillId="35" borderId="0" xfId="0" applyFont="1" applyFill="1" applyAlignment="1">
      <alignment horizontal="left"/>
    </xf>
    <xf numFmtId="1" fontId="11" fillId="35" borderId="0" xfId="0" applyNumberFormat="1" applyFont="1" applyFill="1" applyAlignment="1">
      <alignment horizontal="center"/>
    </xf>
    <xf numFmtId="1" fontId="11" fillId="36" borderId="0" xfId="0" applyNumberFormat="1" applyFont="1" applyFill="1" applyAlignment="1">
      <alignment horizontal="center"/>
    </xf>
    <xf numFmtId="0" fontId="10" fillId="37" borderId="10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3" fillId="37" borderId="12" xfId="0" applyFont="1" applyFill="1" applyBorder="1" applyAlignment="1">
      <alignment horizontal="center"/>
    </xf>
    <xf numFmtId="0" fontId="14" fillId="37" borderId="13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14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1" fontId="3" fillId="37" borderId="14" xfId="0" applyNumberFormat="1" applyFont="1" applyFill="1" applyBorder="1" applyAlignment="1">
      <alignment horizontal="center"/>
    </xf>
    <xf numFmtId="0" fontId="10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1" fontId="5" fillId="37" borderId="14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16" fillId="37" borderId="16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10" fillId="37" borderId="17" xfId="0" applyFont="1" applyFill="1" applyBorder="1" applyAlignment="1">
      <alignment horizontal="center"/>
    </xf>
    <xf numFmtId="1" fontId="10" fillId="34" borderId="0" xfId="0" applyNumberFormat="1" applyFont="1" applyFill="1" applyBorder="1" applyAlignment="1">
      <alignment horizontal="left"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3" fillId="37" borderId="17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10" fillId="36" borderId="0" xfId="0" applyFont="1" applyFill="1" applyAlignment="1">
      <alignment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4" fontId="10" fillId="36" borderId="0" xfId="0" applyNumberFormat="1" applyFont="1" applyFill="1" applyAlignment="1">
      <alignment horizontal="center"/>
    </xf>
    <xf numFmtId="164" fontId="10" fillId="35" borderId="0" xfId="0" applyNumberFormat="1" applyFont="1" applyFill="1" applyAlignment="1">
      <alignment horizontal="center"/>
    </xf>
    <xf numFmtId="2" fontId="11" fillId="35" borderId="0" xfId="0" applyNumberFormat="1" applyFont="1" applyFill="1" applyAlignment="1">
      <alignment horizontal="center"/>
    </xf>
    <xf numFmtId="2" fontId="11" fillId="36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2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6" fillId="0" borderId="0" xfId="0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11" fillId="36" borderId="0" xfId="0" applyFont="1" applyFill="1" applyAlignment="1">
      <alignment horizontal="center" wrapText="1"/>
    </xf>
    <xf numFmtId="0" fontId="10" fillId="36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 applyProtection="1">
      <alignment horizontal="center"/>
      <protection locked="0"/>
    </xf>
    <xf numFmtId="1" fontId="61" fillId="0" borderId="0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44" fillId="2" borderId="0" xfId="15" applyAlignment="1">
      <alignment/>
    </xf>
    <xf numFmtId="0" fontId="62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 wrapText="1"/>
    </xf>
    <xf numFmtId="1" fontId="61" fillId="0" borderId="0" xfId="0" applyNumberFormat="1" applyFont="1" applyFill="1" applyBorder="1" applyAlignment="1" applyProtection="1">
      <alignment horizontal="center"/>
      <protection/>
    </xf>
    <xf numFmtId="0" fontId="62" fillId="33" borderId="0" xfId="0" applyFont="1" applyFill="1" applyAlignment="1">
      <alignment horizontal="center" wrapText="1"/>
    </xf>
    <xf numFmtId="0" fontId="64" fillId="2" borderId="0" xfId="15" applyFont="1" applyAlignment="1">
      <alignment/>
    </xf>
    <xf numFmtId="0" fontId="65" fillId="2" borderId="0" xfId="15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60" fillId="2" borderId="0" xfId="15" applyFont="1" applyAlignment="1">
      <alignment horizontal="center"/>
    </xf>
    <xf numFmtId="0" fontId="64" fillId="2" borderId="0" xfId="15" applyFont="1" applyAlignment="1">
      <alignment horizontal="center"/>
    </xf>
    <xf numFmtId="0" fontId="65" fillId="2" borderId="0" xfId="15" applyFont="1" applyAlignment="1">
      <alignment horizontal="left"/>
    </xf>
    <xf numFmtId="0" fontId="66" fillId="2" borderId="0" xfId="15" applyFont="1" applyAlignment="1">
      <alignment/>
    </xf>
    <xf numFmtId="1" fontId="66" fillId="2" borderId="0" xfId="15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66675</xdr:rowOff>
    </xdr:from>
    <xdr:to>
      <xdr:col>2</xdr:col>
      <xdr:colOff>352425</xdr:colOff>
      <xdr:row>2</xdr:row>
      <xdr:rowOff>266700</xdr:rowOff>
    </xdr:to>
    <xdr:sp>
      <xdr:nvSpPr>
        <xdr:cNvPr id="1" name="Down Arrow 1"/>
        <xdr:cNvSpPr>
          <a:spLocks/>
        </xdr:cNvSpPr>
      </xdr:nvSpPr>
      <xdr:spPr>
        <a:xfrm>
          <a:off x="4057650" y="876300"/>
          <a:ext cx="47625" cy="200025"/>
        </a:xfrm>
        <a:prstGeom prst="downArrow">
          <a:avLst>
            <a:gd name="adj" fmla="val 38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14</xdr:row>
      <xdr:rowOff>57150</xdr:rowOff>
    </xdr:from>
    <xdr:to>
      <xdr:col>2</xdr:col>
      <xdr:colOff>361950</xdr:colOff>
      <xdr:row>14</xdr:row>
      <xdr:rowOff>257175</xdr:rowOff>
    </xdr:to>
    <xdr:sp>
      <xdr:nvSpPr>
        <xdr:cNvPr id="2" name="Down Arrow 2"/>
        <xdr:cNvSpPr>
          <a:spLocks/>
        </xdr:cNvSpPr>
      </xdr:nvSpPr>
      <xdr:spPr>
        <a:xfrm>
          <a:off x="4067175" y="3286125"/>
          <a:ext cx="47625" cy="200025"/>
        </a:xfrm>
        <a:prstGeom prst="downArrow">
          <a:avLst>
            <a:gd name="adj" fmla="val 38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Table8" displayName="Table8" ref="A4:D13" totalsRowShown="0">
  <tableColumns count="4">
    <tableColumn id="1" name="Herd size"/>
    <tableColumn id="3" name="Input&gt;&gt;&gt;"/>
    <tableColumn id="4" name="100"/>
    <tableColumn id="5" name="cow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4:F8" totalsRowShown="0">
  <tableColumns count="1">
    <tableColumn id="1" name="Calculator Assumption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9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/>
  <cols>
    <col min="1" max="1" width="41.421875" style="1" customWidth="1"/>
    <col min="2" max="2" width="14.8515625" style="1" customWidth="1"/>
    <col min="3" max="3" width="8.7109375" style="102" customWidth="1"/>
    <col min="4" max="4" width="8.421875" style="1" customWidth="1"/>
    <col min="5" max="5" width="5.57421875" style="1" customWidth="1"/>
    <col min="6" max="6" width="83.57421875" style="1" customWidth="1"/>
    <col min="7" max="9" width="17.8515625" style="1" customWidth="1"/>
    <col min="10" max="10" width="9.140625" style="1" customWidth="1"/>
    <col min="11" max="11" width="17.140625" style="1" customWidth="1"/>
    <col min="12" max="30" width="9.140625" style="1" customWidth="1"/>
    <col min="31" max="37" width="0" style="1" hidden="1" customWidth="1"/>
    <col min="38" max="16384" width="9.140625" style="1" customWidth="1"/>
  </cols>
  <sheetData>
    <row r="1" spans="1:13" ht="18.75">
      <c r="A1" s="74" t="s">
        <v>63</v>
      </c>
      <c r="B1" s="4"/>
      <c r="D1" s="3"/>
      <c r="E1" s="3"/>
      <c r="F1" s="4" t="s">
        <v>3</v>
      </c>
      <c r="G1" s="5"/>
      <c r="H1" s="3"/>
      <c r="I1" s="3"/>
      <c r="J1" s="3"/>
      <c r="K1" s="3"/>
      <c r="L1" s="3"/>
      <c r="M1" s="3"/>
    </row>
    <row r="2" spans="2:13" ht="45">
      <c r="B2" s="3"/>
      <c r="C2" s="103" t="s">
        <v>67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7" customHeight="1">
      <c r="B3" s="3"/>
      <c r="D3" s="6"/>
      <c r="E3" s="6"/>
      <c r="H3" s="3"/>
      <c r="I3" s="3"/>
      <c r="J3" s="3"/>
      <c r="K3" s="3"/>
      <c r="L3" s="3"/>
      <c r="M3" s="3"/>
    </row>
    <row r="4" spans="1:12" ht="12.75" customHeight="1">
      <c r="A4" s="106" t="s">
        <v>52</v>
      </c>
      <c r="B4" s="107" t="s">
        <v>29</v>
      </c>
      <c r="C4" s="109" t="s">
        <v>61</v>
      </c>
      <c r="D4" s="101" t="s">
        <v>39</v>
      </c>
      <c r="E4" s="3"/>
      <c r="F4" s="80" t="s">
        <v>58</v>
      </c>
      <c r="G4" s="5"/>
      <c r="H4" s="7"/>
      <c r="I4" s="7"/>
      <c r="J4" s="8"/>
      <c r="K4" s="7"/>
      <c r="L4" s="3"/>
    </row>
    <row r="5" spans="1:12" ht="12.75" customHeight="1">
      <c r="A5" s="91" t="s">
        <v>49</v>
      </c>
      <c r="B5" s="108" t="s">
        <v>29</v>
      </c>
      <c r="C5" s="97">
        <v>100</v>
      </c>
      <c r="D5" s="79" t="s">
        <v>51</v>
      </c>
      <c r="F5" s="80" t="s">
        <v>64</v>
      </c>
      <c r="G5" s="10"/>
      <c r="H5" s="7"/>
      <c r="I5" s="7"/>
      <c r="K5" s="7"/>
      <c r="L5" s="3"/>
    </row>
    <row r="6" spans="1:12" ht="12.75" customHeight="1">
      <c r="A6" s="91" t="s">
        <v>50</v>
      </c>
      <c r="B6" s="108" t="s">
        <v>29</v>
      </c>
      <c r="C6" s="97">
        <v>100</v>
      </c>
      <c r="D6" s="79" t="s">
        <v>51</v>
      </c>
      <c r="F6" s="80" t="s">
        <v>59</v>
      </c>
      <c r="G6" s="3"/>
      <c r="H6" s="3"/>
      <c r="I6" s="7"/>
      <c r="K6" s="7"/>
      <c r="L6" s="3"/>
    </row>
    <row r="7" spans="1:12" ht="12.75" customHeight="1">
      <c r="A7" s="91" t="s">
        <v>54</v>
      </c>
      <c r="B7" s="108" t="s">
        <v>60</v>
      </c>
      <c r="C7" s="104">
        <f>C4*0.25</f>
        <v>25</v>
      </c>
      <c r="D7" s="78" t="s">
        <v>42</v>
      </c>
      <c r="F7" s="80" t="s">
        <v>6</v>
      </c>
      <c r="G7" s="12"/>
      <c r="H7" s="7"/>
      <c r="I7" s="7"/>
      <c r="K7" s="7"/>
      <c r="L7" s="3"/>
    </row>
    <row r="8" spans="1:12" ht="12.75" customHeight="1">
      <c r="A8" s="92" t="s">
        <v>53</v>
      </c>
      <c r="B8" s="108" t="s">
        <v>29</v>
      </c>
      <c r="C8" s="98">
        <v>10</v>
      </c>
      <c r="D8" s="78" t="s">
        <v>41</v>
      </c>
      <c r="E8" s="11"/>
      <c r="F8" s="80" t="s">
        <v>57</v>
      </c>
      <c r="G8" s="7"/>
      <c r="H8" s="12"/>
      <c r="I8" s="7"/>
      <c r="J8" s="7"/>
      <c r="K8" s="7"/>
      <c r="L8" s="3"/>
    </row>
    <row r="9" spans="1:12" ht="15.75">
      <c r="A9" s="93" t="s">
        <v>56</v>
      </c>
      <c r="B9" s="108" t="s">
        <v>29</v>
      </c>
      <c r="C9" s="97">
        <v>5</v>
      </c>
      <c r="D9" s="77" t="s">
        <v>45</v>
      </c>
      <c r="F9" s="76"/>
      <c r="H9" s="12"/>
      <c r="I9" s="7"/>
      <c r="J9" s="7"/>
      <c r="K9" s="7"/>
      <c r="L9" s="3"/>
    </row>
    <row r="10" spans="1:12" ht="15.75">
      <c r="A10" s="93" t="s">
        <v>55</v>
      </c>
      <c r="B10" s="108" t="s">
        <v>29</v>
      </c>
      <c r="C10" s="97">
        <v>4</v>
      </c>
      <c r="D10" s="77" t="s">
        <v>45</v>
      </c>
      <c r="F10" s="76"/>
      <c r="H10" s="12"/>
      <c r="I10" s="7"/>
      <c r="J10" s="7"/>
      <c r="K10" s="7"/>
      <c r="L10" s="3"/>
    </row>
    <row r="11" spans="1:12" ht="15" customHeight="1">
      <c r="A11" s="94" t="s">
        <v>48</v>
      </c>
      <c r="B11" s="108" t="s">
        <v>29</v>
      </c>
      <c r="C11" s="97">
        <v>30</v>
      </c>
      <c r="D11" s="77" t="s">
        <v>30</v>
      </c>
      <c r="F11" s="17"/>
      <c r="H11" s="3"/>
      <c r="I11" s="3"/>
      <c r="J11" s="3"/>
      <c r="K11" s="3"/>
      <c r="L11" s="3"/>
    </row>
    <row r="12" spans="1:6" ht="12.75" customHeight="1" hidden="1">
      <c r="A12" s="95" t="s">
        <v>46</v>
      </c>
      <c r="B12" s="75" t="s">
        <v>29</v>
      </c>
      <c r="C12" s="99" t="s">
        <v>36</v>
      </c>
      <c r="D12" s="79"/>
      <c r="F12" s="17"/>
    </row>
    <row r="13" spans="1:12" ht="12.75" customHeight="1" hidden="1">
      <c r="A13" s="96" t="s">
        <v>47</v>
      </c>
      <c r="B13" s="75" t="s">
        <v>29</v>
      </c>
      <c r="C13" s="100">
        <v>3</v>
      </c>
      <c r="D13" s="77" t="s">
        <v>40</v>
      </c>
      <c r="E13" s="11"/>
      <c r="F13" s="76"/>
      <c r="G13" s="7"/>
      <c r="H13" s="12"/>
      <c r="I13" s="3"/>
      <c r="J13" s="3"/>
      <c r="K13" s="3"/>
      <c r="L13" s="3"/>
    </row>
    <row r="14" spans="1:13" ht="53.25" customHeight="1">
      <c r="A14" s="62"/>
      <c r="C14" s="105" t="s">
        <v>65</v>
      </c>
      <c r="H14" s="13"/>
      <c r="I14" s="7"/>
      <c r="J14" s="7"/>
      <c r="K14" s="7"/>
      <c r="L14" s="7"/>
      <c r="M14" s="3"/>
    </row>
    <row r="15" spans="1:13" ht="24.75" customHeight="1">
      <c r="A15" s="62"/>
      <c r="H15" s="3"/>
      <c r="I15" s="3"/>
      <c r="J15" s="7"/>
      <c r="K15" s="7"/>
      <c r="L15" s="3"/>
      <c r="M15" s="3"/>
    </row>
    <row r="16" spans="1:13" ht="15.75" customHeight="1">
      <c r="A16" s="112" t="s">
        <v>62</v>
      </c>
      <c r="B16" s="106"/>
      <c r="C16" s="110"/>
      <c r="D16" s="110"/>
      <c r="I16" s="3"/>
      <c r="J16" s="3"/>
      <c r="K16" s="3"/>
      <c r="L16" s="3"/>
      <c r="M16" s="3"/>
    </row>
    <row r="17" spans="1:13" ht="12.75" customHeight="1">
      <c r="A17" s="112" t="s">
        <v>43</v>
      </c>
      <c r="B17" s="106"/>
      <c r="C17" s="113">
        <f>ROUNDUP(AJ139,0)</f>
        <v>383</v>
      </c>
      <c r="D17" s="111" t="s">
        <v>68</v>
      </c>
      <c r="I17" s="3"/>
      <c r="J17" s="3"/>
      <c r="K17" s="3"/>
      <c r="L17" s="3"/>
      <c r="M17" s="3"/>
    </row>
    <row r="18" spans="1:13" ht="15" customHeight="1">
      <c r="A18" s="112" t="s">
        <v>44</v>
      </c>
      <c r="B18" s="106"/>
      <c r="C18" s="113">
        <f>ROUNDUP(AJ147,0)</f>
        <v>360</v>
      </c>
      <c r="D18" s="111" t="s">
        <v>68</v>
      </c>
      <c r="I18" s="3"/>
      <c r="J18" s="3"/>
      <c r="K18" s="3"/>
      <c r="L18" s="3"/>
      <c r="M18" s="3"/>
    </row>
    <row r="19" spans="1:13" ht="14.25" customHeight="1">
      <c r="A19" s="112" t="s">
        <v>66</v>
      </c>
      <c r="B19" s="106"/>
      <c r="C19" s="113">
        <f>ROUNDUP(AJ154+AJ159,0)</f>
        <v>383</v>
      </c>
      <c r="D19" s="111" t="s">
        <v>68</v>
      </c>
      <c r="I19" s="3"/>
      <c r="J19" s="3"/>
      <c r="K19" s="3"/>
      <c r="L19" s="3"/>
      <c r="M19" s="3"/>
    </row>
    <row r="20" spans="1:13" ht="12.75" customHeight="1">
      <c r="A20" s="62"/>
      <c r="I20" s="3"/>
      <c r="J20" s="3"/>
      <c r="K20" s="3"/>
      <c r="L20" s="3"/>
      <c r="M20" s="3"/>
    </row>
    <row r="21" spans="9:13" ht="12.75" customHeight="1">
      <c r="I21" s="3"/>
      <c r="J21" s="3"/>
      <c r="K21" s="3"/>
      <c r="L21" s="3"/>
      <c r="M21" s="3"/>
    </row>
    <row r="22" spans="8:13" ht="12.75" customHeight="1">
      <c r="H22" s="3"/>
      <c r="I22" s="3"/>
      <c r="J22" s="3"/>
      <c r="K22" s="3"/>
      <c r="L22" s="3"/>
      <c r="M22" s="3"/>
    </row>
    <row r="23" spans="1:13" ht="12.75" customHeight="1">
      <c r="A23" s="3"/>
      <c r="B23" s="11"/>
      <c r="C23" s="10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7:14" ht="12.75" customHeight="1">
      <c r="G24" s="57"/>
      <c r="H24" s="38"/>
      <c r="I24" s="39"/>
      <c r="J24" s="3"/>
      <c r="K24" s="3"/>
      <c r="L24" s="3"/>
      <c r="M24" s="3"/>
      <c r="N24" s="3"/>
    </row>
    <row r="25" spans="7:14" ht="12.75" customHeight="1">
      <c r="G25" s="55"/>
      <c r="H25" s="38"/>
      <c r="J25" s="3"/>
      <c r="K25" s="3"/>
      <c r="L25" s="3"/>
      <c r="M25" s="3"/>
      <c r="N25" s="3"/>
    </row>
    <row r="26" spans="7:14" ht="12.75" customHeight="1">
      <c r="G26" s="56"/>
      <c r="H26" s="7"/>
      <c r="I26" s="7"/>
      <c r="J26" s="3"/>
      <c r="K26" s="7"/>
      <c r="L26" s="81"/>
      <c r="M26" s="82"/>
      <c r="N26" s="3"/>
    </row>
    <row r="27" spans="7:14" ht="12.75" customHeight="1">
      <c r="G27" s="56"/>
      <c r="K27" s="2"/>
      <c r="L27" s="81"/>
      <c r="M27" s="82"/>
      <c r="N27" s="3"/>
    </row>
    <row r="28" spans="7:14" ht="12.75" customHeight="1">
      <c r="G28" s="56"/>
      <c r="L28" s="3"/>
      <c r="M28" s="3"/>
      <c r="N28" s="3"/>
    </row>
    <row r="29" spans="7:14" ht="12.75" customHeight="1">
      <c r="G29" s="55"/>
      <c r="L29" s="3"/>
      <c r="M29" s="3"/>
      <c r="N29" s="3"/>
    </row>
    <row r="30" spans="7:13" ht="12.75" customHeight="1">
      <c r="G30" s="37"/>
      <c r="L30" s="3"/>
      <c r="M30" s="3"/>
    </row>
    <row r="31" spans="7:13" ht="12.75" customHeight="1">
      <c r="G31" s="7"/>
      <c r="L31" s="3"/>
      <c r="M31" s="3"/>
    </row>
    <row r="32" spans="7:13" ht="12.75" customHeight="1">
      <c r="G32" s="7"/>
      <c r="H32" s="69"/>
      <c r="L32" s="3"/>
      <c r="M32" s="3"/>
    </row>
    <row r="33" ht="12.75" customHeight="1"/>
    <row r="34" ht="12.75" customHeight="1">
      <c r="H34" s="63"/>
    </row>
    <row r="35" ht="12.75" customHeight="1"/>
    <row r="36" ht="12.75" customHeight="1"/>
    <row r="37" ht="12.75" customHeight="1">
      <c r="H37" s="68"/>
    </row>
    <row r="38" ht="12.75" customHeight="1">
      <c r="H38" s="6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82" ht="12.75">
      <c r="AE82" s="1" t="s">
        <v>31</v>
      </c>
    </row>
    <row r="83" spans="31:37" ht="15">
      <c r="AE83" s="61" t="s">
        <v>27</v>
      </c>
      <c r="AF83" s="9">
        <f>C5/100*C4</f>
        <v>100</v>
      </c>
      <c r="AK83" s="62" t="s">
        <v>33</v>
      </c>
    </row>
    <row r="84" spans="31:37" ht="15">
      <c r="AE84" s="59" t="s">
        <v>28</v>
      </c>
      <c r="AF84" s="9">
        <f>C6/100*AF83</f>
        <v>100</v>
      </c>
      <c r="AK84" s="62" t="s">
        <v>34</v>
      </c>
    </row>
    <row r="85" spans="31:32" ht="45">
      <c r="AE85" s="60" t="s">
        <v>26</v>
      </c>
      <c r="AF85" s="47">
        <f>AF84+C7</f>
        <v>125</v>
      </c>
    </row>
    <row r="88" spans="31:37" ht="15">
      <c r="AE88" s="87" t="s">
        <v>7</v>
      </c>
      <c r="AF88" s="89" t="s">
        <v>23</v>
      </c>
      <c r="AG88" s="89"/>
      <c r="AH88" s="90"/>
      <c r="AI88" s="50"/>
      <c r="AJ88" s="85" t="s">
        <v>24</v>
      </c>
      <c r="AK88" s="86"/>
    </row>
    <row r="89" spans="31:37" ht="15">
      <c r="AE89" s="87"/>
      <c r="AF89" s="87" t="s">
        <v>0</v>
      </c>
      <c r="AG89" s="48"/>
      <c r="AH89" s="87" t="s">
        <v>8</v>
      </c>
      <c r="AI89" s="51"/>
      <c r="AJ89" s="83" t="s">
        <v>4</v>
      </c>
      <c r="AK89" s="83" t="s">
        <v>9</v>
      </c>
    </row>
    <row r="90" spans="31:37" ht="15">
      <c r="AE90" s="87"/>
      <c r="AF90" s="88"/>
      <c r="AG90" s="49"/>
      <c r="AH90" s="88"/>
      <c r="AI90" s="52"/>
      <c r="AJ90" s="84"/>
      <c r="AK90" s="84"/>
    </row>
    <row r="91" spans="31:37" ht="15">
      <c r="AE91" s="65"/>
      <c r="AF91" s="66"/>
      <c r="AG91" s="66"/>
      <c r="AH91" s="66"/>
      <c r="AI91" s="52"/>
      <c r="AJ91" s="64"/>
      <c r="AK91" s="64"/>
    </row>
    <row r="92" spans="31:37" ht="15">
      <c r="AE92" s="14">
        <v>1</v>
      </c>
      <c r="AF92" s="15">
        <f>(($AF$85*0.65)/2)/3</f>
        <v>13.541666666666666</v>
      </c>
      <c r="AG92" s="15"/>
      <c r="AH92" s="15">
        <f aca="true" t="shared" si="0" ref="AH92:AH97">AF92</f>
        <v>13.541666666666666</v>
      </c>
      <c r="AI92" s="53"/>
      <c r="AJ92" s="16">
        <f>ROUNDUP((($AF$85*0.65)/2)/3,0)</f>
        <v>14</v>
      </c>
      <c r="AK92" s="16">
        <f aca="true" t="shared" si="1" ref="AK92:AK97">AJ92</f>
        <v>14</v>
      </c>
    </row>
    <row r="93" spans="31:37" ht="15">
      <c r="AE93" s="14">
        <v>2</v>
      </c>
      <c r="AF93" s="15">
        <f>(($AF$85*0.65)/2)/3+AF92</f>
        <v>27.083333333333332</v>
      </c>
      <c r="AG93" s="15"/>
      <c r="AH93" s="15">
        <f t="shared" si="0"/>
        <v>27.083333333333332</v>
      </c>
      <c r="AI93" s="53"/>
      <c r="AJ93" s="16">
        <f>ROUNDUP((($AF$85*0.65)/2)/3,0)</f>
        <v>14</v>
      </c>
      <c r="AK93" s="16">
        <f t="shared" si="1"/>
        <v>14</v>
      </c>
    </row>
    <row r="94" spans="31:37" ht="15">
      <c r="AE94" s="14">
        <v>3</v>
      </c>
      <c r="AF94" s="15">
        <f>(($AF$85*0.65)/2)/3+AF93</f>
        <v>40.625</v>
      </c>
      <c r="AG94" s="15"/>
      <c r="AH94" s="15">
        <f t="shared" si="0"/>
        <v>40.625</v>
      </c>
      <c r="AI94" s="53"/>
      <c r="AJ94" s="16">
        <f>ROUNDUP((($AF$85*0.65)/2)/3,0)</f>
        <v>14</v>
      </c>
      <c r="AK94" s="16">
        <f t="shared" si="1"/>
        <v>14</v>
      </c>
    </row>
    <row r="95" spans="31:37" ht="15">
      <c r="AE95" s="14">
        <v>4</v>
      </c>
      <c r="AF95" s="15">
        <f>(($AF$85*0.35)/2)/3+AF94</f>
        <v>47.916666666666664</v>
      </c>
      <c r="AG95" s="15"/>
      <c r="AH95" s="15">
        <f t="shared" si="0"/>
        <v>47.916666666666664</v>
      </c>
      <c r="AI95" s="53"/>
      <c r="AJ95" s="16">
        <f>ROUNDUP((($AF$85*0.35)/2)/3,0)</f>
        <v>8</v>
      </c>
      <c r="AK95" s="16">
        <f t="shared" si="1"/>
        <v>8</v>
      </c>
    </row>
    <row r="96" spans="31:37" ht="15">
      <c r="AE96" s="14">
        <v>5</v>
      </c>
      <c r="AF96" s="15">
        <f>(($AF$85*0.35)/2)/3+AF95</f>
        <v>55.20833333333333</v>
      </c>
      <c r="AG96" s="15"/>
      <c r="AH96" s="15">
        <f t="shared" si="0"/>
        <v>55.20833333333333</v>
      </c>
      <c r="AI96" s="53"/>
      <c r="AJ96" s="16">
        <f>ROUNDUP((($AF$85*0.35)/2)/3,0)</f>
        <v>8</v>
      </c>
      <c r="AK96" s="16">
        <f t="shared" si="1"/>
        <v>8</v>
      </c>
    </row>
    <row r="97" spans="31:37" ht="15">
      <c r="AE97" s="14">
        <v>6</v>
      </c>
      <c r="AF97" s="71">
        <f>ROUNDUP((($AF$85*0.35)/2)/3+AF96,0)</f>
        <v>63</v>
      </c>
      <c r="AG97" s="15"/>
      <c r="AH97" s="71">
        <f t="shared" si="0"/>
        <v>63</v>
      </c>
      <c r="AI97" s="53"/>
      <c r="AJ97" s="16">
        <f>ROUNDUP((($AF$85*0.35)/2)/3,0)</f>
        <v>8</v>
      </c>
      <c r="AK97" s="16">
        <f t="shared" si="1"/>
        <v>8</v>
      </c>
    </row>
    <row r="99" ht="12.75">
      <c r="AE99" s="1" t="s">
        <v>32</v>
      </c>
    </row>
    <row r="100" spans="31:32" ht="15">
      <c r="AE100" s="59" t="s">
        <v>27</v>
      </c>
      <c r="AF100" s="9">
        <f>C5/100*C4</f>
        <v>100</v>
      </c>
    </row>
    <row r="101" spans="31:35" ht="15">
      <c r="AE101" s="59" t="s">
        <v>28</v>
      </c>
      <c r="AF101" s="9">
        <f>C6/100*AF100</f>
        <v>100</v>
      </c>
      <c r="AI101" s="39"/>
    </row>
    <row r="102" spans="31:32" ht="45">
      <c r="AE102" s="60" t="s">
        <v>26</v>
      </c>
      <c r="AF102" s="47">
        <f>AF101+C7</f>
        <v>125</v>
      </c>
    </row>
    <row r="105" spans="31:37" ht="15">
      <c r="AE105" s="87" t="s">
        <v>7</v>
      </c>
      <c r="AF105" s="89" t="s">
        <v>23</v>
      </c>
      <c r="AG105" s="89"/>
      <c r="AH105" s="90"/>
      <c r="AI105" s="50"/>
      <c r="AJ105" s="85" t="s">
        <v>24</v>
      </c>
      <c r="AK105" s="86"/>
    </row>
    <row r="106" spans="31:37" ht="15">
      <c r="AE106" s="87"/>
      <c r="AF106" s="87" t="s">
        <v>0</v>
      </c>
      <c r="AG106" s="48"/>
      <c r="AH106" s="87" t="s">
        <v>1</v>
      </c>
      <c r="AI106" s="51"/>
      <c r="AJ106" s="83" t="s">
        <v>4</v>
      </c>
      <c r="AK106" s="83" t="s">
        <v>5</v>
      </c>
    </row>
    <row r="107" spans="31:37" ht="15">
      <c r="AE107" s="87"/>
      <c r="AF107" s="88"/>
      <c r="AG107" s="49"/>
      <c r="AH107" s="88"/>
      <c r="AI107" s="52"/>
      <c r="AJ107" s="84"/>
      <c r="AK107" s="84"/>
    </row>
    <row r="108" spans="31:37" ht="15">
      <c r="AE108" s="14">
        <v>1</v>
      </c>
      <c r="AF108" s="15">
        <f>((Individual!$AF$102*0.65)/2)/3</f>
        <v>13.541666666666666</v>
      </c>
      <c r="AG108" s="15"/>
      <c r="AH108" s="15">
        <f aca="true" t="shared" si="2" ref="AH108:AH113">AF108/$C$8</f>
        <v>1.3541666666666665</v>
      </c>
      <c r="AI108" s="53"/>
      <c r="AJ108" s="16">
        <f>((Individual!$AF$102*0.65)/2)/3</f>
        <v>13.541666666666666</v>
      </c>
      <c r="AK108" s="70">
        <f aca="true" t="shared" si="3" ref="AK108:AK113">ROUNDUP(AJ108/$C$8,0)</f>
        <v>2</v>
      </c>
    </row>
    <row r="109" spans="31:37" ht="15">
      <c r="AE109" s="14">
        <v>2</v>
      </c>
      <c r="AF109" s="15">
        <f>((Individual!$AF$102*0.65)/2)/3+AF108</f>
        <v>27.083333333333332</v>
      </c>
      <c r="AG109" s="15"/>
      <c r="AH109" s="15">
        <f t="shared" si="2"/>
        <v>2.708333333333333</v>
      </c>
      <c r="AI109" s="53"/>
      <c r="AJ109" s="16">
        <f>((Individual!$AF$102*0.65)/2)/3</f>
        <v>13.541666666666666</v>
      </c>
      <c r="AK109" s="70">
        <f t="shared" si="3"/>
        <v>2</v>
      </c>
    </row>
    <row r="110" spans="31:37" ht="15">
      <c r="AE110" s="14">
        <v>3</v>
      </c>
      <c r="AF110" s="15">
        <f>((Individual!$AF$102*0.65)/2)/3+AF109</f>
        <v>40.625</v>
      </c>
      <c r="AG110" s="15"/>
      <c r="AH110" s="15">
        <f t="shared" si="2"/>
        <v>4.0625</v>
      </c>
      <c r="AI110" s="53"/>
      <c r="AJ110" s="16">
        <f>((Individual!$AF$102*0.65)/2)/3</f>
        <v>13.541666666666666</v>
      </c>
      <c r="AK110" s="70">
        <f t="shared" si="3"/>
        <v>2</v>
      </c>
    </row>
    <row r="111" spans="31:37" ht="15">
      <c r="AE111" s="14">
        <v>4</v>
      </c>
      <c r="AF111" s="15">
        <f>((Individual!$AF$102*0.35)/2)/3+AF110</f>
        <v>47.916666666666664</v>
      </c>
      <c r="AG111" s="15"/>
      <c r="AH111" s="15">
        <f t="shared" si="2"/>
        <v>4.791666666666666</v>
      </c>
      <c r="AI111" s="53"/>
      <c r="AJ111" s="16">
        <f>((Individual!$AF$102*0.35)/2)/3</f>
        <v>7.291666666666667</v>
      </c>
      <c r="AK111" s="70">
        <f t="shared" si="3"/>
        <v>1</v>
      </c>
    </row>
    <row r="112" spans="31:37" ht="15">
      <c r="AE112" s="14">
        <v>5</v>
      </c>
      <c r="AF112" s="15">
        <f>((Individual!$AF$102*0.35)/2)/3+AF111</f>
        <v>55.20833333333333</v>
      </c>
      <c r="AG112" s="15"/>
      <c r="AH112" s="15">
        <f t="shared" si="2"/>
        <v>5.520833333333333</v>
      </c>
      <c r="AI112" s="53"/>
      <c r="AJ112" s="16">
        <f>((Individual!$AF$102*0.35)/2)/3</f>
        <v>7.291666666666667</v>
      </c>
      <c r="AK112" s="70">
        <f t="shared" si="3"/>
        <v>1</v>
      </c>
    </row>
    <row r="113" spans="31:37" ht="15">
      <c r="AE113" s="14">
        <v>6</v>
      </c>
      <c r="AF113" s="15">
        <f>ROUNDUP((($AF$102*0.35)/2)/3+AF112,0)</f>
        <v>63</v>
      </c>
      <c r="AG113" s="15"/>
      <c r="AH113" s="15">
        <f t="shared" si="2"/>
        <v>6.3</v>
      </c>
      <c r="AI113" s="53"/>
      <c r="AJ113" s="16">
        <f>((Individual!$AF$102*0.35)/2)/3</f>
        <v>7.291666666666667</v>
      </c>
      <c r="AK113" s="70">
        <f t="shared" si="3"/>
        <v>1</v>
      </c>
    </row>
    <row r="114" spans="31:37" ht="15">
      <c r="AE114" s="18" t="s">
        <v>10</v>
      </c>
      <c r="AF114" s="15"/>
      <c r="AG114" s="15"/>
      <c r="AH114" s="72">
        <f>ROUNDUP(AH113,0)</f>
        <v>7</v>
      </c>
      <c r="AI114" s="54"/>
      <c r="AJ114" s="16"/>
      <c r="AK114" s="73">
        <f>AK110+1</f>
        <v>3</v>
      </c>
    </row>
    <row r="116" ht="12.75">
      <c r="AE116" s="1" t="s">
        <v>25</v>
      </c>
    </row>
    <row r="117" spans="31:32" ht="15">
      <c r="AE117" s="59" t="s">
        <v>27</v>
      </c>
      <c r="AF117" s="9">
        <f>C5/100*C4</f>
        <v>100</v>
      </c>
    </row>
    <row r="118" spans="31:35" ht="15">
      <c r="AE118" s="59" t="s">
        <v>28</v>
      </c>
      <c r="AF118" s="9">
        <f>C6/100*AF117</f>
        <v>100</v>
      </c>
      <c r="AG118" s="1" t="s">
        <v>35</v>
      </c>
      <c r="AI118" s="39">
        <f>IF(C13&gt;3,(C13-3),C13)</f>
        <v>3</v>
      </c>
    </row>
    <row r="119" spans="31:32" ht="45">
      <c r="AE119" s="60" t="s">
        <v>26</v>
      </c>
      <c r="AF119" s="47">
        <f>AF118+C7</f>
        <v>125</v>
      </c>
    </row>
    <row r="122" spans="31:37" ht="15">
      <c r="AE122" s="87" t="s">
        <v>7</v>
      </c>
      <c r="AF122" s="89" t="s">
        <v>23</v>
      </c>
      <c r="AG122" s="89"/>
      <c r="AH122" s="90"/>
      <c r="AI122" s="50"/>
      <c r="AJ122" s="85" t="s">
        <v>24</v>
      </c>
      <c r="AK122" s="86"/>
    </row>
    <row r="123" spans="31:37" ht="15">
      <c r="AE123" s="87"/>
      <c r="AF123" s="87" t="s">
        <v>0</v>
      </c>
      <c r="AG123" s="48"/>
      <c r="AH123" s="87" t="s">
        <v>1</v>
      </c>
      <c r="AI123" s="51"/>
      <c r="AJ123" s="83" t="s">
        <v>4</v>
      </c>
      <c r="AK123" s="83" t="s">
        <v>5</v>
      </c>
    </row>
    <row r="124" spans="31:37" ht="15">
      <c r="AE124" s="87"/>
      <c r="AF124" s="88"/>
      <c r="AG124" s="49"/>
      <c r="AH124" s="88"/>
      <c r="AI124" s="52"/>
      <c r="AJ124" s="84"/>
      <c r="AK124" s="84"/>
    </row>
    <row r="125" spans="31:37" ht="15">
      <c r="AE125" s="14">
        <v>1</v>
      </c>
      <c r="AF125" s="15">
        <f>((Individual!$AF$119*0.65)/2)/3</f>
        <v>13.541666666666666</v>
      </c>
      <c r="AG125" s="15"/>
      <c r="AH125" s="15">
        <f aca="true" t="shared" si="4" ref="AH125:AH130">AF125/$C$8</f>
        <v>1.3541666666666665</v>
      </c>
      <c r="AI125" s="53"/>
      <c r="AJ125" s="16">
        <f>ROUNDUP((($AF$119*0.65)/2)/3,0)</f>
        <v>14</v>
      </c>
      <c r="AK125" s="16">
        <v>0</v>
      </c>
    </row>
    <row r="126" spans="31:37" ht="15">
      <c r="AE126" s="14">
        <v>2</v>
      </c>
      <c r="AF126" s="15">
        <f>((Individual!$AF$119*0.65)/2)/3+AF125</f>
        <v>27.083333333333332</v>
      </c>
      <c r="AG126" s="15"/>
      <c r="AH126" s="15">
        <f t="shared" si="4"/>
        <v>2.708333333333333</v>
      </c>
      <c r="AI126" s="53"/>
      <c r="AJ126" s="16">
        <f>ROUNDUP((($AF$119*0.65)/2)/3,0)</f>
        <v>14</v>
      </c>
      <c r="AK126" s="16">
        <v>0</v>
      </c>
    </row>
    <row r="127" spans="31:37" ht="15">
      <c r="AE127" s="14">
        <v>3</v>
      </c>
      <c r="AF127" s="15">
        <f>((Individual!$AF$119*0.65)/2)/3+AF126</f>
        <v>40.625</v>
      </c>
      <c r="AG127" s="15"/>
      <c r="AH127" s="15">
        <f t="shared" si="4"/>
        <v>4.0625</v>
      </c>
      <c r="AI127" s="53"/>
      <c r="AJ127" s="16">
        <f>ROUNDUP((($AF$119*0.65)/2)/3,0)</f>
        <v>14</v>
      </c>
      <c r="AK127" s="16">
        <v>0</v>
      </c>
    </row>
    <row r="128" spans="31:37" ht="15">
      <c r="AE128" s="14">
        <v>4</v>
      </c>
      <c r="AF128" s="15">
        <f>((Individual!$AF$119*0.35)/2)/3+AF127</f>
        <v>47.916666666666664</v>
      </c>
      <c r="AG128" s="15"/>
      <c r="AH128" s="15">
        <f t="shared" si="4"/>
        <v>4.791666666666666</v>
      </c>
      <c r="AI128" s="53"/>
      <c r="AJ128" s="16">
        <f>ROUNDUP((($AF$119*0.35)/2)/3,0)</f>
        <v>8</v>
      </c>
      <c r="AK128" s="16">
        <v>0</v>
      </c>
    </row>
    <row r="129" spans="31:37" ht="15">
      <c r="AE129" s="14">
        <v>5</v>
      </c>
      <c r="AF129" s="15">
        <f>((Individual!$AF$119*0.35)/2)/3+AF128</f>
        <v>55.20833333333333</v>
      </c>
      <c r="AG129" s="15"/>
      <c r="AH129" s="15">
        <f t="shared" si="4"/>
        <v>5.520833333333333</v>
      </c>
      <c r="AI129" s="53"/>
      <c r="AJ129" s="16">
        <f>ROUNDUP((($AF$119*0.35)/2)/3,0)</f>
        <v>8</v>
      </c>
      <c r="AK129" s="16">
        <v>0</v>
      </c>
    </row>
    <row r="130" spans="31:37" ht="15">
      <c r="AE130" s="14">
        <v>6</v>
      </c>
      <c r="AF130" s="15">
        <f>ROUNDUP((($AF$119*0.35)/2)/3+AF129,0)</f>
        <v>63</v>
      </c>
      <c r="AG130" s="15"/>
      <c r="AH130" s="15">
        <f t="shared" si="4"/>
        <v>6.3</v>
      </c>
      <c r="AI130" s="53"/>
      <c r="AJ130" s="16">
        <f>ROUNDUP((($AF$119*0.35)/2)/3,0)</f>
        <v>8</v>
      </c>
      <c r="AK130" s="16">
        <v>0</v>
      </c>
    </row>
    <row r="131" spans="31:37" ht="15">
      <c r="AE131" s="18" t="s">
        <v>10</v>
      </c>
      <c r="AF131" s="15"/>
      <c r="AG131" s="15"/>
      <c r="AH131" s="19">
        <f>ROUNDUP(AH130,0)</f>
        <v>7</v>
      </c>
      <c r="AI131" s="54"/>
      <c r="AJ131" s="16"/>
      <c r="AK131" s="20"/>
    </row>
    <row r="134" ht="13.5" thickBot="1"/>
    <row r="135" spans="31:36" ht="15">
      <c r="AE135" s="21"/>
      <c r="AF135" s="22" t="s">
        <v>37</v>
      </c>
      <c r="AG135" s="22"/>
      <c r="AH135" s="23"/>
      <c r="AI135" s="23"/>
      <c r="AJ135" s="24"/>
    </row>
    <row r="136" spans="31:36" ht="15">
      <c r="AE136" s="31"/>
      <c r="AF136" s="26"/>
      <c r="AG136" s="26"/>
      <c r="AH136" s="26"/>
      <c r="AI136" s="26"/>
      <c r="AJ136" s="27"/>
    </row>
    <row r="137" spans="31:36" ht="15">
      <c r="AE137" s="28"/>
      <c r="AF137" s="32"/>
      <c r="AG137" s="32"/>
      <c r="AH137" s="33"/>
      <c r="AI137" s="33"/>
      <c r="AJ137" s="34"/>
    </row>
    <row r="138" spans="31:36" ht="15">
      <c r="AE138" s="31"/>
      <c r="AF138" s="32"/>
      <c r="AG138" s="32"/>
      <c r="AH138" s="33"/>
      <c r="AI138" s="33"/>
      <c r="AJ138" s="34"/>
    </row>
    <row r="139" spans="31:36" ht="17.25">
      <c r="AE139" s="31"/>
      <c r="AF139" s="32" t="s">
        <v>19</v>
      </c>
      <c r="AG139" s="32"/>
      <c r="AH139" s="33"/>
      <c r="AI139" s="33"/>
      <c r="AJ139" s="1">
        <f>IF(C12="Yes",C11/100*C9*((AF97*C13)+SUM(AK92:AK97)),C11/100*C9*(IF(AI118=0,0,AF97)+SUM(AK92:AK97)))</f>
        <v>382.5</v>
      </c>
    </row>
    <row r="140" spans="31:36" ht="15.75" thickBot="1">
      <c r="AE140" s="43"/>
      <c r="AF140" s="45"/>
      <c r="AG140" s="45"/>
      <c r="AH140" s="45"/>
      <c r="AI140" s="45"/>
      <c r="AJ140" s="46"/>
    </row>
    <row r="141" spans="31:36" ht="15.75" thickBot="1">
      <c r="AE141" s="7"/>
      <c r="AF141" s="37"/>
      <c r="AG141" s="37"/>
      <c r="AH141" s="37"/>
      <c r="AI141" s="37"/>
      <c r="AJ141" s="37"/>
    </row>
    <row r="142" spans="31:36" ht="15">
      <c r="AE142" s="21"/>
      <c r="AF142" s="22" t="s">
        <v>14</v>
      </c>
      <c r="AG142" s="22"/>
      <c r="AH142" s="23"/>
      <c r="AI142" s="23"/>
      <c r="AJ142" s="24"/>
    </row>
    <row r="143" spans="31:36" ht="15">
      <c r="AE143" s="31"/>
      <c r="AF143" s="26"/>
      <c r="AG143" s="26"/>
      <c r="AH143" s="26"/>
      <c r="AI143" s="26"/>
      <c r="AJ143" s="27"/>
    </row>
    <row r="144" spans="31:36" ht="15">
      <c r="AE144" s="28"/>
      <c r="AF144" s="29" t="s">
        <v>11</v>
      </c>
      <c r="AG144" s="29"/>
      <c r="AH144" s="26"/>
      <c r="AI144" s="26"/>
      <c r="AJ144" s="30">
        <f>SUM(Individual!AH114,Individual!AK114)</f>
        <v>10</v>
      </c>
    </row>
    <row r="145" spans="31:36" ht="17.25">
      <c r="AE145" s="31"/>
      <c r="AF145" s="29" t="s">
        <v>20</v>
      </c>
      <c r="AG145" s="29"/>
      <c r="AH145" s="29"/>
      <c r="AI145" s="29"/>
      <c r="AJ145" s="30">
        <f>C8*C10</f>
        <v>40</v>
      </c>
    </row>
    <row r="146" spans="31:36" ht="17.25">
      <c r="AE146" s="31"/>
      <c r="AF146" s="29" t="s">
        <v>21</v>
      </c>
      <c r="AG146" s="29"/>
      <c r="AH146" s="29"/>
      <c r="AI146" s="29"/>
      <c r="AJ146" s="30">
        <f>AJ144*AJ145</f>
        <v>400</v>
      </c>
    </row>
    <row r="147" spans="31:36" ht="17.25">
      <c r="AE147" s="31"/>
      <c r="AF147" s="29" t="s">
        <v>22</v>
      </c>
      <c r="AG147" s="29"/>
      <c r="AH147" s="26"/>
      <c r="AI147" s="26"/>
      <c r="AJ147" s="30">
        <f>IF(C12="Yes",C11/100*AJ145*((AH114*C13)+(SUM(AK108:AK113))),C11/100*AJ145*(IF(AI118=0,0,AH114)+(SUM(AK108:AK113))))</f>
        <v>360</v>
      </c>
    </row>
    <row r="148" spans="31:36" ht="15.75" thickBot="1">
      <c r="AE148" s="43"/>
      <c r="AF148" s="44"/>
      <c r="AG148" s="44"/>
      <c r="AH148" s="45"/>
      <c r="AI148" s="45"/>
      <c r="AJ148" s="58"/>
    </row>
    <row r="149" ht="13.5" thickBot="1"/>
    <row r="150" spans="31:36" ht="15">
      <c r="AE150" s="21"/>
      <c r="AF150" s="22" t="s">
        <v>38</v>
      </c>
      <c r="AG150" s="22"/>
      <c r="AH150" s="23"/>
      <c r="AI150" s="23"/>
      <c r="AJ150" s="24" t="s">
        <v>2</v>
      </c>
    </row>
    <row r="151" spans="31:36" ht="15">
      <c r="AE151" s="25" t="s">
        <v>13</v>
      </c>
      <c r="AF151" s="26"/>
      <c r="AG151" s="26"/>
      <c r="AH151" s="26"/>
      <c r="AI151" s="26"/>
      <c r="AJ151" s="27"/>
    </row>
    <row r="152" spans="31:36" ht="15">
      <c r="AE152" s="28"/>
      <c r="AF152" s="29" t="s">
        <v>11</v>
      </c>
      <c r="AG152" s="29"/>
      <c r="AH152" s="26"/>
      <c r="AI152" s="26"/>
      <c r="AJ152" s="30">
        <f>ROUNDUP(AF127+SUM(AJ125:AJ127),0)</f>
        <v>83</v>
      </c>
    </row>
    <row r="153" spans="31:36" ht="17.25">
      <c r="AE153" s="31"/>
      <c r="AF153" s="29" t="s">
        <v>15</v>
      </c>
      <c r="AG153" s="29"/>
      <c r="AH153" s="29"/>
      <c r="AI153" s="29"/>
      <c r="AJ153" s="30">
        <f>AJ152*C9</f>
        <v>415</v>
      </c>
    </row>
    <row r="154" spans="31:36" ht="17.25">
      <c r="AE154" s="31"/>
      <c r="AF154" s="29" t="s">
        <v>16</v>
      </c>
      <c r="AG154" s="29"/>
      <c r="AH154" s="26"/>
      <c r="AI154" s="26"/>
      <c r="AJ154" s="30">
        <f>IF(C13&lt;=3,IF(C12="Yes",C11/100*C9*((AF130*C13)+SUM(AJ125:AJ130)),C11/100*C9*(IF(AI118=0,0,AF130)+SUM(AJ125:AJ130))),IF(C12="Yes",C11/100*C9*((AF130*3)+SUM(AJ125:AJ130)),C11/100*C9*((AF130)+SUM(AJ125:AJ130))))</f>
        <v>382.5</v>
      </c>
    </row>
    <row r="155" spans="31:36" ht="15">
      <c r="AE155" s="25" t="s">
        <v>14</v>
      </c>
      <c r="AF155" s="29"/>
      <c r="AG155" s="29"/>
      <c r="AH155" s="26"/>
      <c r="AI155" s="26"/>
      <c r="AJ155" s="30"/>
    </row>
    <row r="156" spans="31:36" ht="15">
      <c r="AE156" s="31"/>
      <c r="AF156" s="32" t="s">
        <v>12</v>
      </c>
      <c r="AG156" s="32"/>
      <c r="AH156" s="33"/>
      <c r="AI156" s="33"/>
      <c r="AJ156" s="34">
        <f>ROUNDUP((AF130*AI118/C8)+(SUM(AJ125:AJ130)),0)</f>
        <v>85</v>
      </c>
    </row>
    <row r="157" spans="31:36" ht="17.25">
      <c r="AE157" s="35"/>
      <c r="AF157" s="32" t="s">
        <v>17</v>
      </c>
      <c r="AG157" s="32"/>
      <c r="AH157" s="36"/>
      <c r="AI157" s="36"/>
      <c r="AJ157" s="34">
        <f>C8*C10</f>
        <v>40</v>
      </c>
    </row>
    <row r="158" spans="31:36" ht="17.25">
      <c r="AE158" s="31"/>
      <c r="AF158" s="32" t="s">
        <v>18</v>
      </c>
      <c r="AG158" s="32"/>
      <c r="AH158" s="33"/>
      <c r="AI158" s="33"/>
      <c r="AJ158" s="34">
        <f>AJ156*AJ157</f>
        <v>3400</v>
      </c>
    </row>
    <row r="159" spans="31:36" ht="18" thickBot="1">
      <c r="AE159" s="40"/>
      <c r="AF159" s="41" t="s">
        <v>19</v>
      </c>
      <c r="AG159" s="41"/>
      <c r="AH159" s="42"/>
      <c r="AI159" s="42"/>
      <c r="AJ159" s="30">
        <f>IF(C13&lt;=3,0,(IF(C12="Yes",C11/100*AJ157*AH131*AI118,C11/100*AJ157*AH131)))</f>
        <v>0</v>
      </c>
    </row>
  </sheetData>
  <sheetProtection/>
  <mergeCells count="22">
    <mergeCell ref="AH106:AH107"/>
    <mergeCell ref="AE105:AE107"/>
    <mergeCell ref="AF105:AH105"/>
    <mergeCell ref="AJ106:AJ107"/>
    <mergeCell ref="AK106:AK107"/>
    <mergeCell ref="AJ105:AK105"/>
    <mergeCell ref="AE122:AE124"/>
    <mergeCell ref="AF122:AH122"/>
    <mergeCell ref="AJ123:AJ124"/>
    <mergeCell ref="AK123:AK124"/>
    <mergeCell ref="AJ122:AK122"/>
    <mergeCell ref="AF123:AF124"/>
    <mergeCell ref="AH123:AH124"/>
    <mergeCell ref="AF106:AF107"/>
    <mergeCell ref="L26:M27"/>
    <mergeCell ref="AJ89:AJ90"/>
    <mergeCell ref="AK89:AK90"/>
    <mergeCell ref="AJ88:AK88"/>
    <mergeCell ref="AF89:AF90"/>
    <mergeCell ref="AH89:AH90"/>
    <mergeCell ref="AE88:AE90"/>
    <mergeCell ref="AF88:AH88"/>
  </mergeCells>
  <dataValidations count="9">
    <dataValidation type="whole" showInputMessage="1" showErrorMessage="1" errorTitle="Value outside of range 0-6 weeks" error="This calculator only models up to a total of 6 weeks housing for calves" sqref="C13">
      <formula1>0</formula1>
      <formula2>6</formula2>
    </dataValidation>
    <dataValidation type="list" showInputMessage="1" showErrorMessage="1" promptTitle="The cleaner the better!" prompt="Regular top dressing of bedding  keeps calves in a lower disease risk environment for longer periods." error="Please enter either the responses &quot;yes&quot; or &quot;no&quot;" sqref="C12">
      <formula1>$AK$83:$AK$84</formula1>
    </dataValidation>
    <dataValidation type="decimal" showInputMessage="1" showErrorMessage="1" promptTitle="More space, less problems!" prompt="Minimum space allowance for each calf is 2 square metres in individual pens. As calves grow aim to increase space allowances to reduce disease." error="Input values of between 0.1 - 5" sqref="C9">
      <formula1>0.1</formula1>
      <formula2>5</formula2>
    </dataValidation>
    <dataValidation type="decimal" showInputMessage="1" showErrorMessage="1" promptTitle="More space, less problems!" prompt="Minimum space allowance for each calf is 1.5 square metres in a groupl pen environment. As calves grow aim to increase space allowances to reduce disease." error="Input values of between 0.1 - 5" sqref="C10">
      <formula1>0.1</formula1>
      <formula2>5</formula2>
    </dataValidation>
    <dataValidation type="whole" showInputMessage="1" showErrorMessage="1" promptTitle="Deep, clean bedding is critical!" prompt="The minimum depth of bedding applied should be 15cm. Increasing bedding depth to 30cm can provide greater comfort and lead to less health problems." error="Input values of between 1 - 100" sqref="C11">
      <formula1>1</formula1>
      <formula2>100</formula2>
    </dataValidation>
    <dataValidation type="whole" showInputMessage="1" showErrorMessage="1" error="Input values of between 1 - 10000" sqref="C4">
      <formula1>1</formula1>
      <formula2>10000</formula2>
    </dataValidation>
    <dataValidation type="whole" showInputMessage="1" showErrorMessage="1" error="Inpit values of between 1-100" sqref="C6">
      <formula1>0</formula1>
      <formula2>100</formula2>
    </dataValidation>
    <dataValidation type="whole" showInputMessage="1" showErrorMessage="1" error="Input values of between 1- 1000" sqref="C8">
      <formula1>1</formula1>
      <formula2>1000</formula2>
    </dataValidation>
    <dataValidation type="whole" showInputMessage="1" showErrorMessage="1" error="Input values of between 1 - 100" sqref="C5">
      <formula1>0</formula1>
      <formula2>100</formula2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McNeil</dc:creator>
  <cp:keywords/>
  <dc:description/>
  <cp:lastModifiedBy>KDavis</cp:lastModifiedBy>
  <dcterms:created xsi:type="dcterms:W3CDTF">2010-10-04T09:37:04Z</dcterms:created>
  <dcterms:modified xsi:type="dcterms:W3CDTF">2012-09-28T03:29:30Z</dcterms:modified>
  <cp:category/>
  <cp:version/>
  <cp:contentType/>
  <cp:contentStatus/>
</cp:coreProperties>
</file>